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8.xml" ContentType="application/vnd.openxmlformats-officedocument.customXmlProperties+xml"/>
  <Override PartName="/customXml/itemProps27.xml" ContentType="application/vnd.openxmlformats-officedocument.customXmlProperties+xml"/>
  <Override PartName="/customXml/itemProps29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https://mdhscrc-my.sharepoint.com/personal/ldiven_hscrc_maryland_gov/Documents/Website Redesign/Cameron edits/"/>
    </mc:Choice>
  </mc:AlternateContent>
  <xr:revisionPtr revIDLastSave="0" documentId="8_{806684D1-80D2-4865-AABC-C632A77DAE87}" xr6:coauthVersionLast="47" xr6:coauthVersionMax="47" xr10:uidLastSave="{00000000-0000-0000-0000-000000000000}"/>
  <bookViews>
    <workbookView xWindow="-9744" yWindow="-17388" windowWidth="30936" windowHeight="16776" tabRatio="754" firstSheet="12" activeTab="13"/>
  </bookViews>
  <sheets>
    <sheet name="Table of Contents" sheetId="13" r:id="rId1"/>
    <sheet name="Hospital Summary" sheetId="38" r:id="rId2"/>
    <sheet name="Rate Application - REM Cycle I" sheetId="14" r:id="rId3"/>
    <sheet name="Rate Application - REM Cycle II" sheetId="40" r:id="rId4"/>
    <sheet name="Rate Application - ICC Cycle I" sheetId="15" r:id="rId5"/>
    <sheet name="Rate Application - ICC Cycle II" sheetId="17" r:id="rId6"/>
    <sheet name="Rate Application - ICC Correlat" sheetId="63" r:id="rId7"/>
    <sheet name="Rate Application - ICC Summary" sheetId="51" r:id="rId8"/>
    <sheet name="FRA CPC Bell Curve" sheetId="82" r:id="rId9"/>
    <sheet name="FRA Bell Curve" sheetId="81" r:id="rId10"/>
    <sheet name="Integrated Effic - REM Cycle II" sheetId="41" r:id="rId11"/>
    <sheet name="Integrated Effic - REM Summary" sheetId="43" r:id="rId12"/>
    <sheet name="Integrated Effic - ICC Cycle I" sheetId="55" r:id="rId13"/>
    <sheet name="Integrated Effic - ICC Cycle II" sheetId="44" r:id="rId14"/>
    <sheet name="Integrated Effic Bell Curve" sheetId="50" r:id="rId15"/>
    <sheet name="Integrated Effic - ICC Summary" sheetId="45" r:id="rId16"/>
    <sheet name="Capital Methodol - REM Cycle II" sheetId="48" r:id="rId17"/>
    <sheet name="Capital Methodol - REM Summary" sheetId="49" r:id="rId18"/>
    <sheet name="Capital Methodol - ICC Cycle 2" sheetId="60" r:id="rId19"/>
    <sheet name="Capital Methodol - ICC Summary" sheetId="47" r:id="rId20"/>
    <sheet name="Drug Overhead" sheetId="20" r:id="rId21"/>
    <sheet name="LMA" sheetId="21" r:id="rId22"/>
    <sheet name="IME" sheetId="22" r:id="rId23"/>
    <sheet name="RESCMAD" sheetId="23" r:id="rId24"/>
    <sheet name="DSH (Cumulative)" sheetId="59" r:id="rId25"/>
    <sheet name="Rate Application - DSH" sheetId="61" r:id="rId26"/>
    <sheet name="Rate Appl - DSH 18,19,22" sheetId="66" r:id="rId27"/>
    <sheet name="DME22" sheetId="80" r:id="rId28"/>
    <sheet name="Prorated Residents" sheetId="24" r:id="rId29"/>
    <sheet name="PROFIT" sheetId="26" r:id="rId30"/>
    <sheet name="PROFIT (18,19,22)" sheetId="79" r:id="rId31"/>
    <sheet name="PAU Volume" sheetId="30" r:id="rId32"/>
    <sheet name="Variable Input" sheetId="31" r:id="rId33"/>
    <sheet name="Volume" sheetId="3" r:id="rId34"/>
    <sheet name="GBR Revenue for ICC" sheetId="32" r:id="rId35"/>
    <sheet name="GBR Case Mix Reconciliation" sheetId="33" r:id="rId36"/>
    <sheet name="Oncology Drugs &amp; COVID Lab" sheetId="34" r:id="rId37"/>
    <sheet name="Chronic" sheetId="35" r:id="rId38"/>
    <sheet name="Categorical Exclusions &amp; Innova" sheetId="36" r:id="rId39"/>
    <sheet name="vlookup" sheetId="37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18" hidden="1">'Capital Methodol - ICC Cycle 2'!$A$2:$AI$2</definedName>
    <definedName name="_xlnm._FilterDatabase" localSheetId="16" hidden="1">'Capital Methodol - REM Cycle II'!$A$2:$AG$54</definedName>
    <definedName name="_xlnm._FilterDatabase" localSheetId="37" hidden="1">Chronic!$A$1:$D$1</definedName>
    <definedName name="_xlnm._FilterDatabase" localSheetId="20" hidden="1">'Drug Overhead'!$A$4:$M$56</definedName>
    <definedName name="_xlnm._FilterDatabase" localSheetId="24" hidden="1">'DSH (Cumulative)'!$A$1:$AK$58</definedName>
    <definedName name="_xlnm._FilterDatabase" localSheetId="9" hidden="1">'FRA Bell Curve'!$A$1:$D$1</definedName>
    <definedName name="_xlnm._FilterDatabase" localSheetId="8" hidden="1">'FRA CPC Bell Curve'!$A$1:$D$1</definedName>
    <definedName name="_xlnm._FilterDatabase" localSheetId="35" hidden="1">'GBR Case Mix Reconciliation'!$A$2:$T$48</definedName>
    <definedName name="_xlnm._FilterDatabase" localSheetId="34" hidden="1">'GBR Revenue for ICC'!$A$1:$X$47</definedName>
    <definedName name="_xlnm._FilterDatabase" localSheetId="12" hidden="1">'Integrated Effic - ICC Cycle I'!$A$2:$AG$54</definedName>
    <definedName name="_xlnm._FilterDatabase" localSheetId="13" hidden="1">'Integrated Effic - ICC Cycle II'!$A$2:$AH$2</definedName>
    <definedName name="_xlnm._FilterDatabase" localSheetId="10" hidden="1">'Integrated Effic - REM Cycle II'!$A$2:$AG$54</definedName>
    <definedName name="_xlnm._FilterDatabase" localSheetId="14" hidden="1">'Integrated Effic Bell Curve'!$A$1:$D$1</definedName>
    <definedName name="_xlnm._FilterDatabase" localSheetId="21" hidden="1">LMA!$A$8:$R$54</definedName>
    <definedName name="_xlnm._FilterDatabase" localSheetId="31" hidden="1">'PAU Volume'!$A$4:$E$4</definedName>
    <definedName name="_xlnm._FilterDatabase" localSheetId="29" hidden="1">PROFIT!$A$2:$IT$50</definedName>
    <definedName name="_xlnm._FilterDatabase" localSheetId="30" hidden="1">'PROFIT (18,19,22)'!$2:$50</definedName>
    <definedName name="_xlnm._FilterDatabase" localSheetId="26" hidden="1">'Rate Appl - DSH 18,19,22'!$A$2:$AA$54</definedName>
    <definedName name="_xlnm._FilterDatabase" localSheetId="25" hidden="1">'Rate Application - DSH'!$A$2:$AA$54</definedName>
    <definedName name="_xlnm._FilterDatabase" localSheetId="6" hidden="1">'Rate Application - ICC Correlat'!$A$2:$BA$43</definedName>
    <definedName name="_xlnm._FilterDatabase" localSheetId="4" hidden="1">'Rate Application - ICC Cycle I'!$A$2:$AG$54</definedName>
    <definedName name="_xlnm._FilterDatabase" localSheetId="5" hidden="1">'Rate Application - ICC Cycle II'!$A$2:$AI$55</definedName>
    <definedName name="_xlnm._FilterDatabase" localSheetId="2" hidden="1">'Rate Application - REM Cycle I'!$A$2:$AE$54</definedName>
    <definedName name="_xlnm._FilterDatabase" localSheetId="3" hidden="1">'Rate Application - REM Cycle II'!$A$2:$AG$54</definedName>
    <definedName name="_xlnm._FilterDatabase" localSheetId="23" hidden="1">RESCMAD!$A$2:$IU$54</definedName>
    <definedName name="_xlnm._FilterDatabase" localSheetId="32" hidden="1">'Variable Input'!$A$2:$IC$54</definedName>
    <definedName name="_xlnm._FilterDatabase" localSheetId="39" hidden="1">vlookup!$A$1:$L$50</definedName>
    <definedName name="_xlnm.Print_Area" localSheetId="16">#REF!</definedName>
    <definedName name="_xlnm.Print_Area" localSheetId="12">#REF!</definedName>
    <definedName name="_xlnm.Print_Area" localSheetId="13">#REF!</definedName>
    <definedName name="_xlnm.Print_Area" localSheetId="10">#REF!</definedName>
    <definedName name="_xlnm.Print_Area" localSheetId="6">#REF!</definedName>
    <definedName name="_xlnm.Print_Area" localSheetId="7">#REF!</definedName>
    <definedName name="_xlnm.Print_Area" localSheetId="3">#REF!</definedName>
    <definedName name="_xlnm.Print_Area">#REF!</definedName>
  </definedNames>
  <calcPr calcId="191029" fullCalcOnLoad="1"/>
  <pivotCaches>
    <pivotCache cacheId="0" r:id="rId64"/>
    <pivotCache cacheId="1" r:id="rId65"/>
    <pivotCache cacheId="2" r:id="rId66"/>
    <pivotCache cacheId="3" r:id="rId67"/>
    <pivotCache cacheId="4" r:id="rId68"/>
    <pivotCache cacheId="5" r:id="rId69"/>
    <pivotCache cacheId="6" r:id="rId7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4" l="1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4" i="24"/>
  <c r="J3" i="32"/>
  <c r="J4" i="32"/>
  <c r="J5" i="32"/>
  <c r="J6" i="32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J44" i="32"/>
  <c r="J45" i="32"/>
  <c r="J46" i="32"/>
  <c r="J47" i="32"/>
  <c r="J48" i="32"/>
  <c r="J2" i="32"/>
  <c r="S3" i="32"/>
  <c r="S4" i="32"/>
  <c r="S5" i="32"/>
  <c r="S6" i="32"/>
  <c r="S7" i="32"/>
  <c r="S8" i="32"/>
  <c r="S9" i="32"/>
  <c r="R9" i="32"/>
  <c r="S10" i="32"/>
  <c r="S11" i="32"/>
  <c r="R11" i="32"/>
  <c r="S12" i="32"/>
  <c r="S13" i="32"/>
  <c r="S14" i="32"/>
  <c r="S15" i="32"/>
  <c r="S16" i="32"/>
  <c r="S17" i="32"/>
  <c r="S18" i="32"/>
  <c r="S19" i="32"/>
  <c r="S20" i="32"/>
  <c r="S21" i="32"/>
  <c r="S22" i="32"/>
  <c r="R22" i="32"/>
  <c r="S23" i="32"/>
  <c r="S24" i="32"/>
  <c r="S25" i="32"/>
  <c r="R25" i="32"/>
  <c r="S26" i="32"/>
  <c r="S27" i="32"/>
  <c r="R27" i="32"/>
  <c r="S28" i="32"/>
  <c r="S29" i="32"/>
  <c r="S30" i="32"/>
  <c r="S31" i="32"/>
  <c r="S32" i="32"/>
  <c r="S33" i="32"/>
  <c r="S34" i="32"/>
  <c r="S35" i="32"/>
  <c r="S36" i="32"/>
  <c r="S37" i="32"/>
  <c r="S38" i="32"/>
  <c r="R38" i="32"/>
  <c r="S39" i="32"/>
  <c r="S40" i="32"/>
  <c r="S41" i="32"/>
  <c r="R41" i="32"/>
  <c r="S42" i="32"/>
  <c r="S43" i="32"/>
  <c r="R43" i="32"/>
  <c r="S44" i="32"/>
  <c r="S45" i="32"/>
  <c r="S46" i="32"/>
  <c r="S47" i="32"/>
  <c r="S48" i="32"/>
  <c r="S2" i="32"/>
  <c r="P3" i="32"/>
  <c r="P4" i="32"/>
  <c r="P5" i="32"/>
  <c r="P6" i="32"/>
  <c r="P7" i="32"/>
  <c r="P8" i="32"/>
  <c r="P9" i="32"/>
  <c r="P10" i="32"/>
  <c r="R10" i="32"/>
  <c r="P11" i="32"/>
  <c r="P12" i="32"/>
  <c r="R12" i="32"/>
  <c r="P13" i="32"/>
  <c r="R13" i="32"/>
  <c r="P14" i="32"/>
  <c r="P15" i="32"/>
  <c r="P16" i="32"/>
  <c r="P17" i="32"/>
  <c r="P18" i="32"/>
  <c r="P19" i="32"/>
  <c r="P20" i="32"/>
  <c r="P21" i="32"/>
  <c r="P22" i="32"/>
  <c r="P23" i="32"/>
  <c r="R23" i="32"/>
  <c r="P24" i="32"/>
  <c r="P25" i="32"/>
  <c r="P26" i="32"/>
  <c r="R26" i="32"/>
  <c r="P27" i="32"/>
  <c r="P28" i="32"/>
  <c r="R28" i="32"/>
  <c r="P29" i="32"/>
  <c r="R29" i="32"/>
  <c r="P30" i="32"/>
  <c r="P31" i="32"/>
  <c r="P32" i="32"/>
  <c r="P33" i="32"/>
  <c r="P34" i="32"/>
  <c r="P35" i="32"/>
  <c r="P36" i="32"/>
  <c r="P37" i="32"/>
  <c r="P38" i="32"/>
  <c r="P39" i="32"/>
  <c r="P40" i="32"/>
  <c r="P41" i="32"/>
  <c r="P42" i="32"/>
  <c r="R42" i="32"/>
  <c r="P43" i="32"/>
  <c r="P44" i="32"/>
  <c r="R44" i="32"/>
  <c r="P45" i="32"/>
  <c r="R45" i="32"/>
  <c r="P46" i="32"/>
  <c r="R46" i="32"/>
  <c r="P47" i="32"/>
  <c r="P48" i="32"/>
  <c r="R48" i="32"/>
  <c r="E45" i="26"/>
  <c r="P2" i="32"/>
  <c r="R8" i="32"/>
  <c r="R15" i="32"/>
  <c r="R7" i="32"/>
  <c r="R34" i="32"/>
  <c r="R17" i="32"/>
  <c r="R31" i="32"/>
  <c r="R40" i="32"/>
  <c r="R6" i="32"/>
  <c r="R33" i="32"/>
  <c r="R16" i="32"/>
  <c r="R30" i="32"/>
  <c r="R39" i="32"/>
  <c r="R37" i="32"/>
  <c r="R21" i="32"/>
  <c r="R5" i="32"/>
  <c r="R2" i="32"/>
  <c r="R32" i="32"/>
  <c r="R14" i="32"/>
  <c r="R20" i="32"/>
  <c r="R4" i="32"/>
  <c r="R18" i="32"/>
  <c r="R47" i="32"/>
  <c r="R24" i="32"/>
  <c r="R36" i="32"/>
  <c r="R35" i="32"/>
  <c r="R19" i="32"/>
  <c r="R3" i="32"/>
  <c r="C26" i="80"/>
  <c r="Q50" i="32"/>
  <c r="AB2" i="59"/>
  <c r="G5" i="45"/>
  <c r="AZ61" i="3"/>
  <c r="C49" i="34"/>
  <c r="B49" i="34"/>
  <c r="BA52" i="3"/>
  <c r="BA54" i="3"/>
  <c r="BA55" i="3"/>
  <c r="BA56" i="3"/>
  <c r="BA57" i="3"/>
  <c r="BA58" i="3"/>
  <c r="BA59" i="3"/>
  <c r="BA60" i="3"/>
  <c r="AY61" i="3"/>
  <c r="AD2" i="59"/>
  <c r="D3" i="35"/>
  <c r="D4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5" i="35"/>
  <c r="D26" i="35"/>
  <c r="D27" i="35"/>
  <c r="D28" i="35"/>
  <c r="D29" i="35"/>
  <c r="D30" i="35"/>
  <c r="D32" i="35"/>
  <c r="D33" i="35"/>
  <c r="D34" i="35"/>
  <c r="D35" i="35"/>
  <c r="D36" i="35"/>
  <c r="D37" i="35"/>
  <c r="D38" i="35"/>
  <c r="D39" i="35"/>
  <c r="D41" i="35"/>
  <c r="D42" i="35"/>
  <c r="D44" i="35"/>
  <c r="D45" i="35"/>
  <c r="D46" i="35"/>
  <c r="D47" i="35"/>
  <c r="D48" i="35"/>
  <c r="D2" i="35"/>
  <c r="C3" i="35"/>
  <c r="C4" i="35"/>
  <c r="C5" i="35"/>
  <c r="C6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5" i="35"/>
  <c r="C26" i="35"/>
  <c r="C27" i="35"/>
  <c r="C28" i="35"/>
  <c r="C29" i="35"/>
  <c r="C30" i="35"/>
  <c r="C32" i="35"/>
  <c r="C33" i="35"/>
  <c r="C34" i="35"/>
  <c r="C35" i="35"/>
  <c r="C36" i="35"/>
  <c r="C37" i="35"/>
  <c r="C38" i="35"/>
  <c r="C39" i="35"/>
  <c r="C41" i="35"/>
  <c r="C42" i="35"/>
  <c r="C44" i="35"/>
  <c r="C45" i="35"/>
  <c r="C46" i="35"/>
  <c r="C47" i="35"/>
  <c r="C48" i="35"/>
  <c r="C2" i="35"/>
  <c r="E10" i="51"/>
  <c r="L4" i="33"/>
  <c r="L5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3" i="33"/>
  <c r="F12" i="33"/>
  <c r="F20" i="33"/>
  <c r="F28" i="33"/>
  <c r="F44" i="33"/>
  <c r="C5" i="33"/>
  <c r="C13" i="33"/>
  <c r="C29" i="33"/>
  <c r="C37" i="33"/>
  <c r="C45" i="33"/>
  <c r="G49" i="33"/>
  <c r="F49" i="33"/>
  <c r="G48" i="33"/>
  <c r="F48" i="33"/>
  <c r="C48" i="33"/>
  <c r="G47" i="33"/>
  <c r="F47" i="33"/>
  <c r="G46" i="33"/>
  <c r="F46" i="33"/>
  <c r="G45" i="33"/>
  <c r="F45" i="33"/>
  <c r="G44" i="33"/>
  <c r="G43" i="33"/>
  <c r="F43" i="33"/>
  <c r="G42" i="33"/>
  <c r="F42" i="33"/>
  <c r="G41" i="33"/>
  <c r="F41" i="33"/>
  <c r="G40" i="33"/>
  <c r="F40" i="33"/>
  <c r="C40" i="33"/>
  <c r="G39" i="33"/>
  <c r="F39" i="33"/>
  <c r="G38" i="33"/>
  <c r="F38" i="33"/>
  <c r="G37" i="33"/>
  <c r="F37" i="33"/>
  <c r="G36" i="33"/>
  <c r="F36" i="33"/>
  <c r="G35" i="33"/>
  <c r="F35" i="33"/>
  <c r="C35" i="33"/>
  <c r="G34" i="33"/>
  <c r="F34" i="33"/>
  <c r="G33" i="33"/>
  <c r="F33" i="33"/>
  <c r="G32" i="33"/>
  <c r="F32" i="33"/>
  <c r="C32" i="33"/>
  <c r="G31" i="33"/>
  <c r="F31" i="33"/>
  <c r="G30" i="33"/>
  <c r="F30" i="33"/>
  <c r="G29" i="33"/>
  <c r="F29" i="33"/>
  <c r="G28" i="33"/>
  <c r="C28" i="33"/>
  <c r="G27" i="33"/>
  <c r="F27" i="33"/>
  <c r="G26" i="33"/>
  <c r="F26" i="33"/>
  <c r="G25" i="33"/>
  <c r="F25" i="33"/>
  <c r="G24" i="33"/>
  <c r="F24" i="33"/>
  <c r="C24" i="33"/>
  <c r="G23" i="33"/>
  <c r="F23" i="33"/>
  <c r="G22" i="33"/>
  <c r="F22" i="33"/>
  <c r="G21" i="33"/>
  <c r="F21" i="33"/>
  <c r="G20" i="33"/>
  <c r="G19" i="33"/>
  <c r="F19" i="33"/>
  <c r="G18" i="33"/>
  <c r="F18" i="33"/>
  <c r="G17" i="33"/>
  <c r="F17" i="33"/>
  <c r="G16" i="33"/>
  <c r="F16" i="33"/>
  <c r="C16" i="33"/>
  <c r="G15" i="33"/>
  <c r="F15" i="33"/>
  <c r="G14" i="33"/>
  <c r="F14" i="33"/>
  <c r="G13" i="33"/>
  <c r="F13" i="33"/>
  <c r="G12" i="33"/>
  <c r="G11" i="33"/>
  <c r="F11" i="33"/>
  <c r="G10" i="33"/>
  <c r="F10" i="33"/>
  <c r="G9" i="33"/>
  <c r="F9" i="33"/>
  <c r="G8" i="33"/>
  <c r="F8" i="33"/>
  <c r="C8" i="33"/>
  <c r="G7" i="33"/>
  <c r="F7" i="33"/>
  <c r="G6" i="33"/>
  <c r="F6" i="33"/>
  <c r="G5" i="33"/>
  <c r="F5" i="33"/>
  <c r="G4" i="33"/>
  <c r="F4" i="33"/>
  <c r="G3" i="33"/>
  <c r="F3" i="33"/>
  <c r="C44" i="33"/>
  <c r="C36" i="33"/>
  <c r="C20" i="33"/>
  <c r="C12" i="33"/>
  <c r="C4" i="33"/>
  <c r="C43" i="33"/>
  <c r="C27" i="33"/>
  <c r="C11" i="33"/>
  <c r="C21" i="33"/>
  <c r="C42" i="33"/>
  <c r="C34" i="33"/>
  <c r="C26" i="33"/>
  <c r="C18" i="33"/>
  <c r="C10" i="33"/>
  <c r="C49" i="33"/>
  <c r="C41" i="33"/>
  <c r="C33" i="33"/>
  <c r="C25" i="33"/>
  <c r="C17" i="33"/>
  <c r="C9" i="33"/>
  <c r="C47" i="33"/>
  <c r="C39" i="33"/>
  <c r="C31" i="33"/>
  <c r="C23" i="33"/>
  <c r="C15" i="33"/>
  <c r="C7" i="33"/>
  <c r="C46" i="33"/>
  <c r="C38" i="33"/>
  <c r="C30" i="33"/>
  <c r="C22" i="33"/>
  <c r="C14" i="33"/>
  <c r="C6" i="33"/>
  <c r="C3" i="33"/>
  <c r="G13" i="45"/>
  <c r="J12" i="33"/>
  <c r="D12" i="33"/>
  <c r="Z6" i="3"/>
  <c r="D24" i="35"/>
  <c r="K56" i="20"/>
  <c r="K55" i="20"/>
  <c r="K54" i="20"/>
  <c r="K53" i="20"/>
  <c r="K52" i="20"/>
  <c r="L3" i="59"/>
  <c r="L4" i="59"/>
  <c r="L5" i="59"/>
  <c r="L6" i="59"/>
  <c r="L7" i="59"/>
  <c r="L8" i="59"/>
  <c r="L9" i="59"/>
  <c r="L10" i="59"/>
  <c r="L11" i="59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2" i="59"/>
  <c r="O50" i="32"/>
  <c r="G6" i="45"/>
  <c r="G7" i="45"/>
  <c r="G8" i="45"/>
  <c r="G9" i="45"/>
  <c r="G10" i="45"/>
  <c r="G11" i="45"/>
  <c r="G12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F6" i="45"/>
  <c r="F7" i="45"/>
  <c r="H42" i="45"/>
  <c r="I42" i="45"/>
  <c r="F8" i="45"/>
  <c r="F9" i="45"/>
  <c r="F10" i="45"/>
  <c r="H10" i="45"/>
  <c r="I10" i="45"/>
  <c r="F11" i="45"/>
  <c r="F12" i="45"/>
  <c r="F13" i="45"/>
  <c r="F14" i="45"/>
  <c r="H14" i="45"/>
  <c r="I14" i="45"/>
  <c r="F15" i="45"/>
  <c r="F16" i="45"/>
  <c r="F17" i="45"/>
  <c r="H17" i="45"/>
  <c r="I17" i="45"/>
  <c r="F18" i="45"/>
  <c r="F19" i="45"/>
  <c r="F20" i="45"/>
  <c r="H20" i="45"/>
  <c r="I20" i="45"/>
  <c r="F21" i="45"/>
  <c r="H21" i="45"/>
  <c r="I21" i="45"/>
  <c r="F22" i="45"/>
  <c r="F23" i="45"/>
  <c r="H23" i="45"/>
  <c r="I23" i="45"/>
  <c r="F24" i="45"/>
  <c r="H24" i="45"/>
  <c r="I24" i="45"/>
  <c r="F25" i="45"/>
  <c r="F26" i="45"/>
  <c r="H26" i="45"/>
  <c r="I26" i="45"/>
  <c r="F27" i="45"/>
  <c r="F28" i="45"/>
  <c r="F29" i="45"/>
  <c r="F30" i="45"/>
  <c r="H30" i="45"/>
  <c r="I30" i="45"/>
  <c r="F31" i="45"/>
  <c r="H31" i="45"/>
  <c r="I31" i="45"/>
  <c r="F32" i="45"/>
  <c r="F33" i="45"/>
  <c r="F34" i="45"/>
  <c r="F35" i="45"/>
  <c r="F36" i="45"/>
  <c r="F37" i="45"/>
  <c r="H37" i="45"/>
  <c r="I37" i="45"/>
  <c r="F38" i="45"/>
  <c r="F39" i="45"/>
  <c r="H39" i="45"/>
  <c r="I39" i="45"/>
  <c r="F40" i="45"/>
  <c r="H40" i="45"/>
  <c r="I40" i="45"/>
  <c r="F41" i="45"/>
  <c r="F42" i="45"/>
  <c r="F43" i="45"/>
  <c r="F44" i="45"/>
  <c r="F45" i="45"/>
  <c r="F46" i="45"/>
  <c r="F47" i="45"/>
  <c r="H47" i="45"/>
  <c r="I47" i="45"/>
  <c r="F5" i="45"/>
  <c r="H22" i="45"/>
  <c r="I22" i="45"/>
  <c r="AT7" i="30"/>
  <c r="AT8" i="30"/>
  <c r="AT9" i="30"/>
  <c r="AT10" i="30"/>
  <c r="AU10" i="30"/>
  <c r="AT11" i="30"/>
  <c r="AU11" i="30"/>
  <c r="AT12" i="30"/>
  <c r="AT13" i="30"/>
  <c r="AU13" i="30"/>
  <c r="AT14" i="30"/>
  <c r="AT15" i="30"/>
  <c r="AT16" i="30"/>
  <c r="AT17" i="30"/>
  <c r="AT18" i="30"/>
  <c r="AT19" i="30"/>
  <c r="AU19" i="30"/>
  <c r="AT20" i="30"/>
  <c r="AT21" i="30"/>
  <c r="AU21" i="30"/>
  <c r="AT22" i="30"/>
  <c r="AU22" i="30"/>
  <c r="AT23" i="30"/>
  <c r="AU23" i="30"/>
  <c r="AT24" i="30"/>
  <c r="AT25" i="30"/>
  <c r="AT26" i="30"/>
  <c r="AT27" i="30"/>
  <c r="AU27" i="30"/>
  <c r="AT28" i="30"/>
  <c r="AT29" i="30"/>
  <c r="AU29" i="30"/>
  <c r="AT30" i="30"/>
  <c r="AT31" i="30"/>
  <c r="AT32" i="30"/>
  <c r="AT33" i="30"/>
  <c r="AT34" i="30"/>
  <c r="AT35" i="30"/>
  <c r="AT36" i="30"/>
  <c r="AT37" i="30"/>
  <c r="AU37" i="30"/>
  <c r="AT38" i="30"/>
  <c r="AU38" i="30"/>
  <c r="AT39" i="30"/>
  <c r="AT40" i="30"/>
  <c r="AT41" i="30"/>
  <c r="AT42" i="30"/>
  <c r="AT43" i="30"/>
  <c r="AU43" i="30"/>
  <c r="AT44" i="30"/>
  <c r="AT45" i="30"/>
  <c r="AU45" i="30"/>
  <c r="AT46" i="30"/>
  <c r="AU46" i="30"/>
  <c r="AT47" i="30"/>
  <c r="AT48" i="30"/>
  <c r="AT49" i="30"/>
  <c r="AT50" i="30"/>
  <c r="AU50" i="30"/>
  <c r="AT51" i="30"/>
  <c r="AT52" i="30"/>
  <c r="AT6" i="30"/>
  <c r="AU6" i="30"/>
  <c r="AS7" i="30"/>
  <c r="AU7" i="30"/>
  <c r="AS8" i="30"/>
  <c r="AU8" i="30"/>
  <c r="AS9" i="30"/>
  <c r="AS10" i="30"/>
  <c r="AS11" i="30"/>
  <c r="AS12" i="30"/>
  <c r="AU12" i="30"/>
  <c r="AS13" i="30"/>
  <c r="AS14" i="30"/>
  <c r="AS15" i="30"/>
  <c r="AU15" i="30"/>
  <c r="AS16" i="30"/>
  <c r="AS17" i="30"/>
  <c r="AU17" i="30"/>
  <c r="AS18" i="30"/>
  <c r="AS19" i="30"/>
  <c r="AS20" i="30"/>
  <c r="AS21" i="30"/>
  <c r="AS22" i="30"/>
  <c r="AS23" i="30"/>
  <c r="AS24" i="30"/>
  <c r="AS25" i="30"/>
  <c r="AS26" i="30"/>
  <c r="AS27" i="30"/>
  <c r="AS28" i="30"/>
  <c r="AU28" i="30"/>
  <c r="AS29" i="30"/>
  <c r="AS30" i="30"/>
  <c r="AU30" i="30"/>
  <c r="AS31" i="30"/>
  <c r="AS32" i="30"/>
  <c r="AS33" i="30"/>
  <c r="AU33" i="30"/>
  <c r="AS34" i="30"/>
  <c r="AS35" i="30"/>
  <c r="AS36" i="30"/>
  <c r="AU36" i="30"/>
  <c r="AS37" i="30"/>
  <c r="AS38" i="30"/>
  <c r="AS39" i="30"/>
  <c r="AS40" i="30"/>
  <c r="AS41" i="30"/>
  <c r="AS42" i="30"/>
  <c r="AS43" i="30"/>
  <c r="AS44" i="30"/>
  <c r="AU44" i="30"/>
  <c r="AS45" i="30"/>
  <c r="AS46" i="30"/>
  <c r="AS47" i="30"/>
  <c r="AU47" i="30"/>
  <c r="AS48" i="30"/>
  <c r="AS49" i="30"/>
  <c r="AU49" i="30"/>
  <c r="AS50" i="30"/>
  <c r="AS51" i="30"/>
  <c r="AS52" i="30"/>
  <c r="AS6" i="30"/>
  <c r="K26" i="80"/>
  <c r="AU26" i="30"/>
  <c r="AU39" i="30"/>
  <c r="AU31" i="30"/>
  <c r="AU14" i="30"/>
  <c r="AU42" i="30"/>
  <c r="AU9" i="30"/>
  <c r="AU34" i="30"/>
  <c r="AU18" i="30"/>
  <c r="AU48" i="30"/>
  <c r="AU32" i="30"/>
  <c r="AU16" i="30"/>
  <c r="AU41" i="30"/>
  <c r="AU25" i="30"/>
  <c r="AU40" i="30"/>
  <c r="AU24" i="30"/>
  <c r="AU52" i="30"/>
  <c r="AU20" i="30"/>
  <c r="AU51" i="30"/>
  <c r="AU35" i="30"/>
  <c r="H41" i="45"/>
  <c r="I41" i="45"/>
  <c r="H9" i="45"/>
  <c r="I9" i="45"/>
  <c r="H7" i="45"/>
  <c r="I7" i="45"/>
  <c r="H38" i="45"/>
  <c r="I38" i="45"/>
  <c r="H6" i="45"/>
  <c r="I6" i="45"/>
  <c r="H36" i="45"/>
  <c r="I36" i="45"/>
  <c r="H11" i="45"/>
  <c r="I11" i="45"/>
  <c r="H33" i="45"/>
  <c r="I33" i="45"/>
  <c r="H15" i="45"/>
  <c r="I15" i="45"/>
  <c r="H46" i="45"/>
  <c r="I46" i="45"/>
  <c r="F49" i="45"/>
  <c r="F6" i="20"/>
  <c r="F7" i="20"/>
  <c r="F52" i="20"/>
  <c r="H52" i="20"/>
  <c r="J52" i="20"/>
  <c r="F8" i="20"/>
  <c r="F9" i="20"/>
  <c r="F10" i="20"/>
  <c r="F11" i="20"/>
  <c r="F53" i="20"/>
  <c r="F12" i="20"/>
  <c r="F13" i="20"/>
  <c r="F14" i="20"/>
  <c r="F15" i="20"/>
  <c r="F54" i="20"/>
  <c r="F16" i="20"/>
  <c r="F17" i="20"/>
  <c r="F18" i="20"/>
  <c r="F19" i="20"/>
  <c r="F20" i="20"/>
  <c r="F21" i="20"/>
  <c r="F22" i="20"/>
  <c r="F23" i="20"/>
  <c r="F24" i="20"/>
  <c r="F55" i="20"/>
  <c r="F25" i="20"/>
  <c r="F26" i="20"/>
  <c r="F27" i="20"/>
  <c r="F56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" i="20"/>
  <c r="E6" i="20"/>
  <c r="E7" i="20"/>
  <c r="E52" i="20"/>
  <c r="E8" i="20"/>
  <c r="E9" i="20"/>
  <c r="E10" i="20"/>
  <c r="E11" i="20"/>
  <c r="E53" i="20"/>
  <c r="E12" i="20"/>
  <c r="E13" i="20"/>
  <c r="E14" i="20"/>
  <c r="E15" i="20"/>
  <c r="E54" i="20"/>
  <c r="E16" i="20"/>
  <c r="E17" i="20"/>
  <c r="E18" i="20"/>
  <c r="E19" i="20"/>
  <c r="E20" i="20"/>
  <c r="E21" i="20"/>
  <c r="E22" i="20"/>
  <c r="E23" i="20"/>
  <c r="E24" i="20"/>
  <c r="E55" i="20"/>
  <c r="E25" i="20"/>
  <c r="E26" i="20"/>
  <c r="E27" i="20"/>
  <c r="E56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" i="20"/>
  <c r="D6" i="20"/>
  <c r="D7" i="20"/>
  <c r="D52" i="20"/>
  <c r="D8" i="20"/>
  <c r="D9" i="20"/>
  <c r="D10" i="20"/>
  <c r="D11" i="20"/>
  <c r="D53" i="20"/>
  <c r="H53" i="20"/>
  <c r="D12" i="20"/>
  <c r="D13" i="20"/>
  <c r="D14" i="20"/>
  <c r="D15" i="20"/>
  <c r="D54" i="20"/>
  <c r="D16" i="20"/>
  <c r="D17" i="20"/>
  <c r="D18" i="20"/>
  <c r="D19" i="20"/>
  <c r="D20" i="20"/>
  <c r="D21" i="20"/>
  <c r="D22" i="20"/>
  <c r="D23" i="20"/>
  <c r="D24" i="20"/>
  <c r="D55" i="20"/>
  <c r="D25" i="20"/>
  <c r="D26" i="20"/>
  <c r="D27" i="20"/>
  <c r="D56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" i="20"/>
  <c r="C6" i="20"/>
  <c r="C7" i="20"/>
  <c r="C52" i="20"/>
  <c r="G52" i="20"/>
  <c r="C8" i="20"/>
  <c r="C9" i="20"/>
  <c r="C10" i="20"/>
  <c r="C11" i="20"/>
  <c r="C53" i="20"/>
  <c r="G53" i="20"/>
  <c r="C12" i="20"/>
  <c r="C13" i="20"/>
  <c r="C14" i="20"/>
  <c r="C15" i="20"/>
  <c r="C54" i="20"/>
  <c r="G54" i="20"/>
  <c r="C16" i="20"/>
  <c r="C17" i="20"/>
  <c r="C18" i="20"/>
  <c r="C19" i="20"/>
  <c r="C20" i="20"/>
  <c r="C21" i="20"/>
  <c r="C22" i="20"/>
  <c r="C23" i="20"/>
  <c r="C24" i="20"/>
  <c r="C55" i="20"/>
  <c r="C25" i="20"/>
  <c r="C26" i="20"/>
  <c r="C27" i="20"/>
  <c r="C56" i="20"/>
  <c r="G56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" i="20"/>
  <c r="G5" i="20"/>
  <c r="J5" i="20"/>
  <c r="H5" i="20"/>
  <c r="H55" i="20"/>
  <c r="H54" i="20"/>
  <c r="N23" i="31"/>
  <c r="N24" i="31"/>
  <c r="N26" i="31"/>
  <c r="N27" i="31"/>
  <c r="N28" i="31"/>
  <c r="N30" i="31"/>
  <c r="N31" i="31"/>
  <c r="N33" i="31"/>
  <c r="N34" i="31"/>
  <c r="N37" i="31"/>
  <c r="N38" i="31"/>
  <c r="N39" i="31"/>
  <c r="N40" i="31"/>
  <c r="N41" i="31"/>
  <c r="N43" i="31"/>
  <c r="N45" i="31"/>
  <c r="N46" i="31"/>
  <c r="N47" i="31"/>
  <c r="N48" i="31"/>
  <c r="N49" i="31"/>
  <c r="N7" i="31"/>
  <c r="N8" i="31"/>
  <c r="N11" i="31"/>
  <c r="N14" i="31"/>
  <c r="N16" i="31"/>
  <c r="N17" i="31"/>
  <c r="N18" i="31"/>
  <c r="P50" i="32"/>
  <c r="N19" i="31"/>
  <c r="G23" i="80"/>
  <c r="I23" i="80"/>
  <c r="F23" i="80"/>
  <c r="G22" i="80"/>
  <c r="H22" i="80"/>
  <c r="F22" i="80"/>
  <c r="G21" i="80"/>
  <c r="K21" i="80"/>
  <c r="F21" i="80"/>
  <c r="G20" i="80"/>
  <c r="K20" i="80"/>
  <c r="F20" i="80"/>
  <c r="G19" i="80"/>
  <c r="I19" i="80"/>
  <c r="F19" i="80"/>
  <c r="G18" i="80"/>
  <c r="K18" i="80"/>
  <c r="F18" i="80"/>
  <c r="G17" i="80"/>
  <c r="I17" i="80"/>
  <c r="F17" i="80"/>
  <c r="G16" i="80"/>
  <c r="F16" i="80"/>
  <c r="G15" i="80"/>
  <c r="K15" i="80"/>
  <c r="F15" i="80"/>
  <c r="G14" i="80"/>
  <c r="H14" i="80"/>
  <c r="F14" i="80"/>
  <c r="G13" i="80"/>
  <c r="H13" i="80"/>
  <c r="F13" i="80"/>
  <c r="G12" i="80"/>
  <c r="K12" i="80"/>
  <c r="F12" i="80"/>
  <c r="G11" i="80"/>
  <c r="H11" i="80"/>
  <c r="F11" i="80"/>
  <c r="G10" i="80"/>
  <c r="F10" i="80"/>
  <c r="G9" i="80"/>
  <c r="I9" i="80"/>
  <c r="F9" i="80"/>
  <c r="G8" i="80"/>
  <c r="I8" i="80"/>
  <c r="F8" i="80"/>
  <c r="G7" i="80"/>
  <c r="H7" i="80"/>
  <c r="F7" i="80"/>
  <c r="F6" i="80"/>
  <c r="F24" i="80"/>
  <c r="G5" i="80"/>
  <c r="H5" i="80"/>
  <c r="F5" i="80"/>
  <c r="E6" i="51"/>
  <c r="E7" i="51"/>
  <c r="E8" i="51"/>
  <c r="E9" i="51"/>
  <c r="E11" i="51"/>
  <c r="E12" i="51"/>
  <c r="E13" i="51"/>
  <c r="E14" i="51"/>
  <c r="E15" i="51"/>
  <c r="E5" i="51"/>
  <c r="S47" i="31"/>
  <c r="S48" i="31"/>
  <c r="S49" i="31"/>
  <c r="S46" i="31"/>
  <c r="S4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24" i="31"/>
  <c r="S18" i="31"/>
  <c r="S19" i="31"/>
  <c r="S20" i="31"/>
  <c r="S21" i="31"/>
  <c r="S22" i="31"/>
  <c r="S17" i="31"/>
  <c r="S4" i="31"/>
  <c r="S5" i="31"/>
  <c r="S6" i="31"/>
  <c r="S7" i="31"/>
  <c r="S8" i="31"/>
  <c r="S9" i="31"/>
  <c r="S10" i="31"/>
  <c r="S11" i="31"/>
  <c r="S12" i="31"/>
  <c r="S13" i="31"/>
  <c r="S14" i="31"/>
  <c r="S15" i="31"/>
  <c r="S3" i="31"/>
  <c r="R3" i="31"/>
  <c r="R47" i="31"/>
  <c r="R48" i="31"/>
  <c r="R49" i="31"/>
  <c r="F45" i="26"/>
  <c r="R46" i="31"/>
  <c r="R44" i="31"/>
  <c r="R37" i="31"/>
  <c r="R38" i="31"/>
  <c r="R39" i="31"/>
  <c r="R40" i="31"/>
  <c r="R41" i="31"/>
  <c r="R42" i="31"/>
  <c r="R33" i="31"/>
  <c r="R34" i="31"/>
  <c r="R35" i="31"/>
  <c r="R36" i="31"/>
  <c r="R30" i="31"/>
  <c r="R31" i="31"/>
  <c r="R32" i="31"/>
  <c r="R27" i="31"/>
  <c r="R28" i="31"/>
  <c r="R29" i="31"/>
  <c r="R25" i="31"/>
  <c r="R26" i="31"/>
  <c r="R24" i="31"/>
  <c r="R21" i="31"/>
  <c r="R22" i="31"/>
  <c r="R18" i="31"/>
  <c r="R19" i="31"/>
  <c r="R20" i="31"/>
  <c r="R17" i="31"/>
  <c r="R10" i="31"/>
  <c r="R11" i="31"/>
  <c r="R12" i="31"/>
  <c r="R13" i="31"/>
  <c r="R14" i="31"/>
  <c r="R15" i="31"/>
  <c r="R7" i="31"/>
  <c r="R8" i="31"/>
  <c r="R9" i="31"/>
  <c r="R6" i="31"/>
  <c r="R5" i="31"/>
  <c r="R4" i="31"/>
  <c r="AM7" i="3"/>
  <c r="AM6" i="3"/>
  <c r="AL7" i="3"/>
  <c r="AL6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I9" i="3"/>
  <c r="AI8" i="3"/>
  <c r="AI7" i="3"/>
  <c r="AI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" i="3"/>
  <c r="AE7" i="3"/>
  <c r="AE8" i="3"/>
  <c r="AE6" i="3"/>
  <c r="AD7" i="3"/>
  <c r="AD8" i="3"/>
  <c r="AD6" i="3"/>
  <c r="AA7" i="3"/>
  <c r="C31" i="35"/>
  <c r="AA8" i="3"/>
  <c r="C40" i="35"/>
  <c r="AA9" i="3"/>
  <c r="C43" i="35"/>
  <c r="AA6" i="3"/>
  <c r="C24" i="35"/>
  <c r="Z7" i="3"/>
  <c r="D31" i="35"/>
  <c r="Z8" i="3"/>
  <c r="D40" i="35"/>
  <c r="Z9" i="3"/>
  <c r="D43" i="35"/>
  <c r="V7" i="3"/>
  <c r="C3" i="34"/>
  <c r="W7" i="3"/>
  <c r="B3" i="34"/>
  <c r="V8" i="3"/>
  <c r="C4" i="34"/>
  <c r="W8" i="3"/>
  <c r="B4" i="34"/>
  <c r="V9" i="3"/>
  <c r="C5" i="34"/>
  <c r="W9" i="3"/>
  <c r="V10" i="3"/>
  <c r="C6" i="34"/>
  <c r="W10" i="3"/>
  <c r="B6" i="34"/>
  <c r="V11" i="3"/>
  <c r="C7" i="34"/>
  <c r="W11" i="3"/>
  <c r="B7" i="34"/>
  <c r="V12" i="3"/>
  <c r="C8" i="34"/>
  <c r="W12" i="3"/>
  <c r="B8" i="34"/>
  <c r="V13" i="3"/>
  <c r="C9" i="34"/>
  <c r="W13" i="3"/>
  <c r="B9" i="34"/>
  <c r="V14" i="3"/>
  <c r="C10" i="34"/>
  <c r="W14" i="3"/>
  <c r="B10" i="34"/>
  <c r="V15" i="3"/>
  <c r="C11" i="34"/>
  <c r="W15" i="3"/>
  <c r="B11" i="34"/>
  <c r="V16" i="3"/>
  <c r="C12" i="34"/>
  <c r="W16" i="3"/>
  <c r="B12" i="34"/>
  <c r="V17" i="3"/>
  <c r="C13" i="34"/>
  <c r="W17" i="3"/>
  <c r="B13" i="34"/>
  <c r="V18" i="3"/>
  <c r="C14" i="34"/>
  <c r="W18" i="3"/>
  <c r="B14" i="34"/>
  <c r="V19" i="3"/>
  <c r="C15" i="34"/>
  <c r="W19" i="3"/>
  <c r="B15" i="34"/>
  <c r="V20" i="3"/>
  <c r="C16" i="34"/>
  <c r="W20" i="3"/>
  <c r="B16" i="34"/>
  <c r="V21" i="3"/>
  <c r="C17" i="34"/>
  <c r="W21" i="3"/>
  <c r="B17" i="34"/>
  <c r="V22" i="3"/>
  <c r="C18" i="34"/>
  <c r="W22" i="3"/>
  <c r="B18" i="34"/>
  <c r="V23" i="3"/>
  <c r="C19" i="34"/>
  <c r="W23" i="3"/>
  <c r="B19" i="34"/>
  <c r="V24" i="3"/>
  <c r="C20" i="34"/>
  <c r="W24" i="3"/>
  <c r="B20" i="34"/>
  <c r="V25" i="3"/>
  <c r="C21" i="34"/>
  <c r="W25" i="3"/>
  <c r="B21" i="34"/>
  <c r="V26" i="3"/>
  <c r="C22" i="34"/>
  <c r="W26" i="3"/>
  <c r="B22" i="34"/>
  <c r="V27" i="3"/>
  <c r="C23" i="34"/>
  <c r="W27" i="3"/>
  <c r="B23" i="34"/>
  <c r="V28" i="3"/>
  <c r="C24" i="34"/>
  <c r="W28" i="3"/>
  <c r="B24" i="34"/>
  <c r="V29" i="3"/>
  <c r="C25" i="34"/>
  <c r="W29" i="3"/>
  <c r="B25" i="34"/>
  <c r="V30" i="3"/>
  <c r="C26" i="34"/>
  <c r="W30" i="3"/>
  <c r="B26" i="34"/>
  <c r="V31" i="3"/>
  <c r="C27" i="34"/>
  <c r="W31" i="3"/>
  <c r="B27" i="34"/>
  <c r="V32" i="3"/>
  <c r="C28" i="34"/>
  <c r="W32" i="3"/>
  <c r="B28" i="34"/>
  <c r="V33" i="3"/>
  <c r="C29" i="34"/>
  <c r="W33" i="3"/>
  <c r="B29" i="34"/>
  <c r="V34" i="3"/>
  <c r="C30" i="34"/>
  <c r="W34" i="3"/>
  <c r="B30" i="34"/>
  <c r="V35" i="3"/>
  <c r="C31" i="34"/>
  <c r="W35" i="3"/>
  <c r="B31" i="34"/>
  <c r="V36" i="3"/>
  <c r="C32" i="34"/>
  <c r="W36" i="3"/>
  <c r="B32" i="34"/>
  <c r="V37" i="3"/>
  <c r="C33" i="34"/>
  <c r="W37" i="3"/>
  <c r="B33" i="34"/>
  <c r="V38" i="3"/>
  <c r="C34" i="34"/>
  <c r="W38" i="3"/>
  <c r="B34" i="34"/>
  <c r="V39" i="3"/>
  <c r="C35" i="34"/>
  <c r="W39" i="3"/>
  <c r="B35" i="34"/>
  <c r="V40" i="3"/>
  <c r="C36" i="34"/>
  <c r="W40" i="3"/>
  <c r="B36" i="34"/>
  <c r="V41" i="3"/>
  <c r="C37" i="34"/>
  <c r="W41" i="3"/>
  <c r="B37" i="34"/>
  <c r="V42" i="3"/>
  <c r="C38" i="34"/>
  <c r="W42" i="3"/>
  <c r="B38" i="34"/>
  <c r="V43" i="3"/>
  <c r="C39" i="34"/>
  <c r="W43" i="3"/>
  <c r="B39" i="34"/>
  <c r="V44" i="3"/>
  <c r="C40" i="34"/>
  <c r="W44" i="3"/>
  <c r="B40" i="34"/>
  <c r="V45" i="3"/>
  <c r="C41" i="34"/>
  <c r="W45" i="3"/>
  <c r="B41" i="34"/>
  <c r="V46" i="3"/>
  <c r="C42" i="34"/>
  <c r="W46" i="3"/>
  <c r="B42" i="34"/>
  <c r="V47" i="3"/>
  <c r="C43" i="34"/>
  <c r="W47" i="3"/>
  <c r="B43" i="34"/>
  <c r="V48" i="3"/>
  <c r="C44" i="34"/>
  <c r="W48" i="3"/>
  <c r="B44" i="34"/>
  <c r="V49" i="3"/>
  <c r="C45" i="34"/>
  <c r="W49" i="3"/>
  <c r="B45" i="34"/>
  <c r="V50" i="3"/>
  <c r="C46" i="34"/>
  <c r="W50" i="3"/>
  <c r="B46" i="34"/>
  <c r="V51" i="3"/>
  <c r="C47" i="34"/>
  <c r="W51" i="3"/>
  <c r="B47" i="34"/>
  <c r="V52" i="3"/>
  <c r="C48" i="34"/>
  <c r="W52" i="3"/>
  <c r="B48" i="34"/>
  <c r="W6" i="3"/>
  <c r="B2" i="34"/>
  <c r="V6" i="3"/>
  <c r="C2" i="34"/>
  <c r="H9" i="3"/>
  <c r="BA7" i="3"/>
  <c r="H10" i="3"/>
  <c r="H11" i="3"/>
  <c r="H12" i="3"/>
  <c r="H13" i="3"/>
  <c r="H14" i="3"/>
  <c r="H15" i="3"/>
  <c r="H16" i="3"/>
  <c r="BA14" i="3"/>
  <c r="H17" i="3"/>
  <c r="H18" i="3"/>
  <c r="BA16" i="3"/>
  <c r="H19" i="3"/>
  <c r="H20" i="3"/>
  <c r="H21" i="3"/>
  <c r="H22" i="3"/>
  <c r="BA20" i="3"/>
  <c r="H23" i="3"/>
  <c r="H24" i="3"/>
  <c r="BA22" i="3"/>
  <c r="H25" i="3"/>
  <c r="BA23" i="3"/>
  <c r="H26" i="3"/>
  <c r="H27" i="3"/>
  <c r="BA25" i="3"/>
  <c r="H28" i="3"/>
  <c r="H29" i="3"/>
  <c r="H30" i="3"/>
  <c r="H31" i="3"/>
  <c r="H32" i="3"/>
  <c r="H33" i="3"/>
  <c r="BA31" i="3"/>
  <c r="H34" i="3"/>
  <c r="H35" i="3"/>
  <c r="BA33" i="3"/>
  <c r="H36" i="3"/>
  <c r="H37" i="3"/>
  <c r="BA35" i="3"/>
  <c r="H38" i="3"/>
  <c r="H39" i="3"/>
  <c r="BA37" i="3"/>
  <c r="H40" i="3"/>
  <c r="BA38" i="3"/>
  <c r="H41" i="3"/>
  <c r="BA39" i="3"/>
  <c r="H42" i="3"/>
  <c r="H43" i="3"/>
  <c r="H44" i="3"/>
  <c r="H45" i="3"/>
  <c r="H46" i="3"/>
  <c r="H47" i="3"/>
  <c r="H48" i="3"/>
  <c r="BA46" i="3"/>
  <c r="H49" i="3"/>
  <c r="H50" i="3"/>
  <c r="BA48" i="3"/>
  <c r="H51" i="3"/>
  <c r="H52" i="3"/>
  <c r="BA50" i="3"/>
  <c r="H53" i="3"/>
  <c r="H54" i="3"/>
  <c r="BA53" i="3"/>
  <c r="H8" i="3"/>
  <c r="G9" i="3"/>
  <c r="G4" i="31"/>
  <c r="G10" i="3"/>
  <c r="G5" i="31"/>
  <c r="G11" i="3"/>
  <c r="G6" i="31"/>
  <c r="G12" i="3"/>
  <c r="G7" i="31"/>
  <c r="G13" i="3"/>
  <c r="G8" i="31"/>
  <c r="G14" i="3"/>
  <c r="G9" i="31"/>
  <c r="G15" i="3"/>
  <c r="G16" i="3"/>
  <c r="G11" i="31"/>
  <c r="G17" i="3"/>
  <c r="G12" i="31"/>
  <c r="G18" i="3"/>
  <c r="G13" i="31"/>
  <c r="G19" i="3"/>
  <c r="G14" i="31"/>
  <c r="G20" i="3"/>
  <c r="G15" i="31"/>
  <c r="G21" i="3"/>
  <c r="G16" i="31"/>
  <c r="G22" i="3"/>
  <c r="G17" i="31"/>
  <c r="G23" i="3"/>
  <c r="G24" i="3"/>
  <c r="G19" i="31"/>
  <c r="G25" i="3"/>
  <c r="G20" i="31"/>
  <c r="G26" i="3"/>
  <c r="BA24" i="3"/>
  <c r="G27" i="3"/>
  <c r="G22" i="31"/>
  <c r="G28" i="3"/>
  <c r="BA26" i="3"/>
  <c r="G29" i="3"/>
  <c r="G24" i="31"/>
  <c r="G30" i="3"/>
  <c r="G25" i="31"/>
  <c r="G54" i="31"/>
  <c r="G31" i="3"/>
  <c r="G26" i="31"/>
  <c r="G32" i="3"/>
  <c r="G27" i="31"/>
  <c r="G33" i="3"/>
  <c r="G28" i="31"/>
  <c r="G34" i="3"/>
  <c r="G29" i="31"/>
  <c r="G35" i="3"/>
  <c r="G30" i="31"/>
  <c r="G36" i="3"/>
  <c r="G31" i="31"/>
  <c r="G37" i="3"/>
  <c r="G32" i="31"/>
  <c r="G38" i="3"/>
  <c r="G33" i="31"/>
  <c r="G39" i="3"/>
  <c r="G34" i="31"/>
  <c r="G40" i="3"/>
  <c r="G35" i="31"/>
  <c r="G41" i="3"/>
  <c r="G36" i="31"/>
  <c r="G42" i="3"/>
  <c r="G37" i="31"/>
  <c r="G43" i="3"/>
  <c r="G38" i="31"/>
  <c r="G44" i="3"/>
  <c r="G39" i="31"/>
  <c r="G45" i="3"/>
  <c r="G40" i="31"/>
  <c r="G46" i="3"/>
  <c r="G41" i="31"/>
  <c r="G47" i="3"/>
  <c r="G42" i="31"/>
  <c r="G48" i="3"/>
  <c r="G43" i="31"/>
  <c r="G49" i="3"/>
  <c r="G44" i="31"/>
  <c r="G50" i="3"/>
  <c r="G45" i="31"/>
  <c r="G51" i="3"/>
  <c r="G46" i="31"/>
  <c r="G52" i="3"/>
  <c r="G47" i="31"/>
  <c r="G53" i="3"/>
  <c r="G48" i="31"/>
  <c r="G54" i="3"/>
  <c r="G49" i="31"/>
  <c r="G8" i="3"/>
  <c r="G3" i="31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8" i="3"/>
  <c r="P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O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O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8" i="3"/>
  <c r="C9" i="3"/>
  <c r="N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8" i="3"/>
  <c r="B24" i="79"/>
  <c r="A24" i="79"/>
  <c r="B50" i="79"/>
  <c r="A50" i="79"/>
  <c r="C50" i="79"/>
  <c r="B23" i="79"/>
  <c r="A23" i="79"/>
  <c r="B4" i="79"/>
  <c r="A4" i="79"/>
  <c r="C4" i="79"/>
  <c r="B35" i="79"/>
  <c r="A35" i="79"/>
  <c r="D35" i="79"/>
  <c r="B27" i="79"/>
  <c r="A27" i="79"/>
  <c r="C27" i="79"/>
  <c r="B30" i="79"/>
  <c r="A30" i="79"/>
  <c r="C30" i="79"/>
  <c r="B10" i="79"/>
  <c r="A10" i="79"/>
  <c r="D10" i="79"/>
  <c r="B37" i="79"/>
  <c r="A37" i="79"/>
  <c r="B38" i="79"/>
  <c r="A38" i="79"/>
  <c r="D38" i="79"/>
  <c r="D45" i="79"/>
  <c r="C45" i="79"/>
  <c r="B25" i="79"/>
  <c r="A25" i="79"/>
  <c r="C25" i="79"/>
  <c r="B49" i="79"/>
  <c r="A49" i="79"/>
  <c r="C49" i="79"/>
  <c r="B20" i="79"/>
  <c r="A20" i="79"/>
  <c r="D20" i="79"/>
  <c r="B16" i="79"/>
  <c r="A16" i="79"/>
  <c r="C16" i="79"/>
  <c r="B18" i="79"/>
  <c r="A18" i="79"/>
  <c r="C18" i="79"/>
  <c r="B14" i="79"/>
  <c r="A14" i="79"/>
  <c r="B41" i="79"/>
  <c r="A41" i="79"/>
  <c r="D41" i="79"/>
  <c r="B43" i="79"/>
  <c r="A43" i="79"/>
  <c r="B13" i="79"/>
  <c r="A13" i="79"/>
  <c r="C13" i="79"/>
  <c r="B47" i="79"/>
  <c r="A47" i="79"/>
  <c r="D47" i="79"/>
  <c r="B9" i="79"/>
  <c r="A9" i="79"/>
  <c r="D9" i="79"/>
  <c r="B31" i="79"/>
  <c r="A31" i="79"/>
  <c r="C31" i="79"/>
  <c r="B8" i="79"/>
  <c r="A8" i="79"/>
  <c r="C8" i="79"/>
  <c r="B40" i="79"/>
  <c r="A40" i="79"/>
  <c r="D40" i="79"/>
  <c r="B33" i="79"/>
  <c r="A33" i="79"/>
  <c r="C33" i="79"/>
  <c r="B32" i="79"/>
  <c r="A32" i="79"/>
  <c r="B46" i="79"/>
  <c r="A46" i="79"/>
  <c r="B5" i="79"/>
  <c r="A5" i="79"/>
  <c r="D5" i="79"/>
  <c r="B39" i="79"/>
  <c r="A39" i="79"/>
  <c r="C39" i="79"/>
  <c r="B26" i="79"/>
  <c r="A26" i="79"/>
  <c r="C26" i="79"/>
  <c r="B48" i="79"/>
  <c r="A48" i="79"/>
  <c r="C48" i="79"/>
  <c r="B12" i="79"/>
  <c r="A12" i="79"/>
  <c r="B19" i="79"/>
  <c r="A19" i="79"/>
  <c r="D19" i="79"/>
  <c r="B6" i="79"/>
  <c r="A6" i="79"/>
  <c r="B34" i="79"/>
  <c r="A34" i="79"/>
  <c r="D34" i="79"/>
  <c r="B7" i="79"/>
  <c r="A7" i="79"/>
  <c r="D7" i="79"/>
  <c r="B28" i="79"/>
  <c r="A28" i="79"/>
  <c r="B15" i="79"/>
  <c r="A15" i="79"/>
  <c r="D15" i="79"/>
  <c r="B44" i="79"/>
  <c r="A44" i="79"/>
  <c r="D44" i="79"/>
  <c r="B36" i="79"/>
  <c r="A36" i="79"/>
  <c r="B22" i="79"/>
  <c r="A22" i="79"/>
  <c r="C22" i="79"/>
  <c r="B17" i="79"/>
  <c r="A17" i="79"/>
  <c r="B11" i="79"/>
  <c r="A11" i="79"/>
  <c r="B3" i="79"/>
  <c r="A3" i="79"/>
  <c r="D3" i="79"/>
  <c r="B42" i="79"/>
  <c r="A42" i="79"/>
  <c r="C42" i="79"/>
  <c r="B21" i="79"/>
  <c r="A21" i="79"/>
  <c r="C21" i="79"/>
  <c r="B29" i="79"/>
  <c r="A29" i="79"/>
  <c r="C29" i="79"/>
  <c r="BA34" i="3"/>
  <c r="BA18" i="3"/>
  <c r="BA51" i="3"/>
  <c r="BA41" i="3"/>
  <c r="BA9" i="3"/>
  <c r="BA45" i="3"/>
  <c r="BA29" i="3"/>
  <c r="BA40" i="3"/>
  <c r="BA8" i="3"/>
  <c r="BA44" i="3"/>
  <c r="BA43" i="3"/>
  <c r="BA6" i="3"/>
  <c r="BA36" i="3"/>
  <c r="BA49" i="3"/>
  <c r="BA17" i="3"/>
  <c r="BA32" i="3"/>
  <c r="BA47" i="3"/>
  <c r="BA15" i="3"/>
  <c r="BA30" i="3"/>
  <c r="BA42" i="3"/>
  <c r="BA10" i="3"/>
  <c r="C46" i="79"/>
  <c r="C11" i="79"/>
  <c r="D33" i="79"/>
  <c r="C6" i="79"/>
  <c r="C32" i="79"/>
  <c r="D32" i="79"/>
  <c r="D26" i="79"/>
  <c r="C43" i="79"/>
  <c r="C17" i="79"/>
  <c r="D17" i="79"/>
  <c r="C35" i="79"/>
  <c r="D13" i="79"/>
  <c r="D21" i="79"/>
  <c r="D11" i="79"/>
  <c r="D28" i="79"/>
  <c r="C5" i="79"/>
  <c r="C23" i="79"/>
  <c r="D23" i="79"/>
  <c r="D43" i="79"/>
  <c r="D46" i="79"/>
  <c r="C28" i="79"/>
  <c r="C20" i="79"/>
  <c r="C44" i="79"/>
  <c r="C7" i="79"/>
  <c r="D29" i="79"/>
  <c r="D6" i="79"/>
  <c r="C3" i="79"/>
  <c r="D31" i="79"/>
  <c r="F5" i="59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3" i="59"/>
  <c r="F4" i="59"/>
  <c r="F2" i="59"/>
  <c r="O42" i="31"/>
  <c r="O43" i="31"/>
  <c r="O44" i="31"/>
  <c r="O45" i="31"/>
  <c r="O46" i="31"/>
  <c r="O47" i="31"/>
  <c r="O48" i="31"/>
  <c r="O49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8" i="31"/>
  <c r="O9" i="31"/>
  <c r="O10" i="31"/>
  <c r="O11" i="31"/>
  <c r="O5" i="31"/>
  <c r="O6" i="31"/>
  <c r="O7" i="31"/>
  <c r="O4" i="31"/>
  <c r="O3" i="31"/>
  <c r="H4" i="31"/>
  <c r="H5" i="31"/>
  <c r="I5" i="66"/>
  <c r="I50" i="66"/>
  <c r="H6" i="31"/>
  <c r="H7" i="31"/>
  <c r="H8" i="31"/>
  <c r="I8" i="66"/>
  <c r="H9" i="31"/>
  <c r="I9" i="66"/>
  <c r="I51" i="66"/>
  <c r="H10" i="31"/>
  <c r="H11" i="31"/>
  <c r="H12" i="31"/>
  <c r="H13" i="31"/>
  <c r="H14" i="31"/>
  <c r="I14" i="66"/>
  <c r="H15" i="31"/>
  <c r="H16" i="31"/>
  <c r="I16" i="66"/>
  <c r="H17" i="31"/>
  <c r="I17" i="66"/>
  <c r="H18" i="31"/>
  <c r="I18" i="61"/>
  <c r="H19" i="31"/>
  <c r="H20" i="31"/>
  <c r="H21" i="31"/>
  <c r="I21" i="61"/>
  <c r="H22" i="31"/>
  <c r="H53" i="31"/>
  <c r="H23" i="31"/>
  <c r="H24" i="31"/>
  <c r="H25" i="31"/>
  <c r="H54" i="31"/>
  <c r="H26" i="31"/>
  <c r="H27" i="31"/>
  <c r="H28" i="31"/>
  <c r="H29" i="31"/>
  <c r="H30" i="31"/>
  <c r="H31" i="31"/>
  <c r="I31" i="66"/>
  <c r="H32" i="31"/>
  <c r="I32" i="66"/>
  <c r="H33" i="31"/>
  <c r="H34" i="31"/>
  <c r="I34" i="66"/>
  <c r="H35" i="31"/>
  <c r="H36" i="31"/>
  <c r="I36" i="66"/>
  <c r="H37" i="31"/>
  <c r="I37" i="66"/>
  <c r="H38" i="31"/>
  <c r="I38" i="66"/>
  <c r="H39" i="31"/>
  <c r="H40" i="31"/>
  <c r="I40" i="66"/>
  <c r="H41" i="31"/>
  <c r="H42" i="31"/>
  <c r="H43" i="31"/>
  <c r="H44" i="31"/>
  <c r="H45" i="31"/>
  <c r="H46" i="31"/>
  <c r="H47" i="31"/>
  <c r="I47" i="66"/>
  <c r="H48" i="31"/>
  <c r="I48" i="66"/>
  <c r="H49" i="31"/>
  <c r="I49" i="66"/>
  <c r="H3" i="31"/>
  <c r="I3" i="66"/>
  <c r="Q4" i="31"/>
  <c r="Q5" i="31"/>
  <c r="Q50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54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3" i="31"/>
  <c r="P3" i="31"/>
  <c r="P4" i="31"/>
  <c r="P5" i="31"/>
  <c r="P50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54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AM8" i="3"/>
  <c r="D5" i="24"/>
  <c r="AL8" i="3"/>
  <c r="AM7" i="30"/>
  <c r="AN7" i="30"/>
  <c r="AO7" i="30"/>
  <c r="AM8" i="30"/>
  <c r="AN8" i="30"/>
  <c r="AM9" i="30"/>
  <c r="AN9" i="30"/>
  <c r="AO9" i="30"/>
  <c r="AM10" i="30"/>
  <c r="AN10" i="30"/>
  <c r="AM11" i="30"/>
  <c r="AN11" i="30"/>
  <c r="AM12" i="30"/>
  <c r="AN12" i="30"/>
  <c r="AO12" i="30"/>
  <c r="AM13" i="30"/>
  <c r="AN13" i="30"/>
  <c r="AO13" i="30"/>
  <c r="AM14" i="30"/>
  <c r="AN14" i="30"/>
  <c r="AM15" i="30"/>
  <c r="AN15" i="30"/>
  <c r="AO15" i="30"/>
  <c r="AM16" i="30"/>
  <c r="AN16" i="30"/>
  <c r="AO16" i="30"/>
  <c r="AM17" i="30"/>
  <c r="AN17" i="30"/>
  <c r="AO17" i="30"/>
  <c r="AM18" i="30"/>
  <c r="AN18" i="30"/>
  <c r="AM19" i="30"/>
  <c r="AN19" i="30"/>
  <c r="AM20" i="30"/>
  <c r="AN20" i="30"/>
  <c r="AM21" i="30"/>
  <c r="AN21" i="30"/>
  <c r="AO21" i="30"/>
  <c r="AM22" i="30"/>
  <c r="AN22" i="30"/>
  <c r="AM23" i="30"/>
  <c r="AN23" i="30"/>
  <c r="AO23" i="30"/>
  <c r="AM24" i="30"/>
  <c r="AN24" i="30"/>
  <c r="AM25" i="30"/>
  <c r="AN25" i="30"/>
  <c r="AM26" i="30"/>
  <c r="AN26" i="30"/>
  <c r="AM27" i="30"/>
  <c r="AN27" i="30"/>
  <c r="AM28" i="30"/>
  <c r="AN28" i="30"/>
  <c r="AO28" i="30"/>
  <c r="AM29" i="30"/>
  <c r="AN29" i="30"/>
  <c r="AO29" i="30"/>
  <c r="AM30" i="30"/>
  <c r="AN30" i="30"/>
  <c r="AO30" i="30"/>
  <c r="AM31" i="30"/>
  <c r="AN31" i="30"/>
  <c r="AM32" i="30"/>
  <c r="AN32" i="30"/>
  <c r="AO32" i="30"/>
  <c r="AM33" i="30"/>
  <c r="AN33" i="30"/>
  <c r="AO33" i="30"/>
  <c r="AM34" i="30"/>
  <c r="AO34" i="30"/>
  <c r="AN34" i="30"/>
  <c r="AM35" i="30"/>
  <c r="AN35" i="30"/>
  <c r="AM36" i="30"/>
  <c r="AN36" i="30"/>
  <c r="AM37" i="30"/>
  <c r="AN37" i="30"/>
  <c r="AO37" i="30"/>
  <c r="AM38" i="30"/>
  <c r="AN38" i="30"/>
  <c r="AO38" i="30"/>
  <c r="AM39" i="30"/>
  <c r="AN39" i="30"/>
  <c r="AO39" i="30"/>
  <c r="AM40" i="30"/>
  <c r="AN40" i="30"/>
  <c r="AM41" i="30"/>
  <c r="AN41" i="30"/>
  <c r="AM42" i="30"/>
  <c r="AO42" i="30"/>
  <c r="AN42" i="30"/>
  <c r="AM43" i="30"/>
  <c r="AN43" i="30"/>
  <c r="AM44" i="30"/>
  <c r="AN44" i="30"/>
  <c r="AO44" i="30"/>
  <c r="AM45" i="30"/>
  <c r="AN45" i="30"/>
  <c r="AO45" i="30"/>
  <c r="AM46" i="30"/>
  <c r="AN46" i="30"/>
  <c r="AM47" i="30"/>
  <c r="AN47" i="30"/>
  <c r="AO47" i="30"/>
  <c r="AM48" i="30"/>
  <c r="AN48" i="30"/>
  <c r="AM49" i="30"/>
  <c r="AN49" i="30"/>
  <c r="AO49" i="30"/>
  <c r="AM50" i="30"/>
  <c r="AN50" i="30"/>
  <c r="AM51" i="30"/>
  <c r="AN51" i="30"/>
  <c r="AM52" i="30"/>
  <c r="AN52" i="30"/>
  <c r="AN6" i="30"/>
  <c r="AM6" i="30"/>
  <c r="AO6" i="30"/>
  <c r="P48" i="59"/>
  <c r="P49" i="59"/>
  <c r="P50" i="59"/>
  <c r="P51" i="59"/>
  <c r="P52" i="59"/>
  <c r="P53" i="59"/>
  <c r="P54" i="59"/>
  <c r="C54" i="66"/>
  <c r="B54" i="66"/>
  <c r="C53" i="66"/>
  <c r="B53" i="66"/>
  <c r="C52" i="66"/>
  <c r="B52" i="66"/>
  <c r="C51" i="66"/>
  <c r="B51" i="66"/>
  <c r="C50" i="66"/>
  <c r="B50" i="66"/>
  <c r="N49" i="66"/>
  <c r="C49" i="66"/>
  <c r="C48" i="66"/>
  <c r="B48" i="66"/>
  <c r="C47" i="66"/>
  <c r="B47" i="66"/>
  <c r="I46" i="66"/>
  <c r="C46" i="66"/>
  <c r="B46" i="66"/>
  <c r="I45" i="66"/>
  <c r="C45" i="66"/>
  <c r="B45" i="66"/>
  <c r="I44" i="66"/>
  <c r="C44" i="66"/>
  <c r="B44" i="66"/>
  <c r="I43" i="66"/>
  <c r="C43" i="66"/>
  <c r="B43" i="66"/>
  <c r="I42" i="66"/>
  <c r="C42" i="66"/>
  <c r="B42" i="66"/>
  <c r="I41" i="66"/>
  <c r="C41" i="66"/>
  <c r="B41" i="66"/>
  <c r="C40" i="66"/>
  <c r="B40" i="66"/>
  <c r="I39" i="66"/>
  <c r="C39" i="66"/>
  <c r="B39" i="66"/>
  <c r="C38" i="66"/>
  <c r="B38" i="66"/>
  <c r="C37" i="66"/>
  <c r="B37" i="66"/>
  <c r="C36" i="66"/>
  <c r="B36" i="66"/>
  <c r="I35" i="66"/>
  <c r="C35" i="66"/>
  <c r="B35" i="66"/>
  <c r="C34" i="66"/>
  <c r="B34" i="66"/>
  <c r="C33" i="66"/>
  <c r="B33" i="66"/>
  <c r="C32" i="66"/>
  <c r="B32" i="66"/>
  <c r="C31" i="66"/>
  <c r="B31" i="66"/>
  <c r="I30" i="66"/>
  <c r="C30" i="66"/>
  <c r="B30" i="66"/>
  <c r="I29" i="66"/>
  <c r="C29" i="66"/>
  <c r="B29" i="66"/>
  <c r="I28" i="66"/>
  <c r="C28" i="66"/>
  <c r="B28" i="66"/>
  <c r="I27" i="66"/>
  <c r="C27" i="66"/>
  <c r="B27" i="66"/>
  <c r="I26" i="66"/>
  <c r="C26" i="66"/>
  <c r="B26" i="66"/>
  <c r="I25" i="66"/>
  <c r="I54" i="66"/>
  <c r="C25" i="66"/>
  <c r="B25" i="66"/>
  <c r="I24" i="66"/>
  <c r="C24" i="66"/>
  <c r="B24" i="66"/>
  <c r="I23" i="66"/>
  <c r="C23" i="66"/>
  <c r="B23" i="66"/>
  <c r="I22" i="66"/>
  <c r="I53" i="66"/>
  <c r="C22" i="66"/>
  <c r="B22" i="66"/>
  <c r="C21" i="66"/>
  <c r="B21" i="66"/>
  <c r="I20" i="66"/>
  <c r="C20" i="66"/>
  <c r="B20" i="66"/>
  <c r="I19" i="66"/>
  <c r="C19" i="66"/>
  <c r="B19" i="66"/>
  <c r="I18" i="66"/>
  <c r="C18" i="66"/>
  <c r="B18" i="66"/>
  <c r="C17" i="66"/>
  <c r="B17" i="66"/>
  <c r="C16" i="66"/>
  <c r="B16" i="66"/>
  <c r="I15" i="66"/>
  <c r="C15" i="66"/>
  <c r="B15" i="66"/>
  <c r="C14" i="66"/>
  <c r="B14" i="66"/>
  <c r="I13" i="66"/>
  <c r="I52" i="66"/>
  <c r="C13" i="66"/>
  <c r="B13" i="66"/>
  <c r="I12" i="66"/>
  <c r="C12" i="66"/>
  <c r="B12" i="66"/>
  <c r="I11" i="66"/>
  <c r="C11" i="66"/>
  <c r="B11" i="66"/>
  <c r="I10" i="66"/>
  <c r="C10" i="66"/>
  <c r="B10" i="66"/>
  <c r="C9" i="66"/>
  <c r="B9" i="66"/>
  <c r="C8" i="66"/>
  <c r="B8" i="66"/>
  <c r="I7" i="66"/>
  <c r="C7" i="66"/>
  <c r="B7" i="66"/>
  <c r="I6" i="66"/>
  <c r="C6" i="66"/>
  <c r="B6" i="66"/>
  <c r="C5" i="66"/>
  <c r="B5" i="66"/>
  <c r="I4" i="66"/>
  <c r="C4" i="66"/>
  <c r="B4" i="66"/>
  <c r="C3" i="66"/>
  <c r="B3" i="66"/>
  <c r="Q9" i="3"/>
  <c r="Q10" i="3"/>
  <c r="Q11" i="3"/>
  <c r="S11" i="3"/>
  <c r="Q12" i="3"/>
  <c r="Q13" i="3"/>
  <c r="Q55" i="3"/>
  <c r="Q14" i="3"/>
  <c r="Q15" i="3"/>
  <c r="Q17" i="3"/>
  <c r="Q18" i="3"/>
  <c r="Q19" i="3"/>
  <c r="Q20" i="3"/>
  <c r="Q21" i="3"/>
  <c r="Q23" i="3"/>
  <c r="Q24" i="3"/>
  <c r="Q25" i="3"/>
  <c r="Q26" i="3"/>
  <c r="Q27" i="3"/>
  <c r="Q28" i="3"/>
  <c r="Q29" i="3"/>
  <c r="S29" i="3"/>
  <c r="Q30" i="3"/>
  <c r="S30" i="3"/>
  <c r="Q31" i="3"/>
  <c r="Q33" i="3"/>
  <c r="S33" i="3"/>
  <c r="Q34" i="3"/>
  <c r="Q35" i="3"/>
  <c r="Q36" i="3"/>
  <c r="Q37" i="3"/>
  <c r="Q39" i="3"/>
  <c r="Q40" i="3"/>
  <c r="Q41" i="3"/>
  <c r="Q42" i="3"/>
  <c r="Q43" i="3"/>
  <c r="Q44" i="3"/>
  <c r="Q45" i="3"/>
  <c r="Q46" i="3"/>
  <c r="S46" i="3"/>
  <c r="Q47" i="3"/>
  <c r="S47" i="3"/>
  <c r="Q49" i="3"/>
  <c r="Q50" i="3"/>
  <c r="S50" i="3"/>
  <c r="Q51" i="3"/>
  <c r="Q52" i="3"/>
  <c r="Q53" i="3"/>
  <c r="Q8" i="3"/>
  <c r="P10" i="3"/>
  <c r="P11" i="3"/>
  <c r="P12" i="3"/>
  <c r="P13" i="3"/>
  <c r="P14" i="3"/>
  <c r="P15" i="3"/>
  <c r="P16" i="3"/>
  <c r="P18" i="3"/>
  <c r="P19" i="3"/>
  <c r="S19" i="3"/>
  <c r="P20" i="3"/>
  <c r="S20" i="3"/>
  <c r="P21" i="3"/>
  <c r="S21" i="3"/>
  <c r="P22" i="3"/>
  <c r="S22" i="3"/>
  <c r="P23" i="3"/>
  <c r="P24" i="3"/>
  <c r="P25" i="3"/>
  <c r="S25" i="3"/>
  <c r="P26" i="3"/>
  <c r="S26" i="3"/>
  <c r="P28" i="3"/>
  <c r="S28" i="3"/>
  <c r="P29" i="3"/>
  <c r="P32" i="3"/>
  <c r="P34" i="3"/>
  <c r="P35" i="3"/>
  <c r="P37" i="3"/>
  <c r="P38" i="3"/>
  <c r="P39" i="3"/>
  <c r="P40" i="3"/>
  <c r="S40" i="3"/>
  <c r="P41" i="3"/>
  <c r="S41" i="3"/>
  <c r="P42" i="3"/>
  <c r="S42" i="3"/>
  <c r="P43" i="3"/>
  <c r="S43" i="3"/>
  <c r="P44" i="3"/>
  <c r="S44" i="3"/>
  <c r="P45" i="3"/>
  <c r="P46" i="3"/>
  <c r="P47" i="3"/>
  <c r="P48" i="3"/>
  <c r="P50" i="3"/>
  <c r="P51" i="3"/>
  <c r="S51" i="3"/>
  <c r="P52" i="3"/>
  <c r="P53" i="3"/>
  <c r="P54" i="3"/>
  <c r="O9" i="3"/>
  <c r="O10" i="3"/>
  <c r="O11" i="3"/>
  <c r="R11" i="3"/>
  <c r="O12" i="3"/>
  <c r="O13" i="3"/>
  <c r="O55" i="3"/>
  <c r="O14" i="3"/>
  <c r="R14" i="3"/>
  <c r="K14" i="3"/>
  <c r="O15" i="3"/>
  <c r="O16" i="3"/>
  <c r="O17" i="3"/>
  <c r="O18" i="3"/>
  <c r="O19" i="3"/>
  <c r="O20" i="3"/>
  <c r="O21" i="3"/>
  <c r="R21" i="3"/>
  <c r="O22" i="3"/>
  <c r="O23" i="3"/>
  <c r="O25" i="3"/>
  <c r="O26" i="3"/>
  <c r="O27" i="3"/>
  <c r="O28" i="3"/>
  <c r="O29" i="3"/>
  <c r="O30" i="3"/>
  <c r="R30" i="3"/>
  <c r="K30" i="3"/>
  <c r="O31" i="3"/>
  <c r="R31" i="3"/>
  <c r="K31" i="3"/>
  <c r="O32" i="3"/>
  <c r="O33" i="3"/>
  <c r="O34" i="3"/>
  <c r="O35" i="3"/>
  <c r="R35" i="3"/>
  <c r="K35" i="3"/>
  <c r="O36" i="3"/>
  <c r="O37" i="3"/>
  <c r="O38" i="3"/>
  <c r="O39" i="3"/>
  <c r="O41" i="3"/>
  <c r="O42" i="3"/>
  <c r="O43" i="3"/>
  <c r="O44" i="3"/>
  <c r="O45" i="3"/>
  <c r="R45" i="3"/>
  <c r="K45" i="3"/>
  <c r="O46" i="3"/>
  <c r="R46" i="3"/>
  <c r="O47" i="3"/>
  <c r="R47" i="3"/>
  <c r="O48" i="3"/>
  <c r="R48" i="3"/>
  <c r="K48" i="3"/>
  <c r="O49" i="3"/>
  <c r="O50" i="3"/>
  <c r="O51" i="3"/>
  <c r="O52" i="3"/>
  <c r="O53" i="3"/>
  <c r="O54" i="3"/>
  <c r="O8" i="3"/>
  <c r="R8" i="3"/>
  <c r="K8" i="3"/>
  <c r="N10" i="3"/>
  <c r="R10" i="3"/>
  <c r="K10" i="3"/>
  <c r="J12" i="3"/>
  <c r="N14" i="3"/>
  <c r="N15" i="3"/>
  <c r="J17" i="3"/>
  <c r="N18" i="3"/>
  <c r="N19" i="3"/>
  <c r="R19" i="3"/>
  <c r="K19" i="3"/>
  <c r="N20" i="3"/>
  <c r="R20" i="3"/>
  <c r="K20" i="3"/>
  <c r="N22" i="3"/>
  <c r="L22" i="3"/>
  <c r="N23" i="3"/>
  <c r="R23" i="3"/>
  <c r="K23" i="3"/>
  <c r="N24" i="3"/>
  <c r="N25" i="3"/>
  <c r="R25" i="3"/>
  <c r="K25" i="3"/>
  <c r="N26" i="3"/>
  <c r="J28" i="3"/>
  <c r="N30" i="3"/>
  <c r="N31" i="3"/>
  <c r="J33" i="3"/>
  <c r="N34" i="3"/>
  <c r="N35" i="3"/>
  <c r="N36" i="3"/>
  <c r="N38" i="3"/>
  <c r="N39" i="3"/>
  <c r="N40" i="3"/>
  <c r="N41" i="3"/>
  <c r="L41" i="3"/>
  <c r="N42" i="3"/>
  <c r="J44" i="3"/>
  <c r="N46" i="3"/>
  <c r="N47" i="3"/>
  <c r="J49" i="3"/>
  <c r="N50" i="3"/>
  <c r="N51" i="3"/>
  <c r="N52" i="3"/>
  <c r="J53" i="3"/>
  <c r="N54" i="3"/>
  <c r="N8" i="3"/>
  <c r="AA10" i="3"/>
  <c r="Z10" i="3"/>
  <c r="C57" i="63"/>
  <c r="C56" i="63"/>
  <c r="C55" i="63"/>
  <c r="C54" i="63"/>
  <c r="C51" i="63"/>
  <c r="C50" i="63"/>
  <c r="AC43" i="63"/>
  <c r="AB43" i="63"/>
  <c r="Y43" i="63"/>
  <c r="W43" i="63"/>
  <c r="R43" i="63"/>
  <c r="M43" i="63"/>
  <c r="L43" i="63"/>
  <c r="B43" i="63"/>
  <c r="AC42" i="63"/>
  <c r="AB42" i="63"/>
  <c r="Y42" i="63"/>
  <c r="W42" i="63"/>
  <c r="R42" i="63"/>
  <c r="M42" i="63"/>
  <c r="L42" i="63"/>
  <c r="B42" i="63"/>
  <c r="AC41" i="63"/>
  <c r="AB41" i="63"/>
  <c r="Y41" i="63"/>
  <c r="W41" i="63"/>
  <c r="R41" i="63"/>
  <c r="M41" i="63"/>
  <c r="L41" i="63"/>
  <c r="B41" i="63"/>
  <c r="AC40" i="63"/>
  <c r="AB40" i="63"/>
  <c r="Y40" i="63"/>
  <c r="W40" i="63"/>
  <c r="R40" i="63"/>
  <c r="M40" i="63"/>
  <c r="L40" i="63"/>
  <c r="B40" i="63"/>
  <c r="AC39" i="63"/>
  <c r="AB39" i="63"/>
  <c r="Y39" i="63"/>
  <c r="W39" i="63"/>
  <c r="R39" i="63"/>
  <c r="M39" i="63"/>
  <c r="L39" i="63"/>
  <c r="B39" i="63"/>
  <c r="AC38" i="63"/>
  <c r="AB38" i="63"/>
  <c r="Y38" i="63"/>
  <c r="W38" i="63"/>
  <c r="R38" i="63"/>
  <c r="M38" i="63"/>
  <c r="L38" i="63"/>
  <c r="B38" i="63"/>
  <c r="AC37" i="63"/>
  <c r="AB37" i="63"/>
  <c r="Y37" i="63"/>
  <c r="W37" i="63"/>
  <c r="R37" i="63"/>
  <c r="M37" i="63"/>
  <c r="L37" i="63"/>
  <c r="B37" i="63"/>
  <c r="AC36" i="63"/>
  <c r="AB36" i="63"/>
  <c r="Y36" i="63"/>
  <c r="W36" i="63"/>
  <c r="R36" i="63"/>
  <c r="M36" i="63"/>
  <c r="L36" i="63"/>
  <c r="B36" i="63"/>
  <c r="AC35" i="63"/>
  <c r="AB35" i="63"/>
  <c r="Y35" i="63"/>
  <c r="W35" i="63"/>
  <c r="R35" i="63"/>
  <c r="M35" i="63"/>
  <c r="L35" i="63"/>
  <c r="B35" i="63"/>
  <c r="AC34" i="63"/>
  <c r="AB34" i="63"/>
  <c r="Y34" i="63"/>
  <c r="W34" i="63"/>
  <c r="R34" i="63"/>
  <c r="M34" i="63"/>
  <c r="L34" i="63"/>
  <c r="B34" i="63"/>
  <c r="AC33" i="63"/>
  <c r="AB33" i="63"/>
  <c r="Y33" i="63"/>
  <c r="W33" i="63"/>
  <c r="R33" i="63"/>
  <c r="M33" i="63"/>
  <c r="L33" i="63"/>
  <c r="B33" i="63"/>
  <c r="AC32" i="63"/>
  <c r="AB32" i="63"/>
  <c r="Y32" i="63"/>
  <c r="W32" i="63"/>
  <c r="R32" i="63"/>
  <c r="M32" i="63"/>
  <c r="L32" i="63"/>
  <c r="B32" i="63"/>
  <c r="AC31" i="63"/>
  <c r="AB31" i="63"/>
  <c r="Y31" i="63"/>
  <c r="W31" i="63"/>
  <c r="R31" i="63"/>
  <c r="M31" i="63"/>
  <c r="L31" i="63"/>
  <c r="B31" i="63"/>
  <c r="AC30" i="63"/>
  <c r="AB30" i="63"/>
  <c r="Y30" i="63"/>
  <c r="W30" i="63"/>
  <c r="R30" i="63"/>
  <c r="M30" i="63"/>
  <c r="L30" i="63"/>
  <c r="B30" i="63"/>
  <c r="AC29" i="63"/>
  <c r="AB29" i="63"/>
  <c r="Y29" i="63"/>
  <c r="W29" i="63"/>
  <c r="R29" i="63"/>
  <c r="M29" i="63"/>
  <c r="L29" i="63"/>
  <c r="B29" i="63"/>
  <c r="AC28" i="63"/>
  <c r="AB28" i="63"/>
  <c r="Y28" i="63"/>
  <c r="W28" i="63"/>
  <c r="R28" i="63"/>
  <c r="M28" i="63"/>
  <c r="L28" i="63"/>
  <c r="B28" i="63"/>
  <c r="AC27" i="63"/>
  <c r="AB27" i="63"/>
  <c r="Y27" i="63"/>
  <c r="W27" i="63"/>
  <c r="R27" i="63"/>
  <c r="M27" i="63"/>
  <c r="L27" i="63"/>
  <c r="B27" i="63"/>
  <c r="AC26" i="63"/>
  <c r="AB26" i="63"/>
  <c r="Y26" i="63"/>
  <c r="W26" i="63"/>
  <c r="R26" i="63"/>
  <c r="M26" i="63"/>
  <c r="L26" i="63"/>
  <c r="B26" i="63"/>
  <c r="AC25" i="63"/>
  <c r="AB25" i="63"/>
  <c r="Y25" i="63"/>
  <c r="W25" i="63"/>
  <c r="R25" i="63"/>
  <c r="M25" i="63"/>
  <c r="L25" i="63"/>
  <c r="B25" i="63"/>
  <c r="AC24" i="63"/>
  <c r="AB24" i="63"/>
  <c r="Y24" i="63"/>
  <c r="W24" i="63"/>
  <c r="R24" i="63"/>
  <c r="M24" i="63"/>
  <c r="L24" i="63"/>
  <c r="B24" i="63"/>
  <c r="AC23" i="63"/>
  <c r="AB23" i="63"/>
  <c r="Y23" i="63"/>
  <c r="W23" i="63"/>
  <c r="R23" i="63"/>
  <c r="M23" i="63"/>
  <c r="L23" i="63"/>
  <c r="B23" i="63"/>
  <c r="AC22" i="63"/>
  <c r="AB22" i="63"/>
  <c r="Y22" i="63"/>
  <c r="W22" i="63"/>
  <c r="R22" i="63"/>
  <c r="M22" i="63"/>
  <c r="L22" i="63"/>
  <c r="B22" i="63"/>
  <c r="AC21" i="63"/>
  <c r="AB21" i="63"/>
  <c r="Y21" i="63"/>
  <c r="W21" i="63"/>
  <c r="R21" i="63"/>
  <c r="M21" i="63"/>
  <c r="L21" i="63"/>
  <c r="B21" i="63"/>
  <c r="AC20" i="63"/>
  <c r="AB20" i="63"/>
  <c r="Y20" i="63"/>
  <c r="W20" i="63"/>
  <c r="R20" i="63"/>
  <c r="M20" i="63"/>
  <c r="L20" i="63"/>
  <c r="B20" i="63"/>
  <c r="AC19" i="63"/>
  <c r="AB19" i="63"/>
  <c r="Y19" i="63"/>
  <c r="W19" i="63"/>
  <c r="R19" i="63"/>
  <c r="M19" i="63"/>
  <c r="L19" i="63"/>
  <c r="B19" i="63"/>
  <c r="AC18" i="63"/>
  <c r="AB18" i="63"/>
  <c r="Y18" i="63"/>
  <c r="W18" i="63"/>
  <c r="R18" i="63"/>
  <c r="M18" i="63"/>
  <c r="L18" i="63"/>
  <c r="B18" i="63"/>
  <c r="AC17" i="63"/>
  <c r="AB17" i="63"/>
  <c r="Y17" i="63"/>
  <c r="W17" i="63"/>
  <c r="R17" i="63"/>
  <c r="M17" i="63"/>
  <c r="L17" i="63"/>
  <c r="B17" i="63"/>
  <c r="AC16" i="63"/>
  <c r="AB16" i="63"/>
  <c r="Y16" i="63"/>
  <c r="W16" i="63"/>
  <c r="R16" i="63"/>
  <c r="L16" i="63"/>
  <c r="B16" i="63"/>
  <c r="AC15" i="63"/>
  <c r="AB15" i="63"/>
  <c r="Y15" i="63"/>
  <c r="W15" i="63"/>
  <c r="R15" i="63"/>
  <c r="M15" i="63"/>
  <c r="L15" i="63"/>
  <c r="B15" i="63"/>
  <c r="AC14" i="63"/>
  <c r="AB14" i="63"/>
  <c r="Y14" i="63"/>
  <c r="W14" i="63"/>
  <c r="R14" i="63"/>
  <c r="M14" i="63"/>
  <c r="L14" i="63"/>
  <c r="B14" i="63"/>
  <c r="AC13" i="63"/>
  <c r="AB13" i="63"/>
  <c r="Y13" i="63"/>
  <c r="W13" i="63"/>
  <c r="R13" i="63"/>
  <c r="M13" i="63"/>
  <c r="L13" i="63"/>
  <c r="B13" i="63"/>
  <c r="AC12" i="63"/>
  <c r="AB12" i="63"/>
  <c r="Y12" i="63"/>
  <c r="W12" i="63"/>
  <c r="R12" i="63"/>
  <c r="M12" i="63"/>
  <c r="L12" i="63"/>
  <c r="B12" i="63"/>
  <c r="AC11" i="63"/>
  <c r="AB11" i="63"/>
  <c r="Y11" i="63"/>
  <c r="W11" i="63"/>
  <c r="R11" i="63"/>
  <c r="M11" i="63"/>
  <c r="L11" i="63"/>
  <c r="B11" i="63"/>
  <c r="AC10" i="63"/>
  <c r="AB10" i="63"/>
  <c r="Y10" i="63"/>
  <c r="W10" i="63"/>
  <c r="R10" i="63"/>
  <c r="M10" i="63"/>
  <c r="L10" i="63"/>
  <c r="B10" i="63"/>
  <c r="AC9" i="63"/>
  <c r="AB9" i="63"/>
  <c r="Y9" i="63"/>
  <c r="W9" i="63"/>
  <c r="R9" i="63"/>
  <c r="M9" i="63"/>
  <c r="L9" i="63"/>
  <c r="B9" i="63"/>
  <c r="AC8" i="63"/>
  <c r="AB8" i="63"/>
  <c r="Y8" i="63"/>
  <c r="W8" i="63"/>
  <c r="R8" i="63"/>
  <c r="M8" i="63"/>
  <c r="L8" i="63"/>
  <c r="B8" i="63"/>
  <c r="AC7" i="63"/>
  <c r="AB7" i="63"/>
  <c r="Y7" i="63"/>
  <c r="W7" i="63"/>
  <c r="R7" i="63"/>
  <c r="M7" i="63"/>
  <c r="L7" i="63"/>
  <c r="B7" i="63"/>
  <c r="AC6" i="63"/>
  <c r="AB6" i="63"/>
  <c r="Y6" i="63"/>
  <c r="W6" i="63"/>
  <c r="R6" i="63"/>
  <c r="M6" i="63"/>
  <c r="L6" i="63"/>
  <c r="B6" i="63"/>
  <c r="AC5" i="63"/>
  <c r="AB5" i="63"/>
  <c r="Y5" i="63"/>
  <c r="W5" i="63"/>
  <c r="R5" i="63"/>
  <c r="M5" i="63"/>
  <c r="L5" i="63"/>
  <c r="B5" i="63"/>
  <c r="AC4" i="63"/>
  <c r="AB4" i="63"/>
  <c r="Y4" i="63"/>
  <c r="W4" i="63"/>
  <c r="R4" i="63"/>
  <c r="L4" i="63"/>
  <c r="B4" i="63"/>
  <c r="AC3" i="63"/>
  <c r="AB3" i="63"/>
  <c r="Y3" i="63"/>
  <c r="W3" i="63"/>
  <c r="R3" i="63"/>
  <c r="M3" i="63"/>
  <c r="L3" i="63"/>
  <c r="B3" i="63"/>
  <c r="R50" i="3"/>
  <c r="S52" i="3"/>
  <c r="S34" i="3"/>
  <c r="R34" i="3"/>
  <c r="S39" i="3"/>
  <c r="S18" i="3"/>
  <c r="R36" i="3"/>
  <c r="R52" i="3"/>
  <c r="R9" i="3"/>
  <c r="K9" i="3"/>
  <c r="R39" i="3"/>
  <c r="K39" i="3"/>
  <c r="S24" i="3"/>
  <c r="S23" i="3"/>
  <c r="S8" i="3"/>
  <c r="R26" i="3"/>
  <c r="J48" i="3"/>
  <c r="J32" i="3"/>
  <c r="J16" i="3"/>
  <c r="S10" i="3"/>
  <c r="J43" i="3"/>
  <c r="J27" i="3"/>
  <c r="J11" i="3"/>
  <c r="J37" i="3"/>
  <c r="J21" i="3"/>
  <c r="S35" i="3"/>
  <c r="AH61" i="3"/>
  <c r="S14" i="3"/>
  <c r="J45" i="3"/>
  <c r="J29" i="3"/>
  <c r="J13" i="3"/>
  <c r="J42" i="3"/>
  <c r="J26" i="3"/>
  <c r="J10" i="3"/>
  <c r="S53" i="3"/>
  <c r="S37" i="3"/>
  <c r="V53" i="3"/>
  <c r="S45" i="3"/>
  <c r="R15" i="3"/>
  <c r="R24" i="3"/>
  <c r="R54" i="3"/>
  <c r="R38" i="3"/>
  <c r="R51" i="3"/>
  <c r="K51" i="3"/>
  <c r="S15" i="3"/>
  <c r="J41" i="3"/>
  <c r="J25" i="3"/>
  <c r="P49" i="3"/>
  <c r="P33" i="3"/>
  <c r="P17" i="3"/>
  <c r="S17" i="3"/>
  <c r="P9" i="3"/>
  <c r="S9" i="3"/>
  <c r="J40" i="3"/>
  <c r="J24" i="3"/>
  <c r="J9" i="3"/>
  <c r="J39" i="3"/>
  <c r="J23" i="3"/>
  <c r="N53" i="3"/>
  <c r="R53" i="3"/>
  <c r="K53" i="3"/>
  <c r="N49" i="3"/>
  <c r="R49" i="3"/>
  <c r="K49" i="3"/>
  <c r="N45" i="3"/>
  <c r="N37" i="3"/>
  <c r="R37" i="3"/>
  <c r="K37" i="3"/>
  <c r="N33" i="3"/>
  <c r="R33" i="3"/>
  <c r="K33" i="3"/>
  <c r="N29" i="3"/>
  <c r="R29" i="3"/>
  <c r="K29" i="3"/>
  <c r="N21" i="3"/>
  <c r="L21" i="3"/>
  <c r="N17" i="3"/>
  <c r="R17" i="3"/>
  <c r="N13" i="3"/>
  <c r="L8" i="3"/>
  <c r="J54" i="3"/>
  <c r="J38" i="3"/>
  <c r="J22" i="3"/>
  <c r="Q48" i="3"/>
  <c r="S48" i="3"/>
  <c r="Q32" i="3"/>
  <c r="S32" i="3"/>
  <c r="Q16" i="3"/>
  <c r="S16" i="3"/>
  <c r="P36" i="3"/>
  <c r="S36" i="3"/>
  <c r="J52" i="3"/>
  <c r="J36" i="3"/>
  <c r="J20" i="3"/>
  <c r="J51" i="3"/>
  <c r="J35" i="3"/>
  <c r="J19" i="3"/>
  <c r="N48" i="3"/>
  <c r="N44" i="3"/>
  <c r="L44" i="3"/>
  <c r="R44" i="3"/>
  <c r="K44" i="3"/>
  <c r="N32" i="3"/>
  <c r="L32" i="3"/>
  <c r="N28" i="3"/>
  <c r="R28" i="3"/>
  <c r="K28" i="3"/>
  <c r="N16" i="3"/>
  <c r="R16" i="3"/>
  <c r="N12" i="3"/>
  <c r="R12" i="3"/>
  <c r="J50" i="3"/>
  <c r="J34" i="3"/>
  <c r="J18" i="3"/>
  <c r="P31" i="3"/>
  <c r="P27" i="3"/>
  <c r="S27" i="3"/>
  <c r="J47" i="3"/>
  <c r="J31" i="3"/>
  <c r="J15" i="3"/>
  <c r="N43" i="3"/>
  <c r="R43" i="3"/>
  <c r="N27" i="3"/>
  <c r="R27" i="3"/>
  <c r="K27" i="3"/>
  <c r="N11" i="3"/>
  <c r="J46" i="3"/>
  <c r="J30" i="3"/>
  <c r="J14" i="3"/>
  <c r="Q54" i="3"/>
  <c r="Q38" i="3"/>
  <c r="S38" i="3"/>
  <c r="Q22" i="3"/>
  <c r="P30" i="3"/>
  <c r="AI61" i="3"/>
  <c r="J8" i="3"/>
  <c r="G55" i="3"/>
  <c r="O3" i="59"/>
  <c r="O4" i="59"/>
  <c r="O5" i="59"/>
  <c r="O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2" i="59"/>
  <c r="K5" i="59"/>
  <c r="K6" i="59"/>
  <c r="K7" i="59"/>
  <c r="K8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3" i="59"/>
  <c r="K4" i="59"/>
  <c r="K2" i="59"/>
  <c r="E5" i="59"/>
  <c r="E6" i="59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3" i="59"/>
  <c r="E4" i="59"/>
  <c r="E2" i="59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3" i="59"/>
  <c r="J4" i="59"/>
  <c r="J2" i="59"/>
  <c r="D3" i="59"/>
  <c r="D4" i="59"/>
  <c r="D5" i="59"/>
  <c r="D6" i="59"/>
  <c r="D7" i="59"/>
  <c r="D8" i="59"/>
  <c r="D9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2" i="59"/>
  <c r="I11" i="59"/>
  <c r="I12" i="59"/>
  <c r="I13" i="59"/>
  <c r="I14" i="59"/>
  <c r="I15" i="59"/>
  <c r="M15" i="59"/>
  <c r="I16" i="59"/>
  <c r="I17" i="59"/>
  <c r="I18" i="59"/>
  <c r="I19" i="59"/>
  <c r="M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M37" i="59"/>
  <c r="I38" i="59"/>
  <c r="I39" i="59"/>
  <c r="I40" i="59"/>
  <c r="I41" i="59"/>
  <c r="I42" i="59"/>
  <c r="I43" i="59"/>
  <c r="I44" i="59"/>
  <c r="I45" i="59"/>
  <c r="I46" i="59"/>
  <c r="I47" i="59"/>
  <c r="I48" i="59"/>
  <c r="M48" i="59"/>
  <c r="I49" i="59"/>
  <c r="I50" i="59"/>
  <c r="I51" i="59"/>
  <c r="I52" i="59"/>
  <c r="I53" i="59"/>
  <c r="I54" i="59"/>
  <c r="I3" i="59"/>
  <c r="I4" i="59"/>
  <c r="I5" i="59"/>
  <c r="I6" i="59"/>
  <c r="I7" i="59"/>
  <c r="I8" i="59"/>
  <c r="I9" i="59"/>
  <c r="I10" i="59"/>
  <c r="I2" i="59"/>
  <c r="C11" i="59"/>
  <c r="G11" i="59"/>
  <c r="C12" i="59"/>
  <c r="G12" i="59"/>
  <c r="M12" i="59"/>
  <c r="C13" i="59"/>
  <c r="G13" i="59"/>
  <c r="C14" i="59"/>
  <c r="G14" i="59"/>
  <c r="C15" i="59"/>
  <c r="G15" i="59"/>
  <c r="C16" i="59"/>
  <c r="G16" i="59"/>
  <c r="C17" i="59"/>
  <c r="G17" i="59"/>
  <c r="M17" i="59"/>
  <c r="C18" i="59"/>
  <c r="G18" i="59"/>
  <c r="C19" i="59"/>
  <c r="G19" i="59"/>
  <c r="C20" i="59"/>
  <c r="G20" i="59"/>
  <c r="C21" i="59"/>
  <c r="G21" i="59"/>
  <c r="D23" i="63"/>
  <c r="C22" i="59"/>
  <c r="G22" i="59"/>
  <c r="C23" i="59"/>
  <c r="G23" i="59"/>
  <c r="C24" i="59"/>
  <c r="G24" i="59"/>
  <c r="D26" i="63"/>
  <c r="C25" i="59"/>
  <c r="G25" i="59"/>
  <c r="C26" i="59"/>
  <c r="G26" i="59"/>
  <c r="M26" i="59"/>
  <c r="C27" i="59"/>
  <c r="G27" i="59"/>
  <c r="C28" i="59"/>
  <c r="G28" i="59"/>
  <c r="C29" i="59"/>
  <c r="G29" i="59"/>
  <c r="C30" i="59"/>
  <c r="G30" i="59"/>
  <c r="M30" i="59"/>
  <c r="C31" i="59"/>
  <c r="G31" i="59"/>
  <c r="M31" i="59"/>
  <c r="C32" i="59"/>
  <c r="G32" i="59"/>
  <c r="C33" i="59"/>
  <c r="G33" i="59"/>
  <c r="C34" i="59"/>
  <c r="G34" i="59"/>
  <c r="C35" i="59"/>
  <c r="G35" i="59"/>
  <c r="C36" i="59"/>
  <c r="G36" i="59"/>
  <c r="M36" i="59"/>
  <c r="C37" i="59"/>
  <c r="G37" i="59"/>
  <c r="C38" i="59"/>
  <c r="G38" i="59"/>
  <c r="C39" i="59"/>
  <c r="G39" i="59"/>
  <c r="D41" i="63"/>
  <c r="C40" i="59"/>
  <c r="G40" i="59"/>
  <c r="C41" i="59"/>
  <c r="G41" i="59"/>
  <c r="C42" i="59"/>
  <c r="G42" i="59"/>
  <c r="C43" i="59"/>
  <c r="G43" i="59"/>
  <c r="C44" i="59"/>
  <c r="G44" i="59"/>
  <c r="M44" i="59"/>
  <c r="C45" i="59"/>
  <c r="G45" i="59"/>
  <c r="M45" i="59"/>
  <c r="C46" i="59"/>
  <c r="G46" i="59"/>
  <c r="M46" i="59"/>
  <c r="C47" i="59"/>
  <c r="G47" i="59"/>
  <c r="M47" i="59"/>
  <c r="C48" i="59"/>
  <c r="G48" i="59"/>
  <c r="C49" i="59"/>
  <c r="G49" i="59"/>
  <c r="M49" i="59"/>
  <c r="C50" i="59"/>
  <c r="G50" i="59"/>
  <c r="M50" i="59"/>
  <c r="C51" i="59"/>
  <c r="G51" i="59"/>
  <c r="C52" i="59"/>
  <c r="G52" i="59"/>
  <c r="M52" i="59"/>
  <c r="C53" i="59"/>
  <c r="G53" i="59"/>
  <c r="M53" i="59"/>
  <c r="C54" i="59"/>
  <c r="G54" i="59"/>
  <c r="M54" i="59"/>
  <c r="C5" i="59"/>
  <c r="G5" i="59"/>
  <c r="C6" i="59"/>
  <c r="G6" i="59"/>
  <c r="M6" i="59"/>
  <c r="C7" i="59"/>
  <c r="G7" i="59"/>
  <c r="C8" i="59"/>
  <c r="G8" i="59"/>
  <c r="C9" i="59"/>
  <c r="G9" i="59"/>
  <c r="C10" i="59"/>
  <c r="G10" i="59"/>
  <c r="C4" i="59"/>
  <c r="G4" i="59"/>
  <c r="M4" i="59"/>
  <c r="C3" i="59"/>
  <c r="G3" i="59"/>
  <c r="C2" i="59"/>
  <c r="G2" i="59"/>
  <c r="D3" i="63"/>
  <c r="M40" i="59"/>
  <c r="M32" i="59"/>
  <c r="M24" i="59"/>
  <c r="M2" i="59"/>
  <c r="M5" i="59"/>
  <c r="M39" i="59"/>
  <c r="M14" i="59"/>
  <c r="M28" i="59"/>
  <c r="M9" i="59"/>
  <c r="M27" i="59"/>
  <c r="M42" i="59"/>
  <c r="D38" i="63"/>
  <c r="D21" i="63"/>
  <c r="D33" i="63"/>
  <c r="D17" i="63"/>
  <c r="D40" i="63"/>
  <c r="D32" i="63"/>
  <c r="D30" i="63"/>
  <c r="D29" i="63"/>
  <c r="D42" i="63"/>
  <c r="D39" i="63"/>
  <c r="D19" i="63"/>
  <c r="D34" i="63"/>
  <c r="D13" i="63"/>
  <c r="D20" i="63"/>
  <c r="C54" i="61"/>
  <c r="B54" i="61"/>
  <c r="C53" i="61"/>
  <c r="B53" i="61"/>
  <c r="C52" i="61"/>
  <c r="B52" i="61"/>
  <c r="C51" i="61"/>
  <c r="B51" i="61"/>
  <c r="C50" i="61"/>
  <c r="B50" i="61"/>
  <c r="N49" i="61"/>
  <c r="I49" i="61"/>
  <c r="C49" i="61"/>
  <c r="I48" i="61"/>
  <c r="C48" i="61"/>
  <c r="B48" i="61"/>
  <c r="I47" i="61"/>
  <c r="C47" i="61"/>
  <c r="B47" i="61"/>
  <c r="I46" i="61"/>
  <c r="C46" i="61"/>
  <c r="B46" i="61"/>
  <c r="I45" i="61"/>
  <c r="C45" i="61"/>
  <c r="B45" i="61"/>
  <c r="I44" i="61"/>
  <c r="C44" i="61"/>
  <c r="B44" i="61"/>
  <c r="I43" i="61"/>
  <c r="C43" i="61"/>
  <c r="B43" i="61"/>
  <c r="I42" i="61"/>
  <c r="C42" i="61"/>
  <c r="B42" i="61"/>
  <c r="I41" i="61"/>
  <c r="C41" i="61"/>
  <c r="B41" i="61"/>
  <c r="I40" i="61"/>
  <c r="C40" i="61"/>
  <c r="B40" i="61"/>
  <c r="I39" i="61"/>
  <c r="C39" i="61"/>
  <c r="B39" i="61"/>
  <c r="I38" i="61"/>
  <c r="C38" i="61"/>
  <c r="B38" i="61"/>
  <c r="I37" i="61"/>
  <c r="C37" i="61"/>
  <c r="B37" i="61"/>
  <c r="I36" i="61"/>
  <c r="C36" i="61"/>
  <c r="B36" i="61"/>
  <c r="I35" i="61"/>
  <c r="C35" i="61"/>
  <c r="B35" i="61"/>
  <c r="C34" i="61"/>
  <c r="B34" i="61"/>
  <c r="C33" i="61"/>
  <c r="B33" i="61"/>
  <c r="I32" i="61"/>
  <c r="C32" i="61"/>
  <c r="B32" i="61"/>
  <c r="I31" i="61"/>
  <c r="C31" i="61"/>
  <c r="B31" i="61"/>
  <c r="I30" i="61"/>
  <c r="C30" i="61"/>
  <c r="B30" i="61"/>
  <c r="I29" i="61"/>
  <c r="C29" i="61"/>
  <c r="B29" i="61"/>
  <c r="I28" i="61"/>
  <c r="C28" i="61"/>
  <c r="B28" i="61"/>
  <c r="I27" i="61"/>
  <c r="C27" i="61"/>
  <c r="B27" i="61"/>
  <c r="I26" i="61"/>
  <c r="C26" i="61"/>
  <c r="B26" i="61"/>
  <c r="I25" i="61"/>
  <c r="I54" i="61"/>
  <c r="C25" i="61"/>
  <c r="B25" i="61"/>
  <c r="I24" i="61"/>
  <c r="C24" i="61"/>
  <c r="B24" i="61"/>
  <c r="I23" i="61"/>
  <c r="C23" i="61"/>
  <c r="B23" i="61"/>
  <c r="I22" i="61"/>
  <c r="I53" i="61"/>
  <c r="C22" i="61"/>
  <c r="B22" i="61"/>
  <c r="C21" i="61"/>
  <c r="B21" i="61"/>
  <c r="I20" i="61"/>
  <c r="C20" i="61"/>
  <c r="B20" i="61"/>
  <c r="I19" i="61"/>
  <c r="C19" i="61"/>
  <c r="B19" i="61"/>
  <c r="C18" i="61"/>
  <c r="B18" i="61"/>
  <c r="I17" i="61"/>
  <c r="C17" i="61"/>
  <c r="B17" i="61"/>
  <c r="I16" i="61"/>
  <c r="C16" i="61"/>
  <c r="B16" i="61"/>
  <c r="I15" i="61"/>
  <c r="C15" i="61"/>
  <c r="B15" i="61"/>
  <c r="I14" i="61"/>
  <c r="C14" i="61"/>
  <c r="B14" i="61"/>
  <c r="I13" i="61"/>
  <c r="I52" i="61"/>
  <c r="C13" i="61"/>
  <c r="B13" i="61"/>
  <c r="I12" i="61"/>
  <c r="C12" i="61"/>
  <c r="B12" i="61"/>
  <c r="I11" i="61"/>
  <c r="C11" i="61"/>
  <c r="B11" i="61"/>
  <c r="I10" i="61"/>
  <c r="C10" i="61"/>
  <c r="B10" i="61"/>
  <c r="I9" i="61"/>
  <c r="I51" i="61"/>
  <c r="C9" i="61"/>
  <c r="B9" i="61"/>
  <c r="C8" i="61"/>
  <c r="B8" i="61"/>
  <c r="I7" i="61"/>
  <c r="C7" i="61"/>
  <c r="B7" i="61"/>
  <c r="I6" i="61"/>
  <c r="C6" i="61"/>
  <c r="B6" i="61"/>
  <c r="I5" i="61"/>
  <c r="I50" i="61"/>
  <c r="C5" i="61"/>
  <c r="B5" i="61"/>
  <c r="I4" i="61"/>
  <c r="C4" i="61"/>
  <c r="B4" i="61"/>
  <c r="C3" i="61"/>
  <c r="B3" i="61"/>
  <c r="N50" i="32"/>
  <c r="K24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8" i="3"/>
  <c r="K34" i="3"/>
  <c r="K50" i="3"/>
  <c r="L10" i="3"/>
  <c r="L12" i="3"/>
  <c r="L16" i="3"/>
  <c r="L24" i="3"/>
  <c r="L28" i="3"/>
  <c r="L34" i="3"/>
  <c r="L36" i="3"/>
  <c r="L48" i="3"/>
  <c r="L52" i="3"/>
  <c r="AO41" i="30"/>
  <c r="AO48" i="30"/>
  <c r="AO40" i="30"/>
  <c r="AO24" i="30"/>
  <c r="AO8" i="30"/>
  <c r="L39" i="3"/>
  <c r="L23" i="3"/>
  <c r="K17" i="3"/>
  <c r="L26" i="3"/>
  <c r="K43" i="3"/>
  <c r="L13" i="3"/>
  <c r="K11" i="3"/>
  <c r="AO25" i="30"/>
  <c r="K47" i="3"/>
  <c r="K15" i="3"/>
  <c r="AO31" i="30"/>
  <c r="K26" i="3"/>
  <c r="H55" i="3"/>
  <c r="AO51" i="30"/>
  <c r="AO43" i="30"/>
  <c r="AO35" i="30"/>
  <c r="AO27" i="30"/>
  <c r="AO19" i="30"/>
  <c r="AO11" i="30"/>
  <c r="L49" i="3"/>
  <c r="C55" i="3"/>
  <c r="L47" i="3"/>
  <c r="L31" i="3"/>
  <c r="L15" i="3"/>
  <c r="AO50" i="30"/>
  <c r="AO26" i="30"/>
  <c r="AO18" i="30"/>
  <c r="AO10" i="30"/>
  <c r="L50" i="3"/>
  <c r="K16" i="3"/>
  <c r="E55" i="3"/>
  <c r="F55" i="3"/>
  <c r="D55" i="3"/>
  <c r="L25" i="3"/>
  <c r="L17" i="3"/>
  <c r="L9" i="3"/>
  <c r="AO36" i="30"/>
  <c r="AO20" i="30"/>
  <c r="L45" i="3"/>
  <c r="L37" i="3"/>
  <c r="L51" i="3"/>
  <c r="L43" i="3"/>
  <c r="L35" i="3"/>
  <c r="L27" i="3"/>
  <c r="L19" i="3"/>
  <c r="L11" i="3"/>
  <c r="AO46" i="30"/>
  <c r="AO22" i="30"/>
  <c r="AO14" i="30"/>
  <c r="AO52" i="30"/>
  <c r="AE9" i="3"/>
  <c r="AD9" i="3"/>
  <c r="L54" i="3"/>
  <c r="L46" i="3"/>
  <c r="L38" i="3"/>
  <c r="L30" i="3"/>
  <c r="L14" i="3"/>
  <c r="K36" i="3"/>
  <c r="K52" i="3"/>
  <c r="K54" i="3"/>
  <c r="K46" i="3"/>
  <c r="K38" i="3"/>
  <c r="K21" i="3"/>
  <c r="K23" i="63"/>
  <c r="K31" i="63"/>
  <c r="K37" i="63"/>
  <c r="K9" i="63"/>
  <c r="K15" i="63"/>
  <c r="K32" i="63"/>
  <c r="K38" i="63"/>
  <c r="K7" i="63"/>
  <c r="K19" i="63"/>
  <c r="K26" i="63"/>
  <c r="K6" i="63"/>
  <c r="K13" i="63"/>
  <c r="K4" i="63"/>
  <c r="K3" i="63"/>
  <c r="K12" i="63"/>
  <c r="K17" i="63"/>
  <c r="K40" i="63"/>
  <c r="K21" i="63"/>
  <c r="K20" i="63"/>
  <c r="K29" i="63"/>
  <c r="K25" i="63"/>
  <c r="K10" i="63"/>
  <c r="K28" i="63"/>
  <c r="K36" i="63"/>
  <c r="K39" i="63"/>
  <c r="K33" i="63"/>
  <c r="K16" i="63"/>
  <c r="K8" i="63"/>
  <c r="K35" i="63"/>
  <c r="K43" i="63"/>
  <c r="K5" i="63"/>
  <c r="K27" i="63"/>
  <c r="K24" i="63"/>
  <c r="K14" i="63"/>
  <c r="K42" i="63"/>
  <c r="K22" i="63"/>
  <c r="K11" i="63"/>
  <c r="K34" i="63"/>
  <c r="K30" i="63"/>
  <c r="K18" i="63"/>
  <c r="K41" i="63"/>
  <c r="E36" i="33"/>
  <c r="H36" i="33"/>
  <c r="L51" i="33"/>
  <c r="E34" i="33"/>
  <c r="E35" i="33"/>
  <c r="H35" i="33"/>
  <c r="E37" i="33"/>
  <c r="H37" i="33"/>
  <c r="E38" i="33"/>
  <c r="E39" i="33"/>
  <c r="E40" i="33"/>
  <c r="G51" i="33"/>
  <c r="F51" i="33"/>
  <c r="C4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D37" i="60"/>
  <c r="H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3" i="60"/>
  <c r="C4" i="48"/>
  <c r="C5" i="48"/>
  <c r="G5" i="48"/>
  <c r="C6" i="48"/>
  <c r="G6" i="48"/>
  <c r="C7" i="48"/>
  <c r="G7" i="48"/>
  <c r="C8" i="48"/>
  <c r="C9" i="48"/>
  <c r="G9" i="48"/>
  <c r="C10" i="48"/>
  <c r="G10" i="48"/>
  <c r="C11" i="48"/>
  <c r="C12" i="48"/>
  <c r="G12" i="48"/>
  <c r="C13" i="48"/>
  <c r="G13" i="48"/>
  <c r="C14" i="48"/>
  <c r="G14" i="48"/>
  <c r="C15" i="48"/>
  <c r="G15" i="48"/>
  <c r="C16" i="48"/>
  <c r="G16" i="48"/>
  <c r="C17" i="48"/>
  <c r="G17" i="48"/>
  <c r="C18" i="48"/>
  <c r="G18" i="48"/>
  <c r="C19" i="48"/>
  <c r="G19" i="48"/>
  <c r="C20" i="48"/>
  <c r="G20" i="48"/>
  <c r="C21" i="48"/>
  <c r="G21" i="48"/>
  <c r="C22" i="48"/>
  <c r="G22" i="48"/>
  <c r="C23" i="48"/>
  <c r="G23" i="48"/>
  <c r="C24" i="48"/>
  <c r="G24" i="48"/>
  <c r="C25" i="48"/>
  <c r="G25" i="48"/>
  <c r="C26" i="48"/>
  <c r="G26" i="48"/>
  <c r="C27" i="48"/>
  <c r="G27" i="48"/>
  <c r="C28" i="48"/>
  <c r="G28" i="48"/>
  <c r="C29" i="48"/>
  <c r="G29" i="48"/>
  <c r="C30" i="48"/>
  <c r="G30" i="48"/>
  <c r="C31" i="48"/>
  <c r="G31" i="48"/>
  <c r="C32" i="48"/>
  <c r="G32" i="48"/>
  <c r="C33" i="48"/>
  <c r="G33" i="48"/>
  <c r="C34" i="48"/>
  <c r="G34" i="48"/>
  <c r="C35" i="48"/>
  <c r="G35" i="48"/>
  <c r="C36" i="48"/>
  <c r="G36" i="48"/>
  <c r="C37" i="48"/>
  <c r="C38" i="48"/>
  <c r="G38" i="48"/>
  <c r="C39" i="48"/>
  <c r="G39" i="48"/>
  <c r="C40" i="48"/>
  <c r="C41" i="48"/>
  <c r="G41" i="48"/>
  <c r="C42" i="48"/>
  <c r="G42" i="48"/>
  <c r="C43" i="48"/>
  <c r="G43" i="48"/>
  <c r="C44" i="48"/>
  <c r="G44" i="48"/>
  <c r="C45" i="48"/>
  <c r="G45" i="48"/>
  <c r="C46" i="48"/>
  <c r="G46" i="48"/>
  <c r="C47" i="48"/>
  <c r="G47" i="48"/>
  <c r="C48" i="48"/>
  <c r="G48" i="48"/>
  <c r="C49" i="48"/>
  <c r="G49" i="48"/>
  <c r="C50" i="48"/>
  <c r="G50" i="48"/>
  <c r="C51" i="48"/>
  <c r="G51" i="48"/>
  <c r="C52" i="48"/>
  <c r="G52" i="48"/>
  <c r="C53" i="48"/>
  <c r="G53" i="48"/>
  <c r="C54" i="48"/>
  <c r="G54" i="48"/>
  <c r="C3" i="48"/>
  <c r="C4" i="44"/>
  <c r="C5" i="44"/>
  <c r="C6" i="44"/>
  <c r="C7" i="44"/>
  <c r="C8" i="44"/>
  <c r="D66" i="44"/>
  <c r="F72" i="44"/>
  <c r="C9" i="44"/>
  <c r="C10" i="44"/>
  <c r="C11" i="44"/>
  <c r="D11" i="44"/>
  <c r="C12" i="44"/>
  <c r="C13" i="44"/>
  <c r="T66" i="44"/>
  <c r="C14" i="44"/>
  <c r="D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D37" i="44"/>
  <c r="C38" i="44"/>
  <c r="C39" i="44"/>
  <c r="C40" i="44"/>
  <c r="C41" i="44"/>
  <c r="D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3" i="44"/>
  <c r="C4" i="41"/>
  <c r="C5" i="41"/>
  <c r="C6" i="41"/>
  <c r="C7" i="41"/>
  <c r="C8" i="41"/>
  <c r="C9" i="41"/>
  <c r="C10" i="41"/>
  <c r="C11" i="41"/>
  <c r="D11" i="41"/>
  <c r="H11" i="41"/>
  <c r="C12" i="41"/>
  <c r="C13" i="41"/>
  <c r="C14" i="41"/>
  <c r="D14" i="41"/>
  <c r="H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D37" i="41"/>
  <c r="H37" i="41"/>
  <c r="C38" i="41"/>
  <c r="C39" i="41"/>
  <c r="C40" i="41"/>
  <c r="C41" i="41"/>
  <c r="D41" i="41"/>
  <c r="H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3" i="41"/>
  <c r="C4" i="17"/>
  <c r="C5" i="17"/>
  <c r="C6" i="17"/>
  <c r="C7" i="17"/>
  <c r="C8" i="17"/>
  <c r="C9" i="17"/>
  <c r="C10" i="17"/>
  <c r="C11" i="17"/>
  <c r="C12" i="17"/>
  <c r="C13" i="17"/>
  <c r="C14" i="17"/>
  <c r="D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D37" i="17"/>
  <c r="C38" i="17"/>
  <c r="C39" i="17"/>
  <c r="C40" i="17"/>
  <c r="C41" i="17"/>
  <c r="D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3" i="17"/>
  <c r="C4" i="14"/>
  <c r="C5" i="14"/>
  <c r="C6" i="14"/>
  <c r="C7" i="14"/>
  <c r="C8" i="14"/>
  <c r="C9" i="14"/>
  <c r="C10" i="14"/>
  <c r="C11" i="14"/>
  <c r="C12" i="14"/>
  <c r="D67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3" i="14"/>
  <c r="L9" i="22"/>
  <c r="H9" i="22"/>
  <c r="I9" i="22"/>
  <c r="J9" i="22"/>
  <c r="K9" i="22"/>
  <c r="G9" i="22"/>
  <c r="R50" i="31"/>
  <c r="S50" i="31"/>
  <c r="P51" i="31"/>
  <c r="Q51" i="31"/>
  <c r="R51" i="31"/>
  <c r="S51" i="31"/>
  <c r="P52" i="31"/>
  <c r="Q52" i="31"/>
  <c r="R52" i="31"/>
  <c r="S52" i="31"/>
  <c r="P53" i="31"/>
  <c r="Q53" i="31"/>
  <c r="R53" i="31"/>
  <c r="S53" i="31"/>
  <c r="R54" i="31"/>
  <c r="S54" i="31"/>
  <c r="O50" i="31"/>
  <c r="O51" i="31"/>
  <c r="O52" i="31"/>
  <c r="O53" i="31"/>
  <c r="O54" i="31"/>
  <c r="M4" i="31"/>
  <c r="M5" i="31"/>
  <c r="M50" i="31"/>
  <c r="M6" i="31"/>
  <c r="M7" i="31"/>
  <c r="M8" i="31"/>
  <c r="M9" i="31"/>
  <c r="M51" i="31"/>
  <c r="M10" i="31"/>
  <c r="M11" i="31"/>
  <c r="M12" i="31"/>
  <c r="M13" i="31"/>
  <c r="M52" i="31"/>
  <c r="M14" i="31"/>
  <c r="M15" i="31"/>
  <c r="M16" i="31"/>
  <c r="M17" i="31"/>
  <c r="M18" i="31"/>
  <c r="M19" i="31"/>
  <c r="M20" i="31"/>
  <c r="M21" i="31"/>
  <c r="M22" i="31"/>
  <c r="M53" i="31"/>
  <c r="M23" i="31"/>
  <c r="M24" i="31"/>
  <c r="M25" i="31"/>
  <c r="M54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3" i="31"/>
  <c r="L4" i="31"/>
  <c r="L5" i="31"/>
  <c r="L50" i="31"/>
  <c r="L6" i="31"/>
  <c r="L7" i="31"/>
  <c r="L8" i="31"/>
  <c r="L9" i="31"/>
  <c r="L51" i="31"/>
  <c r="L10" i="31"/>
  <c r="L11" i="31"/>
  <c r="L12" i="31"/>
  <c r="L13" i="31"/>
  <c r="L52" i="31"/>
  <c r="L14" i="31"/>
  <c r="L15" i="31"/>
  <c r="L16" i="31"/>
  <c r="L17" i="31"/>
  <c r="L18" i="31"/>
  <c r="L19" i="31"/>
  <c r="L20" i="31"/>
  <c r="L21" i="31"/>
  <c r="L22" i="31"/>
  <c r="L53" i="31"/>
  <c r="L23" i="31"/>
  <c r="L24" i="31"/>
  <c r="L25" i="31"/>
  <c r="L54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3" i="31"/>
  <c r="K4" i="31"/>
  <c r="K5" i="31"/>
  <c r="K50" i="31"/>
  <c r="K6" i="31"/>
  <c r="K7" i="31"/>
  <c r="K8" i="31"/>
  <c r="K9" i="31"/>
  <c r="K51" i="31"/>
  <c r="K10" i="31"/>
  <c r="K11" i="31"/>
  <c r="K12" i="31"/>
  <c r="K13" i="31"/>
  <c r="K52" i="31"/>
  <c r="K14" i="31"/>
  <c r="K15" i="31"/>
  <c r="K16" i="31"/>
  <c r="K17" i="31"/>
  <c r="K18" i="31"/>
  <c r="K19" i="31"/>
  <c r="K20" i="31"/>
  <c r="K21" i="31"/>
  <c r="K22" i="31"/>
  <c r="K53" i="31"/>
  <c r="K23" i="31"/>
  <c r="K24" i="31"/>
  <c r="K25" i="31"/>
  <c r="K54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3" i="31"/>
  <c r="J4" i="31"/>
  <c r="J5" i="31"/>
  <c r="J50" i="31"/>
  <c r="J6" i="31"/>
  <c r="J7" i="31"/>
  <c r="J8" i="31"/>
  <c r="J9" i="31"/>
  <c r="J51" i="31"/>
  <c r="J10" i="31"/>
  <c r="J11" i="31"/>
  <c r="J12" i="31"/>
  <c r="J13" i="31"/>
  <c r="J52" i="31"/>
  <c r="J14" i="31"/>
  <c r="J15" i="31"/>
  <c r="J16" i="31"/>
  <c r="J17" i="31"/>
  <c r="J18" i="31"/>
  <c r="J19" i="31"/>
  <c r="J20" i="31"/>
  <c r="J21" i="31"/>
  <c r="J22" i="31"/>
  <c r="J53" i="31"/>
  <c r="J23" i="31"/>
  <c r="J24" i="31"/>
  <c r="J25" i="31"/>
  <c r="J54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3" i="31"/>
  <c r="I4" i="31"/>
  <c r="I5" i="31"/>
  <c r="I50" i="31"/>
  <c r="I6" i="31"/>
  <c r="I7" i="31"/>
  <c r="I8" i="31"/>
  <c r="I9" i="31"/>
  <c r="I51" i="31"/>
  <c r="I10" i="31"/>
  <c r="I11" i="31"/>
  <c r="I12" i="31"/>
  <c r="I13" i="31"/>
  <c r="I52" i="31"/>
  <c r="I14" i="31"/>
  <c r="I15" i="31"/>
  <c r="I16" i="31"/>
  <c r="I17" i="31"/>
  <c r="I18" i="31"/>
  <c r="I19" i="31"/>
  <c r="I20" i="31"/>
  <c r="I21" i="31"/>
  <c r="I22" i="31"/>
  <c r="I53" i="31"/>
  <c r="I23" i="31"/>
  <c r="I24" i="31"/>
  <c r="I25" i="31"/>
  <c r="I54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3" i="31"/>
  <c r="H51" i="31"/>
  <c r="H52" i="31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3" i="31"/>
  <c r="G62" i="60"/>
  <c r="E61" i="60"/>
  <c r="AH55" i="60"/>
  <c r="AI55" i="60"/>
  <c r="AF55" i="60"/>
  <c r="AG55" i="60"/>
  <c r="AH54" i="60"/>
  <c r="AF54" i="60"/>
  <c r="AA54" i="60"/>
  <c r="B54" i="60"/>
  <c r="AH53" i="60"/>
  <c r="AF53" i="60"/>
  <c r="AA53" i="60"/>
  <c r="B53" i="60"/>
  <c r="AH52" i="60"/>
  <c r="AF52" i="60"/>
  <c r="AA52" i="60"/>
  <c r="B52" i="60"/>
  <c r="AH51" i="60"/>
  <c r="AF51" i="60"/>
  <c r="AA51" i="60"/>
  <c r="B51" i="60"/>
  <c r="AH50" i="60"/>
  <c r="AF50" i="60"/>
  <c r="AA50" i="60"/>
  <c r="B50" i="60"/>
  <c r="AH49" i="60"/>
  <c r="AF49" i="60"/>
  <c r="AA49" i="60"/>
  <c r="V49" i="60"/>
  <c r="M49" i="60"/>
  <c r="AH48" i="60"/>
  <c r="AF48" i="60"/>
  <c r="AH47" i="60"/>
  <c r="AF47" i="60"/>
  <c r="AH46" i="60"/>
  <c r="AF46" i="60"/>
  <c r="AH45" i="60"/>
  <c r="AF45" i="60"/>
  <c r="AH44" i="60"/>
  <c r="AF44" i="60"/>
  <c r="AH43" i="60"/>
  <c r="AF43" i="60"/>
  <c r="AH42" i="60"/>
  <c r="AF42" i="60"/>
  <c r="AH41" i="60"/>
  <c r="AF41" i="60"/>
  <c r="D41" i="60"/>
  <c r="H41" i="60"/>
  <c r="AH40" i="60"/>
  <c r="AF40" i="60"/>
  <c r="AH39" i="60"/>
  <c r="AF39" i="60"/>
  <c r="AH38" i="60"/>
  <c r="AF38" i="60"/>
  <c r="AH37" i="60"/>
  <c r="AF37" i="60"/>
  <c r="AH36" i="60"/>
  <c r="AF36" i="60"/>
  <c r="AH35" i="60"/>
  <c r="AF35" i="60"/>
  <c r="AH34" i="60"/>
  <c r="AF34" i="60"/>
  <c r="AH33" i="60"/>
  <c r="AF33" i="60"/>
  <c r="AH32" i="60"/>
  <c r="AF32" i="60"/>
  <c r="AH31" i="60"/>
  <c r="AF31" i="60"/>
  <c r="AH30" i="60"/>
  <c r="AF30" i="60"/>
  <c r="AH29" i="60"/>
  <c r="AF29" i="60"/>
  <c r="AH28" i="60"/>
  <c r="AF28" i="60"/>
  <c r="AH27" i="60"/>
  <c r="AF27" i="60"/>
  <c r="AH26" i="60"/>
  <c r="AF26" i="60"/>
  <c r="AH25" i="60"/>
  <c r="AF25" i="60"/>
  <c r="AH24" i="60"/>
  <c r="AF24" i="60"/>
  <c r="AH23" i="60"/>
  <c r="AF23" i="60"/>
  <c r="AH22" i="60"/>
  <c r="AF22" i="60"/>
  <c r="AH21" i="60"/>
  <c r="AF21" i="60"/>
  <c r="AH20" i="60"/>
  <c r="AF20" i="60"/>
  <c r="AH19" i="60"/>
  <c r="AF19" i="60"/>
  <c r="AH18" i="60"/>
  <c r="AF18" i="60"/>
  <c r="AH17" i="60"/>
  <c r="AF17" i="60"/>
  <c r="AH16" i="60"/>
  <c r="AF16" i="60"/>
  <c r="AH15" i="60"/>
  <c r="AF15" i="60"/>
  <c r="AH14" i="60"/>
  <c r="AF14" i="60"/>
  <c r="AH13" i="60"/>
  <c r="AF13" i="60"/>
  <c r="AH12" i="60"/>
  <c r="AF12" i="60"/>
  <c r="AH11" i="60"/>
  <c r="AF11" i="60"/>
  <c r="AH10" i="60"/>
  <c r="AF10" i="60"/>
  <c r="AH9" i="60"/>
  <c r="AF9" i="60"/>
  <c r="AH8" i="60"/>
  <c r="AF8" i="60"/>
  <c r="AH7" i="60"/>
  <c r="AF7" i="60"/>
  <c r="AH6" i="60"/>
  <c r="AF6" i="60"/>
  <c r="AA6" i="60"/>
  <c r="AH5" i="60"/>
  <c r="AF5" i="60"/>
  <c r="AH4" i="60"/>
  <c r="AF4" i="60"/>
  <c r="AH3" i="60"/>
  <c r="AF3" i="60"/>
  <c r="D14" i="60"/>
  <c r="H14" i="60"/>
  <c r="M9" i="21"/>
  <c r="AN3" i="63"/>
  <c r="G61" i="60"/>
  <c r="AH4" i="17"/>
  <c r="AH5" i="17"/>
  <c r="AH6" i="17"/>
  <c r="AH7" i="17"/>
  <c r="AH8" i="17"/>
  <c r="AH9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I55" i="17"/>
  <c r="AH3" i="17"/>
  <c r="AF4" i="17"/>
  <c r="AF5" i="17"/>
  <c r="AF6" i="17"/>
  <c r="AF7" i="17"/>
  <c r="AF8" i="17"/>
  <c r="AF9" i="17"/>
  <c r="AF10" i="17"/>
  <c r="AF11" i="17"/>
  <c r="AF12" i="17"/>
  <c r="AF13" i="17"/>
  <c r="AF14" i="17"/>
  <c r="AF15" i="17"/>
  <c r="AF16" i="17"/>
  <c r="AF17" i="17"/>
  <c r="AF18" i="17"/>
  <c r="AF19" i="17"/>
  <c r="AF20" i="17"/>
  <c r="AF21" i="17"/>
  <c r="AF22" i="17"/>
  <c r="AF23" i="17"/>
  <c r="AF24" i="17"/>
  <c r="AF25" i="17"/>
  <c r="AF26" i="17"/>
  <c r="AF27" i="17"/>
  <c r="AF28" i="17"/>
  <c r="AF29" i="17"/>
  <c r="AF30" i="17"/>
  <c r="AF31" i="17"/>
  <c r="AF32" i="17"/>
  <c r="AF33" i="17"/>
  <c r="AF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G55" i="17"/>
  <c r="AF3" i="17"/>
  <c r="C54" i="55"/>
  <c r="B54" i="55"/>
  <c r="C53" i="55"/>
  <c r="B53" i="55"/>
  <c r="C52" i="55"/>
  <c r="B52" i="55"/>
  <c r="C51" i="55"/>
  <c r="B51" i="55"/>
  <c r="C50" i="55"/>
  <c r="B50" i="55"/>
  <c r="N49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4" i="55"/>
  <c r="C3" i="55"/>
  <c r="B50" i="17"/>
  <c r="AA50" i="17"/>
  <c r="B51" i="17"/>
  <c r="AA51" i="17"/>
  <c r="B52" i="17"/>
  <c r="AA52" i="17"/>
  <c r="B53" i="17"/>
  <c r="AA53" i="17"/>
  <c r="B54" i="17"/>
  <c r="AA54" i="17"/>
  <c r="M49" i="17"/>
  <c r="AA49" i="17"/>
  <c r="AC63" i="40"/>
  <c r="AB63" i="40"/>
  <c r="D55" i="51"/>
  <c r="D56" i="51"/>
  <c r="D54" i="51"/>
  <c r="D57" i="51"/>
  <c r="J13" i="33"/>
  <c r="Q52" i="30"/>
  <c r="Q51" i="30"/>
  <c r="Q50" i="30"/>
  <c r="Q49" i="30"/>
  <c r="Q48" i="30"/>
  <c r="Q47" i="30"/>
  <c r="Q46" i="30"/>
  <c r="Q45" i="30"/>
  <c r="Q44" i="30"/>
  <c r="Q43" i="30"/>
  <c r="Q42" i="30"/>
  <c r="Q41" i="30"/>
  <c r="Q40" i="30"/>
  <c r="Q39" i="30"/>
  <c r="Q38" i="30"/>
  <c r="Q37" i="30"/>
  <c r="Q36" i="30"/>
  <c r="Q35" i="30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7" i="30"/>
  <c r="Q16" i="30"/>
  <c r="Q15" i="30"/>
  <c r="Q14" i="30"/>
  <c r="Q13" i="30"/>
  <c r="Q12" i="30"/>
  <c r="Q11" i="30"/>
  <c r="Q10" i="30"/>
  <c r="Q9" i="30"/>
  <c r="Q8" i="30"/>
  <c r="Q7" i="30"/>
  <c r="Q6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AY15" i="30"/>
  <c r="K14" i="30"/>
  <c r="K13" i="30"/>
  <c r="K12" i="30"/>
  <c r="K11" i="30"/>
  <c r="K10" i="30"/>
  <c r="K9" i="30"/>
  <c r="AY9" i="30"/>
  <c r="K8" i="30"/>
  <c r="K7" i="30"/>
  <c r="K6" i="30"/>
  <c r="I49" i="33"/>
  <c r="D49" i="33"/>
  <c r="I6" i="33"/>
  <c r="I4" i="33"/>
  <c r="I5" i="33"/>
  <c r="I7" i="33"/>
  <c r="I8" i="33"/>
  <c r="I9" i="33"/>
  <c r="I10" i="33"/>
  <c r="I11" i="33"/>
  <c r="I12" i="33"/>
  <c r="I13" i="33"/>
  <c r="K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K27" i="33"/>
  <c r="I28" i="33"/>
  <c r="K28" i="33"/>
  <c r="I29" i="33"/>
  <c r="I30" i="33"/>
  <c r="K30" i="33"/>
  <c r="I31" i="33"/>
  <c r="I32" i="33"/>
  <c r="I33" i="33"/>
  <c r="I34" i="33"/>
  <c r="I35" i="33"/>
  <c r="I36" i="33"/>
  <c r="I37" i="33"/>
  <c r="I38" i="33"/>
  <c r="I39" i="33"/>
  <c r="I40" i="33"/>
  <c r="I41" i="33"/>
  <c r="K41" i="33"/>
  <c r="I42" i="33"/>
  <c r="I43" i="33"/>
  <c r="I44" i="33"/>
  <c r="K44" i="33"/>
  <c r="N44" i="33"/>
  <c r="I45" i="33"/>
  <c r="I46" i="33"/>
  <c r="I47" i="33"/>
  <c r="I48" i="33"/>
  <c r="I3" i="33"/>
  <c r="D3" i="36"/>
  <c r="D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2" i="36"/>
  <c r="C4" i="36"/>
  <c r="C5" i="36"/>
  <c r="C6" i="36"/>
  <c r="C7" i="36"/>
  <c r="C8" i="36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3" i="36"/>
  <c r="C2" i="36"/>
  <c r="I5" i="20"/>
  <c r="C50" i="35"/>
  <c r="AI52" i="30"/>
  <c r="AI51" i="30"/>
  <c r="AI50" i="30"/>
  <c r="AI49" i="30"/>
  <c r="AI48" i="30"/>
  <c r="AI47" i="30"/>
  <c r="AI46" i="30"/>
  <c r="AI45" i="30"/>
  <c r="AI44" i="30"/>
  <c r="AI43" i="30"/>
  <c r="AI42" i="30"/>
  <c r="AI41" i="30"/>
  <c r="AI40" i="30"/>
  <c r="AI39" i="30"/>
  <c r="AI38" i="30"/>
  <c r="AI37" i="30"/>
  <c r="AI36" i="30"/>
  <c r="AI35" i="30"/>
  <c r="AI34" i="30"/>
  <c r="AI33" i="30"/>
  <c r="AI32" i="30"/>
  <c r="AI31" i="30"/>
  <c r="AI30" i="30"/>
  <c r="AI29" i="30"/>
  <c r="AI28" i="30"/>
  <c r="AI27" i="30"/>
  <c r="AI26" i="30"/>
  <c r="AI25" i="30"/>
  <c r="AI24" i="30"/>
  <c r="AI23" i="30"/>
  <c r="AI22" i="30"/>
  <c r="AI21" i="30"/>
  <c r="AI20" i="30"/>
  <c r="AI19" i="30"/>
  <c r="AI18" i="30"/>
  <c r="AI17" i="30"/>
  <c r="AI16" i="30"/>
  <c r="AI15" i="30"/>
  <c r="AI14" i="30"/>
  <c r="AI13" i="30"/>
  <c r="AI12" i="30"/>
  <c r="AI11" i="30"/>
  <c r="AI10" i="30"/>
  <c r="AI9" i="30"/>
  <c r="AI8" i="30"/>
  <c r="AI7" i="30"/>
  <c r="AI6" i="30"/>
  <c r="AC52" i="30"/>
  <c r="AC51" i="30"/>
  <c r="AC50" i="30"/>
  <c r="AC49" i="30"/>
  <c r="AC48" i="30"/>
  <c r="AC47" i="30"/>
  <c r="AC46" i="30"/>
  <c r="AC45" i="30"/>
  <c r="AC44" i="30"/>
  <c r="AC43" i="30"/>
  <c r="AC42" i="30"/>
  <c r="AC41" i="30"/>
  <c r="AC40" i="30"/>
  <c r="AC39" i="30"/>
  <c r="AC38" i="30"/>
  <c r="AC37" i="30"/>
  <c r="AC36" i="30"/>
  <c r="AC35" i="30"/>
  <c r="AC34" i="30"/>
  <c r="AC33" i="30"/>
  <c r="AC32" i="30"/>
  <c r="AC31" i="30"/>
  <c r="AC30" i="30"/>
  <c r="AC29" i="30"/>
  <c r="AC28" i="30"/>
  <c r="AC27" i="30"/>
  <c r="AC26" i="30"/>
  <c r="AC25" i="30"/>
  <c r="AC24" i="30"/>
  <c r="AC23" i="30"/>
  <c r="AC22" i="30"/>
  <c r="AC21" i="30"/>
  <c r="AC20" i="30"/>
  <c r="AC19" i="30"/>
  <c r="AC18" i="30"/>
  <c r="AC17" i="30"/>
  <c r="AC16" i="30"/>
  <c r="AC15" i="30"/>
  <c r="AC14" i="30"/>
  <c r="AC13" i="30"/>
  <c r="AC12" i="30"/>
  <c r="AC11" i="30"/>
  <c r="AC10" i="30"/>
  <c r="AC9" i="30"/>
  <c r="AC8" i="30"/>
  <c r="AC7" i="30"/>
  <c r="AY7" i="30"/>
  <c r="AC6" i="30"/>
  <c r="W52" i="30"/>
  <c r="W51" i="30"/>
  <c r="W50" i="30"/>
  <c r="W49" i="30"/>
  <c r="W48" i="30"/>
  <c r="W47" i="30"/>
  <c r="W46" i="30"/>
  <c r="W45" i="30"/>
  <c r="W44" i="30"/>
  <c r="W43" i="30"/>
  <c r="W42" i="30"/>
  <c r="W41" i="30"/>
  <c r="W40" i="30"/>
  <c r="W39" i="30"/>
  <c r="W38" i="30"/>
  <c r="W37" i="30"/>
  <c r="W36" i="30"/>
  <c r="W35" i="30"/>
  <c r="W34" i="30"/>
  <c r="W33" i="30"/>
  <c r="W32" i="30"/>
  <c r="W31" i="30"/>
  <c r="W30" i="30"/>
  <c r="W29" i="30"/>
  <c r="W28" i="30"/>
  <c r="W27" i="30"/>
  <c r="W26" i="30"/>
  <c r="W25" i="30"/>
  <c r="W24" i="30"/>
  <c r="W23" i="30"/>
  <c r="W22" i="30"/>
  <c r="W21" i="30"/>
  <c r="W20" i="30"/>
  <c r="W19" i="30"/>
  <c r="W18" i="30"/>
  <c r="W17" i="30"/>
  <c r="W16" i="30"/>
  <c r="W15" i="30"/>
  <c r="W14" i="30"/>
  <c r="W13" i="30"/>
  <c r="W12" i="30"/>
  <c r="W11" i="30"/>
  <c r="W10" i="30"/>
  <c r="W9" i="30"/>
  <c r="W8" i="30"/>
  <c r="W7" i="30"/>
  <c r="W6" i="30"/>
  <c r="E7" i="30"/>
  <c r="E8" i="30"/>
  <c r="E9" i="30"/>
  <c r="E10" i="30"/>
  <c r="E11" i="30"/>
  <c r="E12" i="30"/>
  <c r="AY12" i="30"/>
  <c r="E13" i="30"/>
  <c r="E14" i="30"/>
  <c r="E15" i="30"/>
  <c r="E16" i="30"/>
  <c r="E17" i="30"/>
  <c r="E18" i="30"/>
  <c r="E19" i="30"/>
  <c r="AY19" i="30"/>
  <c r="E20" i="30"/>
  <c r="E21" i="30"/>
  <c r="AY21" i="30"/>
  <c r="E22" i="30"/>
  <c r="E23" i="30"/>
  <c r="E24" i="30"/>
  <c r="E25" i="30"/>
  <c r="E26" i="30"/>
  <c r="E27" i="30"/>
  <c r="E28" i="30"/>
  <c r="AY28" i="30"/>
  <c r="E29" i="30"/>
  <c r="E30" i="30"/>
  <c r="E31" i="30"/>
  <c r="E32" i="30"/>
  <c r="E33" i="30"/>
  <c r="E34" i="30"/>
  <c r="E35" i="30"/>
  <c r="AY35" i="30"/>
  <c r="E36" i="30"/>
  <c r="E37" i="30"/>
  <c r="AY37" i="30"/>
  <c r="E38" i="30"/>
  <c r="E39" i="30"/>
  <c r="E40" i="30"/>
  <c r="E41" i="30"/>
  <c r="E42" i="30"/>
  <c r="AY42" i="30"/>
  <c r="E43" i="30"/>
  <c r="E44" i="30"/>
  <c r="AY44" i="30"/>
  <c r="E45" i="30"/>
  <c r="AY45" i="30"/>
  <c r="E46" i="30"/>
  <c r="E47" i="30"/>
  <c r="E48" i="30"/>
  <c r="E49" i="30"/>
  <c r="E50" i="30"/>
  <c r="E51" i="30"/>
  <c r="E6" i="30"/>
  <c r="AZ21" i="30"/>
  <c r="G62" i="48"/>
  <c r="AA54" i="48"/>
  <c r="B54" i="48"/>
  <c r="AA53" i="48"/>
  <c r="B53" i="48"/>
  <c r="AA52" i="48"/>
  <c r="B52" i="48"/>
  <c r="AA51" i="48"/>
  <c r="B51" i="48"/>
  <c r="AA50" i="48"/>
  <c r="B50" i="48"/>
  <c r="AA49" i="48"/>
  <c r="V49" i="48"/>
  <c r="M49" i="48"/>
  <c r="AA6" i="48"/>
  <c r="AA54" i="44"/>
  <c r="B54" i="44"/>
  <c r="AA53" i="44"/>
  <c r="B53" i="44"/>
  <c r="AA52" i="44"/>
  <c r="B52" i="44"/>
  <c r="AA51" i="44"/>
  <c r="B51" i="44"/>
  <c r="AA50" i="44"/>
  <c r="B50" i="44"/>
  <c r="AA49" i="44"/>
  <c r="M49" i="44"/>
  <c r="AA6" i="44"/>
  <c r="V49" i="40"/>
  <c r="G62" i="41"/>
  <c r="AA54" i="41"/>
  <c r="B54" i="41"/>
  <c r="AA53" i="41"/>
  <c r="B53" i="41"/>
  <c r="AA52" i="41"/>
  <c r="B52" i="41"/>
  <c r="AA51" i="41"/>
  <c r="B51" i="41"/>
  <c r="AA50" i="41"/>
  <c r="B50" i="41"/>
  <c r="AA49" i="41"/>
  <c r="M49" i="41"/>
  <c r="AA6" i="41"/>
  <c r="D6" i="40"/>
  <c r="D49" i="40"/>
  <c r="G62" i="40"/>
  <c r="AA54" i="40"/>
  <c r="C54" i="40"/>
  <c r="B54" i="40"/>
  <c r="AA53" i="40"/>
  <c r="C53" i="40"/>
  <c r="B53" i="40"/>
  <c r="AA52" i="40"/>
  <c r="C52" i="40"/>
  <c r="B52" i="40"/>
  <c r="AA51" i="40"/>
  <c r="C51" i="40"/>
  <c r="B51" i="40"/>
  <c r="AA50" i="40"/>
  <c r="C50" i="40"/>
  <c r="B50" i="40"/>
  <c r="AA49" i="40"/>
  <c r="M49" i="40"/>
  <c r="C48" i="40"/>
  <c r="C47" i="40"/>
  <c r="C46" i="40"/>
  <c r="C45" i="40"/>
  <c r="C44" i="40"/>
  <c r="C43" i="40"/>
  <c r="C42" i="40"/>
  <c r="C41" i="40"/>
  <c r="D41" i="40"/>
  <c r="C40" i="40"/>
  <c r="C39" i="40"/>
  <c r="C38" i="40"/>
  <c r="C37" i="40"/>
  <c r="D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AA6" i="40"/>
  <c r="C5" i="40"/>
  <c r="C4" i="40"/>
  <c r="C3" i="40"/>
  <c r="D20" i="38"/>
  <c r="D13" i="38"/>
  <c r="S13" i="38"/>
  <c r="G62" i="17"/>
  <c r="C20" i="38"/>
  <c r="C13" i="38"/>
  <c r="B18" i="38"/>
  <c r="B11" i="38"/>
  <c r="B4" i="38"/>
  <c r="C1" i="38"/>
  <c r="B14" i="60"/>
  <c r="B26" i="60"/>
  <c r="B37" i="60"/>
  <c r="B44" i="60"/>
  <c r="C4" i="38"/>
  <c r="C11" i="38"/>
  <c r="B47" i="60"/>
  <c r="B39" i="60"/>
  <c r="B31" i="60"/>
  <c r="B23" i="60"/>
  <c r="B15" i="60"/>
  <c r="B7" i="60"/>
  <c r="B46" i="60"/>
  <c r="B30" i="60"/>
  <c r="B22" i="60"/>
  <c r="B6" i="55"/>
  <c r="B6" i="60"/>
  <c r="B45" i="60"/>
  <c r="B29" i="60"/>
  <c r="B21" i="60"/>
  <c r="B13" i="60"/>
  <c r="B5" i="60"/>
  <c r="B36" i="60"/>
  <c r="B28" i="60"/>
  <c r="B20" i="60"/>
  <c r="B12" i="60"/>
  <c r="B4" i="60"/>
  <c r="B38" i="60"/>
  <c r="B27" i="60"/>
  <c r="B19" i="60"/>
  <c r="B11" i="60"/>
  <c r="B3" i="60"/>
  <c r="B34" i="60"/>
  <c r="B18" i="60"/>
  <c r="B10" i="60"/>
  <c r="B43" i="60"/>
  <c r="B42" i="60"/>
  <c r="B41" i="55"/>
  <c r="B41" i="60"/>
  <c r="B33" i="60"/>
  <c r="B25" i="60"/>
  <c r="B17" i="60"/>
  <c r="B9" i="60"/>
  <c r="B35" i="60"/>
  <c r="B48" i="60"/>
  <c r="B40" i="60"/>
  <c r="B32" i="60"/>
  <c r="B24" i="60"/>
  <c r="B16" i="60"/>
  <c r="B8" i="60"/>
  <c r="B45" i="55"/>
  <c r="B43" i="55"/>
  <c r="B14" i="17"/>
  <c r="B14" i="55"/>
  <c r="B23" i="55"/>
  <c r="B46" i="55"/>
  <c r="B12" i="55"/>
  <c r="B31" i="55"/>
  <c r="B11" i="55"/>
  <c r="B9" i="55"/>
  <c r="B5" i="55"/>
  <c r="B15" i="55"/>
  <c r="B39" i="55"/>
  <c r="B20" i="55"/>
  <c r="B4" i="55"/>
  <c r="B47" i="55"/>
  <c r="B44" i="55"/>
  <c r="B42" i="55"/>
  <c r="B8" i="55"/>
  <c r="B36" i="55"/>
  <c r="B30" i="55"/>
  <c r="B28" i="55"/>
  <c r="B26" i="55"/>
  <c r="B24" i="55"/>
  <c r="B22" i="55"/>
  <c r="B35" i="55"/>
  <c r="B18" i="55"/>
  <c r="B13" i="55"/>
  <c r="B10" i="55"/>
  <c r="B40" i="55"/>
  <c r="B38" i="55"/>
  <c r="B37" i="17"/>
  <c r="B37" i="55"/>
  <c r="B19" i="55"/>
  <c r="B3" i="55"/>
  <c r="B34" i="55"/>
  <c r="B33" i="55"/>
  <c r="B17" i="55"/>
  <c r="B29" i="55"/>
  <c r="B27" i="55"/>
  <c r="B25" i="55"/>
  <c r="B7" i="55"/>
  <c r="B21" i="55"/>
  <c r="B48" i="55"/>
  <c r="B32" i="55"/>
  <c r="B16" i="55"/>
  <c r="B22" i="48"/>
  <c r="B22" i="41"/>
  <c r="B22" i="44"/>
  <c r="B18" i="81"/>
  <c r="B22" i="40"/>
  <c r="B47" i="44"/>
  <c r="B3" i="50"/>
  <c r="B47" i="48"/>
  <c r="B47" i="41"/>
  <c r="B47" i="40"/>
  <c r="B39" i="44"/>
  <c r="B25" i="50"/>
  <c r="B39" i="48"/>
  <c r="B39" i="40"/>
  <c r="B39" i="41"/>
  <c r="B31" i="44"/>
  <c r="B38" i="81"/>
  <c r="B31" i="41"/>
  <c r="B31" i="48"/>
  <c r="B31" i="40"/>
  <c r="B23" i="44"/>
  <c r="B4" i="82"/>
  <c r="B23" i="48"/>
  <c r="B23" i="40"/>
  <c r="B23" i="41"/>
  <c r="B15" i="44"/>
  <c r="B15" i="41"/>
  <c r="B15" i="40"/>
  <c r="B15" i="48"/>
  <c r="B7" i="48"/>
  <c r="B7" i="40"/>
  <c r="B7" i="41"/>
  <c r="B7" i="44"/>
  <c r="B23" i="50"/>
  <c r="B46" i="48"/>
  <c r="B46" i="41"/>
  <c r="B46" i="44"/>
  <c r="B6" i="81"/>
  <c r="B46" i="40"/>
  <c r="B45" i="40"/>
  <c r="B45" i="44"/>
  <c r="B25" i="82"/>
  <c r="B45" i="48"/>
  <c r="B45" i="41"/>
  <c r="B13" i="44"/>
  <c r="B40" i="81"/>
  <c r="B13" i="40"/>
  <c r="B13" i="48"/>
  <c r="B13" i="41"/>
  <c r="B36" i="44"/>
  <c r="B31" i="50"/>
  <c r="B36" i="40"/>
  <c r="B36" i="41"/>
  <c r="B36" i="48"/>
  <c r="B28" i="44"/>
  <c r="B27" i="81"/>
  <c r="B28" i="40"/>
  <c r="B28" i="41"/>
  <c r="B28" i="48"/>
  <c r="B20" i="44"/>
  <c r="B31" i="81"/>
  <c r="B20" i="40"/>
  <c r="B20" i="48"/>
  <c r="B20" i="41"/>
  <c r="B12" i="44"/>
  <c r="B12" i="40"/>
  <c r="B12" i="41"/>
  <c r="B12" i="48"/>
  <c r="B4" i="48"/>
  <c r="B4" i="41"/>
  <c r="B4" i="44"/>
  <c r="B34" i="82"/>
  <c r="B4" i="40"/>
  <c r="B30" i="48"/>
  <c r="B30" i="41"/>
  <c r="B30" i="44"/>
  <c r="B22" i="50"/>
  <c r="B30" i="40"/>
  <c r="B37" i="44"/>
  <c r="B37" i="40"/>
  <c r="B37" i="48"/>
  <c r="B37" i="41"/>
  <c r="B43" i="40"/>
  <c r="B43" i="48"/>
  <c r="B43" i="41"/>
  <c r="B43" i="44"/>
  <c r="B30" i="81"/>
  <c r="B35" i="40"/>
  <c r="B35" i="48"/>
  <c r="B35" i="41"/>
  <c r="B35" i="44"/>
  <c r="B15" i="82"/>
  <c r="B27" i="40"/>
  <c r="B27" i="48"/>
  <c r="B27" i="41"/>
  <c r="B27" i="44"/>
  <c r="B5" i="50"/>
  <c r="B19" i="40"/>
  <c r="B19" i="48"/>
  <c r="B19" i="41"/>
  <c r="B19" i="44"/>
  <c r="B11" i="40"/>
  <c r="B11" i="48"/>
  <c r="B11" i="41"/>
  <c r="B11" i="44"/>
  <c r="B6" i="40"/>
  <c r="B6" i="48"/>
  <c r="B6" i="41"/>
  <c r="B6" i="44"/>
  <c r="B5" i="40"/>
  <c r="B5" i="41"/>
  <c r="B5" i="48"/>
  <c r="B5" i="44"/>
  <c r="B3" i="40"/>
  <c r="B3" i="48"/>
  <c r="B3" i="41"/>
  <c r="B3" i="44"/>
  <c r="B42" i="40"/>
  <c r="B42" i="41"/>
  <c r="B42" i="48"/>
  <c r="B42" i="44"/>
  <c r="B16" i="50"/>
  <c r="B34" i="40"/>
  <c r="B34" i="41"/>
  <c r="B34" i="48"/>
  <c r="B34" i="44"/>
  <c r="B27" i="82"/>
  <c r="B26" i="40"/>
  <c r="B26" i="41"/>
  <c r="B26" i="48"/>
  <c r="B26" i="44"/>
  <c r="B40" i="82"/>
  <c r="B18" i="40"/>
  <c r="B18" i="41"/>
  <c r="B18" i="48"/>
  <c r="B18" i="44"/>
  <c r="B10" i="41"/>
  <c r="B10" i="40"/>
  <c r="B10" i="44"/>
  <c r="B28" i="82"/>
  <c r="B10" i="48"/>
  <c r="B38" i="48"/>
  <c r="B38" i="41"/>
  <c r="B38" i="44"/>
  <c r="B24" i="82"/>
  <c r="B32" i="50"/>
  <c r="B38" i="40"/>
  <c r="B21" i="40"/>
  <c r="B21" i="48"/>
  <c r="B21" i="41"/>
  <c r="B21" i="44"/>
  <c r="B37" i="50"/>
  <c r="B41" i="48"/>
  <c r="B41" i="41"/>
  <c r="B41" i="44"/>
  <c r="B41" i="40"/>
  <c r="B33" i="48"/>
  <c r="B33" i="41"/>
  <c r="B33" i="44"/>
  <c r="B22" i="81"/>
  <c r="B33" i="40"/>
  <c r="B25" i="48"/>
  <c r="B25" i="41"/>
  <c r="B25" i="44"/>
  <c r="B35" i="81"/>
  <c r="B25" i="40"/>
  <c r="B17" i="48"/>
  <c r="B17" i="41"/>
  <c r="B17" i="44"/>
  <c r="B17" i="40"/>
  <c r="B9" i="48"/>
  <c r="B9" i="41"/>
  <c r="B9" i="44"/>
  <c r="B42" i="50"/>
  <c r="B9" i="40"/>
  <c r="B14" i="48"/>
  <c r="B14" i="41"/>
  <c r="B14" i="44"/>
  <c r="B14" i="40"/>
  <c r="B29" i="40"/>
  <c r="B29" i="44"/>
  <c r="B11" i="82"/>
  <c r="B29" i="48"/>
  <c r="B29" i="41"/>
  <c r="B44" i="44"/>
  <c r="B4" i="50"/>
  <c r="B44" i="40"/>
  <c r="B44" i="41"/>
  <c r="B44" i="48"/>
  <c r="B48" i="40"/>
  <c r="B48" i="48"/>
  <c r="B48" i="41"/>
  <c r="B48" i="44"/>
  <c r="B40" i="40"/>
  <c r="B40" i="48"/>
  <c r="B40" i="41"/>
  <c r="B40" i="44"/>
  <c r="B32" i="40"/>
  <c r="B32" i="48"/>
  <c r="B32" i="41"/>
  <c r="B32" i="44"/>
  <c r="B42" i="82"/>
  <c r="B24" i="40"/>
  <c r="B24" i="48"/>
  <c r="B24" i="41"/>
  <c r="B24" i="44"/>
  <c r="B4" i="81"/>
  <c r="B16" i="40"/>
  <c r="B16" i="48"/>
  <c r="B16" i="41"/>
  <c r="B16" i="44"/>
  <c r="B8" i="40"/>
  <c r="B8" i="48"/>
  <c r="B8" i="41"/>
  <c r="B8" i="44"/>
  <c r="C18" i="38"/>
  <c r="B34" i="81"/>
  <c r="B31" i="82"/>
  <c r="B36" i="82"/>
  <c r="F2" i="32"/>
  <c r="I34" i="55"/>
  <c r="I19" i="55"/>
  <c r="I44" i="55"/>
  <c r="I49" i="55"/>
  <c r="I47" i="55"/>
  <c r="I45" i="55"/>
  <c r="I25" i="55"/>
  <c r="I54" i="55"/>
  <c r="I18" i="55"/>
  <c r="I33" i="55"/>
  <c r="I31" i="55"/>
  <c r="I13" i="55"/>
  <c r="I52" i="55"/>
  <c r="I27" i="55"/>
  <c r="I8" i="55"/>
  <c r="I17" i="55"/>
  <c r="I46" i="55"/>
  <c r="I28" i="55"/>
  <c r="I41" i="55"/>
  <c r="I7" i="55"/>
  <c r="I35" i="55"/>
  <c r="I32" i="55"/>
  <c r="I30" i="55"/>
  <c r="I43" i="55"/>
  <c r="I26" i="55"/>
  <c r="I24" i="55"/>
  <c r="I22" i="55"/>
  <c r="I53" i="55"/>
  <c r="I6" i="55"/>
  <c r="I16" i="55"/>
  <c r="I14" i="55"/>
  <c r="I42" i="55"/>
  <c r="I9" i="55"/>
  <c r="I51" i="55"/>
  <c r="I23" i="55"/>
  <c r="I21" i="55"/>
  <c r="I5" i="55"/>
  <c r="I50" i="55"/>
  <c r="I3" i="55"/>
  <c r="I48" i="55"/>
  <c r="I15" i="55"/>
  <c r="I29" i="55"/>
  <c r="I12" i="55"/>
  <c r="I11" i="55"/>
  <c r="I10" i="55"/>
  <c r="I40" i="55"/>
  <c r="I39" i="55"/>
  <c r="I38" i="55"/>
  <c r="I37" i="55"/>
  <c r="I36" i="55"/>
  <c r="I20" i="55"/>
  <c r="I4" i="55"/>
  <c r="P45" i="66"/>
  <c r="P47" i="66"/>
  <c r="P24" i="66"/>
  <c r="P26" i="66"/>
  <c r="P5" i="66"/>
  <c r="P37" i="66"/>
  <c r="P16" i="66"/>
  <c r="P25" i="66"/>
  <c r="P32" i="66"/>
  <c r="P22" i="66"/>
  <c r="P39" i="66"/>
  <c r="P12" i="66"/>
  <c r="P27" i="66"/>
  <c r="P29" i="66"/>
  <c r="P31" i="66"/>
  <c r="P8" i="66"/>
  <c r="P3" i="66"/>
  <c r="P44" i="66"/>
  <c r="P6" i="66"/>
  <c r="P4" i="66"/>
  <c r="E57" i="66"/>
  <c r="P13" i="66"/>
  <c r="P14" i="66"/>
  <c r="P19" i="66"/>
  <c r="P36" i="66"/>
  <c r="P28" i="66"/>
  <c r="P15" i="66"/>
  <c r="P33" i="66"/>
  <c r="P46" i="66"/>
  <c r="P7" i="66"/>
  <c r="P35" i="66"/>
  <c r="P20" i="66"/>
  <c r="P11" i="66"/>
  <c r="P30" i="66"/>
  <c r="P43" i="66"/>
  <c r="P41" i="66"/>
  <c r="P48" i="66"/>
  <c r="P17" i="66"/>
  <c r="P49" i="66"/>
  <c r="P9" i="66"/>
  <c r="P42" i="66"/>
  <c r="P34" i="66"/>
  <c r="P38" i="66"/>
  <c r="P40" i="66"/>
  <c r="P8" i="61"/>
  <c r="P19" i="61"/>
  <c r="P4" i="61"/>
  <c r="E57" i="61"/>
  <c r="P30" i="61"/>
  <c r="P28" i="61"/>
  <c r="P49" i="61"/>
  <c r="P29" i="61"/>
  <c r="P20" i="61"/>
  <c r="P47" i="61"/>
  <c r="P41" i="61"/>
  <c r="P16" i="61"/>
  <c r="P12" i="61"/>
  <c r="P17" i="61"/>
  <c r="P3" i="61"/>
  <c r="P14" i="61"/>
  <c r="P40" i="61"/>
  <c r="P44" i="61"/>
  <c r="P36" i="61"/>
  <c r="P42" i="61"/>
  <c r="P31" i="61"/>
  <c r="P15" i="61"/>
  <c r="P33" i="61"/>
  <c r="P46" i="61"/>
  <c r="P35" i="61"/>
  <c r="P11" i="61"/>
  <c r="P43" i="61"/>
  <c r="P37" i="61"/>
  <c r="P6" i="61"/>
  <c r="P34" i="61"/>
  <c r="P45" i="61"/>
  <c r="P24" i="61"/>
  <c r="P7" i="61"/>
  <c r="P26" i="61"/>
  <c r="P48" i="61"/>
  <c r="P38" i="61"/>
  <c r="P32" i="61"/>
  <c r="P39" i="61"/>
  <c r="P27" i="61"/>
  <c r="G52" i="31"/>
  <c r="P52" i="66"/>
  <c r="P13" i="61"/>
  <c r="P52" i="61"/>
  <c r="G51" i="31"/>
  <c r="P51" i="66"/>
  <c r="P9" i="61"/>
  <c r="P51" i="61"/>
  <c r="G50" i="31"/>
  <c r="P50" i="66"/>
  <c r="P5" i="61"/>
  <c r="P50" i="61"/>
  <c r="P54" i="66"/>
  <c r="P25" i="61"/>
  <c r="P54" i="61"/>
  <c r="G53" i="31"/>
  <c r="P53" i="66"/>
  <c r="P22" i="61"/>
  <c r="P53" i="61"/>
  <c r="P19" i="55"/>
  <c r="U19" i="55"/>
  <c r="P30" i="55"/>
  <c r="U30" i="55"/>
  <c r="P28" i="55"/>
  <c r="U28" i="55"/>
  <c r="P36" i="55"/>
  <c r="U36" i="55"/>
  <c r="P14" i="55"/>
  <c r="U14" i="55"/>
  <c r="P47" i="55"/>
  <c r="U47" i="55"/>
  <c r="P25" i="55"/>
  <c r="P46" i="55"/>
  <c r="U46" i="55"/>
  <c r="P49" i="55"/>
  <c r="U49" i="55"/>
  <c r="P43" i="55"/>
  <c r="U43" i="55"/>
  <c r="P29" i="55"/>
  <c r="U29" i="55"/>
  <c r="P4" i="55"/>
  <c r="U4" i="55"/>
  <c r="P17" i="55"/>
  <c r="U17" i="55"/>
  <c r="P26" i="55"/>
  <c r="U26" i="55"/>
  <c r="P12" i="55"/>
  <c r="U12" i="55"/>
  <c r="P48" i="55"/>
  <c r="U48" i="55"/>
  <c r="P9" i="55"/>
  <c r="P51" i="55"/>
  <c r="P41" i="55"/>
  <c r="U41" i="55"/>
  <c r="P37" i="55"/>
  <c r="U37" i="55"/>
  <c r="P3" i="55"/>
  <c r="U3" i="55"/>
  <c r="P15" i="55"/>
  <c r="U15" i="55"/>
  <c r="P24" i="55"/>
  <c r="U24" i="55"/>
  <c r="P13" i="55"/>
  <c r="U13" i="55"/>
  <c r="U52" i="55"/>
  <c r="P7" i="55"/>
  <c r="U7" i="55"/>
  <c r="P40" i="55"/>
  <c r="U40" i="55"/>
  <c r="P16" i="55"/>
  <c r="U16" i="55"/>
  <c r="P31" i="55"/>
  <c r="U31" i="55"/>
  <c r="P6" i="55"/>
  <c r="U6" i="55"/>
  <c r="P33" i="55"/>
  <c r="U33" i="55"/>
  <c r="P11" i="55"/>
  <c r="U11" i="55"/>
  <c r="P45" i="55"/>
  <c r="U45" i="55"/>
  <c r="P5" i="55"/>
  <c r="U5" i="55"/>
  <c r="U50" i="55"/>
  <c r="P38" i="55"/>
  <c r="U38" i="55"/>
  <c r="P8" i="55"/>
  <c r="U8" i="55"/>
  <c r="P20" i="55"/>
  <c r="U20" i="55"/>
  <c r="P42" i="55"/>
  <c r="U42" i="55"/>
  <c r="P22" i="55"/>
  <c r="P53" i="55"/>
  <c r="U22" i="55"/>
  <c r="U53" i="55"/>
  <c r="P44" i="55"/>
  <c r="U44" i="55"/>
  <c r="P35" i="55"/>
  <c r="U35" i="55"/>
  <c r="P34" i="55"/>
  <c r="U34" i="55"/>
  <c r="P32" i="55"/>
  <c r="U32" i="55"/>
  <c r="P39" i="55"/>
  <c r="U39" i="55"/>
  <c r="P27" i="55"/>
  <c r="U27" i="55"/>
  <c r="M51" i="33"/>
  <c r="E3" i="33"/>
  <c r="H3" i="33"/>
  <c r="C2" i="32"/>
  <c r="T2" i="32"/>
  <c r="O44" i="14"/>
  <c r="P44" i="15"/>
  <c r="U44" i="15"/>
  <c r="O20" i="14"/>
  <c r="P20" i="15"/>
  <c r="U20" i="15"/>
  <c r="O35" i="14"/>
  <c r="I35" i="40"/>
  <c r="W35" i="40"/>
  <c r="P35" i="15"/>
  <c r="U35" i="15"/>
  <c r="O19" i="14"/>
  <c r="P19" i="15"/>
  <c r="U19" i="15"/>
  <c r="O3" i="14"/>
  <c r="I3" i="40"/>
  <c r="W3" i="40"/>
  <c r="P3" i="15"/>
  <c r="U3" i="15"/>
  <c r="O26" i="14"/>
  <c r="P26" i="15"/>
  <c r="U26" i="15"/>
  <c r="O49" i="14"/>
  <c r="P49" i="15"/>
  <c r="U49" i="15"/>
  <c r="O33" i="14"/>
  <c r="H33" i="44"/>
  <c r="W33" i="44"/>
  <c r="P33" i="15"/>
  <c r="U33" i="15"/>
  <c r="O17" i="14"/>
  <c r="H17" i="44"/>
  <c r="P17" i="15"/>
  <c r="U17" i="15"/>
  <c r="O40" i="14"/>
  <c r="I40" i="60"/>
  <c r="W40" i="60"/>
  <c r="P40" i="15"/>
  <c r="U40" i="15"/>
  <c r="O32" i="14"/>
  <c r="I32" i="60"/>
  <c r="W32" i="60"/>
  <c r="P32" i="15"/>
  <c r="U32" i="15"/>
  <c r="O24" i="14"/>
  <c r="I24" i="17"/>
  <c r="P24" i="15"/>
  <c r="U24" i="15"/>
  <c r="O16" i="14"/>
  <c r="P16" i="15"/>
  <c r="U16" i="15"/>
  <c r="O8" i="14"/>
  <c r="P8" i="15"/>
  <c r="U8" i="15"/>
  <c r="O28" i="14"/>
  <c r="P28" i="15"/>
  <c r="U28" i="15"/>
  <c r="O43" i="14"/>
  <c r="I43" i="60"/>
  <c r="W43" i="60"/>
  <c r="P43" i="15"/>
  <c r="U43" i="15"/>
  <c r="O27" i="14"/>
  <c r="I27" i="48"/>
  <c r="W27" i="48"/>
  <c r="P27" i="15"/>
  <c r="U27" i="15"/>
  <c r="O42" i="14"/>
  <c r="H42" i="44"/>
  <c r="W42" i="44"/>
  <c r="P42" i="15"/>
  <c r="U42" i="15"/>
  <c r="O34" i="14"/>
  <c r="I34" i="48"/>
  <c r="W34" i="48"/>
  <c r="P34" i="15"/>
  <c r="U34" i="15"/>
  <c r="O41" i="14"/>
  <c r="I41" i="17"/>
  <c r="W41" i="17"/>
  <c r="P41" i="15"/>
  <c r="U41" i="15"/>
  <c r="O25" i="14"/>
  <c r="I25" i="60"/>
  <c r="P25" i="15"/>
  <c r="U25" i="15"/>
  <c r="U54" i="15"/>
  <c r="O9" i="14"/>
  <c r="P9" i="15"/>
  <c r="P51" i="15"/>
  <c r="O48" i="14"/>
  <c r="H48" i="44"/>
  <c r="W48" i="44"/>
  <c r="P48" i="15"/>
  <c r="U48" i="15"/>
  <c r="O47" i="14"/>
  <c r="I47" i="48"/>
  <c r="W47" i="48"/>
  <c r="P47" i="15"/>
  <c r="U47" i="15"/>
  <c r="O39" i="14"/>
  <c r="I39" i="60"/>
  <c r="W39" i="60"/>
  <c r="P39" i="15"/>
  <c r="U39" i="15"/>
  <c r="O31" i="14"/>
  <c r="I31" i="48"/>
  <c r="W31" i="48"/>
  <c r="P31" i="15"/>
  <c r="U31" i="15"/>
  <c r="O15" i="14"/>
  <c r="I15" i="40"/>
  <c r="W15" i="40"/>
  <c r="P15" i="15"/>
  <c r="U15" i="15"/>
  <c r="O7" i="14"/>
  <c r="P7" i="15"/>
  <c r="U7" i="15"/>
  <c r="O36" i="14"/>
  <c r="I36" i="60"/>
  <c r="W36" i="60"/>
  <c r="P36" i="15"/>
  <c r="U36" i="15"/>
  <c r="O12" i="14"/>
  <c r="H12" i="44"/>
  <c r="W12" i="44"/>
  <c r="P12" i="15"/>
  <c r="U12" i="15"/>
  <c r="O11" i="14"/>
  <c r="P11" i="15"/>
  <c r="U11" i="15"/>
  <c r="O46" i="14"/>
  <c r="I46" i="40"/>
  <c r="W46" i="40"/>
  <c r="P46" i="15"/>
  <c r="U46" i="15"/>
  <c r="O38" i="14"/>
  <c r="H38" i="44"/>
  <c r="W38" i="44"/>
  <c r="P38" i="15"/>
  <c r="U38" i="15"/>
  <c r="O30" i="14"/>
  <c r="I30" i="40"/>
  <c r="W30" i="40"/>
  <c r="P30" i="15"/>
  <c r="U30" i="15"/>
  <c r="O22" i="14"/>
  <c r="I22" i="48"/>
  <c r="W22" i="48"/>
  <c r="P22" i="15"/>
  <c r="U22" i="15"/>
  <c r="U53" i="15"/>
  <c r="O14" i="14"/>
  <c r="I14" i="41"/>
  <c r="W14" i="41"/>
  <c r="P14" i="15"/>
  <c r="U14" i="15"/>
  <c r="O6" i="14"/>
  <c r="P6" i="15"/>
  <c r="U6" i="15"/>
  <c r="O45" i="14"/>
  <c r="I45" i="40"/>
  <c r="P45" i="15"/>
  <c r="U45" i="15"/>
  <c r="O37" i="14"/>
  <c r="H37" i="44"/>
  <c r="W37" i="44"/>
  <c r="P37" i="15"/>
  <c r="U37" i="15"/>
  <c r="O29" i="14"/>
  <c r="P29" i="15"/>
  <c r="U29" i="15"/>
  <c r="O13" i="14"/>
  <c r="I13" i="48"/>
  <c r="W13" i="48"/>
  <c r="P13" i="15"/>
  <c r="E13" i="15"/>
  <c r="O5" i="14"/>
  <c r="I5" i="40"/>
  <c r="W5" i="40"/>
  <c r="I5" i="60"/>
  <c r="P5" i="15"/>
  <c r="O4" i="14"/>
  <c r="P4" i="15"/>
  <c r="U4" i="15"/>
  <c r="B2" i="35"/>
  <c r="B3" i="35"/>
  <c r="B4" i="35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D50" i="35"/>
  <c r="C53" i="34"/>
  <c r="J3" i="33"/>
  <c r="R3" i="33"/>
  <c r="S3" i="33"/>
  <c r="K4" i="33"/>
  <c r="E3" i="32"/>
  <c r="R4" i="33"/>
  <c r="S4" i="33"/>
  <c r="K5" i="33"/>
  <c r="R5" i="33"/>
  <c r="S5" i="33"/>
  <c r="K7" i="33"/>
  <c r="R7" i="33"/>
  <c r="S7" i="33"/>
  <c r="R8" i="33"/>
  <c r="S8" i="33"/>
  <c r="R9" i="33"/>
  <c r="S9" i="33"/>
  <c r="K10" i="33"/>
  <c r="N10" i="33"/>
  <c r="R10" i="33"/>
  <c r="S10" i="33"/>
  <c r="K11" i="33"/>
  <c r="R11" i="33"/>
  <c r="S11" i="33"/>
  <c r="R12" i="33"/>
  <c r="S12" i="33"/>
  <c r="R13" i="33"/>
  <c r="S13" i="33"/>
  <c r="R14" i="33"/>
  <c r="S14" i="33"/>
  <c r="R15" i="33"/>
  <c r="S15" i="33"/>
  <c r="K16" i="33"/>
  <c r="N16" i="33"/>
  <c r="R16" i="33"/>
  <c r="S16" i="33"/>
  <c r="K17" i="33"/>
  <c r="N17" i="33"/>
  <c r="R17" i="33"/>
  <c r="S17" i="33"/>
  <c r="T17" i="33"/>
  <c r="K18" i="33"/>
  <c r="R18" i="33"/>
  <c r="S18" i="33"/>
  <c r="K19" i="33"/>
  <c r="R19" i="33"/>
  <c r="S19" i="33"/>
  <c r="R20" i="33"/>
  <c r="S20" i="33"/>
  <c r="R21" i="33"/>
  <c r="S21" i="33"/>
  <c r="K22" i="33"/>
  <c r="N22" i="33"/>
  <c r="R22" i="33"/>
  <c r="S22" i="33"/>
  <c r="K23" i="33"/>
  <c r="R23" i="33"/>
  <c r="S23" i="33"/>
  <c r="K24" i="33"/>
  <c r="N24" i="33"/>
  <c r="R24" i="33"/>
  <c r="S24" i="33"/>
  <c r="R25" i="33"/>
  <c r="S25" i="33"/>
  <c r="K26" i="33"/>
  <c r="R26" i="33"/>
  <c r="S26" i="33"/>
  <c r="R27" i="33"/>
  <c r="S27" i="33"/>
  <c r="R28" i="33"/>
  <c r="S28" i="33"/>
  <c r="T28" i="33"/>
  <c r="K29" i="33"/>
  <c r="R29" i="33"/>
  <c r="S29" i="33"/>
  <c r="T29" i="33"/>
  <c r="R30" i="33"/>
  <c r="S30" i="33"/>
  <c r="K31" i="33"/>
  <c r="N31" i="33"/>
  <c r="R31" i="33"/>
  <c r="S31" i="33"/>
  <c r="K32" i="33"/>
  <c r="N32" i="33"/>
  <c r="R32" i="33"/>
  <c r="S32" i="33"/>
  <c r="K33" i="33"/>
  <c r="R33" i="33"/>
  <c r="S33" i="33"/>
  <c r="K34" i="33"/>
  <c r="E33" i="32"/>
  <c r="N34" i="33"/>
  <c r="R34" i="33"/>
  <c r="S34" i="33"/>
  <c r="R35" i="33"/>
  <c r="S35" i="33"/>
  <c r="T35" i="33"/>
  <c r="K36" i="33"/>
  <c r="N36" i="33"/>
  <c r="R36" i="33"/>
  <c r="S36" i="33"/>
  <c r="R37" i="33"/>
  <c r="S37" i="33"/>
  <c r="K38" i="33"/>
  <c r="R38" i="33"/>
  <c r="S38" i="33"/>
  <c r="K39" i="33"/>
  <c r="N39" i="33"/>
  <c r="R39" i="33"/>
  <c r="S39" i="33"/>
  <c r="T39" i="33"/>
  <c r="K40" i="33"/>
  <c r="R40" i="33"/>
  <c r="S40" i="33"/>
  <c r="N41" i="33"/>
  <c r="R41" i="33"/>
  <c r="S41" i="33"/>
  <c r="R42" i="33"/>
  <c r="S42" i="33"/>
  <c r="R43" i="33"/>
  <c r="S43" i="33"/>
  <c r="R44" i="33"/>
  <c r="S44" i="33"/>
  <c r="K45" i="33"/>
  <c r="R45" i="33"/>
  <c r="S45" i="33"/>
  <c r="K46" i="33"/>
  <c r="N46" i="33"/>
  <c r="R46" i="33"/>
  <c r="S46" i="33"/>
  <c r="K47" i="33"/>
  <c r="R47" i="33"/>
  <c r="S47" i="33"/>
  <c r="K48" i="33"/>
  <c r="N48" i="33"/>
  <c r="R48" i="33"/>
  <c r="S48" i="33"/>
  <c r="R6" i="33"/>
  <c r="S6" i="33"/>
  <c r="K49" i="33"/>
  <c r="E48" i="32"/>
  <c r="G48" i="32"/>
  <c r="R49" i="33"/>
  <c r="S49" i="33"/>
  <c r="B63" i="33"/>
  <c r="C63" i="33"/>
  <c r="D63" i="33"/>
  <c r="D65" i="33"/>
  <c r="J69" i="33"/>
  <c r="B2" i="32"/>
  <c r="H2" i="32"/>
  <c r="B3" i="32"/>
  <c r="F3" i="32"/>
  <c r="H3" i="32"/>
  <c r="K3" i="32"/>
  <c r="L3" i="32"/>
  <c r="B4" i="32"/>
  <c r="F4" i="32"/>
  <c r="H4" i="32"/>
  <c r="B6" i="32"/>
  <c r="F6" i="32"/>
  <c r="H6" i="32"/>
  <c r="K6" i="32"/>
  <c r="B7" i="32"/>
  <c r="F7" i="32"/>
  <c r="H7" i="32"/>
  <c r="B8" i="32"/>
  <c r="F8" i="32"/>
  <c r="H8" i="32"/>
  <c r="B9" i="32"/>
  <c r="F9" i="32"/>
  <c r="H9" i="32"/>
  <c r="K9" i="32"/>
  <c r="L9" i="32"/>
  <c r="B10" i="32"/>
  <c r="F10" i="32"/>
  <c r="H10" i="32"/>
  <c r="K10" i="32"/>
  <c r="B11" i="32"/>
  <c r="F11" i="32"/>
  <c r="H11" i="32"/>
  <c r="B12" i="32"/>
  <c r="F12" i="32"/>
  <c r="H12" i="32"/>
  <c r="B13" i="32"/>
  <c r="F13" i="32"/>
  <c r="H13" i="32"/>
  <c r="B14" i="32"/>
  <c r="F14" i="32"/>
  <c r="H14" i="32"/>
  <c r="B15" i="32"/>
  <c r="F15" i="32"/>
  <c r="H15" i="32"/>
  <c r="B16" i="32"/>
  <c r="F16" i="32"/>
  <c r="H16" i="32"/>
  <c r="B17" i="32"/>
  <c r="F17" i="32"/>
  <c r="H17" i="32"/>
  <c r="B18" i="32"/>
  <c r="F18" i="32"/>
  <c r="H18" i="32"/>
  <c r="B19" i="32"/>
  <c r="F19" i="32"/>
  <c r="H19" i="32"/>
  <c r="B20" i="32"/>
  <c r="F20" i="32"/>
  <c r="H20" i="32"/>
  <c r="K20" i="32"/>
  <c r="L20" i="32"/>
  <c r="B21" i="32"/>
  <c r="F21" i="32"/>
  <c r="H21" i="32"/>
  <c r="B22" i="32"/>
  <c r="F22" i="32"/>
  <c r="H22" i="32"/>
  <c r="K22" i="32"/>
  <c r="B23" i="32"/>
  <c r="F23" i="32"/>
  <c r="H23" i="32"/>
  <c r="K23" i="32"/>
  <c r="L23" i="32"/>
  <c r="B24" i="32"/>
  <c r="F24" i="32"/>
  <c r="H24" i="32"/>
  <c r="B25" i="32"/>
  <c r="F25" i="32"/>
  <c r="H25" i="32"/>
  <c r="B26" i="32"/>
  <c r="F26" i="32"/>
  <c r="H26" i="32"/>
  <c r="B27" i="32"/>
  <c r="F27" i="32"/>
  <c r="H27" i="32"/>
  <c r="B28" i="32"/>
  <c r="F28" i="32"/>
  <c r="H28" i="32"/>
  <c r="B29" i="32"/>
  <c r="F29" i="32"/>
  <c r="H29" i="32"/>
  <c r="K29" i="32"/>
  <c r="L29" i="32"/>
  <c r="B30" i="32"/>
  <c r="F30" i="32"/>
  <c r="H30" i="32"/>
  <c r="B31" i="32"/>
  <c r="F31" i="32"/>
  <c r="H31" i="32"/>
  <c r="B32" i="32"/>
  <c r="F32" i="32"/>
  <c r="H32" i="32"/>
  <c r="B33" i="32"/>
  <c r="F33" i="32"/>
  <c r="H33" i="32"/>
  <c r="I33" i="32"/>
  <c r="B34" i="32"/>
  <c r="F34" i="32"/>
  <c r="H34" i="32"/>
  <c r="B35" i="32"/>
  <c r="F35" i="32"/>
  <c r="H35" i="32"/>
  <c r="B36" i="32"/>
  <c r="F36" i="32"/>
  <c r="H36" i="32"/>
  <c r="B37" i="32"/>
  <c r="F37" i="32"/>
  <c r="H37" i="32"/>
  <c r="B38" i="32"/>
  <c r="F38" i="32"/>
  <c r="H38" i="32"/>
  <c r="B39" i="32"/>
  <c r="F39" i="32"/>
  <c r="H39" i="32"/>
  <c r="B40" i="32"/>
  <c r="F40" i="32"/>
  <c r="H40" i="32"/>
  <c r="B41" i="32"/>
  <c r="F41" i="32"/>
  <c r="H41" i="32"/>
  <c r="B42" i="32"/>
  <c r="F42" i="32"/>
  <c r="H42" i="32"/>
  <c r="B43" i="32"/>
  <c r="F43" i="32"/>
  <c r="H43" i="32"/>
  <c r="B44" i="32"/>
  <c r="F44" i="32"/>
  <c r="H44" i="32"/>
  <c r="K44" i="32"/>
  <c r="L44" i="32"/>
  <c r="B45" i="32"/>
  <c r="F45" i="32"/>
  <c r="H45" i="32"/>
  <c r="B46" i="32"/>
  <c r="F46" i="32"/>
  <c r="H46" i="32"/>
  <c r="B47" i="32"/>
  <c r="F47" i="32"/>
  <c r="H47" i="32"/>
  <c r="K47" i="32"/>
  <c r="B5" i="32"/>
  <c r="H5" i="32"/>
  <c r="B48" i="32"/>
  <c r="F48" i="32"/>
  <c r="H48" i="32"/>
  <c r="K48" i="32"/>
  <c r="M48" i="32"/>
  <c r="F49" i="31"/>
  <c r="T4" i="31"/>
  <c r="F49" i="23"/>
  <c r="V49" i="31"/>
  <c r="T50" i="31"/>
  <c r="V50" i="31"/>
  <c r="T51" i="31"/>
  <c r="V51" i="31"/>
  <c r="T52" i="31"/>
  <c r="V52" i="31"/>
  <c r="T53" i="31"/>
  <c r="V53" i="31"/>
  <c r="T54" i="31"/>
  <c r="V54" i="31"/>
  <c r="A3" i="26"/>
  <c r="B3" i="26"/>
  <c r="A4" i="26"/>
  <c r="B4" i="26"/>
  <c r="A5" i="26"/>
  <c r="B5" i="26"/>
  <c r="A6" i="26"/>
  <c r="B6" i="26"/>
  <c r="A7" i="26"/>
  <c r="B7" i="26"/>
  <c r="A8" i="26"/>
  <c r="B8" i="26"/>
  <c r="A9" i="26"/>
  <c r="B9" i="26"/>
  <c r="A10" i="26"/>
  <c r="B10" i="26"/>
  <c r="A11" i="26"/>
  <c r="B11" i="26"/>
  <c r="A12" i="26"/>
  <c r="B12" i="26"/>
  <c r="A13" i="26"/>
  <c r="B13" i="26"/>
  <c r="A14" i="26"/>
  <c r="C14" i="26"/>
  <c r="B14" i="26"/>
  <c r="A15" i="26"/>
  <c r="B15" i="26"/>
  <c r="A16" i="26"/>
  <c r="B16" i="26"/>
  <c r="A17" i="26"/>
  <c r="B17" i="26"/>
  <c r="A18" i="26"/>
  <c r="B18" i="26"/>
  <c r="A19" i="26"/>
  <c r="B19" i="26"/>
  <c r="A20" i="26"/>
  <c r="B20" i="26"/>
  <c r="A21" i="26"/>
  <c r="B21" i="26"/>
  <c r="A22" i="26"/>
  <c r="B22" i="26"/>
  <c r="A23" i="26"/>
  <c r="B23" i="26"/>
  <c r="A24" i="26"/>
  <c r="B24" i="26"/>
  <c r="A25" i="26"/>
  <c r="B25" i="26"/>
  <c r="A26" i="26"/>
  <c r="B26" i="26"/>
  <c r="A27" i="26"/>
  <c r="B27" i="26"/>
  <c r="A28" i="26"/>
  <c r="B28" i="26"/>
  <c r="A29" i="26"/>
  <c r="B29" i="26"/>
  <c r="A30" i="26"/>
  <c r="B30" i="26"/>
  <c r="A31" i="26"/>
  <c r="B31" i="26"/>
  <c r="A32" i="26"/>
  <c r="B32" i="26"/>
  <c r="A33" i="26"/>
  <c r="B33" i="26"/>
  <c r="A34" i="26"/>
  <c r="B34" i="26"/>
  <c r="A35" i="26"/>
  <c r="B35" i="26"/>
  <c r="A36" i="26"/>
  <c r="B36" i="26"/>
  <c r="A37" i="26"/>
  <c r="B37" i="26"/>
  <c r="A38" i="26"/>
  <c r="B38" i="26"/>
  <c r="A39" i="26"/>
  <c r="B39" i="26"/>
  <c r="A40" i="26"/>
  <c r="B40" i="26"/>
  <c r="A41" i="26"/>
  <c r="B41" i="26"/>
  <c r="A42" i="26"/>
  <c r="B42" i="26"/>
  <c r="A43" i="26"/>
  <c r="B43" i="26"/>
  <c r="A44" i="26"/>
  <c r="B44" i="26"/>
  <c r="C45" i="26"/>
  <c r="D45" i="26"/>
  <c r="A46" i="26"/>
  <c r="B46" i="26"/>
  <c r="A47" i="26"/>
  <c r="B47" i="26"/>
  <c r="A48" i="26"/>
  <c r="B48" i="26"/>
  <c r="A49" i="26"/>
  <c r="B49" i="26"/>
  <c r="A50" i="26"/>
  <c r="B50" i="26"/>
  <c r="A3" i="23"/>
  <c r="B3" i="23"/>
  <c r="A4" i="23"/>
  <c r="E4" i="23"/>
  <c r="B4" i="23"/>
  <c r="A5" i="23"/>
  <c r="E5" i="23"/>
  <c r="B5" i="23"/>
  <c r="A6" i="23"/>
  <c r="C6" i="23"/>
  <c r="B6" i="23"/>
  <c r="A7" i="23"/>
  <c r="E7" i="23"/>
  <c r="B7" i="23"/>
  <c r="A8" i="23"/>
  <c r="C8" i="23"/>
  <c r="B8" i="23"/>
  <c r="A9" i="23"/>
  <c r="E9" i="23"/>
  <c r="B9" i="23"/>
  <c r="A10" i="23"/>
  <c r="C10" i="23"/>
  <c r="B10" i="23"/>
  <c r="A11" i="23"/>
  <c r="B11" i="23"/>
  <c r="A12" i="23"/>
  <c r="B12" i="23"/>
  <c r="A13" i="23"/>
  <c r="E13" i="23"/>
  <c r="B13" i="23"/>
  <c r="A14" i="23"/>
  <c r="C14" i="23"/>
  <c r="B14" i="23"/>
  <c r="A15" i="23"/>
  <c r="E15" i="23"/>
  <c r="B15" i="23"/>
  <c r="A16" i="23"/>
  <c r="D16" i="23"/>
  <c r="B16" i="23"/>
  <c r="A17" i="23"/>
  <c r="B17" i="23"/>
  <c r="A18" i="23"/>
  <c r="C18" i="23"/>
  <c r="B18" i="23"/>
  <c r="A19" i="23"/>
  <c r="C19" i="23"/>
  <c r="E19" i="23"/>
  <c r="B19" i="23"/>
  <c r="A20" i="23"/>
  <c r="C20" i="23"/>
  <c r="B20" i="23"/>
  <c r="A21" i="23"/>
  <c r="C21" i="23"/>
  <c r="B21" i="23"/>
  <c r="A22" i="23"/>
  <c r="C22" i="23"/>
  <c r="B22" i="23"/>
  <c r="A23" i="23"/>
  <c r="B23" i="23"/>
  <c r="A24" i="23"/>
  <c r="E24" i="23"/>
  <c r="B24" i="23"/>
  <c r="A25" i="23"/>
  <c r="B25" i="23"/>
  <c r="A26" i="23"/>
  <c r="B26" i="23"/>
  <c r="A27" i="23"/>
  <c r="E27" i="23"/>
  <c r="B27" i="23"/>
  <c r="A28" i="23"/>
  <c r="C28" i="23"/>
  <c r="B28" i="23"/>
  <c r="A29" i="23"/>
  <c r="B29" i="23"/>
  <c r="A30" i="23"/>
  <c r="E30" i="23"/>
  <c r="B30" i="23"/>
  <c r="A31" i="23"/>
  <c r="E31" i="23"/>
  <c r="B31" i="23"/>
  <c r="A32" i="23"/>
  <c r="D32" i="23"/>
  <c r="B32" i="23"/>
  <c r="A33" i="23"/>
  <c r="C33" i="23"/>
  <c r="B33" i="23"/>
  <c r="A34" i="23"/>
  <c r="E34" i="23"/>
  <c r="B34" i="23"/>
  <c r="A35" i="23"/>
  <c r="E35" i="23"/>
  <c r="B35" i="23"/>
  <c r="A36" i="23"/>
  <c r="C36" i="23"/>
  <c r="B36" i="23"/>
  <c r="A37" i="23"/>
  <c r="C37" i="23"/>
  <c r="B37" i="23"/>
  <c r="A38" i="23"/>
  <c r="F38" i="23"/>
  <c r="B38" i="23"/>
  <c r="A39" i="23"/>
  <c r="F39" i="23"/>
  <c r="B39" i="23"/>
  <c r="A40" i="23"/>
  <c r="B40" i="23"/>
  <c r="A41" i="23"/>
  <c r="C41" i="23"/>
  <c r="B41" i="23"/>
  <c r="A42" i="23"/>
  <c r="E42" i="23"/>
  <c r="B42" i="23"/>
  <c r="A43" i="23"/>
  <c r="E43" i="23"/>
  <c r="B43" i="23"/>
  <c r="A44" i="23"/>
  <c r="C44" i="23"/>
  <c r="B44" i="23"/>
  <c r="A45" i="23"/>
  <c r="B45" i="23"/>
  <c r="A46" i="23"/>
  <c r="E46" i="23"/>
  <c r="B46" i="23"/>
  <c r="A47" i="23"/>
  <c r="E47" i="23"/>
  <c r="B47" i="23"/>
  <c r="A48" i="23"/>
  <c r="C48" i="23"/>
  <c r="B48" i="23"/>
  <c r="C49" i="23"/>
  <c r="D49" i="23"/>
  <c r="E49" i="23"/>
  <c r="A50" i="23"/>
  <c r="C50" i="23"/>
  <c r="B50" i="23"/>
  <c r="A51" i="23"/>
  <c r="C51" i="23"/>
  <c r="B51" i="23"/>
  <c r="A52" i="23"/>
  <c r="C52" i="23"/>
  <c r="B52" i="23"/>
  <c r="A53" i="23"/>
  <c r="C53" i="23"/>
  <c r="B53" i="23"/>
  <c r="A54" i="23"/>
  <c r="C54" i="23"/>
  <c r="B54" i="23"/>
  <c r="C3" i="22"/>
  <c r="D3" i="22"/>
  <c r="E3" i="22"/>
  <c r="F3" i="22"/>
  <c r="G3" i="22"/>
  <c r="H3" i="22"/>
  <c r="I3" i="22"/>
  <c r="J3" i="22"/>
  <c r="K3" i="22"/>
  <c r="L3" i="22"/>
  <c r="M3" i="22"/>
  <c r="G7" i="22"/>
  <c r="H7" i="22"/>
  <c r="I7" i="22"/>
  <c r="J7" i="22"/>
  <c r="K7" i="22"/>
  <c r="L7" i="22"/>
  <c r="M7" i="22"/>
  <c r="G8" i="22"/>
  <c r="H8" i="22"/>
  <c r="I8" i="22"/>
  <c r="J8" i="22"/>
  <c r="K8" i="22"/>
  <c r="L8" i="22"/>
  <c r="M8" i="22"/>
  <c r="O2" i="21"/>
  <c r="G9" i="21"/>
  <c r="H9" i="21"/>
  <c r="G10" i="21"/>
  <c r="H10" i="21"/>
  <c r="M10" i="21"/>
  <c r="G11" i="21"/>
  <c r="H11" i="21"/>
  <c r="M11" i="21"/>
  <c r="G12" i="21"/>
  <c r="H12" i="21"/>
  <c r="M12" i="21"/>
  <c r="G13" i="21"/>
  <c r="H13" i="21"/>
  <c r="M13" i="21"/>
  <c r="G14" i="21"/>
  <c r="H14" i="21"/>
  <c r="M14" i="21"/>
  <c r="G15" i="21"/>
  <c r="H15" i="21"/>
  <c r="M15" i="21"/>
  <c r="G16" i="21"/>
  <c r="H16" i="21"/>
  <c r="M16" i="21"/>
  <c r="G17" i="21"/>
  <c r="H17" i="21"/>
  <c r="M17" i="21"/>
  <c r="G18" i="21"/>
  <c r="H18" i="21"/>
  <c r="M18" i="21"/>
  <c r="G19" i="21"/>
  <c r="H19" i="21"/>
  <c r="M19" i="21"/>
  <c r="G20" i="21"/>
  <c r="H20" i="21"/>
  <c r="M20" i="21"/>
  <c r="G21" i="21"/>
  <c r="H21" i="21"/>
  <c r="M21" i="21"/>
  <c r="G22" i="21"/>
  <c r="H22" i="21"/>
  <c r="M22" i="21"/>
  <c r="G23" i="21"/>
  <c r="H23" i="21"/>
  <c r="L23" i="21"/>
  <c r="G24" i="21"/>
  <c r="H24" i="21"/>
  <c r="M24" i="21"/>
  <c r="G25" i="21"/>
  <c r="H25" i="21"/>
  <c r="M25" i="21"/>
  <c r="G26" i="21"/>
  <c r="H26" i="21"/>
  <c r="M26" i="21"/>
  <c r="G27" i="21"/>
  <c r="H27" i="21"/>
  <c r="M27" i="21"/>
  <c r="AN18" i="63"/>
  <c r="G28" i="21"/>
  <c r="H28" i="21"/>
  <c r="M28" i="21"/>
  <c r="G29" i="21"/>
  <c r="H29" i="21"/>
  <c r="M29" i="21"/>
  <c r="G30" i="21"/>
  <c r="H30" i="21"/>
  <c r="M30" i="21"/>
  <c r="G31" i="21"/>
  <c r="H31" i="21"/>
  <c r="M31" i="21"/>
  <c r="G32" i="21"/>
  <c r="H32" i="21"/>
  <c r="M32" i="21"/>
  <c r="G33" i="21"/>
  <c r="H33" i="21"/>
  <c r="M33" i="21"/>
  <c r="G34" i="21"/>
  <c r="H34" i="21"/>
  <c r="M34" i="21"/>
  <c r="G35" i="21"/>
  <c r="H35" i="21"/>
  <c r="M35" i="21"/>
  <c r="G36" i="21"/>
  <c r="H36" i="21"/>
  <c r="M36" i="21"/>
  <c r="G37" i="21"/>
  <c r="H37" i="21"/>
  <c r="M37" i="21"/>
  <c r="G38" i="21"/>
  <c r="H38" i="21"/>
  <c r="M38" i="21"/>
  <c r="G39" i="21"/>
  <c r="H39" i="21"/>
  <c r="M39" i="21"/>
  <c r="G40" i="21"/>
  <c r="H40" i="21"/>
  <c r="M40" i="21"/>
  <c r="G41" i="21"/>
  <c r="H41" i="21"/>
  <c r="M41" i="21"/>
  <c r="G42" i="21"/>
  <c r="H42" i="21"/>
  <c r="M42" i="21"/>
  <c r="G43" i="21"/>
  <c r="H43" i="21"/>
  <c r="M43" i="21"/>
  <c r="G44" i="21"/>
  <c r="H44" i="21"/>
  <c r="M44" i="21"/>
  <c r="G45" i="21"/>
  <c r="H45" i="21"/>
  <c r="M45" i="21"/>
  <c r="G46" i="21"/>
  <c r="H46" i="21"/>
  <c r="M46" i="21"/>
  <c r="G47" i="21"/>
  <c r="H47" i="21"/>
  <c r="M47" i="21"/>
  <c r="G48" i="21"/>
  <c r="H48" i="21"/>
  <c r="M48" i="21"/>
  <c r="G49" i="21"/>
  <c r="H49" i="21"/>
  <c r="M49" i="21"/>
  <c r="AN38" i="63"/>
  <c r="G50" i="21"/>
  <c r="H50" i="21"/>
  <c r="M50" i="21"/>
  <c r="G51" i="21"/>
  <c r="H51" i="21"/>
  <c r="M51" i="21"/>
  <c r="G52" i="21"/>
  <c r="H52" i="21"/>
  <c r="M52" i="21"/>
  <c r="G53" i="21"/>
  <c r="H53" i="21"/>
  <c r="M53" i="21"/>
  <c r="G54" i="21"/>
  <c r="H54" i="21"/>
  <c r="M54" i="21"/>
  <c r="C56" i="21"/>
  <c r="D56" i="21"/>
  <c r="E56" i="21"/>
  <c r="F56" i="21"/>
  <c r="J56" i="21"/>
  <c r="K56" i="21"/>
  <c r="J58" i="21"/>
  <c r="G6" i="20"/>
  <c r="H6" i="20"/>
  <c r="I6" i="20"/>
  <c r="K6" i="20"/>
  <c r="L6" i="20"/>
  <c r="M6" i="20"/>
  <c r="F4" i="14"/>
  <c r="G7" i="20"/>
  <c r="H7" i="20"/>
  <c r="I7" i="20"/>
  <c r="I52" i="20"/>
  <c r="L52" i="20"/>
  <c r="M52" i="20"/>
  <c r="K7" i="20"/>
  <c r="L7" i="20"/>
  <c r="M7" i="20"/>
  <c r="F5" i="66"/>
  <c r="G8" i="20"/>
  <c r="H8" i="20"/>
  <c r="K8" i="20"/>
  <c r="L8" i="20"/>
  <c r="M8" i="20"/>
  <c r="G9" i="20"/>
  <c r="H9" i="20"/>
  <c r="J9" i="20"/>
  <c r="I9" i="20"/>
  <c r="K9" i="20"/>
  <c r="L9" i="20"/>
  <c r="M9" i="20"/>
  <c r="G10" i="20"/>
  <c r="H10" i="20"/>
  <c r="J10" i="20"/>
  <c r="I10" i="20"/>
  <c r="K10" i="20"/>
  <c r="L10" i="20"/>
  <c r="M10" i="20"/>
  <c r="G11" i="20"/>
  <c r="H11" i="20"/>
  <c r="I11" i="20"/>
  <c r="I53" i="20"/>
  <c r="K11" i="20"/>
  <c r="L11" i="20"/>
  <c r="M11" i="20"/>
  <c r="F9" i="15"/>
  <c r="F51" i="15"/>
  <c r="G12" i="20"/>
  <c r="H12" i="20"/>
  <c r="I12" i="20"/>
  <c r="K12" i="20"/>
  <c r="L12" i="20"/>
  <c r="M12" i="20"/>
  <c r="F10" i="15"/>
  <c r="G13" i="20"/>
  <c r="H13" i="20"/>
  <c r="I13" i="20"/>
  <c r="K13" i="20"/>
  <c r="L13" i="20"/>
  <c r="M13" i="20"/>
  <c r="F11" i="66"/>
  <c r="G14" i="20"/>
  <c r="H14" i="20"/>
  <c r="I14" i="20"/>
  <c r="K14" i="20"/>
  <c r="L14" i="20"/>
  <c r="M14" i="20"/>
  <c r="G15" i="20"/>
  <c r="H15" i="20"/>
  <c r="I15" i="20"/>
  <c r="I54" i="20"/>
  <c r="K15" i="20"/>
  <c r="L15" i="20"/>
  <c r="M15" i="20"/>
  <c r="F13" i="55"/>
  <c r="G16" i="20"/>
  <c r="H16" i="20"/>
  <c r="I16" i="20"/>
  <c r="K16" i="20"/>
  <c r="L16" i="20"/>
  <c r="M16" i="20"/>
  <c r="F14" i="55"/>
  <c r="G17" i="20"/>
  <c r="H17" i="20"/>
  <c r="I17" i="20"/>
  <c r="K17" i="20"/>
  <c r="L17" i="20"/>
  <c r="M17" i="20"/>
  <c r="G18" i="20"/>
  <c r="H18" i="20"/>
  <c r="I18" i="20"/>
  <c r="K18" i="20"/>
  <c r="L18" i="20"/>
  <c r="M18" i="20"/>
  <c r="F16" i="55"/>
  <c r="G19" i="20"/>
  <c r="H19" i="20"/>
  <c r="J19" i="20"/>
  <c r="I19" i="20"/>
  <c r="K19" i="20"/>
  <c r="L19" i="20"/>
  <c r="M19" i="20"/>
  <c r="F17" i="15"/>
  <c r="G20" i="20"/>
  <c r="H20" i="20"/>
  <c r="I20" i="20"/>
  <c r="K20" i="20"/>
  <c r="L20" i="20"/>
  <c r="M20" i="20"/>
  <c r="G21" i="20"/>
  <c r="J21" i="20"/>
  <c r="H21" i="20"/>
  <c r="I21" i="20"/>
  <c r="K21" i="20"/>
  <c r="G22" i="20"/>
  <c r="H22" i="20"/>
  <c r="J22" i="20"/>
  <c r="I22" i="20"/>
  <c r="K22" i="20"/>
  <c r="L22" i="20"/>
  <c r="M22" i="20"/>
  <c r="G23" i="20"/>
  <c r="J23" i="20"/>
  <c r="H23" i="20"/>
  <c r="I23" i="20"/>
  <c r="K23" i="20"/>
  <c r="L23" i="20"/>
  <c r="M23" i="20"/>
  <c r="G24" i="20"/>
  <c r="H24" i="20"/>
  <c r="I24" i="20"/>
  <c r="I55" i="20"/>
  <c r="K24" i="20"/>
  <c r="L24" i="20"/>
  <c r="G25" i="20"/>
  <c r="H25" i="20"/>
  <c r="I25" i="20"/>
  <c r="K25" i="20"/>
  <c r="L25" i="20"/>
  <c r="M25" i="20"/>
  <c r="G26" i="20"/>
  <c r="H26" i="20"/>
  <c r="I26" i="20"/>
  <c r="K26" i="20"/>
  <c r="L26" i="20"/>
  <c r="M26" i="20"/>
  <c r="F24" i="14"/>
  <c r="G27" i="20"/>
  <c r="H27" i="20"/>
  <c r="I27" i="20"/>
  <c r="K27" i="20"/>
  <c r="L27" i="20"/>
  <c r="M27" i="20"/>
  <c r="F25" i="66"/>
  <c r="G28" i="20"/>
  <c r="H28" i="20"/>
  <c r="I28" i="20"/>
  <c r="K28" i="20"/>
  <c r="L28" i="20"/>
  <c r="M28" i="20"/>
  <c r="F26" i="14"/>
  <c r="G29" i="20"/>
  <c r="H29" i="20"/>
  <c r="I29" i="20"/>
  <c r="K29" i="20"/>
  <c r="L29" i="20"/>
  <c r="M29" i="20"/>
  <c r="F27" i="55"/>
  <c r="G30" i="20"/>
  <c r="H30" i="20"/>
  <c r="I30" i="20"/>
  <c r="K30" i="20"/>
  <c r="L30" i="20"/>
  <c r="M30" i="20"/>
  <c r="G31" i="20"/>
  <c r="J31" i="20"/>
  <c r="H31" i="20"/>
  <c r="I31" i="20"/>
  <c r="K31" i="20"/>
  <c r="L31" i="20"/>
  <c r="M31" i="20"/>
  <c r="G32" i="20"/>
  <c r="H32" i="20"/>
  <c r="I32" i="20"/>
  <c r="K32" i="20"/>
  <c r="L32" i="20"/>
  <c r="M32" i="20"/>
  <c r="F30" i="66"/>
  <c r="G33" i="20"/>
  <c r="H33" i="20"/>
  <c r="I33" i="20"/>
  <c r="K33" i="20"/>
  <c r="L33" i="20"/>
  <c r="M33" i="20"/>
  <c r="F31" i="55"/>
  <c r="G34" i="20"/>
  <c r="H34" i="20"/>
  <c r="I34" i="20"/>
  <c r="K34" i="20"/>
  <c r="L34" i="20"/>
  <c r="M34" i="20"/>
  <c r="F32" i="61"/>
  <c r="G35" i="20"/>
  <c r="H35" i="20"/>
  <c r="I35" i="20"/>
  <c r="K35" i="20"/>
  <c r="L35" i="20"/>
  <c r="M35" i="20"/>
  <c r="G36" i="20"/>
  <c r="J36" i="20"/>
  <c r="H36" i="20"/>
  <c r="I36" i="20"/>
  <c r="K36" i="20"/>
  <c r="L36" i="20"/>
  <c r="M36" i="20"/>
  <c r="F34" i="61"/>
  <c r="G37" i="20"/>
  <c r="H37" i="20"/>
  <c r="I37" i="20"/>
  <c r="K37" i="20"/>
  <c r="G38" i="20"/>
  <c r="H38" i="20"/>
  <c r="I38" i="20"/>
  <c r="K38" i="20"/>
  <c r="L38" i="20"/>
  <c r="M38" i="20"/>
  <c r="F36" i="66"/>
  <c r="G39" i="20"/>
  <c r="H39" i="20"/>
  <c r="I39" i="20"/>
  <c r="K39" i="20"/>
  <c r="L39" i="20"/>
  <c r="M39" i="20"/>
  <c r="F37" i="61"/>
  <c r="G40" i="20"/>
  <c r="H40" i="20"/>
  <c r="I40" i="20"/>
  <c r="K40" i="20"/>
  <c r="G41" i="20"/>
  <c r="H41" i="20"/>
  <c r="I41" i="20"/>
  <c r="K41" i="20"/>
  <c r="L41" i="20"/>
  <c r="M41" i="20"/>
  <c r="G42" i="20"/>
  <c r="H42" i="20"/>
  <c r="I42" i="20"/>
  <c r="K42" i="20"/>
  <c r="L42" i="20"/>
  <c r="M42" i="20"/>
  <c r="G43" i="20"/>
  <c r="H43" i="20"/>
  <c r="J43" i="20"/>
  <c r="I43" i="20"/>
  <c r="K43" i="20"/>
  <c r="G44" i="20"/>
  <c r="J44" i="20"/>
  <c r="H44" i="20"/>
  <c r="I44" i="20"/>
  <c r="K44" i="20"/>
  <c r="L44" i="20"/>
  <c r="M44" i="20"/>
  <c r="F42" i="15"/>
  <c r="G45" i="20"/>
  <c r="H45" i="20"/>
  <c r="I45" i="20"/>
  <c r="K45" i="20"/>
  <c r="L45" i="20"/>
  <c r="M45" i="20"/>
  <c r="F43" i="15"/>
  <c r="G46" i="20"/>
  <c r="H46" i="20"/>
  <c r="I46" i="20"/>
  <c r="K46" i="20"/>
  <c r="L46" i="20"/>
  <c r="M46" i="20"/>
  <c r="F44" i="15"/>
  <c r="G47" i="20"/>
  <c r="H47" i="20"/>
  <c r="I47" i="20"/>
  <c r="K47" i="20"/>
  <c r="L47" i="20"/>
  <c r="M47" i="20"/>
  <c r="G48" i="20"/>
  <c r="H48" i="20"/>
  <c r="I48" i="20"/>
  <c r="K48" i="20"/>
  <c r="L48" i="20"/>
  <c r="M48" i="20"/>
  <c r="G49" i="20"/>
  <c r="H49" i="20"/>
  <c r="I49" i="20"/>
  <c r="K49" i="20"/>
  <c r="L49" i="20"/>
  <c r="M49" i="20"/>
  <c r="G50" i="20"/>
  <c r="H50" i="20"/>
  <c r="I50" i="20"/>
  <c r="K50" i="20"/>
  <c r="L50" i="20"/>
  <c r="M50" i="20"/>
  <c r="G51" i="20"/>
  <c r="H51" i="20"/>
  <c r="I51" i="20"/>
  <c r="K51" i="20"/>
  <c r="B3" i="17"/>
  <c r="B4" i="17"/>
  <c r="B5" i="17"/>
  <c r="B6" i="17"/>
  <c r="AA6" i="17"/>
  <c r="B7" i="17"/>
  <c r="B8" i="17"/>
  <c r="B9" i="17"/>
  <c r="B10" i="17"/>
  <c r="B11" i="17"/>
  <c r="B12" i="17"/>
  <c r="B13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8" i="17"/>
  <c r="B39" i="17"/>
  <c r="B40" i="17"/>
  <c r="B41" i="17"/>
  <c r="B42" i="17"/>
  <c r="B43" i="17"/>
  <c r="B44" i="17"/>
  <c r="B45" i="17"/>
  <c r="B46" i="17"/>
  <c r="B47" i="17"/>
  <c r="B48" i="17"/>
  <c r="B3" i="15"/>
  <c r="C3" i="15"/>
  <c r="I3" i="15"/>
  <c r="B4" i="15"/>
  <c r="C4" i="15"/>
  <c r="I4" i="15"/>
  <c r="B5" i="15"/>
  <c r="C5" i="15"/>
  <c r="I5" i="15"/>
  <c r="I50" i="15"/>
  <c r="B6" i="15"/>
  <c r="C6" i="15"/>
  <c r="I6" i="15"/>
  <c r="B7" i="15"/>
  <c r="C7" i="15"/>
  <c r="I7" i="15"/>
  <c r="B8" i="15"/>
  <c r="C8" i="15"/>
  <c r="I8" i="15"/>
  <c r="B9" i="15"/>
  <c r="C9" i="15"/>
  <c r="I9" i="15"/>
  <c r="I51" i="15"/>
  <c r="B10" i="15"/>
  <c r="C10" i="15"/>
  <c r="I10" i="15"/>
  <c r="B11" i="15"/>
  <c r="C11" i="15"/>
  <c r="I11" i="15"/>
  <c r="B12" i="15"/>
  <c r="C12" i="15"/>
  <c r="I12" i="15"/>
  <c r="B13" i="15"/>
  <c r="C13" i="15"/>
  <c r="I13" i="15"/>
  <c r="I52" i="15"/>
  <c r="B14" i="15"/>
  <c r="C14" i="15"/>
  <c r="I14" i="15"/>
  <c r="B15" i="15"/>
  <c r="C15" i="15"/>
  <c r="I15" i="15"/>
  <c r="B16" i="15"/>
  <c r="C16" i="15"/>
  <c r="I16" i="15"/>
  <c r="B17" i="15"/>
  <c r="C17" i="15"/>
  <c r="I17" i="15"/>
  <c r="B18" i="15"/>
  <c r="C18" i="15"/>
  <c r="I18" i="15"/>
  <c r="B19" i="15"/>
  <c r="C19" i="15"/>
  <c r="I19" i="15"/>
  <c r="B20" i="15"/>
  <c r="C20" i="15"/>
  <c r="I20" i="15"/>
  <c r="B21" i="15"/>
  <c r="C21" i="15"/>
  <c r="I21" i="15"/>
  <c r="B22" i="15"/>
  <c r="C22" i="15"/>
  <c r="I22" i="15"/>
  <c r="I53" i="15"/>
  <c r="B23" i="15"/>
  <c r="C23" i="15"/>
  <c r="I23" i="15"/>
  <c r="B24" i="15"/>
  <c r="C24" i="15"/>
  <c r="I24" i="15"/>
  <c r="B25" i="15"/>
  <c r="C25" i="15"/>
  <c r="I25" i="15"/>
  <c r="I54" i="15"/>
  <c r="B26" i="15"/>
  <c r="C26" i="15"/>
  <c r="I26" i="15"/>
  <c r="B27" i="15"/>
  <c r="C27" i="15"/>
  <c r="I27" i="15"/>
  <c r="B28" i="15"/>
  <c r="C28" i="15"/>
  <c r="I28" i="15"/>
  <c r="B29" i="15"/>
  <c r="C29" i="15"/>
  <c r="I29" i="15"/>
  <c r="B30" i="15"/>
  <c r="C30" i="15"/>
  <c r="I30" i="15"/>
  <c r="B31" i="15"/>
  <c r="C31" i="15"/>
  <c r="I31" i="15"/>
  <c r="B32" i="15"/>
  <c r="C32" i="15"/>
  <c r="I32" i="15"/>
  <c r="B33" i="15"/>
  <c r="C33" i="15"/>
  <c r="I33" i="15"/>
  <c r="B34" i="15"/>
  <c r="C34" i="15"/>
  <c r="I34" i="15"/>
  <c r="B35" i="15"/>
  <c r="C35" i="15"/>
  <c r="I35" i="15"/>
  <c r="B36" i="15"/>
  <c r="C36" i="15"/>
  <c r="I36" i="15"/>
  <c r="B37" i="15"/>
  <c r="C37" i="15"/>
  <c r="I37" i="15"/>
  <c r="B38" i="15"/>
  <c r="C38" i="15"/>
  <c r="I38" i="15"/>
  <c r="B39" i="15"/>
  <c r="C39" i="15"/>
  <c r="I39" i="15"/>
  <c r="B40" i="15"/>
  <c r="C40" i="15"/>
  <c r="I40" i="15"/>
  <c r="B41" i="15"/>
  <c r="C41" i="15"/>
  <c r="I41" i="15"/>
  <c r="B42" i="15"/>
  <c r="C42" i="15"/>
  <c r="I42" i="15"/>
  <c r="B43" i="15"/>
  <c r="C43" i="15"/>
  <c r="I43" i="15"/>
  <c r="B44" i="15"/>
  <c r="C44" i="15"/>
  <c r="I44" i="15"/>
  <c r="B45" i="15"/>
  <c r="C45" i="15"/>
  <c r="I45" i="15"/>
  <c r="B46" i="15"/>
  <c r="C46" i="15"/>
  <c r="I46" i="15"/>
  <c r="B47" i="15"/>
  <c r="C47" i="15"/>
  <c r="I47" i="15"/>
  <c r="B48" i="15"/>
  <c r="C48" i="15"/>
  <c r="I48" i="15"/>
  <c r="C49" i="15"/>
  <c r="I49" i="15"/>
  <c r="N49" i="15"/>
  <c r="B50" i="15"/>
  <c r="C50" i="15"/>
  <c r="B51" i="15"/>
  <c r="C51" i="15"/>
  <c r="B52" i="15"/>
  <c r="C52" i="15"/>
  <c r="B53" i="15"/>
  <c r="C53" i="15"/>
  <c r="B54" i="15"/>
  <c r="C54" i="15"/>
  <c r="B3" i="14"/>
  <c r="I3" i="14"/>
  <c r="S3" i="17"/>
  <c r="B4" i="14"/>
  <c r="I4" i="14"/>
  <c r="B5" i="14"/>
  <c r="I5" i="14"/>
  <c r="S5" i="17"/>
  <c r="B6" i="14"/>
  <c r="I6" i="14"/>
  <c r="B7" i="14"/>
  <c r="I7" i="14"/>
  <c r="S7" i="60"/>
  <c r="B8" i="14"/>
  <c r="I8" i="14"/>
  <c r="S8" i="60"/>
  <c r="B9" i="14"/>
  <c r="I9" i="14"/>
  <c r="B10" i="14"/>
  <c r="I10" i="14"/>
  <c r="B11" i="14"/>
  <c r="I11" i="14"/>
  <c r="S11" i="40"/>
  <c r="B12" i="14"/>
  <c r="I12" i="14"/>
  <c r="B13" i="14"/>
  <c r="I13" i="14"/>
  <c r="S13" i="17"/>
  <c r="B14" i="14"/>
  <c r="I14" i="14"/>
  <c r="S14" i="48"/>
  <c r="B15" i="14"/>
  <c r="I15" i="14"/>
  <c r="B16" i="14"/>
  <c r="I16" i="14"/>
  <c r="B17" i="14"/>
  <c r="I17" i="14"/>
  <c r="S17" i="40"/>
  <c r="B18" i="14"/>
  <c r="I18" i="14"/>
  <c r="B19" i="14"/>
  <c r="I19" i="14"/>
  <c r="S19" i="41"/>
  <c r="B20" i="14"/>
  <c r="I20" i="14"/>
  <c r="S20" i="17"/>
  <c r="B21" i="14"/>
  <c r="I21" i="14"/>
  <c r="S21" i="40"/>
  <c r="B22" i="14"/>
  <c r="I22" i="14"/>
  <c r="S22" i="60"/>
  <c r="B23" i="14"/>
  <c r="I23" i="14"/>
  <c r="B24" i="14"/>
  <c r="I24" i="14"/>
  <c r="S24" i="17"/>
  <c r="B25" i="14"/>
  <c r="I25" i="14"/>
  <c r="S25" i="17"/>
  <c r="B26" i="14"/>
  <c r="I26" i="14"/>
  <c r="S26" i="48"/>
  <c r="B27" i="14"/>
  <c r="I27" i="14"/>
  <c r="B28" i="14"/>
  <c r="I28" i="14"/>
  <c r="S28" i="44"/>
  <c r="B29" i="14"/>
  <c r="I29" i="14"/>
  <c r="S29" i="40"/>
  <c r="B30" i="14"/>
  <c r="I30" i="14"/>
  <c r="S30" i="60"/>
  <c r="B31" i="14"/>
  <c r="I31" i="14"/>
  <c r="S31" i="60"/>
  <c r="B32" i="14"/>
  <c r="I32" i="14"/>
  <c r="S32" i="41"/>
  <c r="B33" i="14"/>
  <c r="I33" i="14"/>
  <c r="S33" i="60"/>
  <c r="B34" i="14"/>
  <c r="I34" i="14"/>
  <c r="S34" i="60"/>
  <c r="B35" i="14"/>
  <c r="I35" i="14"/>
  <c r="S35" i="40"/>
  <c r="B36" i="14"/>
  <c r="I36" i="14"/>
  <c r="S36" i="44"/>
  <c r="B37" i="14"/>
  <c r="I37" i="14"/>
  <c r="B38" i="14"/>
  <c r="I38" i="14"/>
  <c r="S38" i="44"/>
  <c r="B39" i="14"/>
  <c r="I39" i="14"/>
  <c r="S39" i="41"/>
  <c r="B40" i="14"/>
  <c r="I40" i="14"/>
  <c r="S40" i="60"/>
  <c r="B41" i="14"/>
  <c r="I41" i="14"/>
  <c r="S41" i="17"/>
  <c r="B42" i="14"/>
  <c r="I42" i="14"/>
  <c r="B43" i="14"/>
  <c r="I43" i="14"/>
  <c r="S43" i="17"/>
  <c r="B44" i="14"/>
  <c r="I44" i="14"/>
  <c r="S44" i="60"/>
  <c r="B45" i="14"/>
  <c r="I45" i="14"/>
  <c r="S45" i="44"/>
  <c r="B46" i="14"/>
  <c r="I46" i="14"/>
  <c r="S46" i="41"/>
  <c r="B47" i="14"/>
  <c r="I47" i="14"/>
  <c r="S47" i="17"/>
  <c r="B48" i="14"/>
  <c r="I48" i="14"/>
  <c r="S48" i="44"/>
  <c r="I49" i="14"/>
  <c r="S49" i="60"/>
  <c r="M49" i="14"/>
  <c r="B50" i="14"/>
  <c r="B51" i="14"/>
  <c r="B52" i="14"/>
  <c r="B53" i="14"/>
  <c r="B54" i="14"/>
  <c r="G45" i="26"/>
  <c r="C30" i="26"/>
  <c r="C6" i="26"/>
  <c r="D37" i="26"/>
  <c r="D28" i="26"/>
  <c r="C43" i="26"/>
  <c r="C35" i="26"/>
  <c r="C11" i="26"/>
  <c r="C46" i="26"/>
  <c r="C49" i="26"/>
  <c r="C26" i="26"/>
  <c r="C48" i="26"/>
  <c r="C41" i="26"/>
  <c r="C33" i="26"/>
  <c r="C17" i="26"/>
  <c r="C9" i="26"/>
  <c r="C32" i="26"/>
  <c r="C16" i="26"/>
  <c r="C3" i="26"/>
  <c r="I26" i="60"/>
  <c r="J50" i="32"/>
  <c r="S39" i="60"/>
  <c r="V49" i="17"/>
  <c r="D13" i="26"/>
  <c r="C13" i="26"/>
  <c r="D32" i="26"/>
  <c r="J51" i="20"/>
  <c r="J47" i="20"/>
  <c r="J45" i="20"/>
  <c r="J37" i="20"/>
  <c r="J35" i="20"/>
  <c r="J33" i="20"/>
  <c r="J15" i="20"/>
  <c r="J13" i="20"/>
  <c r="D36" i="23"/>
  <c r="E16" i="23"/>
  <c r="D48" i="23"/>
  <c r="E36" i="23"/>
  <c r="E48" i="23"/>
  <c r="E28" i="23"/>
  <c r="D28" i="23"/>
  <c r="E10" i="23"/>
  <c r="D14" i="26"/>
  <c r="D40" i="23"/>
  <c r="J32" i="20"/>
  <c r="J20" i="20"/>
  <c r="J16" i="20"/>
  <c r="S17" i="48"/>
  <c r="I36" i="41"/>
  <c r="I14" i="48"/>
  <c r="W14" i="48"/>
  <c r="H46" i="44"/>
  <c r="W46" i="44"/>
  <c r="I8" i="48"/>
  <c r="I8" i="41"/>
  <c r="W8" i="41"/>
  <c r="H8" i="44"/>
  <c r="W8" i="44"/>
  <c r="S32" i="44"/>
  <c r="S24" i="48"/>
  <c r="S24" i="44"/>
  <c r="S16" i="44"/>
  <c r="S16" i="40"/>
  <c r="S8" i="48"/>
  <c r="I47" i="41"/>
  <c r="W47" i="41"/>
  <c r="I47" i="40"/>
  <c r="W47" i="40"/>
  <c r="H26" i="44"/>
  <c r="W26" i="44"/>
  <c r="I26" i="41"/>
  <c r="I20" i="40"/>
  <c r="W20" i="40"/>
  <c r="S49" i="40"/>
  <c r="S39" i="17"/>
  <c r="S39" i="44"/>
  <c r="S39" i="48"/>
  <c r="S39" i="40"/>
  <c r="S7" i="17"/>
  <c r="S7" i="44"/>
  <c r="S7" i="41"/>
  <c r="S7" i="40"/>
  <c r="I12" i="48"/>
  <c r="W12" i="48"/>
  <c r="I48" i="41"/>
  <c r="W48" i="41"/>
  <c r="I44" i="48"/>
  <c r="W44" i="48"/>
  <c r="J49" i="20"/>
  <c r="J41" i="20"/>
  <c r="J29" i="20"/>
  <c r="J25" i="20"/>
  <c r="J28" i="20"/>
  <c r="J11" i="20"/>
  <c r="J27" i="20"/>
  <c r="J12" i="20"/>
  <c r="J8" i="20"/>
  <c r="E6" i="23"/>
  <c r="E14" i="23"/>
  <c r="D29" i="26"/>
  <c r="D6" i="26"/>
  <c r="E52" i="23"/>
  <c r="C27" i="23"/>
  <c r="E8" i="23"/>
  <c r="D11" i="26"/>
  <c r="C32" i="23"/>
  <c r="E51" i="23"/>
  <c r="D30" i="26"/>
  <c r="D16" i="26"/>
  <c r="E53" i="23"/>
  <c r="E38" i="23"/>
  <c r="D35" i="26"/>
  <c r="C29" i="26"/>
  <c r="D20" i="26"/>
  <c r="E20" i="23"/>
  <c r="E18" i="23"/>
  <c r="E44" i="23"/>
  <c r="E22" i="23"/>
  <c r="D20" i="23"/>
  <c r="D18" i="23"/>
  <c r="D26" i="26"/>
  <c r="D9" i="26"/>
  <c r="D5" i="26"/>
  <c r="D3" i="26"/>
  <c r="D44" i="23"/>
  <c r="E32" i="23"/>
  <c r="D22" i="23"/>
  <c r="D33" i="26"/>
  <c r="D19" i="26"/>
  <c r="D17" i="26"/>
  <c r="C5" i="26"/>
  <c r="E54" i="23"/>
  <c r="E39" i="23"/>
  <c r="C4" i="23"/>
  <c r="C19" i="26"/>
  <c r="T47" i="33"/>
  <c r="T36" i="33"/>
  <c r="T41" i="33"/>
  <c r="P54" i="15"/>
  <c r="I36" i="17"/>
  <c r="E33" i="63"/>
  <c r="I48" i="17"/>
  <c r="E43" i="63"/>
  <c r="J50" i="20"/>
  <c r="J18" i="20"/>
  <c r="J46" i="20"/>
  <c r="J14" i="20"/>
  <c r="J42" i="20"/>
  <c r="J38" i="20"/>
  <c r="J6" i="20"/>
  <c r="J34" i="20"/>
  <c r="J30" i="20"/>
  <c r="J39" i="20"/>
  <c r="J26" i="20"/>
  <c r="J24" i="20"/>
  <c r="M24" i="20"/>
  <c r="J7" i="20"/>
  <c r="T16" i="33"/>
  <c r="T11" i="33"/>
  <c r="T3" i="33"/>
  <c r="T34" i="33"/>
  <c r="T14" i="33"/>
  <c r="T44" i="33"/>
  <c r="H50" i="32"/>
  <c r="K12" i="33"/>
  <c r="N12" i="33"/>
  <c r="K35" i="33"/>
  <c r="E16" i="32"/>
  <c r="K16" i="32"/>
  <c r="M16" i="32"/>
  <c r="F17" i="31"/>
  <c r="D17" i="55"/>
  <c r="K43" i="33"/>
  <c r="N43" i="33"/>
  <c r="T48" i="33"/>
  <c r="T45" i="33"/>
  <c r="T20" i="33"/>
  <c r="T12" i="33"/>
  <c r="T9" i="33"/>
  <c r="T42" i="33"/>
  <c r="T7" i="33"/>
  <c r="K3" i="33"/>
  <c r="E2" i="32"/>
  <c r="C38" i="26"/>
  <c r="C34" i="26"/>
  <c r="D34" i="26"/>
  <c r="F45" i="23"/>
  <c r="D45" i="23"/>
  <c r="E45" i="23"/>
  <c r="D29" i="23"/>
  <c r="E29" i="23"/>
  <c r="C12" i="23"/>
  <c r="C12" i="26"/>
  <c r="D12" i="26"/>
  <c r="C17" i="23"/>
  <c r="E17" i="23"/>
  <c r="C37" i="26"/>
  <c r="C24" i="26"/>
  <c r="D24" i="26"/>
  <c r="C18" i="26"/>
  <c r="D18" i="26"/>
  <c r="F33" i="23"/>
  <c r="D33" i="23"/>
  <c r="E33" i="23"/>
  <c r="C26" i="23"/>
  <c r="D26" i="23"/>
  <c r="E26" i="23"/>
  <c r="C36" i="26"/>
  <c r="D36" i="26"/>
  <c r="C28" i="26"/>
  <c r="C22" i="26"/>
  <c r="C10" i="26"/>
  <c r="D10" i="26"/>
  <c r="C4" i="26"/>
  <c r="D4" i="26"/>
  <c r="D37" i="23"/>
  <c r="E37" i="23"/>
  <c r="D25" i="26"/>
  <c r="C50" i="26"/>
  <c r="D31" i="26"/>
  <c r="C25" i="26"/>
  <c r="C21" i="26"/>
  <c r="D21" i="26"/>
  <c r="C8" i="26"/>
  <c r="C45" i="23"/>
  <c r="D41" i="23"/>
  <c r="E41" i="23"/>
  <c r="C29" i="23"/>
  <c r="C27" i="26"/>
  <c r="D27" i="26"/>
  <c r="F42" i="23"/>
  <c r="T46" i="33"/>
  <c r="T21" i="33"/>
  <c r="T18" i="33"/>
  <c r="F24" i="23"/>
  <c r="E30" i="32"/>
  <c r="I30" i="32"/>
  <c r="T43" i="33"/>
  <c r="T40" i="33"/>
  <c r="T26" i="33"/>
  <c r="T10" i="33"/>
  <c r="T4" i="33"/>
  <c r="E31" i="32"/>
  <c r="E9" i="32"/>
  <c r="T38" i="33"/>
  <c r="T24" i="33"/>
  <c r="K21" i="33"/>
  <c r="E20" i="32"/>
  <c r="E27" i="32"/>
  <c r="G27" i="32"/>
  <c r="N28" i="33"/>
  <c r="E21" i="32"/>
  <c r="K21" i="32"/>
  <c r="L21" i="32"/>
  <c r="E6" i="32"/>
  <c r="I6" i="32"/>
  <c r="N7" i="33"/>
  <c r="E29" i="32"/>
  <c r="N30" i="33"/>
  <c r="E18" i="32"/>
  <c r="N19" i="33"/>
  <c r="E39" i="32"/>
  <c r="K39" i="32"/>
  <c r="L39" i="32"/>
  <c r="N40" i="33"/>
  <c r="N26" i="33"/>
  <c r="E25" i="32"/>
  <c r="K25" i="32"/>
  <c r="L25" i="32"/>
  <c r="E10" i="32"/>
  <c r="N11" i="33"/>
  <c r="G3" i="32"/>
  <c r="E35" i="32"/>
  <c r="T30" i="33"/>
  <c r="I48" i="32"/>
  <c r="E43" i="32"/>
  <c r="K43" i="32"/>
  <c r="L43" i="32"/>
  <c r="K42" i="33"/>
  <c r="N42" i="33"/>
  <c r="T5" i="33"/>
  <c r="F43" i="23"/>
  <c r="F31" i="23"/>
  <c r="F8" i="23"/>
  <c r="E45" i="32"/>
  <c r="G45" i="32"/>
  <c r="E23" i="32"/>
  <c r="I23" i="32"/>
  <c r="E15" i="32"/>
  <c r="N6" i="33"/>
  <c r="T32" i="33"/>
  <c r="T19" i="33"/>
  <c r="T22" i="33"/>
  <c r="F28" i="23"/>
  <c r="E47" i="32"/>
  <c r="E40" i="32"/>
  <c r="T6" i="33"/>
  <c r="K6" i="33"/>
  <c r="F41" i="23"/>
  <c r="F35" i="23"/>
  <c r="F29" i="23"/>
  <c r="F48" i="23"/>
  <c r="F14" i="23"/>
  <c r="F4" i="23"/>
  <c r="F47" i="23"/>
  <c r="F37" i="23"/>
  <c r="F26" i="23"/>
  <c r="F17" i="23"/>
  <c r="F44" i="23"/>
  <c r="F32" i="23"/>
  <c r="F16" i="23"/>
  <c r="F6" i="23"/>
  <c r="I33" i="17"/>
  <c r="W33" i="17"/>
  <c r="I27" i="17"/>
  <c r="E24" i="63"/>
  <c r="F36" i="23"/>
  <c r="F46" i="23"/>
  <c r="F34" i="23"/>
  <c r="F30" i="23"/>
  <c r="F22" i="23"/>
  <c r="F53" i="23"/>
  <c r="F20" i="23"/>
  <c r="N47" i="33"/>
  <c r="E46" i="32"/>
  <c r="I46" i="32"/>
  <c r="N45" i="33"/>
  <c r="E44" i="32"/>
  <c r="I44" i="32"/>
  <c r="K37" i="33"/>
  <c r="T37" i="33"/>
  <c r="F12" i="23"/>
  <c r="N13" i="33"/>
  <c r="E12" i="32"/>
  <c r="I12" i="32"/>
  <c r="N33" i="33"/>
  <c r="E32" i="32"/>
  <c r="K8" i="33"/>
  <c r="T8" i="33"/>
  <c r="N38" i="33"/>
  <c r="E37" i="32"/>
  <c r="N29" i="33"/>
  <c r="E28" i="32"/>
  <c r="N27" i="33"/>
  <c r="E26" i="32"/>
  <c r="K25" i="33"/>
  <c r="N23" i="33"/>
  <c r="E22" i="32"/>
  <c r="K14" i="33"/>
  <c r="N49" i="33"/>
  <c r="T49" i="33"/>
  <c r="T31" i="33"/>
  <c r="T27" i="33"/>
  <c r="T25" i="33"/>
  <c r="T23" i="33"/>
  <c r="K15" i="33"/>
  <c r="T13" i="33"/>
  <c r="N4" i="33"/>
  <c r="T33" i="33"/>
  <c r="T15" i="33"/>
  <c r="N5" i="33"/>
  <c r="E4" i="32"/>
  <c r="I3" i="32"/>
  <c r="C46" i="23"/>
  <c r="C42" i="23"/>
  <c r="C38" i="23"/>
  <c r="C34" i="23"/>
  <c r="C30" i="23"/>
  <c r="F27" i="23"/>
  <c r="D27" i="23"/>
  <c r="C9" i="23"/>
  <c r="D9" i="23"/>
  <c r="F9" i="23"/>
  <c r="F51" i="23"/>
  <c r="F25" i="23"/>
  <c r="F54" i="23"/>
  <c r="D25" i="23"/>
  <c r="D23" i="23"/>
  <c r="C11" i="23"/>
  <c r="D11" i="23"/>
  <c r="F11" i="23"/>
  <c r="C3" i="23"/>
  <c r="D3" i="23"/>
  <c r="F3" i="23"/>
  <c r="D47" i="23"/>
  <c r="D43" i="23"/>
  <c r="D39" i="23"/>
  <c r="D35" i="23"/>
  <c r="D31" i="23"/>
  <c r="E25" i="23"/>
  <c r="E23" i="23"/>
  <c r="D21" i="23"/>
  <c r="C13" i="23"/>
  <c r="D13" i="23"/>
  <c r="F13" i="23"/>
  <c r="F52" i="23"/>
  <c r="C5" i="23"/>
  <c r="D5" i="23"/>
  <c r="F5" i="23"/>
  <c r="F50" i="23"/>
  <c r="C47" i="23"/>
  <c r="D46" i="23"/>
  <c r="C43" i="23"/>
  <c r="D42" i="23"/>
  <c r="C39" i="23"/>
  <c r="D38" i="23"/>
  <c r="C35" i="23"/>
  <c r="D34" i="23"/>
  <c r="C31" i="23"/>
  <c r="D30" i="23"/>
  <c r="C25" i="23"/>
  <c r="C23" i="23"/>
  <c r="E21" i="23"/>
  <c r="F19" i="23"/>
  <c r="D19" i="23"/>
  <c r="F15" i="23"/>
  <c r="C15" i="23"/>
  <c r="D15" i="23"/>
  <c r="E11" i="23"/>
  <c r="C7" i="23"/>
  <c r="D7" i="23"/>
  <c r="F7" i="23"/>
  <c r="E3" i="23"/>
  <c r="D17" i="23"/>
  <c r="D14" i="23"/>
  <c r="D10" i="23"/>
  <c r="D8" i="23"/>
  <c r="D6" i="23"/>
  <c r="D4" i="23"/>
  <c r="D44" i="26"/>
  <c r="D42" i="26"/>
  <c r="D40" i="26"/>
  <c r="D38" i="26"/>
  <c r="C24" i="23"/>
  <c r="C16" i="23"/>
  <c r="D43" i="26"/>
  <c r="D41" i="26"/>
  <c r="D39" i="26"/>
  <c r="D50" i="26"/>
  <c r="D49" i="26"/>
  <c r="D48" i="26"/>
  <c r="D46" i="26"/>
  <c r="D54" i="23"/>
  <c r="D53" i="23"/>
  <c r="D52" i="23"/>
  <c r="D51" i="23"/>
  <c r="D50" i="23"/>
  <c r="E50" i="23"/>
  <c r="N24" i="21"/>
  <c r="O24" i="21"/>
  <c r="N25" i="21"/>
  <c r="O25" i="21"/>
  <c r="N27" i="21"/>
  <c r="O27" i="21"/>
  <c r="N28" i="21"/>
  <c r="O28" i="21"/>
  <c r="N29" i="21"/>
  <c r="O29" i="21"/>
  <c r="N30" i="21"/>
  <c r="O30" i="21"/>
  <c r="N31" i="21"/>
  <c r="O31" i="21"/>
  <c r="Q31" i="21"/>
  <c r="N32" i="21"/>
  <c r="O32" i="21"/>
  <c r="N33" i="21"/>
  <c r="O33" i="21"/>
  <c r="N34" i="21"/>
  <c r="O34" i="21"/>
  <c r="N35" i="21"/>
  <c r="O35" i="21"/>
  <c r="P35" i="21"/>
  <c r="N37" i="21"/>
  <c r="O37" i="21"/>
  <c r="Q37" i="21"/>
  <c r="N38" i="21"/>
  <c r="O38" i="21"/>
  <c r="N39" i="21"/>
  <c r="O39" i="21"/>
  <c r="N40" i="21"/>
  <c r="O40" i="21"/>
  <c r="N41" i="21"/>
  <c r="O41" i="21"/>
  <c r="N43" i="21"/>
  <c r="O43" i="21"/>
  <c r="N44" i="21"/>
  <c r="O44" i="21"/>
  <c r="N45" i="21"/>
  <c r="O45" i="21"/>
  <c r="N46" i="21"/>
  <c r="O46" i="21"/>
  <c r="N47" i="21"/>
  <c r="O47" i="21"/>
  <c r="Q47" i="21"/>
  <c r="N48" i="21"/>
  <c r="O48" i="21"/>
  <c r="N49" i="21"/>
  <c r="O49" i="21"/>
  <c r="N50" i="21"/>
  <c r="O50" i="21"/>
  <c r="N51" i="21"/>
  <c r="O51" i="21"/>
  <c r="N53" i="21"/>
  <c r="O53" i="21"/>
  <c r="N54" i="21"/>
  <c r="O54" i="21"/>
  <c r="N20" i="21"/>
  <c r="O20" i="21"/>
  <c r="N16" i="21"/>
  <c r="O16" i="21"/>
  <c r="N12" i="21"/>
  <c r="O12" i="21"/>
  <c r="N17" i="21"/>
  <c r="O17" i="21"/>
  <c r="N13" i="21"/>
  <c r="O13" i="21"/>
  <c r="M23" i="21"/>
  <c r="L56" i="21"/>
  <c r="N19" i="21"/>
  <c r="O19" i="21"/>
  <c r="N15" i="21"/>
  <c r="O15" i="21"/>
  <c r="N11" i="21"/>
  <c r="O11" i="21"/>
  <c r="N9" i="21"/>
  <c r="N22" i="21"/>
  <c r="O22" i="21"/>
  <c r="N18" i="21"/>
  <c r="O18" i="21"/>
  <c r="N14" i="21"/>
  <c r="O14" i="21"/>
  <c r="N10" i="21"/>
  <c r="O10" i="21"/>
  <c r="Q10" i="21"/>
  <c r="K2" i="32"/>
  <c r="L2" i="32"/>
  <c r="I35" i="32"/>
  <c r="G35" i="32"/>
  <c r="V17" i="60"/>
  <c r="N23" i="21"/>
  <c r="O23" i="21"/>
  <c r="F26" i="55"/>
  <c r="F50" i="66"/>
  <c r="V18" i="41"/>
  <c r="V18" i="44"/>
  <c r="K33" i="32"/>
  <c r="M33" i="32"/>
  <c r="F34" i="31"/>
  <c r="X34" i="31"/>
  <c r="G34" i="23"/>
  <c r="G33" i="32"/>
  <c r="V17" i="17"/>
  <c r="V17" i="40"/>
  <c r="V17" i="48"/>
  <c r="F26" i="15"/>
  <c r="F34" i="15"/>
  <c r="F30" i="14"/>
  <c r="E42" i="32"/>
  <c r="K42" i="32"/>
  <c r="I18" i="32"/>
  <c r="I47" i="32"/>
  <c r="X24" i="31"/>
  <c r="Y24" i="31"/>
  <c r="Z24" i="31"/>
  <c r="K24" i="14"/>
  <c r="P24" i="48"/>
  <c r="I40" i="32"/>
  <c r="E11" i="32"/>
  <c r="I11" i="32"/>
  <c r="I27" i="32"/>
  <c r="L27" i="32"/>
  <c r="G26" i="32"/>
  <c r="K31" i="32"/>
  <c r="N21" i="33"/>
  <c r="G18" i="32"/>
  <c r="G6" i="32"/>
  <c r="K18" i="32"/>
  <c r="I29" i="32"/>
  <c r="X30" i="31"/>
  <c r="G21" i="32"/>
  <c r="I21" i="32"/>
  <c r="X22" i="31"/>
  <c r="I16" i="32"/>
  <c r="X17" i="31"/>
  <c r="Y17" i="31"/>
  <c r="Z17" i="31"/>
  <c r="L17" i="66"/>
  <c r="K27" i="32"/>
  <c r="N3" i="33"/>
  <c r="K15" i="32"/>
  <c r="K30" i="32"/>
  <c r="X31" i="31"/>
  <c r="G31" i="23"/>
  <c r="G16" i="32"/>
  <c r="N35" i="33"/>
  <c r="E34" i="32"/>
  <c r="G30" i="32"/>
  <c r="I15" i="32"/>
  <c r="X4" i="31"/>
  <c r="G15" i="32"/>
  <c r="L15" i="32"/>
  <c r="X7" i="31"/>
  <c r="K40" i="32"/>
  <c r="M40" i="32"/>
  <c r="F41" i="31"/>
  <c r="I39" i="32"/>
  <c r="X40" i="31"/>
  <c r="I9" i="32"/>
  <c r="X10" i="31"/>
  <c r="I10" i="32"/>
  <c r="I31" i="32"/>
  <c r="G9" i="32"/>
  <c r="I43" i="32"/>
  <c r="X44" i="31"/>
  <c r="G29" i="32"/>
  <c r="G43" i="32"/>
  <c r="E41" i="32"/>
  <c r="K41" i="32"/>
  <c r="G10" i="32"/>
  <c r="G22" i="32"/>
  <c r="L22" i="32"/>
  <c r="G23" i="32"/>
  <c r="G31" i="32"/>
  <c r="K35" i="32"/>
  <c r="L35" i="32"/>
  <c r="G44" i="32"/>
  <c r="X18" i="31"/>
  <c r="G18" i="23"/>
  <c r="G39" i="32"/>
  <c r="X49" i="31"/>
  <c r="Y49" i="31"/>
  <c r="Z49" i="31"/>
  <c r="I2" i="32"/>
  <c r="G47" i="32"/>
  <c r="I26" i="32"/>
  <c r="I22" i="32"/>
  <c r="X23" i="31"/>
  <c r="G23" i="23"/>
  <c r="G2" i="32"/>
  <c r="M2" i="32"/>
  <c r="F3" i="31"/>
  <c r="D3" i="61"/>
  <c r="K32" i="32"/>
  <c r="G25" i="32"/>
  <c r="I45" i="32"/>
  <c r="E5" i="32"/>
  <c r="K5" i="32"/>
  <c r="G40" i="32"/>
  <c r="K26" i="32"/>
  <c r="L26" i="32"/>
  <c r="I37" i="32"/>
  <c r="I25" i="32"/>
  <c r="X26" i="31"/>
  <c r="Y26" i="31"/>
  <c r="Z26" i="31"/>
  <c r="L26" i="15"/>
  <c r="K45" i="32"/>
  <c r="L45" i="32"/>
  <c r="G32" i="32"/>
  <c r="E13" i="32"/>
  <c r="N14" i="33"/>
  <c r="G20" i="32"/>
  <c r="N25" i="33"/>
  <c r="E24" i="32"/>
  <c r="G28" i="32"/>
  <c r="K28" i="32"/>
  <c r="L28" i="32"/>
  <c r="N8" i="33"/>
  <c r="E7" i="32"/>
  <c r="K4" i="32"/>
  <c r="G4" i="32"/>
  <c r="L4" i="32"/>
  <c r="I20" i="32"/>
  <c r="N15" i="33"/>
  <c r="E14" i="32"/>
  <c r="K12" i="32"/>
  <c r="M12" i="32"/>
  <c r="F13" i="31"/>
  <c r="D13" i="66"/>
  <c r="X13" i="31"/>
  <c r="X52" i="31"/>
  <c r="G52" i="23"/>
  <c r="G12" i="32"/>
  <c r="I4" i="32"/>
  <c r="K37" i="32"/>
  <c r="L37" i="32"/>
  <c r="G37" i="32"/>
  <c r="N37" i="33"/>
  <c r="E36" i="32"/>
  <c r="I32" i="32"/>
  <c r="X9" i="31"/>
  <c r="K46" i="32"/>
  <c r="X47" i="31"/>
  <c r="G46" i="32"/>
  <c r="I28" i="32"/>
  <c r="P22" i="21"/>
  <c r="Q22" i="21"/>
  <c r="Q35" i="21"/>
  <c r="P10" i="21"/>
  <c r="Q15" i="21"/>
  <c r="P15" i="21"/>
  <c r="P13" i="21"/>
  <c r="Q13" i="21"/>
  <c r="Q16" i="21"/>
  <c r="P16" i="21"/>
  <c r="Q54" i="21"/>
  <c r="P54" i="21"/>
  <c r="Q50" i="21"/>
  <c r="P50" i="21"/>
  <c r="Q38" i="21"/>
  <c r="P38" i="21"/>
  <c r="Q34" i="21"/>
  <c r="P34" i="21"/>
  <c r="Q30" i="21"/>
  <c r="P30" i="21"/>
  <c r="Q23" i="21"/>
  <c r="P23" i="21"/>
  <c r="P47" i="21"/>
  <c r="Q43" i="21"/>
  <c r="P43" i="21"/>
  <c r="Q27" i="21"/>
  <c r="P27" i="21"/>
  <c r="P14" i="21"/>
  <c r="Q14" i="21"/>
  <c r="M56" i="21"/>
  <c r="Q19" i="21"/>
  <c r="P19" i="21"/>
  <c r="P17" i="21"/>
  <c r="Q17" i="21"/>
  <c r="Q20" i="21"/>
  <c r="P20" i="21"/>
  <c r="Q53" i="21"/>
  <c r="P53" i="21"/>
  <c r="Q49" i="21"/>
  <c r="P49" i="21"/>
  <c r="Q45" i="21"/>
  <c r="P45" i="21"/>
  <c r="Q41" i="21"/>
  <c r="P41" i="21"/>
  <c r="P37" i="21"/>
  <c r="Q33" i="21"/>
  <c r="P33" i="21"/>
  <c r="Q29" i="21"/>
  <c r="P29" i="21"/>
  <c r="Q25" i="21"/>
  <c r="P25" i="21"/>
  <c r="Q11" i="21"/>
  <c r="P11" i="21"/>
  <c r="Q12" i="21"/>
  <c r="P12" i="21"/>
  <c r="Q51" i="21"/>
  <c r="P51" i="21"/>
  <c r="Q39" i="21"/>
  <c r="P39" i="21"/>
  <c r="P31" i="21"/>
  <c r="P18" i="21"/>
  <c r="Q18" i="21"/>
  <c r="O9" i="21"/>
  <c r="Q48" i="21"/>
  <c r="P48" i="21"/>
  <c r="Q44" i="21"/>
  <c r="P44" i="21"/>
  <c r="Q40" i="21"/>
  <c r="P40" i="21"/>
  <c r="Q32" i="21"/>
  <c r="P32" i="21"/>
  <c r="Q28" i="21"/>
  <c r="P28" i="21"/>
  <c r="Q24" i="21"/>
  <c r="P24" i="21"/>
  <c r="L10" i="32"/>
  <c r="L47" i="32"/>
  <c r="Z47" i="32"/>
  <c r="L6" i="32"/>
  <c r="L31" i="32"/>
  <c r="L12" i="32"/>
  <c r="L16" i="32"/>
  <c r="X48" i="31"/>
  <c r="X11" i="31"/>
  <c r="G11" i="23"/>
  <c r="X28" i="31"/>
  <c r="I42" i="32"/>
  <c r="X43" i="31"/>
  <c r="G43" i="23"/>
  <c r="G42" i="32"/>
  <c r="X41" i="31"/>
  <c r="G41" i="23"/>
  <c r="X19" i="31"/>
  <c r="K11" i="32"/>
  <c r="L11" i="32"/>
  <c r="X12" i="31"/>
  <c r="G11" i="32"/>
  <c r="X45" i="31"/>
  <c r="Y45" i="31"/>
  <c r="Z45" i="31"/>
  <c r="G45" i="23"/>
  <c r="X32" i="31"/>
  <c r="X20" i="31"/>
  <c r="X16" i="31"/>
  <c r="X36" i="31"/>
  <c r="I41" i="32"/>
  <c r="X42" i="31"/>
  <c r="X39" i="31"/>
  <c r="Y39" i="31"/>
  <c r="K34" i="32"/>
  <c r="I34" i="32"/>
  <c r="L34" i="32"/>
  <c r="G34" i="32"/>
  <c r="X38" i="31"/>
  <c r="G38" i="23"/>
  <c r="G41" i="32"/>
  <c r="X27" i="31"/>
  <c r="G27" i="23"/>
  <c r="H27" i="23"/>
  <c r="S27" i="61"/>
  <c r="T27" i="61"/>
  <c r="I5" i="32"/>
  <c r="X6" i="31"/>
  <c r="X29" i="31"/>
  <c r="G29" i="23"/>
  <c r="G24" i="32"/>
  <c r="K24" i="32"/>
  <c r="M24" i="32"/>
  <c r="F25" i="31"/>
  <c r="I24" i="32"/>
  <c r="G13" i="32"/>
  <c r="K13" i="32"/>
  <c r="L13" i="32"/>
  <c r="I13" i="32"/>
  <c r="X21" i="31"/>
  <c r="K14" i="32"/>
  <c r="L14" i="32"/>
  <c r="G14" i="32"/>
  <c r="I14" i="32"/>
  <c r="X5" i="31"/>
  <c r="X50" i="31"/>
  <c r="G50" i="23"/>
  <c r="H50" i="23"/>
  <c r="I7" i="32"/>
  <c r="K7" i="32"/>
  <c r="L7" i="32"/>
  <c r="G7" i="32"/>
  <c r="P9" i="21"/>
  <c r="Q9" i="21"/>
  <c r="L42" i="32"/>
  <c r="X25" i="31"/>
  <c r="X3" i="31"/>
  <c r="U14" i="31"/>
  <c r="C15" i="24"/>
  <c r="F15" i="24"/>
  <c r="U45" i="31"/>
  <c r="C46" i="24"/>
  <c r="F46" i="24"/>
  <c r="U19" i="31"/>
  <c r="C20" i="24"/>
  <c r="F20" i="24"/>
  <c r="U8" i="31"/>
  <c r="C9" i="24"/>
  <c r="F9" i="24"/>
  <c r="U7" i="31"/>
  <c r="C8" i="24"/>
  <c r="F8" i="24"/>
  <c r="U24" i="31"/>
  <c r="C25" i="24"/>
  <c r="F25" i="24"/>
  <c r="U11" i="31"/>
  <c r="C12" i="24"/>
  <c r="F12" i="24"/>
  <c r="U40" i="31"/>
  <c r="C41" i="24"/>
  <c r="F41" i="24"/>
  <c r="U16" i="31"/>
  <c r="C17" i="24"/>
  <c r="F17" i="24"/>
  <c r="U30" i="31"/>
  <c r="C31" i="24"/>
  <c r="F31" i="24"/>
  <c r="U23" i="31"/>
  <c r="C24" i="24"/>
  <c r="F24" i="24"/>
  <c r="U26" i="31"/>
  <c r="C27" i="24"/>
  <c r="F27" i="24"/>
  <c r="U48" i="31"/>
  <c r="C49" i="24"/>
  <c r="F49" i="24"/>
  <c r="U47" i="31"/>
  <c r="C48" i="24"/>
  <c r="F48" i="24"/>
  <c r="U18" i="31"/>
  <c r="C19" i="24"/>
  <c r="F19" i="24"/>
  <c r="U49" i="31"/>
  <c r="C50" i="24"/>
  <c r="F50" i="24"/>
  <c r="U39" i="31"/>
  <c r="C40" i="24"/>
  <c r="F40" i="24"/>
  <c r="U38" i="31"/>
  <c r="C39" i="24"/>
  <c r="F39" i="24"/>
  <c r="U46" i="31"/>
  <c r="C47" i="24"/>
  <c r="F47" i="24"/>
  <c r="U31" i="31"/>
  <c r="C32" i="24"/>
  <c r="F32" i="24"/>
  <c r="U34" i="31"/>
  <c r="C35" i="24"/>
  <c r="F35" i="24"/>
  <c r="U33" i="31"/>
  <c r="C34" i="24"/>
  <c r="F34" i="24"/>
  <c r="U41" i="31"/>
  <c r="C42" i="24"/>
  <c r="F42" i="24"/>
  <c r="U17" i="31"/>
  <c r="C18" i="24"/>
  <c r="F18" i="24"/>
  <c r="U27" i="31"/>
  <c r="C28" i="24"/>
  <c r="F28" i="24"/>
  <c r="U43" i="31"/>
  <c r="C44" i="24"/>
  <c r="F44" i="24"/>
  <c r="U28" i="31"/>
  <c r="C29" i="24"/>
  <c r="F29" i="24"/>
  <c r="U37" i="31"/>
  <c r="C38" i="24"/>
  <c r="F38" i="24"/>
  <c r="X46" i="31"/>
  <c r="X37" i="31"/>
  <c r="Y37" i="31"/>
  <c r="Z37" i="31"/>
  <c r="K37" i="14"/>
  <c r="X33" i="31"/>
  <c r="X15" i="31"/>
  <c r="X8" i="31"/>
  <c r="Y8" i="31"/>
  <c r="Z8" i="31"/>
  <c r="L8" i="66"/>
  <c r="X14" i="31"/>
  <c r="G14" i="23"/>
  <c r="D41" i="48"/>
  <c r="D67" i="48"/>
  <c r="E61" i="17"/>
  <c r="T66" i="17"/>
  <c r="P3" i="33"/>
  <c r="E9" i="33"/>
  <c r="E10" i="33"/>
  <c r="H10" i="33"/>
  <c r="E11" i="33"/>
  <c r="E12" i="33"/>
  <c r="E13" i="33"/>
  <c r="C12" i="32"/>
  <c r="E14" i="33"/>
  <c r="C13" i="32"/>
  <c r="M13" i="32"/>
  <c r="F14" i="31"/>
  <c r="D14" i="61"/>
  <c r="E14" i="61"/>
  <c r="E15" i="33"/>
  <c r="E24" i="33"/>
  <c r="C23" i="32"/>
  <c r="M23" i="32"/>
  <c r="F24" i="31"/>
  <c r="D24" i="61"/>
  <c r="E25" i="33"/>
  <c r="H25" i="33"/>
  <c r="O25" i="33"/>
  <c r="E26" i="33"/>
  <c r="C25" i="32"/>
  <c r="M25" i="32"/>
  <c r="F26" i="31"/>
  <c r="E27" i="33"/>
  <c r="C26" i="32"/>
  <c r="E33" i="33"/>
  <c r="E42" i="33"/>
  <c r="E43" i="33"/>
  <c r="E45" i="33"/>
  <c r="P15" i="33"/>
  <c r="P12" i="33"/>
  <c r="P34" i="33"/>
  <c r="P33" i="33"/>
  <c r="P35" i="33"/>
  <c r="P36" i="33"/>
  <c r="P43" i="33"/>
  <c r="P27" i="33"/>
  <c r="P11" i="33"/>
  <c r="P14" i="33"/>
  <c r="P45" i="33"/>
  <c r="P13" i="33"/>
  <c r="P42" i="33"/>
  <c r="P26" i="33"/>
  <c r="P10" i="33"/>
  <c r="H38" i="33"/>
  <c r="O38" i="33"/>
  <c r="C37" i="32"/>
  <c r="O37" i="33"/>
  <c r="C36" i="32"/>
  <c r="O35" i="33"/>
  <c r="C34" i="32"/>
  <c r="M34" i="32"/>
  <c r="F35" i="31"/>
  <c r="H33" i="33"/>
  <c r="O33" i="33"/>
  <c r="C32" i="32"/>
  <c r="H14" i="33"/>
  <c r="O14" i="33"/>
  <c r="C11" i="32"/>
  <c r="M11" i="32"/>
  <c r="F12" i="31"/>
  <c r="H12" i="33"/>
  <c r="O12" i="33"/>
  <c r="H27" i="33"/>
  <c r="O27" i="33"/>
  <c r="H11" i="33"/>
  <c r="O11" i="33"/>
  <c r="C10" i="32"/>
  <c r="P25" i="33"/>
  <c r="P9" i="33"/>
  <c r="H26" i="33"/>
  <c r="O26" i="33"/>
  <c r="O10" i="33"/>
  <c r="C9" i="32"/>
  <c r="M9" i="32"/>
  <c r="F10" i="31"/>
  <c r="P24" i="33"/>
  <c r="H34" i="33"/>
  <c r="O34" i="33"/>
  <c r="C33" i="32"/>
  <c r="C41" i="32"/>
  <c r="H42" i="33"/>
  <c r="O42" i="33"/>
  <c r="C24" i="32"/>
  <c r="H9" i="33"/>
  <c r="C8" i="32"/>
  <c r="P39" i="33"/>
  <c r="H24" i="33"/>
  <c r="O24" i="33"/>
  <c r="P38" i="33"/>
  <c r="O36" i="33"/>
  <c r="C35" i="32"/>
  <c r="C38" i="32"/>
  <c r="H39" i="33"/>
  <c r="O39" i="33"/>
  <c r="P37" i="33"/>
  <c r="E22" i="33"/>
  <c r="E23" i="33"/>
  <c r="H23" i="33"/>
  <c r="E21" i="33"/>
  <c r="E20" i="33"/>
  <c r="E48" i="33"/>
  <c r="E19" i="33"/>
  <c r="H19" i="33"/>
  <c r="O19" i="33"/>
  <c r="E47" i="33"/>
  <c r="E46" i="33"/>
  <c r="C45" i="32"/>
  <c r="M45" i="32"/>
  <c r="F46" i="31"/>
  <c r="D46" i="61"/>
  <c r="E46" i="61"/>
  <c r="E8" i="33"/>
  <c r="E7" i="33"/>
  <c r="C6" i="32"/>
  <c r="M6" i="32"/>
  <c r="F7" i="31"/>
  <c r="D7" i="15"/>
  <c r="E32" i="33"/>
  <c r="E31" i="33"/>
  <c r="E44" i="33"/>
  <c r="E30" i="33"/>
  <c r="E18" i="33"/>
  <c r="E41" i="33"/>
  <c r="H41" i="33"/>
  <c r="O41" i="33"/>
  <c r="E29" i="33"/>
  <c r="E17" i="33"/>
  <c r="H17" i="33"/>
  <c r="O17" i="33"/>
  <c r="E5" i="33"/>
  <c r="H5" i="33"/>
  <c r="O5" i="33"/>
  <c r="E28" i="33"/>
  <c r="E16" i="33"/>
  <c r="H16" i="33"/>
  <c r="O16" i="33"/>
  <c r="M35" i="32"/>
  <c r="F36" i="31"/>
  <c r="M10" i="32"/>
  <c r="F11" i="31"/>
  <c r="M37" i="32"/>
  <c r="F38" i="31"/>
  <c r="E49" i="33"/>
  <c r="H49" i="33"/>
  <c r="O49" i="33"/>
  <c r="C48" i="32"/>
  <c r="D49" i="15"/>
  <c r="C51" i="33"/>
  <c r="P41" i="33"/>
  <c r="P31" i="33"/>
  <c r="P32" i="33"/>
  <c r="P16" i="33"/>
  <c r="P4" i="33"/>
  <c r="P19" i="33"/>
  <c r="P5" i="33"/>
  <c r="P28" i="33"/>
  <c r="P21" i="33"/>
  <c r="H46" i="33"/>
  <c r="O46" i="33"/>
  <c r="C19" i="32"/>
  <c r="H20" i="33"/>
  <c r="P23" i="33"/>
  <c r="P40" i="33"/>
  <c r="C18" i="32"/>
  <c r="C15" i="32"/>
  <c r="M15" i="32"/>
  <c r="F16" i="31"/>
  <c r="D16" i="15"/>
  <c r="E16" i="15"/>
  <c r="E6" i="33"/>
  <c r="H8" i="33"/>
  <c r="O8" i="33"/>
  <c r="C7" i="32"/>
  <c r="M7" i="32"/>
  <c r="F8" i="31"/>
  <c r="P48" i="33"/>
  <c r="H40" i="33"/>
  <c r="O40" i="33"/>
  <c r="C39" i="32"/>
  <c r="H31" i="33"/>
  <c r="O31" i="33"/>
  <c r="C30" i="32"/>
  <c r="H7" i="33"/>
  <c r="O7" i="33"/>
  <c r="H44" i="33"/>
  <c r="O44" i="33"/>
  <c r="C43" i="32"/>
  <c r="M43" i="32"/>
  <c r="F44" i="31"/>
  <c r="D44" i="61"/>
  <c r="E44" i="61"/>
  <c r="P46" i="33"/>
  <c r="C4" i="32"/>
  <c r="P20" i="33"/>
  <c r="P44" i="33"/>
  <c r="O23" i="33"/>
  <c r="O3" i="33"/>
  <c r="H28" i="33"/>
  <c r="O28" i="33"/>
  <c r="C27" i="32"/>
  <c r="M27" i="32"/>
  <c r="F28" i="31"/>
  <c r="D28" i="66"/>
  <c r="P7" i="33"/>
  <c r="P29" i="33"/>
  <c r="P47" i="33"/>
  <c r="H22" i="33"/>
  <c r="O22" i="33"/>
  <c r="C21" i="32"/>
  <c r="H48" i="33"/>
  <c r="O48" i="33"/>
  <c r="C47" i="32"/>
  <c r="P8" i="33"/>
  <c r="C16" i="32"/>
  <c r="H29" i="33"/>
  <c r="O29" i="33"/>
  <c r="C28" i="32"/>
  <c r="H21" i="33"/>
  <c r="O21" i="33"/>
  <c r="C20" i="32"/>
  <c r="M20" i="32"/>
  <c r="F21" i="31"/>
  <c r="D21" i="15"/>
  <c r="C31" i="32"/>
  <c r="M31" i="32"/>
  <c r="F32" i="31"/>
  <c r="D32" i="15"/>
  <c r="H32" i="33"/>
  <c r="O32" i="33"/>
  <c r="P22" i="33"/>
  <c r="P18" i="33"/>
  <c r="P30" i="33"/>
  <c r="P17" i="33"/>
  <c r="M47" i="32"/>
  <c r="F48" i="31"/>
  <c r="M39" i="32"/>
  <c r="F40" i="31"/>
  <c r="D40" i="61"/>
  <c r="M4" i="32"/>
  <c r="F5" i="31"/>
  <c r="D5" i="61"/>
  <c r="M21" i="32"/>
  <c r="F22" i="31"/>
  <c r="D22" i="15"/>
  <c r="D53" i="15"/>
  <c r="E53" i="15"/>
  <c r="M28" i="32"/>
  <c r="F29" i="31"/>
  <c r="AA39" i="60"/>
  <c r="AA9" i="60"/>
  <c r="AA10" i="60"/>
  <c r="AA27" i="60"/>
  <c r="AA45" i="60"/>
  <c r="AA11" i="60"/>
  <c r="AA3" i="60"/>
  <c r="AA42" i="60"/>
  <c r="AA34" i="60"/>
  <c r="AA35" i="60"/>
  <c r="AA36" i="60"/>
  <c r="AA33" i="60"/>
  <c r="AA12" i="60"/>
  <c r="AA38" i="60"/>
  <c r="AA25" i="60"/>
  <c r="AA26" i="60"/>
  <c r="AA13" i="60"/>
  <c r="AA15" i="60"/>
  <c r="AA24" i="60"/>
  <c r="AA43" i="60"/>
  <c r="AA14" i="60"/>
  <c r="AA37" i="60"/>
  <c r="AA13" i="17"/>
  <c r="AA13" i="40"/>
  <c r="AA13" i="44"/>
  <c r="AA13" i="48"/>
  <c r="AA13" i="41"/>
  <c r="AA42" i="44"/>
  <c r="AA42" i="48"/>
  <c r="AA42" i="41"/>
  <c r="AA42" i="17"/>
  <c r="AA42" i="40"/>
  <c r="AA39" i="41"/>
  <c r="AA39" i="44"/>
  <c r="AA39" i="40"/>
  <c r="AA39" i="17"/>
  <c r="AA39" i="48"/>
  <c r="AA3" i="40"/>
  <c r="AA3" i="17"/>
  <c r="AA3" i="48"/>
  <c r="AA3" i="44"/>
  <c r="AA3" i="41"/>
  <c r="AA36" i="44"/>
  <c r="AA36" i="48"/>
  <c r="AA36" i="17"/>
  <c r="AA36" i="41"/>
  <c r="AA36" i="40"/>
  <c r="AA33" i="17"/>
  <c r="AA33" i="48"/>
  <c r="AA33" i="44"/>
  <c r="AA33" i="40"/>
  <c r="AA33" i="41"/>
  <c r="AA34" i="41"/>
  <c r="AA34" i="40"/>
  <c r="AA34" i="17"/>
  <c r="AA34" i="48"/>
  <c r="AA34" i="44"/>
  <c r="AA35" i="40"/>
  <c r="AA35" i="41"/>
  <c r="AA35" i="44"/>
  <c r="AA35" i="17"/>
  <c r="AA35" i="48"/>
  <c r="AA9" i="48"/>
  <c r="AA9" i="17"/>
  <c r="AA9" i="41"/>
  <c r="AA9" i="44"/>
  <c r="AA9" i="40"/>
  <c r="AA37" i="41"/>
  <c r="AA37" i="44"/>
  <c r="AA37" i="40"/>
  <c r="AA37" i="48"/>
  <c r="AA37" i="17"/>
  <c r="AA48" i="60"/>
  <c r="AA45" i="44"/>
  <c r="AA45" i="40"/>
  <c r="AA45" i="41"/>
  <c r="AA45" i="17"/>
  <c r="AA45" i="48"/>
  <c r="AA11" i="40"/>
  <c r="AA11" i="41"/>
  <c r="AA11" i="17"/>
  <c r="AA11" i="44"/>
  <c r="AA11" i="48"/>
  <c r="AA12" i="41"/>
  <c r="AA12" i="44"/>
  <c r="AA12" i="17"/>
  <c r="AA12" i="40"/>
  <c r="AA12" i="48"/>
  <c r="AA15" i="44"/>
  <c r="AA15" i="48"/>
  <c r="AA15" i="41"/>
  <c r="AA15" i="17"/>
  <c r="AA15" i="40"/>
  <c r="AA27" i="17"/>
  <c r="AA27" i="48"/>
  <c r="AA27" i="40"/>
  <c r="AA27" i="44"/>
  <c r="AA27" i="41"/>
  <c r="AA24" i="48"/>
  <c r="AA24" i="17"/>
  <c r="AA24" i="41"/>
  <c r="AA24" i="40"/>
  <c r="AA24" i="44"/>
  <c r="AA14" i="41"/>
  <c r="AA14" i="17"/>
  <c r="AA14" i="40"/>
  <c r="AA14" i="48"/>
  <c r="AA14" i="44"/>
  <c r="AA43" i="17"/>
  <c r="AA43" i="44"/>
  <c r="AA43" i="41"/>
  <c r="AA43" i="40"/>
  <c r="AA43" i="48"/>
  <c r="AA10" i="48"/>
  <c r="AA10" i="44"/>
  <c r="AA10" i="17"/>
  <c r="AA10" i="41"/>
  <c r="AA10" i="40"/>
  <c r="AA26" i="44"/>
  <c r="AA26" i="41"/>
  <c r="AA26" i="40"/>
  <c r="AA26" i="17"/>
  <c r="AA26" i="48"/>
  <c r="AA25" i="44"/>
  <c r="AA25" i="40"/>
  <c r="AA25" i="17"/>
  <c r="AA25" i="41"/>
  <c r="AA25" i="48"/>
  <c r="AA38" i="41"/>
  <c r="AA38" i="48"/>
  <c r="AA38" i="17"/>
  <c r="AA38" i="44"/>
  <c r="AA38" i="40"/>
  <c r="AA8" i="60"/>
  <c r="AA29" i="60"/>
  <c r="AA40" i="60"/>
  <c r="AA22" i="60"/>
  <c r="AA17" i="60"/>
  <c r="AA19" i="60"/>
  <c r="AA16" i="60"/>
  <c r="AA23" i="60"/>
  <c r="AA18" i="60"/>
  <c r="AA7" i="60"/>
  <c r="AA4" i="60"/>
  <c r="AA20" i="60"/>
  <c r="AA31" i="60"/>
  <c r="AA41" i="60"/>
  <c r="AA5" i="60"/>
  <c r="AA47" i="60"/>
  <c r="AA46" i="60"/>
  <c r="AA30" i="60"/>
  <c r="AA28" i="60"/>
  <c r="AA21" i="60"/>
  <c r="AA32" i="60"/>
  <c r="AA44" i="60"/>
  <c r="AA21" i="44"/>
  <c r="AA21" i="40"/>
  <c r="AA21" i="48"/>
  <c r="AA21" i="17"/>
  <c r="AA21" i="41"/>
  <c r="AA23" i="44"/>
  <c r="AA23" i="41"/>
  <c r="AA23" i="40"/>
  <c r="AA23" i="17"/>
  <c r="AA23" i="48"/>
  <c r="AA17" i="48"/>
  <c r="AA17" i="41"/>
  <c r="AA17" i="40"/>
  <c r="AA17" i="17"/>
  <c r="AA17" i="44"/>
  <c r="AA40" i="41"/>
  <c r="AA40" i="40"/>
  <c r="AA40" i="17"/>
  <c r="AA40" i="48"/>
  <c r="AA40" i="44"/>
  <c r="AA18" i="40"/>
  <c r="AA18" i="48"/>
  <c r="AA18" i="17"/>
  <c r="AA18" i="44"/>
  <c r="AA18" i="41"/>
  <c r="AA41" i="17"/>
  <c r="AA41" i="48"/>
  <c r="AA41" i="40"/>
  <c r="AA41" i="44"/>
  <c r="AA41" i="41"/>
  <c r="AA30" i="48"/>
  <c r="AA30" i="41"/>
  <c r="AA30" i="44"/>
  <c r="AA30" i="40"/>
  <c r="AA30" i="17"/>
  <c r="AA28" i="17"/>
  <c r="AA28" i="40"/>
  <c r="AA28" i="48"/>
  <c r="AA28" i="44"/>
  <c r="AA28" i="41"/>
  <c r="AA44" i="44"/>
  <c r="AA44" i="17"/>
  <c r="AA44" i="48"/>
  <c r="AA44" i="40"/>
  <c r="AA44" i="41"/>
  <c r="AA7" i="44"/>
  <c r="AA7" i="17"/>
  <c r="AA7" i="48"/>
  <c r="AA7" i="41"/>
  <c r="AA7" i="40"/>
  <c r="AA20" i="41"/>
  <c r="AA20" i="40"/>
  <c r="AA20" i="17"/>
  <c r="AA20" i="48"/>
  <c r="AA20" i="44"/>
  <c r="AA48" i="48"/>
  <c r="AA48" i="44"/>
  <c r="AA48" i="17"/>
  <c r="AA48" i="41"/>
  <c r="AA48" i="40"/>
  <c r="AA31" i="44"/>
  <c r="AA31" i="48"/>
  <c r="AA31" i="17"/>
  <c r="AA31" i="41"/>
  <c r="AA31" i="40"/>
  <c r="AA32" i="44"/>
  <c r="AA32" i="17"/>
  <c r="AA32" i="48"/>
  <c r="AA32" i="41"/>
  <c r="AA32" i="40"/>
  <c r="AA22" i="40"/>
  <c r="AA22" i="17"/>
  <c r="AA22" i="48"/>
  <c r="AA22" i="44"/>
  <c r="AA22" i="41"/>
  <c r="AA4" i="44"/>
  <c r="AA4" i="41"/>
  <c r="AA4" i="40"/>
  <c r="AA4" i="17"/>
  <c r="AA4" i="48"/>
  <c r="AA46" i="41"/>
  <c r="AA46" i="44"/>
  <c r="AA46" i="17"/>
  <c r="AA46" i="48"/>
  <c r="AA46" i="40"/>
  <c r="AA19" i="44"/>
  <c r="AA19" i="41"/>
  <c r="AA19" i="48"/>
  <c r="AA19" i="40"/>
  <c r="AA19" i="17"/>
  <c r="AA47" i="17"/>
  <c r="AA47" i="40"/>
  <c r="AA47" i="48"/>
  <c r="AA47" i="44"/>
  <c r="AA47" i="41"/>
  <c r="AA29" i="41"/>
  <c r="AA29" i="48"/>
  <c r="AA29" i="17"/>
  <c r="AA29" i="44"/>
  <c r="AA29" i="40"/>
  <c r="AA5" i="17"/>
  <c r="AA5" i="48"/>
  <c r="AA5" i="44"/>
  <c r="AA5" i="40"/>
  <c r="AA5" i="41"/>
  <c r="AA8" i="44"/>
  <c r="AA8" i="40"/>
  <c r="AA8" i="48"/>
  <c r="AA8" i="41"/>
  <c r="AA8" i="17"/>
  <c r="AA16" i="40"/>
  <c r="AA16" i="48"/>
  <c r="AA16" i="17"/>
  <c r="AA16" i="44"/>
  <c r="AA16" i="41"/>
  <c r="D46" i="55"/>
  <c r="G3" i="48"/>
  <c r="E61" i="40"/>
  <c r="E61" i="48"/>
  <c r="G4" i="48"/>
  <c r="E61" i="41"/>
  <c r="F61" i="48"/>
  <c r="E61" i="44"/>
  <c r="G61" i="40"/>
  <c r="F61" i="41"/>
  <c r="G61" i="41"/>
  <c r="F61" i="40"/>
  <c r="F61" i="44"/>
  <c r="G61" i="17"/>
  <c r="W20" i="38"/>
  <c r="W18" i="38"/>
  <c r="X20" i="38"/>
  <c r="D11" i="40"/>
  <c r="D11" i="60"/>
  <c r="H11" i="60"/>
  <c r="D11" i="17"/>
  <c r="D32" i="66"/>
  <c r="D13" i="15"/>
  <c r="D52" i="15"/>
  <c r="F52" i="31"/>
  <c r="D52" i="66"/>
  <c r="D13" i="55"/>
  <c r="D52" i="55"/>
  <c r="E49" i="15"/>
  <c r="H18" i="33"/>
  <c r="C17" i="32"/>
  <c r="H30" i="33"/>
  <c r="O30" i="33"/>
  <c r="C29" i="32"/>
  <c r="M29" i="32"/>
  <c r="F30" i="31"/>
  <c r="D30" i="61"/>
  <c r="H6" i="33"/>
  <c r="O6" i="33"/>
  <c r="C5" i="32"/>
  <c r="C44" i="32"/>
  <c r="M44" i="32"/>
  <c r="F45" i="31"/>
  <c r="H45" i="33"/>
  <c r="O45" i="33"/>
  <c r="H47" i="33"/>
  <c r="O47" i="33"/>
  <c r="C46" i="32"/>
  <c r="H43" i="33"/>
  <c r="O43" i="33"/>
  <c r="C42" i="32"/>
  <c r="M42" i="32"/>
  <c r="F43" i="31"/>
  <c r="D49" i="61"/>
  <c r="D49" i="55"/>
  <c r="E49" i="55"/>
  <c r="D10" i="15"/>
  <c r="H15" i="33"/>
  <c r="O15" i="33"/>
  <c r="C14" i="32"/>
  <c r="M14" i="32"/>
  <c r="F15" i="31"/>
  <c r="D15" i="61"/>
  <c r="E15" i="61"/>
  <c r="C40" i="32"/>
  <c r="H13" i="33"/>
  <c r="O13" i="33"/>
  <c r="C22" i="32"/>
  <c r="M22" i="32"/>
  <c r="F23" i="31"/>
  <c r="Z39" i="31"/>
  <c r="L39" i="66"/>
  <c r="X35" i="31"/>
  <c r="AZ35" i="30"/>
  <c r="AZ19" i="30"/>
  <c r="Q46" i="21"/>
  <c r="P46" i="21"/>
  <c r="I36" i="32"/>
  <c r="K36" i="32"/>
  <c r="G36" i="32"/>
  <c r="E38" i="32"/>
  <c r="F26" i="66"/>
  <c r="F26" i="61"/>
  <c r="L48" i="32"/>
  <c r="Z48" i="32"/>
  <c r="D47" i="26"/>
  <c r="C47" i="26"/>
  <c r="E39" i="26"/>
  <c r="E39" i="79"/>
  <c r="F39" i="26"/>
  <c r="C39" i="26"/>
  <c r="E31" i="26"/>
  <c r="E31" i="79"/>
  <c r="F31" i="26"/>
  <c r="F31" i="79"/>
  <c r="C31" i="26"/>
  <c r="E23" i="26"/>
  <c r="E50" i="26"/>
  <c r="F23" i="26"/>
  <c r="F23" i="79"/>
  <c r="D23" i="26"/>
  <c r="C23" i="26"/>
  <c r="E15" i="26"/>
  <c r="E15" i="79"/>
  <c r="F15" i="26"/>
  <c r="F15" i="79"/>
  <c r="D15" i="26"/>
  <c r="C15" i="26"/>
  <c r="F7" i="26"/>
  <c r="F7" i="79"/>
  <c r="E7" i="26"/>
  <c r="C7" i="26"/>
  <c r="D7" i="26"/>
  <c r="I56" i="20"/>
  <c r="N18" i="33"/>
  <c r="E17" i="32"/>
  <c r="AN42" i="63"/>
  <c r="AN28" i="63"/>
  <c r="AN12" i="63"/>
  <c r="N21" i="21"/>
  <c r="AN33" i="63"/>
  <c r="N42" i="21"/>
  <c r="O42" i="21"/>
  <c r="AN17" i="63"/>
  <c r="N26" i="21"/>
  <c r="O26" i="21"/>
  <c r="AN4" i="63"/>
  <c r="E40" i="23"/>
  <c r="C40" i="23"/>
  <c r="F40" i="23"/>
  <c r="D12" i="23"/>
  <c r="E12" i="23"/>
  <c r="AN41" i="63"/>
  <c r="N52" i="21"/>
  <c r="O52" i="21"/>
  <c r="AN27" i="63"/>
  <c r="N36" i="21"/>
  <c r="O36" i="21"/>
  <c r="L37" i="20"/>
  <c r="M37" i="20"/>
  <c r="S41" i="48"/>
  <c r="S25" i="41"/>
  <c r="S9" i="40"/>
  <c r="S9" i="60"/>
  <c r="S9" i="41"/>
  <c r="AZ44" i="30"/>
  <c r="AZ28" i="30"/>
  <c r="AZ12" i="30"/>
  <c r="AN14" i="63"/>
  <c r="L21" i="20"/>
  <c r="M21" i="20"/>
  <c r="F19" i="55"/>
  <c r="I9" i="41"/>
  <c r="W9" i="41"/>
  <c r="I9" i="40"/>
  <c r="W9" i="40"/>
  <c r="D51" i="36"/>
  <c r="J48" i="20"/>
  <c r="J40" i="20"/>
  <c r="L40" i="20"/>
  <c r="M40" i="20"/>
  <c r="B8" i="50"/>
  <c r="B22" i="82"/>
  <c r="B19" i="81"/>
  <c r="S46" i="60"/>
  <c r="S38" i="41"/>
  <c r="S22" i="41"/>
  <c r="I53" i="14"/>
  <c r="S53" i="48"/>
  <c r="AZ7" i="30"/>
  <c r="AZ15" i="30"/>
  <c r="B20" i="81"/>
  <c r="B26" i="50"/>
  <c r="AZ42" i="30"/>
  <c r="AY24" i="30"/>
  <c r="AY40" i="30"/>
  <c r="AN22" i="63"/>
  <c r="L54" i="20"/>
  <c r="M54" i="20"/>
  <c r="F52" i="66"/>
  <c r="F44" i="26"/>
  <c r="E44" i="26"/>
  <c r="E44" i="79"/>
  <c r="E36" i="26"/>
  <c r="F36" i="26"/>
  <c r="F36" i="79"/>
  <c r="E28" i="26"/>
  <c r="E28" i="79"/>
  <c r="F28" i="26"/>
  <c r="F28" i="79"/>
  <c r="E20" i="26"/>
  <c r="F20" i="26"/>
  <c r="F49" i="26"/>
  <c r="F49" i="79"/>
  <c r="F12" i="26"/>
  <c r="E12" i="26"/>
  <c r="E48" i="26"/>
  <c r="E4" i="26"/>
  <c r="F4" i="26"/>
  <c r="F4" i="79"/>
  <c r="E45" i="79"/>
  <c r="P53" i="15"/>
  <c r="AZ9" i="30"/>
  <c r="M4" i="63"/>
  <c r="G6" i="80"/>
  <c r="I6" i="80"/>
  <c r="U9" i="15"/>
  <c r="U51" i="15"/>
  <c r="P50" i="55"/>
  <c r="B10" i="81"/>
  <c r="F45" i="79"/>
  <c r="C20" i="26"/>
  <c r="AN8" i="63"/>
  <c r="B41" i="82"/>
  <c r="AY6" i="30"/>
  <c r="BA19" i="30"/>
  <c r="K9" i="33"/>
  <c r="AY14" i="30"/>
  <c r="AY50" i="30"/>
  <c r="AY18" i="30"/>
  <c r="C44" i="26"/>
  <c r="J17" i="20"/>
  <c r="C40" i="26"/>
  <c r="E40" i="26"/>
  <c r="E40" i="79"/>
  <c r="F40" i="26"/>
  <c r="F40" i="79"/>
  <c r="E32" i="26"/>
  <c r="E32" i="79"/>
  <c r="F32" i="26"/>
  <c r="E24" i="26"/>
  <c r="E24" i="79"/>
  <c r="F24" i="26"/>
  <c r="F24" i="79"/>
  <c r="F16" i="26"/>
  <c r="F16" i="79"/>
  <c r="E16" i="26"/>
  <c r="F8" i="26"/>
  <c r="F8" i="79"/>
  <c r="E8" i="26"/>
  <c r="E8" i="79"/>
  <c r="D8" i="26"/>
  <c r="M35" i="59"/>
  <c r="D37" i="63"/>
  <c r="AN40" i="63"/>
  <c r="AN26" i="63"/>
  <c r="AN11" i="63"/>
  <c r="AY32" i="30"/>
  <c r="AY16" i="30"/>
  <c r="I51" i="33"/>
  <c r="D4" i="33"/>
  <c r="M34" i="59"/>
  <c r="D36" i="63"/>
  <c r="M23" i="59"/>
  <c r="D25" i="63"/>
  <c r="B39" i="81"/>
  <c r="B18" i="50"/>
  <c r="B39" i="82"/>
  <c r="AZ37" i="30"/>
  <c r="AY47" i="30"/>
  <c r="K20" i="33"/>
  <c r="D24" i="23"/>
  <c r="L51" i="20"/>
  <c r="M51" i="20"/>
  <c r="F49" i="14"/>
  <c r="L43" i="20"/>
  <c r="M43" i="20"/>
  <c r="F41" i="15"/>
  <c r="AN39" i="63"/>
  <c r="AN25" i="63"/>
  <c r="AN10" i="63"/>
  <c r="AZ45" i="30"/>
  <c r="AY29" i="30"/>
  <c r="AY13" i="30"/>
  <c r="C51" i="36"/>
  <c r="M43" i="59"/>
  <c r="D4" i="63"/>
  <c r="AN34" i="63"/>
  <c r="AN19" i="63"/>
  <c r="B2" i="50"/>
  <c r="AY43" i="30"/>
  <c r="AY27" i="30"/>
  <c r="AY11" i="30"/>
  <c r="AN30" i="63"/>
  <c r="AY51" i="30"/>
  <c r="AY36" i="30"/>
  <c r="AY20" i="30"/>
  <c r="AY49" i="30"/>
  <c r="AY34" i="30"/>
  <c r="AY52" i="30"/>
  <c r="M51" i="59"/>
  <c r="D43" i="63"/>
  <c r="M41" i="59"/>
  <c r="M29" i="59"/>
  <c r="D31" i="63"/>
  <c r="M18" i="59"/>
  <c r="O66" i="66"/>
  <c r="G66" i="66"/>
  <c r="J67" i="66"/>
  <c r="X66" i="66"/>
  <c r="K67" i="66"/>
  <c r="M66" i="66"/>
  <c r="V67" i="66"/>
  <c r="W67" i="66"/>
  <c r="AN43" i="63"/>
  <c r="AN29" i="63"/>
  <c r="AN13" i="63"/>
  <c r="F42" i="26"/>
  <c r="F42" i="79"/>
  <c r="E42" i="26"/>
  <c r="E42" i="79"/>
  <c r="C42" i="26"/>
  <c r="E34" i="26"/>
  <c r="F34" i="26"/>
  <c r="F34" i="79"/>
  <c r="F26" i="26"/>
  <c r="F26" i="79"/>
  <c r="E26" i="26"/>
  <c r="E26" i="79"/>
  <c r="F18" i="26"/>
  <c r="F18" i="79"/>
  <c r="E18" i="26"/>
  <c r="E10" i="26"/>
  <c r="E10" i="79"/>
  <c r="F10" i="26"/>
  <c r="F10" i="79"/>
  <c r="AY48" i="30"/>
  <c r="AY33" i="30"/>
  <c r="AY17" i="30"/>
  <c r="K12" i="3"/>
  <c r="AN37" i="63"/>
  <c r="AN23" i="63"/>
  <c r="AN9" i="63"/>
  <c r="F41" i="26"/>
  <c r="F41" i="79"/>
  <c r="E41" i="26"/>
  <c r="E41" i="79"/>
  <c r="E33" i="26"/>
  <c r="F33" i="26"/>
  <c r="F33" i="79"/>
  <c r="F25" i="26"/>
  <c r="F25" i="79"/>
  <c r="E25" i="26"/>
  <c r="F17" i="26"/>
  <c r="F17" i="79"/>
  <c r="E17" i="26"/>
  <c r="E9" i="26"/>
  <c r="E47" i="26"/>
  <c r="E47" i="79"/>
  <c r="F9" i="26"/>
  <c r="C5" i="38"/>
  <c r="X19" i="38"/>
  <c r="AY46" i="30"/>
  <c r="AY31" i="30"/>
  <c r="R22" i="3"/>
  <c r="K22" i="3"/>
  <c r="R41" i="3"/>
  <c r="K41" i="3"/>
  <c r="D28" i="63"/>
  <c r="D27" i="63"/>
  <c r="M25" i="59"/>
  <c r="R32" i="3"/>
  <c r="K32" i="3"/>
  <c r="D15" i="63"/>
  <c r="M13" i="59"/>
  <c r="L42" i="3"/>
  <c r="R42" i="3"/>
  <c r="K42" i="3"/>
  <c r="AN32" i="63"/>
  <c r="AN16" i="63"/>
  <c r="AY41" i="30"/>
  <c r="AY26" i="30"/>
  <c r="AY10" i="30"/>
  <c r="D9" i="63"/>
  <c r="M8" i="59"/>
  <c r="D10" i="63"/>
  <c r="L20" i="3"/>
  <c r="N55" i="3"/>
  <c r="AN36" i="63"/>
  <c r="AN21" i="63"/>
  <c r="AN7" i="63"/>
  <c r="E38" i="26"/>
  <c r="E38" i="79"/>
  <c r="F38" i="26"/>
  <c r="E30" i="26"/>
  <c r="F30" i="26"/>
  <c r="F30" i="79"/>
  <c r="E22" i="26"/>
  <c r="F22" i="26"/>
  <c r="F22" i="79"/>
  <c r="D22" i="26"/>
  <c r="E14" i="26"/>
  <c r="E14" i="79"/>
  <c r="F14" i="26"/>
  <c r="F14" i="79"/>
  <c r="F6" i="26"/>
  <c r="F6" i="79"/>
  <c r="E6" i="26"/>
  <c r="E6" i="79"/>
  <c r="AY25" i="30"/>
  <c r="M7" i="59"/>
  <c r="D8" i="63"/>
  <c r="D14" i="63"/>
  <c r="AN20" i="63"/>
  <c r="AN31" i="63"/>
  <c r="AN15" i="63"/>
  <c r="E37" i="26"/>
  <c r="E37" i="79"/>
  <c r="F37" i="26"/>
  <c r="F37" i="79"/>
  <c r="E29" i="26"/>
  <c r="E29" i="79"/>
  <c r="F29" i="26"/>
  <c r="F29" i="79"/>
  <c r="F21" i="26"/>
  <c r="F21" i="79"/>
  <c r="E21" i="26"/>
  <c r="E21" i="79"/>
  <c r="E13" i="26"/>
  <c r="F13" i="26"/>
  <c r="F13" i="79"/>
  <c r="F5" i="26"/>
  <c r="F46" i="26"/>
  <c r="F46" i="79"/>
  <c r="E5" i="26"/>
  <c r="AY39" i="30"/>
  <c r="AY23" i="30"/>
  <c r="AY8" i="30"/>
  <c r="D6" i="63"/>
  <c r="D35" i="63"/>
  <c r="M33" i="59"/>
  <c r="AN24" i="63"/>
  <c r="AN35" i="63"/>
  <c r="AN6" i="63"/>
  <c r="AY38" i="30"/>
  <c r="AY22" i="30"/>
  <c r="D22" i="63"/>
  <c r="M20" i="59"/>
  <c r="AN5" i="63"/>
  <c r="F43" i="26"/>
  <c r="F43" i="79"/>
  <c r="E43" i="26"/>
  <c r="E43" i="79"/>
  <c r="E35" i="26"/>
  <c r="E35" i="79"/>
  <c r="F35" i="26"/>
  <c r="F27" i="26"/>
  <c r="F27" i="79"/>
  <c r="E27" i="26"/>
  <c r="E27" i="79"/>
  <c r="F19" i="26"/>
  <c r="F19" i="79"/>
  <c r="E19" i="26"/>
  <c r="E19" i="79"/>
  <c r="G19" i="79"/>
  <c r="F11" i="26"/>
  <c r="F11" i="79"/>
  <c r="E11" i="26"/>
  <c r="F3" i="26"/>
  <c r="F3" i="79"/>
  <c r="E3" i="26"/>
  <c r="E3" i="79"/>
  <c r="AY30" i="30"/>
  <c r="D5" i="63"/>
  <c r="M11" i="59"/>
  <c r="R18" i="3"/>
  <c r="K18" i="3"/>
  <c r="L18" i="3"/>
  <c r="L33" i="3"/>
  <c r="D7" i="63"/>
  <c r="R13" i="3"/>
  <c r="K13" i="3"/>
  <c r="M3" i="59"/>
  <c r="P55" i="3"/>
  <c r="D12" i="63"/>
  <c r="M10" i="59"/>
  <c r="M38" i="59"/>
  <c r="D11" i="63"/>
  <c r="S12" i="3"/>
  <c r="M21" i="59"/>
  <c r="D18" i="63"/>
  <c r="S49" i="3"/>
  <c r="B5" i="34"/>
  <c r="W53" i="3"/>
  <c r="M16" i="59"/>
  <c r="V66" i="66"/>
  <c r="I33" i="66"/>
  <c r="I33" i="61"/>
  <c r="D24" i="63"/>
  <c r="M22" i="59"/>
  <c r="R40" i="3"/>
  <c r="K40" i="3"/>
  <c r="L40" i="3"/>
  <c r="BA13" i="3"/>
  <c r="G10" i="31"/>
  <c r="H50" i="31"/>
  <c r="L53" i="3"/>
  <c r="D66" i="66"/>
  <c r="I3" i="61"/>
  <c r="I8" i="61"/>
  <c r="D16" i="63"/>
  <c r="M67" i="66"/>
  <c r="I21" i="66"/>
  <c r="D36" i="79"/>
  <c r="C36" i="79"/>
  <c r="D12" i="79"/>
  <c r="C12" i="79"/>
  <c r="D14" i="79"/>
  <c r="C14" i="79"/>
  <c r="C37" i="79"/>
  <c r="D37" i="79"/>
  <c r="C24" i="79"/>
  <c r="D24" i="79"/>
  <c r="K5" i="20"/>
  <c r="L5" i="20"/>
  <c r="M5" i="20"/>
  <c r="S31" i="3"/>
  <c r="S54" i="3"/>
  <c r="J66" i="66"/>
  <c r="H56" i="20"/>
  <c r="J56" i="20"/>
  <c r="L29" i="3"/>
  <c r="I34" i="61"/>
  <c r="R66" i="66"/>
  <c r="R67" i="66"/>
  <c r="K16" i="80"/>
  <c r="H16" i="80"/>
  <c r="I16" i="80"/>
  <c r="J54" i="20"/>
  <c r="S13" i="3"/>
  <c r="S55" i="3"/>
  <c r="C40" i="79"/>
  <c r="G55" i="20"/>
  <c r="J53" i="20"/>
  <c r="L53" i="20"/>
  <c r="M53" i="20"/>
  <c r="F51" i="66"/>
  <c r="R50" i="32"/>
  <c r="J55" i="20"/>
  <c r="L55" i="20"/>
  <c r="M55" i="20"/>
  <c r="F53" i="66"/>
  <c r="G18" i="31"/>
  <c r="BA21" i="3"/>
  <c r="H10" i="80"/>
  <c r="I10" i="80"/>
  <c r="K10" i="80"/>
  <c r="K66" i="66"/>
  <c r="T66" i="66"/>
  <c r="G67" i="66"/>
  <c r="D25" i="79"/>
  <c r="C34" i="79"/>
  <c r="K23" i="80"/>
  <c r="K22" i="80"/>
  <c r="G42" i="23"/>
  <c r="H13" i="45"/>
  <c r="I13" i="45"/>
  <c r="H16" i="45"/>
  <c r="I16" i="45"/>
  <c r="H43" i="45"/>
  <c r="I43" i="45"/>
  <c r="H19" i="45"/>
  <c r="I19" i="45"/>
  <c r="D50" i="79"/>
  <c r="C47" i="79"/>
  <c r="D8" i="79"/>
  <c r="D48" i="79"/>
  <c r="D22" i="79"/>
  <c r="BA12" i="3"/>
  <c r="G21" i="31"/>
  <c r="H25" i="45"/>
  <c r="I25" i="45"/>
  <c r="D18" i="79"/>
  <c r="D39" i="79"/>
  <c r="C38" i="79"/>
  <c r="H29" i="45"/>
  <c r="I29" i="45"/>
  <c r="H32" i="45"/>
  <c r="I32" i="45"/>
  <c r="H12" i="45"/>
  <c r="I12" i="45"/>
  <c r="H35" i="45"/>
  <c r="I35" i="45"/>
  <c r="H8" i="45"/>
  <c r="I8" i="45"/>
  <c r="C15" i="79"/>
  <c r="D49" i="79"/>
  <c r="D42" i="79"/>
  <c r="K13" i="80"/>
  <c r="I15" i="80"/>
  <c r="K17" i="80"/>
  <c r="I14" i="80"/>
  <c r="J14" i="80"/>
  <c r="N20" i="31"/>
  <c r="U20" i="31"/>
  <c r="D4" i="79"/>
  <c r="BA11" i="3"/>
  <c r="H45" i="45"/>
  <c r="I45" i="45"/>
  <c r="H5" i="45"/>
  <c r="I5" i="45"/>
  <c r="H34" i="45"/>
  <c r="I34" i="45"/>
  <c r="BA27" i="3"/>
  <c r="BA19" i="3"/>
  <c r="I7" i="80"/>
  <c r="J7" i="80"/>
  <c r="N5" i="31"/>
  <c r="U5" i="31"/>
  <c r="U50" i="31"/>
  <c r="H23" i="80"/>
  <c r="J23" i="80"/>
  <c r="N44" i="31"/>
  <c r="C45" i="24"/>
  <c r="F45" i="24"/>
  <c r="H18" i="45"/>
  <c r="I18" i="45"/>
  <c r="H44" i="45"/>
  <c r="I44" i="45"/>
  <c r="D30" i="79"/>
  <c r="D16" i="79"/>
  <c r="C41" i="79"/>
  <c r="BA28" i="3"/>
  <c r="I18" i="80"/>
  <c r="K9" i="80"/>
  <c r="G9" i="23"/>
  <c r="H9" i="23"/>
  <c r="C9" i="79"/>
  <c r="E62" i="79"/>
  <c r="C19" i="79"/>
  <c r="D27" i="79"/>
  <c r="C10" i="79"/>
  <c r="F61" i="79"/>
  <c r="G23" i="31"/>
  <c r="H28" i="45"/>
  <c r="I28" i="45"/>
  <c r="H27" i="45"/>
  <c r="I27" i="45"/>
  <c r="P18" i="61"/>
  <c r="O18" i="14"/>
  <c r="I18" i="60"/>
  <c r="W18" i="60"/>
  <c r="P18" i="15"/>
  <c r="U18" i="15"/>
  <c r="P18" i="66"/>
  <c r="F18" i="23"/>
  <c r="P18" i="55"/>
  <c r="U18" i="55"/>
  <c r="AZ23" i="30"/>
  <c r="BA23" i="30"/>
  <c r="Q42" i="21"/>
  <c r="P42" i="21"/>
  <c r="BA30" i="30"/>
  <c r="AZ30" i="30"/>
  <c r="BA39" i="30"/>
  <c r="AZ39" i="30"/>
  <c r="BA11" i="30"/>
  <c r="AZ11" i="30"/>
  <c r="BA16" i="30"/>
  <c r="AZ16" i="30"/>
  <c r="V6" i="44"/>
  <c r="V5" i="40"/>
  <c r="V6" i="41"/>
  <c r="V5" i="60"/>
  <c r="V5" i="17"/>
  <c r="V5" i="48"/>
  <c r="Q52" i="21"/>
  <c r="P52" i="21"/>
  <c r="R55" i="3"/>
  <c r="BA52" i="30"/>
  <c r="AZ52" i="30"/>
  <c r="BA27" i="30"/>
  <c r="AZ27" i="30"/>
  <c r="BA32" i="30"/>
  <c r="AZ32" i="30"/>
  <c r="BA9" i="30"/>
  <c r="F62" i="79"/>
  <c r="E58" i="26" a="1"/>
  <c r="AZ10" i="30"/>
  <c r="BA10" i="30"/>
  <c r="BA34" i="30"/>
  <c r="AZ34" i="30"/>
  <c r="BA43" i="30"/>
  <c r="AZ43" i="30"/>
  <c r="BA14" i="30"/>
  <c r="AZ14" i="30"/>
  <c r="O21" i="21"/>
  <c r="N56" i="21"/>
  <c r="BA41" i="30"/>
  <c r="AZ41" i="30"/>
  <c r="BA17" i="30"/>
  <c r="AZ17" i="30"/>
  <c r="F21" i="14"/>
  <c r="F21" i="66"/>
  <c r="F21" i="61"/>
  <c r="D15" i="66"/>
  <c r="D15" i="14"/>
  <c r="V15" i="40"/>
  <c r="V15" i="60"/>
  <c r="V16" i="44"/>
  <c r="V16" i="41"/>
  <c r="V15" i="48"/>
  <c r="V15" i="17"/>
  <c r="BA33" i="30"/>
  <c r="AZ33" i="30"/>
  <c r="P21" i="15"/>
  <c r="U21" i="15"/>
  <c r="O21" i="14"/>
  <c r="H21" i="44"/>
  <c r="P21" i="61"/>
  <c r="P21" i="55"/>
  <c r="U21" i="55"/>
  <c r="P21" i="66"/>
  <c r="F21" i="23"/>
  <c r="BA48" i="30"/>
  <c r="AZ48" i="30"/>
  <c r="BA21" i="30"/>
  <c r="BA15" i="30"/>
  <c r="P23" i="66"/>
  <c r="P23" i="55"/>
  <c r="U23" i="55"/>
  <c r="O23" i="14"/>
  <c r="I23" i="60"/>
  <c r="P23" i="61"/>
  <c r="F23" i="23"/>
  <c r="H23" i="23"/>
  <c r="P23" i="15"/>
  <c r="U23" i="15"/>
  <c r="BA26" i="30"/>
  <c r="AZ26" i="30"/>
  <c r="P24" i="60"/>
  <c r="E46" i="26"/>
  <c r="E46" i="79"/>
  <c r="BA6" i="30"/>
  <c r="AZ6" i="30"/>
  <c r="P10" i="66"/>
  <c r="P10" i="55"/>
  <c r="U10" i="55"/>
  <c r="P10" i="15"/>
  <c r="U10" i="15"/>
  <c r="F10" i="23"/>
  <c r="O10" i="14"/>
  <c r="H10" i="44"/>
  <c r="P10" i="61"/>
  <c r="AZ13" i="30"/>
  <c r="BA13" i="30"/>
  <c r="BA37" i="30"/>
  <c r="V3" i="60"/>
  <c r="V4" i="44"/>
  <c r="V4" i="41"/>
  <c r="V3" i="40"/>
  <c r="V3" i="48"/>
  <c r="V3" i="17"/>
  <c r="V9" i="44"/>
  <c r="V8" i="48"/>
  <c r="W8" i="48"/>
  <c r="V9" i="41"/>
  <c r="V51" i="41"/>
  <c r="V8" i="40"/>
  <c r="V8" i="17"/>
  <c r="V8" i="60"/>
  <c r="V31" i="48"/>
  <c r="V31" i="60"/>
  <c r="V32" i="41"/>
  <c r="V32" i="44"/>
  <c r="V31" i="40"/>
  <c r="V31" i="17"/>
  <c r="BA25" i="30"/>
  <c r="AZ25" i="30"/>
  <c r="BA29" i="30"/>
  <c r="AZ29" i="30"/>
  <c r="N20" i="33"/>
  <c r="O20" i="33"/>
  <c r="E19" i="32"/>
  <c r="BA7" i="30"/>
  <c r="BA12" i="30"/>
  <c r="BA35" i="30"/>
  <c r="E61" i="79"/>
  <c r="F37" i="15"/>
  <c r="BA20" i="30"/>
  <c r="AZ20" i="30"/>
  <c r="V42" i="41"/>
  <c r="V41" i="60"/>
  <c r="V42" i="44"/>
  <c r="V41" i="40"/>
  <c r="V41" i="48"/>
  <c r="V41" i="17"/>
  <c r="BA40" i="30"/>
  <c r="AZ40" i="30"/>
  <c r="V25" i="41"/>
  <c r="V24" i="48"/>
  <c r="V24" i="60"/>
  <c r="V24" i="40"/>
  <c r="V25" i="44"/>
  <c r="V24" i="17"/>
  <c r="K17" i="32"/>
  <c r="M17" i="32"/>
  <c r="F18" i="31"/>
  <c r="D18" i="14"/>
  <c r="G17" i="32"/>
  <c r="I17" i="32"/>
  <c r="BA49" i="30"/>
  <c r="AZ49" i="30"/>
  <c r="F13" i="66"/>
  <c r="F13" i="61"/>
  <c r="BA36" i="30"/>
  <c r="AZ36" i="30"/>
  <c r="BA45" i="30"/>
  <c r="AZ47" i="30"/>
  <c r="BA47" i="30"/>
  <c r="BA24" i="30"/>
  <c r="AZ24" i="30"/>
  <c r="BA28" i="30"/>
  <c r="F5" i="32"/>
  <c r="B53" i="34"/>
  <c r="I8" i="20"/>
  <c r="V12" i="44"/>
  <c r="V12" i="41"/>
  <c r="V11" i="40"/>
  <c r="V11" i="48"/>
  <c r="V11" i="60"/>
  <c r="V11" i="17"/>
  <c r="BA18" i="30"/>
  <c r="AZ18" i="30"/>
  <c r="V38" i="17"/>
  <c r="V38" i="60"/>
  <c r="V38" i="40"/>
  <c r="V38" i="48"/>
  <c r="V39" i="44"/>
  <c r="V39" i="41"/>
  <c r="F25" i="15"/>
  <c r="F54" i="15"/>
  <c r="E13" i="79"/>
  <c r="I38" i="32"/>
  <c r="G38" i="32"/>
  <c r="K38" i="32"/>
  <c r="D30" i="55"/>
  <c r="E30" i="55"/>
  <c r="D30" i="66"/>
  <c r="E30" i="66"/>
  <c r="D30" i="15"/>
  <c r="F8" i="15"/>
  <c r="F8" i="14"/>
  <c r="F8" i="55"/>
  <c r="F8" i="61"/>
  <c r="F8" i="66"/>
  <c r="G8" i="23"/>
  <c r="K51" i="33"/>
  <c r="N9" i="33"/>
  <c r="E8" i="32"/>
  <c r="G10" i="26"/>
  <c r="AQ9" i="63"/>
  <c r="BA51" i="30"/>
  <c r="AZ51" i="30"/>
  <c r="V34" i="41"/>
  <c r="V33" i="48"/>
  <c r="V33" i="40"/>
  <c r="V33" i="60"/>
  <c r="V34" i="44"/>
  <c r="V33" i="17"/>
  <c r="V40" i="17"/>
  <c r="V40" i="60"/>
  <c r="V41" i="41"/>
  <c r="V40" i="48"/>
  <c r="V41" i="44"/>
  <c r="V40" i="40"/>
  <c r="F58" i="26" a="1"/>
  <c r="BA50" i="30"/>
  <c r="AZ50" i="30"/>
  <c r="BA42" i="30"/>
  <c r="BA44" i="30"/>
  <c r="Q26" i="21"/>
  <c r="P26" i="21"/>
  <c r="L56" i="20"/>
  <c r="M56" i="20"/>
  <c r="F54" i="66"/>
  <c r="BA22" i="30"/>
  <c r="AZ22" i="30"/>
  <c r="Q36" i="21"/>
  <c r="P36" i="21"/>
  <c r="U44" i="31"/>
  <c r="BA31" i="30"/>
  <c r="AZ31" i="30"/>
  <c r="D51" i="33"/>
  <c r="E4" i="33"/>
  <c r="BA38" i="30"/>
  <c r="AZ38" i="30"/>
  <c r="BA8" i="30"/>
  <c r="AZ8" i="30"/>
  <c r="BA46" i="30"/>
  <c r="AZ46" i="30"/>
  <c r="H6" i="80"/>
  <c r="K6" i="80"/>
  <c r="G24" i="80"/>
  <c r="E36" i="79"/>
  <c r="D23" i="61"/>
  <c r="D23" i="14"/>
  <c r="O18" i="33"/>
  <c r="V23" i="41"/>
  <c r="V22" i="60"/>
  <c r="V23" i="44"/>
  <c r="V22" i="17"/>
  <c r="V22" i="40"/>
  <c r="V22" i="48"/>
  <c r="V30" i="41"/>
  <c r="V29" i="48"/>
  <c r="V30" i="44"/>
  <c r="V29" i="40"/>
  <c r="V29" i="60"/>
  <c r="V29" i="17"/>
  <c r="V47" i="17"/>
  <c r="V48" i="41"/>
  <c r="V47" i="60"/>
  <c r="V47" i="48"/>
  <c r="V48" i="44"/>
  <c r="V47" i="40"/>
  <c r="V34" i="40"/>
  <c r="V34" i="60"/>
  <c r="V34" i="17"/>
  <c r="V35" i="41"/>
  <c r="V34" i="48"/>
  <c r="V35" i="44"/>
  <c r="V43" i="60"/>
  <c r="V44" i="44"/>
  <c r="V43" i="48"/>
  <c r="V44" i="41"/>
  <c r="V43" i="40"/>
  <c r="V43" i="17"/>
  <c r="V37" i="48"/>
  <c r="V38" i="41"/>
  <c r="V38" i="44"/>
  <c r="V37" i="60"/>
  <c r="V37" i="17"/>
  <c r="V37" i="40"/>
  <c r="V40" i="44"/>
  <c r="V39" i="40"/>
  <c r="V40" i="41"/>
  <c r="V39" i="60"/>
  <c r="V39" i="48"/>
  <c r="V39" i="17"/>
  <c r="V50" i="40"/>
  <c r="V6" i="40"/>
  <c r="V7" i="41"/>
  <c r="V6" i="17"/>
  <c r="V7" i="44"/>
  <c r="V6" i="48"/>
  <c r="V6" i="60"/>
  <c r="V33" i="44"/>
  <c r="V32" i="17"/>
  <c r="V32" i="40"/>
  <c r="V32" i="60"/>
  <c r="V33" i="41"/>
  <c r="V32" i="48"/>
  <c r="V3" i="41"/>
  <c r="AZ53" i="30"/>
  <c r="V3" i="44"/>
  <c r="V31" i="41"/>
  <c r="V30" i="40"/>
  <c r="V30" i="60"/>
  <c r="V30" i="48"/>
  <c r="V31" i="44"/>
  <c r="V30" i="17"/>
  <c r="V12" i="40"/>
  <c r="V12" i="17"/>
  <c r="V13" i="44"/>
  <c r="V12" i="60"/>
  <c r="V13" i="41"/>
  <c r="V12" i="48"/>
  <c r="V18" i="48"/>
  <c r="V19" i="44"/>
  <c r="V19" i="41"/>
  <c r="V18" i="17"/>
  <c r="V18" i="40"/>
  <c r="V18" i="60"/>
  <c r="O56" i="21"/>
  <c r="P21" i="21"/>
  <c r="Q21" i="21"/>
  <c r="Q56" i="21"/>
  <c r="R42" i="21"/>
  <c r="W36" i="31"/>
  <c r="H4" i="33"/>
  <c r="E51" i="33"/>
  <c r="C3" i="32"/>
  <c r="K19" i="32"/>
  <c r="M19" i="32"/>
  <c r="F20" i="31"/>
  <c r="G19" i="32"/>
  <c r="I19" i="32"/>
  <c r="V51" i="44"/>
  <c r="V44" i="48"/>
  <c r="V44" i="60"/>
  <c r="V44" i="40"/>
  <c r="V45" i="41"/>
  <c r="V44" i="17"/>
  <c r="V45" i="44"/>
  <c r="V24" i="44"/>
  <c r="V23" i="60"/>
  <c r="V23" i="48"/>
  <c r="V24" i="41"/>
  <c r="V23" i="17"/>
  <c r="V23" i="40"/>
  <c r="V7" i="60"/>
  <c r="V8" i="41"/>
  <c r="V7" i="40"/>
  <c r="V8" i="44"/>
  <c r="V7" i="48"/>
  <c r="V7" i="17"/>
  <c r="V54" i="44"/>
  <c r="R52" i="21"/>
  <c r="W46" i="31"/>
  <c r="V25" i="60"/>
  <c r="V26" i="41"/>
  <c r="W26" i="41"/>
  <c r="V25" i="17"/>
  <c r="V25" i="40"/>
  <c r="V25" i="48"/>
  <c r="V26" i="44"/>
  <c r="V48" i="60"/>
  <c r="V48" i="40"/>
  <c r="V48" i="17"/>
  <c r="V49" i="41"/>
  <c r="V48" i="48"/>
  <c r="V49" i="44"/>
  <c r="R36" i="21"/>
  <c r="W30" i="31"/>
  <c r="I58" i="20"/>
  <c r="V20" i="60"/>
  <c r="V21" i="41"/>
  <c r="V21" i="44"/>
  <c r="V20" i="40"/>
  <c r="V20" i="17"/>
  <c r="V20" i="48"/>
  <c r="V16" i="17"/>
  <c r="V17" i="41"/>
  <c r="V16" i="40"/>
  <c r="V16" i="60"/>
  <c r="V16" i="48"/>
  <c r="V17" i="44"/>
  <c r="W17" i="44"/>
  <c r="E15" i="14"/>
  <c r="V11" i="44"/>
  <c r="V10" i="60"/>
  <c r="V10" i="48"/>
  <c r="V10" i="17"/>
  <c r="V11" i="41"/>
  <c r="V10" i="40"/>
  <c r="V36" i="44"/>
  <c r="V35" i="40"/>
  <c r="V35" i="48"/>
  <c r="V35" i="60"/>
  <c r="V36" i="41"/>
  <c r="W36" i="41"/>
  <c r="V35" i="17"/>
  <c r="V27" i="40"/>
  <c r="V27" i="48"/>
  <c r="V28" i="41"/>
  <c r="V28" i="44"/>
  <c r="V27" i="17"/>
  <c r="V27" i="60"/>
  <c r="V46" i="40"/>
  <c r="V47" i="41"/>
  <c r="V46" i="17"/>
  <c r="V46" i="60"/>
  <c r="V46" i="48"/>
  <c r="V47" i="44"/>
  <c r="V54" i="41"/>
  <c r="F50" i="32"/>
  <c r="G50" i="32"/>
  <c r="G5" i="32"/>
  <c r="V26" i="48"/>
  <c r="V26" i="40"/>
  <c r="V26" i="60"/>
  <c r="W26" i="60"/>
  <c r="V27" i="41"/>
  <c r="V26" i="17"/>
  <c r="V27" i="44"/>
  <c r="V19" i="60"/>
  <c r="V20" i="44"/>
  <c r="V20" i="41"/>
  <c r="V19" i="40"/>
  <c r="V19" i="48"/>
  <c r="V19" i="17"/>
  <c r="L38" i="32"/>
  <c r="M38" i="32"/>
  <c r="F39" i="31"/>
  <c r="D39" i="14"/>
  <c r="E39" i="14"/>
  <c r="V45" i="40"/>
  <c r="W45" i="40"/>
  <c r="V46" i="44"/>
  <c r="V45" i="60"/>
  <c r="V45" i="48"/>
  <c r="V46" i="41"/>
  <c r="V45" i="17"/>
  <c r="V50" i="48"/>
  <c r="V42" i="60"/>
  <c r="V42" i="17"/>
  <c r="V43" i="44"/>
  <c r="V42" i="40"/>
  <c r="V43" i="41"/>
  <c r="V42" i="48"/>
  <c r="I8" i="32"/>
  <c r="E50" i="32"/>
  <c r="K8" i="32"/>
  <c r="L8" i="32"/>
  <c r="AD4" i="38"/>
  <c r="G8" i="32"/>
  <c r="V21" i="17"/>
  <c r="V22" i="44"/>
  <c r="V21" i="40"/>
  <c r="V22" i="41"/>
  <c r="V21" i="48"/>
  <c r="V21" i="60"/>
  <c r="V9" i="60"/>
  <c r="V9" i="40"/>
  <c r="V10" i="44"/>
  <c r="V9" i="48"/>
  <c r="V10" i="41"/>
  <c r="V9" i="17"/>
  <c r="V13" i="60"/>
  <c r="V13" i="40"/>
  <c r="V13" i="48"/>
  <c r="V14" i="41"/>
  <c r="V14" i="44"/>
  <c r="V13" i="17"/>
  <c r="V29" i="41"/>
  <c r="V29" i="44"/>
  <c r="V28" i="60"/>
  <c r="V28" i="48"/>
  <c r="V28" i="40"/>
  <c r="V28" i="17"/>
  <c r="V50" i="17"/>
  <c r="V5" i="44"/>
  <c r="V4" i="60"/>
  <c r="V5" i="41"/>
  <c r="V4" i="48"/>
  <c r="V4" i="17"/>
  <c r="V4" i="40"/>
  <c r="O9" i="33"/>
  <c r="N51" i="33"/>
  <c r="V14" i="48"/>
  <c r="V14" i="40"/>
  <c r="V15" i="41"/>
  <c r="V15" i="44"/>
  <c r="V14" i="60"/>
  <c r="V14" i="17"/>
  <c r="V36" i="60"/>
  <c r="V36" i="48"/>
  <c r="V37" i="44"/>
  <c r="V37" i="41"/>
  <c r="V36" i="40"/>
  <c r="V36" i="17"/>
  <c r="V50" i="60"/>
  <c r="W5" i="60"/>
  <c r="N36" i="55"/>
  <c r="M36" i="41"/>
  <c r="M36" i="48"/>
  <c r="N36" i="61"/>
  <c r="N36" i="66"/>
  <c r="M36" i="40"/>
  <c r="M36" i="44"/>
  <c r="N36" i="15"/>
  <c r="M36" i="14"/>
  <c r="M36" i="17"/>
  <c r="M36" i="60"/>
  <c r="O4" i="33"/>
  <c r="H51" i="33"/>
  <c r="O51" i="33"/>
  <c r="V52" i="17"/>
  <c r="V53" i="41"/>
  <c r="V53" i="48"/>
  <c r="V53" i="40"/>
  <c r="V52" i="40"/>
  <c r="V53" i="17"/>
  <c r="V52" i="48"/>
  <c r="V50" i="44"/>
  <c r="V52" i="60"/>
  <c r="V52" i="41"/>
  <c r="V53" i="44"/>
  <c r="V53" i="60"/>
  <c r="N46" i="61"/>
  <c r="N46" i="55"/>
  <c r="M46" i="40"/>
  <c r="M46" i="44"/>
  <c r="M46" i="41"/>
  <c r="M46" i="48"/>
  <c r="M46" i="17"/>
  <c r="N46" i="15"/>
  <c r="M46" i="14"/>
  <c r="M46" i="60"/>
  <c r="N46" i="66"/>
  <c r="V50" i="41"/>
  <c r="V51" i="17"/>
  <c r="L5" i="32"/>
  <c r="M5" i="32"/>
  <c r="F6" i="31"/>
  <c r="D6" i="55"/>
  <c r="W23" i="60"/>
  <c r="V52" i="44"/>
  <c r="D39" i="61"/>
  <c r="E39" i="61"/>
  <c r="D39" i="15"/>
  <c r="V54" i="48"/>
  <c r="M8" i="32"/>
  <c r="F9" i="31"/>
  <c r="F51" i="31"/>
  <c r="D51" i="66"/>
  <c r="V54" i="40"/>
  <c r="V51" i="40"/>
  <c r="N30" i="61"/>
  <c r="N30" i="66"/>
  <c r="M30" i="44"/>
  <c r="N30" i="15"/>
  <c r="M30" i="60"/>
  <c r="M30" i="17"/>
  <c r="M30" i="14"/>
  <c r="N30" i="55"/>
  <c r="M30" i="48"/>
  <c r="M30" i="40"/>
  <c r="M30" i="41"/>
  <c r="V54" i="17"/>
  <c r="L19" i="32"/>
  <c r="V51" i="60"/>
  <c r="I50" i="32"/>
  <c r="K50" i="32"/>
  <c r="L50" i="32"/>
  <c r="V54" i="60"/>
  <c r="W25" i="60"/>
  <c r="C50" i="32"/>
  <c r="M3" i="32"/>
  <c r="F4" i="31"/>
  <c r="R10" i="21"/>
  <c r="W4" i="31"/>
  <c r="R19" i="21"/>
  <c r="W13" i="31"/>
  <c r="R20" i="21"/>
  <c r="W14" i="31"/>
  <c r="R54" i="21"/>
  <c r="W48" i="31"/>
  <c r="R43" i="21"/>
  <c r="W37" i="31"/>
  <c r="R13" i="21"/>
  <c r="W7" i="31"/>
  <c r="R25" i="21"/>
  <c r="W19" i="31"/>
  <c r="R33" i="21"/>
  <c r="W27" i="31"/>
  <c r="R29" i="21"/>
  <c r="W23" i="31"/>
  <c r="R18" i="21"/>
  <c r="W12" i="31"/>
  <c r="R34" i="21"/>
  <c r="W28" i="31"/>
  <c r="R44" i="21"/>
  <c r="W38" i="31"/>
  <c r="R28" i="21"/>
  <c r="W22" i="31"/>
  <c r="R41" i="21"/>
  <c r="W35" i="31"/>
  <c r="R32" i="21"/>
  <c r="W26" i="31"/>
  <c r="R16" i="21"/>
  <c r="W10" i="31"/>
  <c r="R37" i="21"/>
  <c r="W31" i="31"/>
  <c r="R48" i="21"/>
  <c r="W42" i="31"/>
  <c r="R45" i="21"/>
  <c r="W39" i="31"/>
  <c r="R15" i="21"/>
  <c r="W9" i="31"/>
  <c r="R17" i="21"/>
  <c r="W11" i="31"/>
  <c r="R30" i="21"/>
  <c r="W24" i="31"/>
  <c r="R9" i="21"/>
  <c r="W3" i="31"/>
  <c r="R31" i="21"/>
  <c r="W25" i="31"/>
  <c r="R14" i="21"/>
  <c r="W8" i="31"/>
  <c r="R38" i="21"/>
  <c r="W32" i="31"/>
  <c r="R23" i="21"/>
  <c r="W17" i="31"/>
  <c r="R40" i="21"/>
  <c r="W34" i="31"/>
  <c r="R39" i="21"/>
  <c r="W33" i="31"/>
  <c r="R35" i="21"/>
  <c r="W29" i="31"/>
  <c r="R27" i="21"/>
  <c r="W21" i="31"/>
  <c r="R50" i="21"/>
  <c r="W44" i="31"/>
  <c r="V51" i="48"/>
  <c r="P56" i="21"/>
  <c r="R21" i="21"/>
  <c r="W15" i="31"/>
  <c r="M33" i="40"/>
  <c r="M33" i="60"/>
  <c r="N33" i="61"/>
  <c r="N33" i="66"/>
  <c r="M33" i="17"/>
  <c r="M33" i="44"/>
  <c r="N33" i="15"/>
  <c r="N33" i="55"/>
  <c r="M33" i="48"/>
  <c r="M33" i="14"/>
  <c r="M33" i="41"/>
  <c r="N22" i="15"/>
  <c r="N53" i="15"/>
  <c r="N22" i="61"/>
  <c r="N53" i="61"/>
  <c r="N22" i="66"/>
  <c r="N53" i="66"/>
  <c r="W53" i="31"/>
  <c r="N22" i="55"/>
  <c r="N53" i="55"/>
  <c r="M22" i="44"/>
  <c r="M22" i="40"/>
  <c r="M22" i="48"/>
  <c r="M22" i="41"/>
  <c r="M22" i="60"/>
  <c r="M22" i="14"/>
  <c r="M22" i="17"/>
  <c r="N38" i="55"/>
  <c r="M38" i="40"/>
  <c r="M38" i="60"/>
  <c r="N38" i="61"/>
  <c r="N38" i="66"/>
  <c r="M38" i="44"/>
  <c r="M38" i="41"/>
  <c r="M38" i="14"/>
  <c r="M38" i="17"/>
  <c r="N38" i="15"/>
  <c r="M38" i="48"/>
  <c r="M17" i="17"/>
  <c r="N17" i="15"/>
  <c r="N17" i="66"/>
  <c r="N17" i="55"/>
  <c r="M17" i="41"/>
  <c r="M17" i="40"/>
  <c r="M17" i="44"/>
  <c r="M17" i="60"/>
  <c r="M17" i="48"/>
  <c r="M17" i="14"/>
  <c r="N17" i="61"/>
  <c r="M28" i="48"/>
  <c r="M28" i="41"/>
  <c r="N28" i="66"/>
  <c r="M28" i="60"/>
  <c r="N28" i="61"/>
  <c r="N28" i="55"/>
  <c r="M28" i="40"/>
  <c r="M28" i="44"/>
  <c r="M28" i="17"/>
  <c r="N28" i="15"/>
  <c r="M28" i="14"/>
  <c r="M35" i="17"/>
  <c r="M35" i="40"/>
  <c r="N35" i="61"/>
  <c r="N35" i="66"/>
  <c r="N35" i="55"/>
  <c r="M35" i="44"/>
  <c r="M35" i="48"/>
  <c r="N35" i="15"/>
  <c r="M35" i="41"/>
  <c r="M35" i="14"/>
  <c r="M35" i="60"/>
  <c r="N34" i="66"/>
  <c r="M34" i="60"/>
  <c r="M34" i="41"/>
  <c r="M34" i="44"/>
  <c r="M34" i="48"/>
  <c r="M34" i="40"/>
  <c r="N34" i="61"/>
  <c r="N34" i="55"/>
  <c r="M34" i="17"/>
  <c r="N34" i="15"/>
  <c r="M34" i="14"/>
  <c r="N32" i="66"/>
  <c r="M32" i="41"/>
  <c r="N32" i="15"/>
  <c r="M32" i="14"/>
  <c r="M32" i="17"/>
  <c r="N32" i="61"/>
  <c r="M32" i="60"/>
  <c r="N32" i="55"/>
  <c r="M32" i="48"/>
  <c r="M32" i="40"/>
  <c r="M32" i="44"/>
  <c r="N29" i="61"/>
  <c r="N29" i="66"/>
  <c r="N29" i="15"/>
  <c r="N29" i="55"/>
  <c r="M29" i="60"/>
  <c r="M29" i="40"/>
  <c r="M29" i="17"/>
  <c r="M29" i="48"/>
  <c r="M29" i="14"/>
  <c r="M29" i="41"/>
  <c r="M29" i="44"/>
  <c r="M12" i="44"/>
  <c r="N12" i="55"/>
  <c r="M12" i="41"/>
  <c r="M12" i="60"/>
  <c r="N12" i="61"/>
  <c r="M12" i="40"/>
  <c r="M12" i="48"/>
  <c r="N12" i="15"/>
  <c r="M12" i="14"/>
  <c r="M12" i="17"/>
  <c r="N12" i="66"/>
  <c r="M8" i="48"/>
  <c r="M8" i="44"/>
  <c r="M8" i="40"/>
  <c r="N8" i="61"/>
  <c r="M8" i="41"/>
  <c r="M8" i="17"/>
  <c r="N8" i="15"/>
  <c r="M8" i="14"/>
  <c r="N8" i="55"/>
  <c r="N8" i="66"/>
  <c r="M8" i="60"/>
  <c r="M23" i="48"/>
  <c r="M23" i="40"/>
  <c r="N23" i="61"/>
  <c r="N23" i="66"/>
  <c r="M23" i="17"/>
  <c r="N23" i="15"/>
  <c r="N23" i="55"/>
  <c r="M23" i="14"/>
  <c r="M23" i="60"/>
  <c r="M23" i="44"/>
  <c r="M23" i="41"/>
  <c r="D9" i="15"/>
  <c r="E9" i="15"/>
  <c r="N27" i="66"/>
  <c r="N27" i="15"/>
  <c r="M27" i="48"/>
  <c r="N27" i="55"/>
  <c r="M27" i="60"/>
  <c r="M27" i="17"/>
  <c r="M27" i="14"/>
  <c r="N27" i="61"/>
  <c r="M27" i="40"/>
  <c r="M27" i="44"/>
  <c r="M27" i="41"/>
  <c r="D6" i="61"/>
  <c r="E6" i="61"/>
  <c r="M3" i="48"/>
  <c r="M3" i="44"/>
  <c r="M3" i="40"/>
  <c r="M3" i="17"/>
  <c r="N3" i="15"/>
  <c r="M3" i="14"/>
  <c r="N3" i="61"/>
  <c r="N3" i="66"/>
  <c r="N3" i="55"/>
  <c r="M3" i="41"/>
  <c r="M3" i="60"/>
  <c r="M19" i="44"/>
  <c r="N19" i="61"/>
  <c r="M19" i="48"/>
  <c r="N19" i="66"/>
  <c r="M19" i="41"/>
  <c r="N19" i="55"/>
  <c r="M19" i="14"/>
  <c r="M19" i="60"/>
  <c r="M19" i="40"/>
  <c r="M19" i="17"/>
  <c r="N19" i="15"/>
  <c r="N11" i="55"/>
  <c r="M11" i="40"/>
  <c r="M11" i="60"/>
  <c r="N11" i="66"/>
  <c r="M11" i="14"/>
  <c r="M11" i="17"/>
  <c r="M11" i="48"/>
  <c r="M11" i="41"/>
  <c r="N11" i="61"/>
  <c r="N11" i="15"/>
  <c r="M11" i="44"/>
  <c r="N37" i="66"/>
  <c r="M37" i="41"/>
  <c r="N37" i="15"/>
  <c r="M37" i="14"/>
  <c r="M37" i="17"/>
  <c r="N37" i="55"/>
  <c r="M37" i="48"/>
  <c r="M37" i="44"/>
  <c r="M37" i="40"/>
  <c r="M37" i="60"/>
  <c r="N37" i="61"/>
  <c r="N9" i="55"/>
  <c r="N51" i="55"/>
  <c r="N9" i="66"/>
  <c r="N51" i="66"/>
  <c r="M9" i="41"/>
  <c r="N9" i="61"/>
  <c r="N51" i="61"/>
  <c r="M9" i="60"/>
  <c r="M9" i="44"/>
  <c r="M9" i="17"/>
  <c r="W51" i="31"/>
  <c r="N9" i="15"/>
  <c r="N51" i="15"/>
  <c r="M9" i="48"/>
  <c r="M9" i="40"/>
  <c r="M9" i="14"/>
  <c r="N48" i="66"/>
  <c r="M48" i="41"/>
  <c r="N48" i="55"/>
  <c r="M48" i="44"/>
  <c r="M48" i="60"/>
  <c r="N48" i="61"/>
  <c r="N48" i="15"/>
  <c r="M48" i="14"/>
  <c r="M48" i="17"/>
  <c r="M48" i="48"/>
  <c r="M48" i="40"/>
  <c r="N24" i="61"/>
  <c r="M24" i="60"/>
  <c r="N24" i="66"/>
  <c r="N24" i="55"/>
  <c r="M24" i="41"/>
  <c r="M24" i="48"/>
  <c r="M24" i="44"/>
  <c r="M24" i="17"/>
  <c r="M24" i="40"/>
  <c r="N24" i="15"/>
  <c r="M24" i="14"/>
  <c r="M15" i="60"/>
  <c r="M15" i="41"/>
  <c r="N15" i="61"/>
  <c r="M15" i="44"/>
  <c r="N15" i="66"/>
  <c r="M15" i="40"/>
  <c r="M15" i="48"/>
  <c r="M15" i="17"/>
  <c r="N15" i="55"/>
  <c r="N15" i="15"/>
  <c r="M15" i="14"/>
  <c r="M42" i="60"/>
  <c r="N42" i="61"/>
  <c r="M42" i="48"/>
  <c r="N42" i="66"/>
  <c r="M42" i="17"/>
  <c r="N42" i="15"/>
  <c r="N42" i="55"/>
  <c r="M42" i="40"/>
  <c r="M42" i="14"/>
  <c r="M42" i="41"/>
  <c r="M42" i="44"/>
  <c r="W52" i="31"/>
  <c r="M13" i="41"/>
  <c r="N13" i="61"/>
  <c r="N52" i="61"/>
  <c r="N13" i="66"/>
  <c r="N52" i="66"/>
  <c r="M13" i="60"/>
  <c r="M13" i="48"/>
  <c r="M13" i="44"/>
  <c r="M13" i="17"/>
  <c r="M13" i="40"/>
  <c r="M13" i="14"/>
  <c r="N13" i="55"/>
  <c r="N52" i="55"/>
  <c r="N13" i="15"/>
  <c r="N52" i="15"/>
  <c r="M14" i="60"/>
  <c r="M14" i="44"/>
  <c r="N14" i="61"/>
  <c r="N14" i="15"/>
  <c r="M14" i="17"/>
  <c r="N14" i="55"/>
  <c r="M14" i="40"/>
  <c r="N14" i="66"/>
  <c r="M14" i="48"/>
  <c r="M14" i="41"/>
  <c r="M14" i="14"/>
  <c r="N7" i="61"/>
  <c r="N7" i="55"/>
  <c r="M7" i="48"/>
  <c r="N7" i="66"/>
  <c r="M7" i="60"/>
  <c r="M7" i="41"/>
  <c r="M7" i="40"/>
  <c r="M7" i="44"/>
  <c r="M7" i="17"/>
  <c r="N7" i="15"/>
  <c r="M7" i="14"/>
  <c r="R11" i="21"/>
  <c r="W5" i="31"/>
  <c r="R47" i="21"/>
  <c r="W41" i="31"/>
  <c r="R12" i="21"/>
  <c r="W6" i="31"/>
  <c r="R49" i="21"/>
  <c r="W43" i="31"/>
  <c r="R53" i="21"/>
  <c r="W47" i="31"/>
  <c r="R24" i="21"/>
  <c r="W18" i="31"/>
  <c r="R51" i="21"/>
  <c r="W45" i="31"/>
  <c r="R22" i="21"/>
  <c r="W16" i="31"/>
  <c r="R46" i="21"/>
  <c r="W40" i="31"/>
  <c r="R26" i="21"/>
  <c r="W20" i="31"/>
  <c r="N39" i="55"/>
  <c r="N39" i="61"/>
  <c r="M39" i="40"/>
  <c r="N39" i="66"/>
  <c r="M39" i="44"/>
  <c r="M39" i="48"/>
  <c r="M39" i="60"/>
  <c r="M39" i="41"/>
  <c r="M39" i="17"/>
  <c r="N39" i="15"/>
  <c r="M39" i="14"/>
  <c r="M31" i="41"/>
  <c r="N31" i="61"/>
  <c r="N31" i="66"/>
  <c r="N31" i="55"/>
  <c r="M31" i="44"/>
  <c r="N31" i="15"/>
  <c r="M31" i="48"/>
  <c r="M31" i="14"/>
  <c r="M31" i="40"/>
  <c r="M31" i="17"/>
  <c r="M31" i="60"/>
  <c r="N4" i="61"/>
  <c r="N4" i="66"/>
  <c r="M4" i="40"/>
  <c r="M4" i="60"/>
  <c r="M4" i="44"/>
  <c r="M4" i="17"/>
  <c r="N4" i="15"/>
  <c r="M4" i="14"/>
  <c r="M4" i="41"/>
  <c r="M4" i="48"/>
  <c r="N4" i="55"/>
  <c r="M44" i="60"/>
  <c r="N44" i="55"/>
  <c r="M44" i="44"/>
  <c r="M44" i="41"/>
  <c r="M44" i="40"/>
  <c r="M44" i="48"/>
  <c r="M44" i="17"/>
  <c r="N44" i="15"/>
  <c r="M44" i="14"/>
  <c r="N44" i="61"/>
  <c r="N44" i="66"/>
  <c r="M10" i="40"/>
  <c r="N10" i="66"/>
  <c r="N10" i="55"/>
  <c r="M10" i="41"/>
  <c r="M10" i="44"/>
  <c r="M10" i="48"/>
  <c r="M10" i="17"/>
  <c r="N10" i="61"/>
  <c r="N10" i="15"/>
  <c r="M10" i="60"/>
  <c r="M10" i="14"/>
  <c r="N25" i="61"/>
  <c r="N54" i="61"/>
  <c r="M25" i="44"/>
  <c r="N25" i="66"/>
  <c r="N54" i="66"/>
  <c r="M25" i="14"/>
  <c r="N25" i="55"/>
  <c r="N54" i="55"/>
  <c r="M25" i="60"/>
  <c r="W54" i="31"/>
  <c r="M25" i="48"/>
  <c r="M25" i="40"/>
  <c r="M25" i="17"/>
  <c r="N25" i="15"/>
  <c r="N54" i="15"/>
  <c r="M25" i="41"/>
  <c r="N21" i="66"/>
  <c r="M21" i="60"/>
  <c r="M21" i="44"/>
  <c r="N21" i="61"/>
  <c r="M21" i="40"/>
  <c r="M21" i="48"/>
  <c r="M21" i="41"/>
  <c r="M21" i="17"/>
  <c r="N21" i="55"/>
  <c r="N21" i="15"/>
  <c r="M21" i="14"/>
  <c r="M26" i="60"/>
  <c r="N26" i="61"/>
  <c r="N26" i="55"/>
  <c r="M26" i="41"/>
  <c r="M26" i="40"/>
  <c r="M26" i="17"/>
  <c r="M26" i="48"/>
  <c r="N26" i="15"/>
  <c r="M26" i="44"/>
  <c r="M26" i="14"/>
  <c r="N26" i="66"/>
  <c r="M53" i="48"/>
  <c r="M53" i="44"/>
  <c r="M53" i="41"/>
  <c r="M53" i="40"/>
  <c r="M53" i="17"/>
  <c r="M53" i="60"/>
  <c r="M53" i="14"/>
  <c r="M52" i="14"/>
  <c r="M52" i="17"/>
  <c r="M52" i="60"/>
  <c r="M52" i="48"/>
  <c r="M52" i="44"/>
  <c r="M52" i="41"/>
  <c r="M52" i="40"/>
  <c r="M20" i="17"/>
  <c r="M20" i="41"/>
  <c r="M20" i="40"/>
  <c r="M20" i="48"/>
  <c r="M20" i="44"/>
  <c r="M20" i="60"/>
  <c r="N20" i="55"/>
  <c r="N20" i="66"/>
  <c r="M20" i="14"/>
  <c r="N20" i="15"/>
  <c r="N20" i="61"/>
  <c r="N16" i="61"/>
  <c r="N16" i="66"/>
  <c r="M16" i="60"/>
  <c r="M16" i="40"/>
  <c r="M16" i="44"/>
  <c r="M16" i="48"/>
  <c r="M16" i="41"/>
  <c r="M16" i="14"/>
  <c r="N16" i="55"/>
  <c r="M16" i="17"/>
  <c r="N16" i="15"/>
  <c r="M45" i="60"/>
  <c r="M45" i="40"/>
  <c r="M45" i="48"/>
  <c r="M45" i="14"/>
  <c r="M45" i="41"/>
  <c r="N45" i="61"/>
  <c r="N45" i="66"/>
  <c r="N45" i="55"/>
  <c r="M45" i="17"/>
  <c r="N45" i="15"/>
  <c r="M45" i="44"/>
  <c r="N18" i="55"/>
  <c r="M18" i="48"/>
  <c r="M18" i="41"/>
  <c r="N18" i="61"/>
  <c r="M18" i="44"/>
  <c r="N18" i="66"/>
  <c r="M18" i="60"/>
  <c r="M18" i="17"/>
  <c r="M18" i="40"/>
  <c r="N18" i="15"/>
  <c r="M18" i="14"/>
  <c r="M40" i="60"/>
  <c r="N40" i="55"/>
  <c r="N40" i="61"/>
  <c r="N40" i="66"/>
  <c r="M40" i="48"/>
  <c r="M40" i="17"/>
  <c r="M40" i="40"/>
  <c r="M40" i="44"/>
  <c r="M40" i="41"/>
  <c r="N40" i="15"/>
  <c r="M40" i="14"/>
  <c r="M43" i="14"/>
  <c r="M43" i="60"/>
  <c r="N43" i="61"/>
  <c r="M43" i="41"/>
  <c r="M43" i="48"/>
  <c r="N43" i="55"/>
  <c r="N43" i="15"/>
  <c r="M43" i="17"/>
  <c r="M43" i="44"/>
  <c r="M43" i="40"/>
  <c r="N43" i="66"/>
  <c r="M6" i="48"/>
  <c r="M6" i="17"/>
  <c r="M6" i="41"/>
  <c r="N6" i="15"/>
  <c r="N6" i="61"/>
  <c r="N6" i="55"/>
  <c r="M6" i="44"/>
  <c r="N6" i="66"/>
  <c r="M6" i="60"/>
  <c r="M6" i="40"/>
  <c r="M6" i="14"/>
  <c r="M54" i="48"/>
  <c r="M54" i="17"/>
  <c r="M54" i="41"/>
  <c r="M54" i="60"/>
  <c r="M54" i="44"/>
  <c r="M54" i="40"/>
  <c r="M54" i="14"/>
  <c r="N41" i="55"/>
  <c r="N41" i="61"/>
  <c r="M41" i="60"/>
  <c r="N41" i="15"/>
  <c r="N41" i="66"/>
  <c r="M41" i="41"/>
  <c r="M41" i="40"/>
  <c r="M41" i="44"/>
  <c r="M41" i="48"/>
  <c r="M41" i="17"/>
  <c r="M41" i="14"/>
  <c r="M51" i="40"/>
  <c r="M51" i="44"/>
  <c r="M51" i="60"/>
  <c r="M51" i="14"/>
  <c r="M51" i="48"/>
  <c r="M51" i="17"/>
  <c r="M51" i="41"/>
  <c r="N47" i="61"/>
  <c r="M47" i="40"/>
  <c r="M47" i="14"/>
  <c r="N47" i="66"/>
  <c r="M47" i="60"/>
  <c r="M47" i="44"/>
  <c r="M47" i="17"/>
  <c r="M47" i="48"/>
  <c r="N47" i="55"/>
  <c r="M47" i="41"/>
  <c r="N47" i="15"/>
  <c r="N5" i="55"/>
  <c r="N50" i="55"/>
  <c r="W50" i="31"/>
  <c r="M5" i="40"/>
  <c r="M5" i="48"/>
  <c r="N5" i="61"/>
  <c r="N50" i="61"/>
  <c r="M5" i="41"/>
  <c r="M5" i="60"/>
  <c r="M5" i="44"/>
  <c r="N5" i="66"/>
  <c r="N50" i="66"/>
  <c r="M5" i="14"/>
  <c r="N5" i="15"/>
  <c r="N50" i="15"/>
  <c r="M5" i="17"/>
  <c r="M50" i="60"/>
  <c r="M50" i="41"/>
  <c r="M50" i="40"/>
  <c r="M50" i="44"/>
  <c r="M50" i="14"/>
  <c r="M50" i="17"/>
  <c r="M50" i="48"/>
  <c r="G66" i="61"/>
  <c r="Q67" i="44"/>
  <c r="G31" i="26"/>
  <c r="AQ30" i="63"/>
  <c r="F36" i="14"/>
  <c r="E46" i="55"/>
  <c r="I30" i="41"/>
  <c r="W30" i="41"/>
  <c r="K67" i="14"/>
  <c r="B8" i="81"/>
  <c r="F36" i="55"/>
  <c r="G44" i="26"/>
  <c r="AQ43" i="63"/>
  <c r="F10" i="55"/>
  <c r="F37" i="14"/>
  <c r="S20" i="44"/>
  <c r="S25" i="48"/>
  <c r="F10" i="61"/>
  <c r="F42" i="55"/>
  <c r="I5" i="17"/>
  <c r="S7" i="48"/>
  <c r="I36" i="40"/>
  <c r="W36" i="40"/>
  <c r="G61" i="79"/>
  <c r="D51" i="15"/>
  <c r="E51" i="15"/>
  <c r="B38" i="50"/>
  <c r="E32" i="66"/>
  <c r="S45" i="40"/>
  <c r="L17" i="15"/>
  <c r="E13" i="55"/>
  <c r="B26" i="82"/>
  <c r="Y34" i="31"/>
  <c r="Z34" i="31"/>
  <c r="L34" i="15"/>
  <c r="L17" i="61"/>
  <c r="Y44" i="31"/>
  <c r="Z44" i="31"/>
  <c r="F42" i="14"/>
  <c r="J10" i="44"/>
  <c r="G4" i="26"/>
  <c r="AQ4" i="63"/>
  <c r="O67" i="55"/>
  <c r="Y66" i="17"/>
  <c r="Q66" i="60"/>
  <c r="I43" i="40"/>
  <c r="W43" i="40"/>
  <c r="E66" i="41"/>
  <c r="F19" i="15"/>
  <c r="G10" i="79"/>
  <c r="Y38" i="31"/>
  <c r="Z38" i="31"/>
  <c r="K38" i="14"/>
  <c r="H43" i="44"/>
  <c r="W43" i="44"/>
  <c r="V65" i="60"/>
  <c r="M67" i="61"/>
  <c r="H8" i="23"/>
  <c r="C12" i="38"/>
  <c r="G44" i="23"/>
  <c r="H44" i="23"/>
  <c r="S44" i="66"/>
  <c r="T44" i="66"/>
  <c r="I43" i="41"/>
  <c r="W43" i="41"/>
  <c r="P67" i="55"/>
  <c r="F66" i="44"/>
  <c r="P37" i="17"/>
  <c r="P37" i="60"/>
  <c r="P37" i="41"/>
  <c r="P37" i="40"/>
  <c r="F46" i="66"/>
  <c r="F46" i="14"/>
  <c r="B32" i="81"/>
  <c r="H3" i="44"/>
  <c r="J3" i="44"/>
  <c r="I31" i="60"/>
  <c r="W31" i="60"/>
  <c r="F68" i="44"/>
  <c r="X67" i="55"/>
  <c r="Y67" i="55"/>
  <c r="F25" i="61"/>
  <c r="F54" i="61"/>
  <c r="B42" i="81"/>
  <c r="O53" i="14"/>
  <c r="X66" i="15"/>
  <c r="S27" i="66"/>
  <c r="W48" i="17"/>
  <c r="G10" i="23"/>
  <c r="H47" i="44"/>
  <c r="S27" i="15"/>
  <c r="T27" i="15"/>
  <c r="J27" i="17"/>
  <c r="E4" i="79"/>
  <c r="G4" i="79"/>
  <c r="F37" i="66"/>
  <c r="B33" i="50"/>
  <c r="B30" i="50"/>
  <c r="B23" i="82"/>
  <c r="B34" i="50"/>
  <c r="G31" i="79"/>
  <c r="H38" i="23"/>
  <c r="S31" i="40"/>
  <c r="I22" i="40"/>
  <c r="W22" i="40"/>
  <c r="H14" i="44"/>
  <c r="W14" i="44"/>
  <c r="J66" i="14"/>
  <c r="V65" i="44"/>
  <c r="G26" i="26"/>
  <c r="F36" i="61"/>
  <c r="L37" i="66"/>
  <c r="S46" i="40"/>
  <c r="P65" i="66"/>
  <c r="I3" i="60"/>
  <c r="W3" i="60"/>
  <c r="V65" i="40"/>
  <c r="I66" i="66"/>
  <c r="B14" i="81"/>
  <c r="I46" i="48"/>
  <c r="W46" i="48"/>
  <c r="R27" i="14"/>
  <c r="S27" i="14"/>
  <c r="T27" i="14"/>
  <c r="J27" i="48"/>
  <c r="F37" i="55"/>
  <c r="G5" i="26"/>
  <c r="AQ5" i="63"/>
  <c r="P67" i="60"/>
  <c r="B16" i="81"/>
  <c r="F9" i="55"/>
  <c r="F51" i="55"/>
  <c r="F30" i="61"/>
  <c r="S31" i="44"/>
  <c r="I38" i="60"/>
  <c r="W38" i="60"/>
  <c r="X67" i="48"/>
  <c r="W66" i="66"/>
  <c r="S46" i="48"/>
  <c r="S27" i="55"/>
  <c r="T27" i="55"/>
  <c r="I46" i="41"/>
  <c r="W46" i="41"/>
  <c r="V61" i="60"/>
  <c r="G51" i="66"/>
  <c r="I23" i="40"/>
  <c r="W23" i="40"/>
  <c r="I67" i="60"/>
  <c r="G25" i="26"/>
  <c r="AQ24" i="63"/>
  <c r="B6" i="82"/>
  <c r="G8" i="79"/>
  <c r="N66" i="14"/>
  <c r="S31" i="41"/>
  <c r="I22" i="60"/>
  <c r="W22" i="60"/>
  <c r="F25" i="55"/>
  <c r="V65" i="17"/>
  <c r="H23" i="44"/>
  <c r="W23" i="44"/>
  <c r="E23" i="14"/>
  <c r="G42" i="26"/>
  <c r="AQ41" i="63"/>
  <c r="E15" i="66"/>
  <c r="B28" i="50"/>
  <c r="U67" i="44"/>
  <c r="S31" i="48"/>
  <c r="S20" i="48"/>
  <c r="X67" i="61"/>
  <c r="S53" i="60"/>
  <c r="I23" i="17"/>
  <c r="E23" i="61"/>
  <c r="G35" i="23"/>
  <c r="H35" i="23"/>
  <c r="S35" i="55"/>
  <c r="T35" i="55"/>
  <c r="L37" i="61"/>
  <c r="F19" i="61"/>
  <c r="G16" i="26"/>
  <c r="AQ15" i="63"/>
  <c r="X66" i="41"/>
  <c r="S31" i="17"/>
  <c r="S8" i="17"/>
  <c r="S24" i="60"/>
  <c r="L37" i="15"/>
  <c r="G45" i="79"/>
  <c r="E39" i="15"/>
  <c r="I23" i="41"/>
  <c r="W23" i="41"/>
  <c r="F50" i="26"/>
  <c r="F50" i="79"/>
  <c r="S21" i="17"/>
  <c r="S22" i="48"/>
  <c r="E32" i="15"/>
  <c r="B20" i="82"/>
  <c r="F64" i="23"/>
  <c r="P68" i="61"/>
  <c r="F67" i="23"/>
  <c r="S45" i="17"/>
  <c r="B6" i="50"/>
  <c r="D66" i="60"/>
  <c r="F25" i="14"/>
  <c r="F54" i="14"/>
  <c r="F36" i="15"/>
  <c r="S20" i="60"/>
  <c r="G39" i="23"/>
  <c r="H39" i="23"/>
  <c r="R39" i="14"/>
  <c r="S39" i="14"/>
  <c r="T39" i="14"/>
  <c r="J39" i="60"/>
  <c r="H30" i="44"/>
  <c r="W30" i="44"/>
  <c r="I42" i="48"/>
  <c r="W42" i="48"/>
  <c r="B21" i="81"/>
  <c r="P67" i="61"/>
  <c r="P52" i="55"/>
  <c r="E52" i="55"/>
  <c r="B9" i="50"/>
  <c r="B13" i="50"/>
  <c r="U66" i="41"/>
  <c r="L37" i="55"/>
  <c r="L67" i="55"/>
  <c r="P66" i="44"/>
  <c r="D66" i="61"/>
  <c r="F12" i="66"/>
  <c r="F12" i="15"/>
  <c r="F12" i="61"/>
  <c r="F12" i="55"/>
  <c r="F12" i="14"/>
  <c r="F38" i="14"/>
  <c r="F38" i="66"/>
  <c r="F38" i="61"/>
  <c r="F45" i="55"/>
  <c r="F45" i="61"/>
  <c r="F45" i="15"/>
  <c r="F23" i="66"/>
  <c r="F23" i="15"/>
  <c r="F23" i="55"/>
  <c r="E21" i="63"/>
  <c r="W24" i="17"/>
  <c r="F6" i="61"/>
  <c r="F6" i="15"/>
  <c r="I21" i="60"/>
  <c r="F46" i="15"/>
  <c r="K66" i="61"/>
  <c r="E6" i="55"/>
  <c r="P37" i="44"/>
  <c r="I23" i="48"/>
  <c r="W23" i="48"/>
  <c r="K39" i="14"/>
  <c r="P39" i="44"/>
  <c r="G37" i="26"/>
  <c r="AQ36" i="63"/>
  <c r="K17" i="14"/>
  <c r="P17" i="48"/>
  <c r="F46" i="55"/>
  <c r="F65" i="23"/>
  <c r="F17" i="61"/>
  <c r="G24" i="26"/>
  <c r="AQ23" i="63"/>
  <c r="F41" i="61"/>
  <c r="G22" i="23"/>
  <c r="H22" i="23"/>
  <c r="I24" i="41"/>
  <c r="W24" i="41"/>
  <c r="G24" i="79"/>
  <c r="S26" i="41"/>
  <c r="S30" i="41"/>
  <c r="S25" i="44"/>
  <c r="Q66" i="41"/>
  <c r="S26" i="40"/>
  <c r="S45" i="41"/>
  <c r="S32" i="17"/>
  <c r="H32" i="44"/>
  <c r="W32" i="44"/>
  <c r="S47" i="60"/>
  <c r="B8" i="82"/>
  <c r="B29" i="81"/>
  <c r="I21" i="17"/>
  <c r="E18" i="63"/>
  <c r="V62" i="48"/>
  <c r="I18" i="40"/>
  <c r="W18" i="40"/>
  <c r="G65" i="23"/>
  <c r="F17" i="55"/>
  <c r="G17" i="55"/>
  <c r="Y17" i="44"/>
  <c r="AC17" i="44"/>
  <c r="N66" i="44"/>
  <c r="P37" i="48"/>
  <c r="L39" i="15"/>
  <c r="L17" i="55"/>
  <c r="E18" i="14"/>
  <c r="F46" i="61"/>
  <c r="G46" i="61"/>
  <c r="H46" i="61"/>
  <c r="F17" i="66"/>
  <c r="F49" i="55"/>
  <c r="G49" i="55"/>
  <c r="F41" i="55"/>
  <c r="E16" i="79"/>
  <c r="G16" i="79"/>
  <c r="S26" i="17"/>
  <c r="S30" i="44"/>
  <c r="S25" i="60"/>
  <c r="Q66" i="48"/>
  <c r="D14" i="48"/>
  <c r="H14" i="48"/>
  <c r="G13" i="66"/>
  <c r="J13" i="66"/>
  <c r="S26" i="44"/>
  <c r="S40" i="41"/>
  <c r="H34" i="44"/>
  <c r="W34" i="44"/>
  <c r="S49" i="17"/>
  <c r="H15" i="44"/>
  <c r="W15" i="44"/>
  <c r="S49" i="44"/>
  <c r="V65" i="48"/>
  <c r="F62" i="23"/>
  <c r="L39" i="55"/>
  <c r="F43" i="66"/>
  <c r="E25" i="79"/>
  <c r="F17" i="14"/>
  <c r="F5" i="79"/>
  <c r="F49" i="15"/>
  <c r="G49" i="15"/>
  <c r="F41" i="66"/>
  <c r="O67" i="61"/>
  <c r="Q67" i="61"/>
  <c r="H66" i="60"/>
  <c r="S26" i="60"/>
  <c r="F20" i="79"/>
  <c r="X53" i="31"/>
  <c r="G53" i="23"/>
  <c r="H53" i="23"/>
  <c r="G66" i="44"/>
  <c r="I24" i="40"/>
  <c r="W24" i="40"/>
  <c r="S34" i="48"/>
  <c r="S48" i="41"/>
  <c r="S40" i="48"/>
  <c r="K67" i="15"/>
  <c r="B13" i="82"/>
  <c r="B37" i="81"/>
  <c r="F27" i="14"/>
  <c r="V61" i="40"/>
  <c r="L39" i="61"/>
  <c r="F43" i="14"/>
  <c r="F49" i="66"/>
  <c r="F41" i="14"/>
  <c r="F67" i="61"/>
  <c r="G68" i="60"/>
  <c r="I42" i="40"/>
  <c r="W42" i="40"/>
  <c r="S33" i="17"/>
  <c r="L24" i="61"/>
  <c r="H67" i="41"/>
  <c r="H24" i="44"/>
  <c r="W24" i="44"/>
  <c r="S48" i="40"/>
  <c r="I40" i="40"/>
  <c r="W40" i="40"/>
  <c r="J8" i="44"/>
  <c r="J37" i="44"/>
  <c r="G4" i="23"/>
  <c r="H4" i="23"/>
  <c r="L34" i="66"/>
  <c r="W36" i="17"/>
  <c r="W27" i="17"/>
  <c r="F13" i="14"/>
  <c r="F52" i="14"/>
  <c r="F43" i="61"/>
  <c r="F49" i="61"/>
  <c r="G49" i="61"/>
  <c r="F27" i="15"/>
  <c r="H42" i="23"/>
  <c r="F66" i="60"/>
  <c r="G67" i="60"/>
  <c r="S33" i="40"/>
  <c r="G66" i="23"/>
  <c r="G10" i="15"/>
  <c r="H66" i="41"/>
  <c r="S48" i="17"/>
  <c r="R35" i="14"/>
  <c r="S35" i="14"/>
  <c r="T35" i="14"/>
  <c r="F43" i="55"/>
  <c r="V66" i="61"/>
  <c r="F67" i="60"/>
  <c r="N66" i="60"/>
  <c r="S33" i="48"/>
  <c r="G39" i="26"/>
  <c r="AQ38" i="63"/>
  <c r="Y18" i="31"/>
  <c r="Z18" i="31"/>
  <c r="K18" i="14"/>
  <c r="H66" i="48"/>
  <c r="Y11" i="31"/>
  <c r="Z11" i="31"/>
  <c r="V66" i="44"/>
  <c r="I42" i="17"/>
  <c r="S8" i="40"/>
  <c r="T27" i="66"/>
  <c r="V66" i="60"/>
  <c r="I24" i="48"/>
  <c r="W24" i="48"/>
  <c r="S41" i="44"/>
  <c r="F66" i="48"/>
  <c r="X67" i="44"/>
  <c r="I13" i="17"/>
  <c r="F34" i="55"/>
  <c r="H27" i="44"/>
  <c r="W27" i="44"/>
  <c r="S8" i="41"/>
  <c r="S17" i="41"/>
  <c r="I42" i="60"/>
  <c r="W42" i="60"/>
  <c r="X67" i="15"/>
  <c r="I10" i="60"/>
  <c r="W10" i="60"/>
  <c r="F13" i="15"/>
  <c r="F52" i="15"/>
  <c r="I13" i="40"/>
  <c r="W13" i="40"/>
  <c r="E24" i="61"/>
  <c r="G66" i="48"/>
  <c r="P65" i="55"/>
  <c r="G3" i="26"/>
  <c r="AQ3" i="63"/>
  <c r="G21" i="79"/>
  <c r="I24" i="60"/>
  <c r="W24" i="60"/>
  <c r="S41" i="41"/>
  <c r="Y5" i="31"/>
  <c r="F67" i="41"/>
  <c r="G67" i="41"/>
  <c r="O66" i="55"/>
  <c r="O54" i="14"/>
  <c r="H54" i="44"/>
  <c r="W54" i="44"/>
  <c r="F30" i="15"/>
  <c r="G30" i="15"/>
  <c r="F30" i="55"/>
  <c r="G30" i="55"/>
  <c r="I35" i="17"/>
  <c r="I46" i="17"/>
  <c r="I30" i="17"/>
  <c r="S8" i="44"/>
  <c r="I42" i="41"/>
  <c r="W42" i="41"/>
  <c r="V66" i="15"/>
  <c r="Q67" i="55"/>
  <c r="S41" i="40"/>
  <c r="Y67" i="61"/>
  <c r="G37" i="79"/>
  <c r="E65" i="41"/>
  <c r="E21" i="15"/>
  <c r="X67" i="41"/>
  <c r="D66" i="48"/>
  <c r="H29" i="23"/>
  <c r="S29" i="66"/>
  <c r="T29" i="66"/>
  <c r="I30" i="48"/>
  <c r="W30" i="48"/>
  <c r="S35" i="41"/>
  <c r="I30" i="60"/>
  <c r="W30" i="60"/>
  <c r="V68" i="60"/>
  <c r="V65" i="41"/>
  <c r="I21" i="48"/>
  <c r="W21" i="48"/>
  <c r="G26" i="79"/>
  <c r="K34" i="14"/>
  <c r="P34" i="41"/>
  <c r="G33" i="26"/>
  <c r="AQ32" i="63"/>
  <c r="E68" i="44"/>
  <c r="E28" i="66"/>
  <c r="S49" i="41"/>
  <c r="I11" i="80"/>
  <c r="J11" i="80"/>
  <c r="N12" i="31"/>
  <c r="Y12" i="31"/>
  <c r="Z12" i="31"/>
  <c r="E3" i="61"/>
  <c r="S49" i="48"/>
  <c r="S32" i="48"/>
  <c r="D45" i="61"/>
  <c r="D45" i="55"/>
  <c r="D45" i="66"/>
  <c r="E45" i="66"/>
  <c r="D45" i="15"/>
  <c r="D45" i="14"/>
  <c r="E45" i="14"/>
  <c r="D48" i="61"/>
  <c r="D48" i="14"/>
  <c r="E48" i="14"/>
  <c r="D4" i="66"/>
  <c r="E4" i="66"/>
  <c r="D4" i="14"/>
  <c r="D4" i="61"/>
  <c r="E4" i="61"/>
  <c r="D4" i="15"/>
  <c r="E4" i="15"/>
  <c r="D4" i="55"/>
  <c r="E4" i="55"/>
  <c r="D38" i="66"/>
  <c r="E38" i="66"/>
  <c r="D38" i="14"/>
  <c r="E38" i="14"/>
  <c r="D38" i="61"/>
  <c r="D38" i="55"/>
  <c r="E38" i="55"/>
  <c r="D20" i="66"/>
  <c r="E20" i="66"/>
  <c r="D20" i="61"/>
  <c r="E20" i="61"/>
  <c r="J10" i="15"/>
  <c r="K10" i="15"/>
  <c r="AC10" i="15"/>
  <c r="H10" i="15"/>
  <c r="D36" i="15"/>
  <c r="D36" i="55"/>
  <c r="E36" i="55"/>
  <c r="D36" i="66"/>
  <c r="D36" i="61"/>
  <c r="E36" i="61"/>
  <c r="D36" i="14"/>
  <c r="D41" i="61"/>
  <c r="G41" i="61"/>
  <c r="D41" i="55"/>
  <c r="E41" i="55"/>
  <c r="D41" i="14"/>
  <c r="E41" i="14"/>
  <c r="D41" i="15"/>
  <c r="D41" i="66"/>
  <c r="G41" i="66"/>
  <c r="F48" i="61"/>
  <c r="G48" i="61"/>
  <c r="F48" i="14"/>
  <c r="G30" i="61"/>
  <c r="E30" i="61"/>
  <c r="F7" i="14"/>
  <c r="F7" i="15"/>
  <c r="F7" i="66"/>
  <c r="F7" i="55"/>
  <c r="F7" i="61"/>
  <c r="D43" i="14"/>
  <c r="E43" i="14"/>
  <c r="D43" i="55"/>
  <c r="D43" i="61"/>
  <c r="E43" i="61"/>
  <c r="D43" i="66"/>
  <c r="D43" i="15"/>
  <c r="G43" i="15"/>
  <c r="F15" i="55"/>
  <c r="F15" i="14"/>
  <c r="F15" i="66"/>
  <c r="F15" i="61"/>
  <c r="G15" i="61"/>
  <c r="F15" i="15"/>
  <c r="L58" i="20"/>
  <c r="I10" i="41"/>
  <c r="W10" i="41"/>
  <c r="V62" i="60"/>
  <c r="L17" i="32"/>
  <c r="I21" i="40"/>
  <c r="W21" i="40"/>
  <c r="I10" i="40"/>
  <c r="W10" i="40"/>
  <c r="G36" i="79"/>
  <c r="D30" i="14"/>
  <c r="G15" i="79"/>
  <c r="G21" i="26"/>
  <c r="AQ20" i="63"/>
  <c r="D15" i="55"/>
  <c r="C21" i="24"/>
  <c r="F21" i="24"/>
  <c r="F44" i="79"/>
  <c r="G44" i="79"/>
  <c r="B36" i="50"/>
  <c r="D17" i="61"/>
  <c r="E17" i="61"/>
  <c r="H31" i="23"/>
  <c r="S31" i="66"/>
  <c r="T31" i="66"/>
  <c r="L18" i="32"/>
  <c r="M18" i="32"/>
  <c r="F19" i="31"/>
  <c r="F61" i="23"/>
  <c r="S40" i="44"/>
  <c r="F9" i="66"/>
  <c r="F9" i="14"/>
  <c r="F51" i="14"/>
  <c r="F9" i="61"/>
  <c r="F51" i="61"/>
  <c r="U9" i="55"/>
  <c r="U51" i="55"/>
  <c r="G9" i="15"/>
  <c r="J9" i="15"/>
  <c r="G43" i="79"/>
  <c r="G15" i="26"/>
  <c r="AQ14" i="63"/>
  <c r="L8" i="55"/>
  <c r="F39" i="79"/>
  <c r="M30" i="32"/>
  <c r="F31" i="31"/>
  <c r="D31" i="61"/>
  <c r="E31" i="61"/>
  <c r="L30" i="32"/>
  <c r="F66" i="23"/>
  <c r="F23" i="14"/>
  <c r="G23" i="14"/>
  <c r="Y23" i="17"/>
  <c r="AC23" i="17"/>
  <c r="F23" i="61"/>
  <c r="G23" i="61"/>
  <c r="I12" i="41"/>
  <c r="W12" i="41"/>
  <c r="F27" i="66"/>
  <c r="F27" i="61"/>
  <c r="I38" i="40"/>
  <c r="W38" i="40"/>
  <c r="I38" i="17"/>
  <c r="I3" i="48"/>
  <c r="W3" i="48"/>
  <c r="I3" i="41"/>
  <c r="W3" i="41"/>
  <c r="I3" i="17"/>
  <c r="J30" i="44"/>
  <c r="G8" i="48"/>
  <c r="F67" i="48"/>
  <c r="T66" i="48"/>
  <c r="U66" i="48"/>
  <c r="F68" i="48"/>
  <c r="G41" i="79"/>
  <c r="E52" i="66"/>
  <c r="G52" i="66"/>
  <c r="F54" i="31"/>
  <c r="D54" i="66"/>
  <c r="E54" i="66"/>
  <c r="D25" i="55"/>
  <c r="D25" i="15"/>
  <c r="M58" i="20"/>
  <c r="R4" i="14"/>
  <c r="S4" i="14"/>
  <c r="T4" i="14"/>
  <c r="J4" i="48"/>
  <c r="W3" i="44"/>
  <c r="I21" i="41"/>
  <c r="W21" i="41"/>
  <c r="F38" i="15"/>
  <c r="E13" i="66"/>
  <c r="H10" i="23"/>
  <c r="G17" i="23"/>
  <c r="H17" i="23"/>
  <c r="S17" i="66"/>
  <c r="T17" i="66"/>
  <c r="D46" i="15"/>
  <c r="E46" i="15"/>
  <c r="D13" i="14"/>
  <c r="L46" i="32"/>
  <c r="M46" i="32"/>
  <c r="F47" i="31"/>
  <c r="G26" i="23"/>
  <c r="H26" i="23"/>
  <c r="S26" i="61"/>
  <c r="T26" i="61"/>
  <c r="L41" i="32"/>
  <c r="M41" i="32"/>
  <c r="F42" i="31"/>
  <c r="D42" i="14"/>
  <c r="L40" i="32"/>
  <c r="S35" i="60"/>
  <c r="I54" i="14"/>
  <c r="S54" i="17"/>
  <c r="S25" i="40"/>
  <c r="S17" i="17"/>
  <c r="S17" i="44"/>
  <c r="S17" i="60"/>
  <c r="I51" i="14"/>
  <c r="S9" i="17"/>
  <c r="S9" i="44"/>
  <c r="S9" i="48"/>
  <c r="G51" i="15"/>
  <c r="J51" i="15"/>
  <c r="F6" i="14"/>
  <c r="G12" i="26"/>
  <c r="AQ11" i="63"/>
  <c r="E10" i="15"/>
  <c r="G13" i="26"/>
  <c r="AQ12" i="63"/>
  <c r="S53" i="41"/>
  <c r="S53" i="17"/>
  <c r="G38" i="14"/>
  <c r="Y38" i="48"/>
  <c r="AC38" i="48"/>
  <c r="E12" i="79"/>
  <c r="H34" i="23"/>
  <c r="B17" i="81"/>
  <c r="B14" i="50"/>
  <c r="G3" i="79"/>
  <c r="E7" i="79"/>
  <c r="G7" i="79"/>
  <c r="G7" i="26"/>
  <c r="AQ6" i="63"/>
  <c r="L24" i="32"/>
  <c r="I38" i="41"/>
  <c r="W38" i="41"/>
  <c r="I47" i="17"/>
  <c r="I47" i="60"/>
  <c r="W47" i="60"/>
  <c r="I27" i="60"/>
  <c r="W27" i="60"/>
  <c r="I27" i="40"/>
  <c r="W27" i="40"/>
  <c r="I27" i="41"/>
  <c r="W27" i="41"/>
  <c r="I40" i="17"/>
  <c r="I40" i="48"/>
  <c r="W40" i="48"/>
  <c r="H40" i="44"/>
  <c r="W40" i="44"/>
  <c r="I40" i="41"/>
  <c r="W40" i="41"/>
  <c r="T67" i="41"/>
  <c r="F68" i="41"/>
  <c r="E68" i="41"/>
  <c r="F66" i="41"/>
  <c r="G66" i="41"/>
  <c r="G34" i="26"/>
  <c r="AQ33" i="63"/>
  <c r="E34" i="79"/>
  <c r="G34" i="79"/>
  <c r="I53" i="48"/>
  <c r="I53" i="60"/>
  <c r="W53" i="60"/>
  <c r="I53" i="41"/>
  <c r="W53" i="41"/>
  <c r="D34" i="14"/>
  <c r="E34" i="14"/>
  <c r="D34" i="61"/>
  <c r="I11" i="48"/>
  <c r="W11" i="48"/>
  <c r="I11" i="17"/>
  <c r="W11" i="17"/>
  <c r="H11" i="44"/>
  <c r="W11" i="44"/>
  <c r="V67" i="44"/>
  <c r="Y66" i="44"/>
  <c r="Y67" i="44"/>
  <c r="F67" i="44"/>
  <c r="D39" i="55"/>
  <c r="E39" i="55"/>
  <c r="G30" i="66"/>
  <c r="V62" i="40"/>
  <c r="F38" i="55"/>
  <c r="G9" i="26"/>
  <c r="G30" i="26"/>
  <c r="AQ29" i="63"/>
  <c r="E30" i="79"/>
  <c r="G30" i="79"/>
  <c r="S30" i="40"/>
  <c r="D23" i="66"/>
  <c r="E23" i="66"/>
  <c r="D23" i="15"/>
  <c r="G23" i="15"/>
  <c r="D23" i="55"/>
  <c r="L44" i="55"/>
  <c r="L44" i="66"/>
  <c r="K44" i="14"/>
  <c r="P44" i="40"/>
  <c r="I38" i="48"/>
  <c r="W38" i="48"/>
  <c r="B11" i="50"/>
  <c r="B21" i="82"/>
  <c r="B24" i="81"/>
  <c r="W53" i="48"/>
  <c r="I18" i="41"/>
  <c r="W18" i="41"/>
  <c r="L36" i="32"/>
  <c r="M36" i="32"/>
  <c r="F37" i="31"/>
  <c r="I54" i="41"/>
  <c r="W54" i="41"/>
  <c r="I12" i="60"/>
  <c r="W12" i="60"/>
  <c r="I12" i="17"/>
  <c r="B24" i="50"/>
  <c r="B36" i="81"/>
  <c r="F6" i="66"/>
  <c r="V68" i="41"/>
  <c r="J27" i="40"/>
  <c r="H18" i="44"/>
  <c r="W18" i="44"/>
  <c r="L8" i="15"/>
  <c r="E33" i="79"/>
  <c r="G33" i="79"/>
  <c r="N50" i="31"/>
  <c r="G11" i="26"/>
  <c r="AQ10" i="63"/>
  <c r="E11" i="79"/>
  <c r="G11" i="79"/>
  <c r="G36" i="23"/>
  <c r="H36" i="23"/>
  <c r="S36" i="66"/>
  <c r="T36" i="66"/>
  <c r="S22" i="40"/>
  <c r="S22" i="17"/>
  <c r="S22" i="44"/>
  <c r="S14" i="40"/>
  <c r="S14" i="41"/>
  <c r="S6" i="17"/>
  <c r="S6" i="41"/>
  <c r="F33" i="15"/>
  <c r="F33" i="66"/>
  <c r="F33" i="61"/>
  <c r="I9" i="17"/>
  <c r="O51" i="14"/>
  <c r="I9" i="48"/>
  <c r="W9" i="48"/>
  <c r="H9" i="44"/>
  <c r="W9" i="44"/>
  <c r="I9" i="60"/>
  <c r="W9" i="60"/>
  <c r="B23" i="81"/>
  <c r="B18" i="82"/>
  <c r="M66" i="55"/>
  <c r="K66" i="14"/>
  <c r="J67" i="14"/>
  <c r="I67" i="14"/>
  <c r="U66" i="14"/>
  <c r="F16" i="66"/>
  <c r="F16" i="15"/>
  <c r="G16" i="15"/>
  <c r="Y67" i="60"/>
  <c r="Q67" i="60"/>
  <c r="R67" i="60"/>
  <c r="D67" i="60"/>
  <c r="G66" i="60"/>
  <c r="I18" i="48"/>
  <c r="W18" i="48"/>
  <c r="G29" i="79"/>
  <c r="G29" i="26"/>
  <c r="AQ28" i="63"/>
  <c r="K26" i="14"/>
  <c r="P26" i="60"/>
  <c r="F21" i="15"/>
  <c r="F21" i="55"/>
  <c r="D49" i="14"/>
  <c r="E49" i="14"/>
  <c r="D49" i="66"/>
  <c r="E49" i="66"/>
  <c r="H36" i="44"/>
  <c r="I36" i="48"/>
  <c r="W36" i="48"/>
  <c r="H44" i="44"/>
  <c r="W44" i="44"/>
  <c r="I44" i="60"/>
  <c r="W44" i="60"/>
  <c r="I44" i="17"/>
  <c r="R67" i="61"/>
  <c r="D67" i="61"/>
  <c r="J66" i="61"/>
  <c r="I66" i="61"/>
  <c r="L66" i="61"/>
  <c r="M66" i="61"/>
  <c r="V67" i="61"/>
  <c r="J67" i="61"/>
  <c r="R66" i="61"/>
  <c r="G67" i="61"/>
  <c r="H67" i="61"/>
  <c r="V61" i="17"/>
  <c r="P34" i="17"/>
  <c r="I18" i="17"/>
  <c r="S53" i="40"/>
  <c r="G13" i="15"/>
  <c r="J13" i="15"/>
  <c r="G62" i="79"/>
  <c r="G17" i="26"/>
  <c r="AQ16" i="63"/>
  <c r="E17" i="79"/>
  <c r="G17" i="79"/>
  <c r="G28" i="79"/>
  <c r="M26" i="32"/>
  <c r="F27" i="31"/>
  <c r="V67" i="15"/>
  <c r="Y27" i="31"/>
  <c r="Z27" i="31"/>
  <c r="G21" i="23"/>
  <c r="H21" i="23"/>
  <c r="S28" i="41"/>
  <c r="S36" i="40"/>
  <c r="S36" i="60"/>
  <c r="P54" i="55"/>
  <c r="P61" i="55"/>
  <c r="U25" i="55"/>
  <c r="U65" i="55"/>
  <c r="S53" i="44"/>
  <c r="G41" i="26"/>
  <c r="AQ40" i="63"/>
  <c r="G40" i="79"/>
  <c r="D15" i="15"/>
  <c r="K8" i="14"/>
  <c r="G25" i="23"/>
  <c r="H25" i="23"/>
  <c r="S25" i="61"/>
  <c r="G27" i="79"/>
  <c r="G40" i="26"/>
  <c r="AQ39" i="63"/>
  <c r="L18" i="61"/>
  <c r="G15" i="23"/>
  <c r="H15" i="23"/>
  <c r="Y43" i="31"/>
  <c r="Z43" i="31"/>
  <c r="L43" i="15"/>
  <c r="L33" i="32"/>
  <c r="G30" i="23"/>
  <c r="H30" i="23"/>
  <c r="Y30" i="31"/>
  <c r="Z30" i="31"/>
  <c r="S12" i="44"/>
  <c r="S12" i="17"/>
  <c r="S12" i="41"/>
  <c r="S12" i="40"/>
  <c r="S4" i="41"/>
  <c r="S4" i="17"/>
  <c r="S4" i="40"/>
  <c r="O67" i="15"/>
  <c r="I5" i="48"/>
  <c r="W5" i="48"/>
  <c r="O50" i="14"/>
  <c r="G15" i="14"/>
  <c r="L8" i="61"/>
  <c r="G6" i="79"/>
  <c r="L32" i="32"/>
  <c r="M32" i="32"/>
  <c r="F33" i="31"/>
  <c r="P24" i="40"/>
  <c r="P24" i="44"/>
  <c r="P24" i="41"/>
  <c r="P24" i="17"/>
  <c r="Q67" i="17"/>
  <c r="N66" i="17"/>
  <c r="E67" i="17"/>
  <c r="Y67" i="17"/>
  <c r="U67" i="17"/>
  <c r="G35" i="26"/>
  <c r="AQ34" i="63"/>
  <c r="F35" i="79"/>
  <c r="G35" i="79"/>
  <c r="E23" i="79"/>
  <c r="G23" i="79"/>
  <c r="G23" i="26"/>
  <c r="AQ22" i="63"/>
  <c r="D29" i="14"/>
  <c r="E29" i="14"/>
  <c r="D29" i="55"/>
  <c r="E29" i="55"/>
  <c r="D29" i="66"/>
  <c r="S42" i="60"/>
  <c r="S42" i="41"/>
  <c r="M67" i="15"/>
  <c r="T66" i="15"/>
  <c r="D66" i="15"/>
  <c r="I15" i="17"/>
  <c r="I15" i="48"/>
  <c r="W15" i="48"/>
  <c r="I15" i="41"/>
  <c r="W15" i="41"/>
  <c r="G67" i="55"/>
  <c r="H67" i="55"/>
  <c r="K67" i="55"/>
  <c r="V66" i="55"/>
  <c r="P66" i="55"/>
  <c r="Q66" i="55"/>
  <c r="G37" i="48"/>
  <c r="D37" i="48"/>
  <c r="J34" i="44"/>
  <c r="F66" i="14"/>
  <c r="G13" i="23"/>
  <c r="H13" i="23"/>
  <c r="G36" i="26"/>
  <c r="AQ35" i="63"/>
  <c r="H41" i="23"/>
  <c r="S41" i="15"/>
  <c r="T41" i="15"/>
  <c r="J41" i="17"/>
  <c r="F69" i="23"/>
  <c r="B15" i="81"/>
  <c r="H15" i="80"/>
  <c r="H52" i="23"/>
  <c r="B16" i="82"/>
  <c r="K19" i="80"/>
  <c r="G32" i="23"/>
  <c r="H32" i="23"/>
  <c r="S32" i="55"/>
  <c r="T32" i="55"/>
  <c r="I32" i="44"/>
  <c r="K14" i="80"/>
  <c r="G20" i="23"/>
  <c r="H20" i="23"/>
  <c r="J26" i="44"/>
  <c r="I22" i="41"/>
  <c r="W22" i="41"/>
  <c r="S48" i="60"/>
  <c r="B39" i="50"/>
  <c r="H41" i="48"/>
  <c r="H9" i="80"/>
  <c r="J9" i="80"/>
  <c r="N9" i="31"/>
  <c r="Y9" i="31"/>
  <c r="J15" i="80"/>
  <c r="N21" i="31"/>
  <c r="C22" i="24"/>
  <c r="F22" i="24"/>
  <c r="J6" i="80"/>
  <c r="N4" i="31"/>
  <c r="U4" i="31"/>
  <c r="D32" i="14"/>
  <c r="E32" i="14"/>
  <c r="I22" i="17"/>
  <c r="H22" i="44"/>
  <c r="I46" i="60"/>
  <c r="W46" i="60"/>
  <c r="I22" i="80"/>
  <c r="J22" i="80"/>
  <c r="N42" i="31"/>
  <c r="Y42" i="31"/>
  <c r="Z42" i="31"/>
  <c r="G6" i="26"/>
  <c r="N66" i="66"/>
  <c r="S47" i="44"/>
  <c r="D32" i="61"/>
  <c r="S47" i="48"/>
  <c r="H25" i="44"/>
  <c r="W25" i="44"/>
  <c r="V62" i="41"/>
  <c r="V68" i="44"/>
  <c r="F52" i="55"/>
  <c r="G52" i="55"/>
  <c r="G13" i="55"/>
  <c r="AQ25" i="63"/>
  <c r="G6" i="61"/>
  <c r="V62" i="17"/>
  <c r="H9" i="15"/>
  <c r="E4" i="38"/>
  <c r="E11" i="38"/>
  <c r="J35" i="60"/>
  <c r="J35" i="48"/>
  <c r="J35" i="41"/>
  <c r="E30" i="15"/>
  <c r="V68" i="17"/>
  <c r="V68" i="48"/>
  <c r="V68" i="40"/>
  <c r="D18" i="15"/>
  <c r="D18" i="55"/>
  <c r="E18" i="55"/>
  <c r="P61" i="61"/>
  <c r="P65" i="61"/>
  <c r="H51" i="66"/>
  <c r="J51" i="66"/>
  <c r="P62" i="61"/>
  <c r="E51" i="66"/>
  <c r="J21" i="44"/>
  <c r="W21" i="44"/>
  <c r="E4" i="14"/>
  <c r="G4" i="14"/>
  <c r="Y4" i="41"/>
  <c r="V61" i="44"/>
  <c r="P61" i="66"/>
  <c r="P68" i="66"/>
  <c r="P62" i="66"/>
  <c r="F35" i="61"/>
  <c r="F35" i="15"/>
  <c r="F35" i="14"/>
  <c r="F28" i="66"/>
  <c r="F28" i="15"/>
  <c r="F28" i="61"/>
  <c r="F28" i="55"/>
  <c r="F28" i="14"/>
  <c r="F47" i="14"/>
  <c r="F47" i="55"/>
  <c r="F47" i="61"/>
  <c r="F47" i="66"/>
  <c r="F47" i="15"/>
  <c r="N66" i="55"/>
  <c r="F35" i="55"/>
  <c r="J46" i="61"/>
  <c r="K46" i="61"/>
  <c r="F35" i="66"/>
  <c r="L49" i="61"/>
  <c r="L49" i="66"/>
  <c r="L49" i="15"/>
  <c r="K49" i="14"/>
  <c r="L49" i="55"/>
  <c r="D42" i="15"/>
  <c r="E42" i="15"/>
  <c r="D42" i="55"/>
  <c r="D35" i="55"/>
  <c r="D35" i="15"/>
  <c r="E35" i="15"/>
  <c r="D35" i="14"/>
  <c r="D35" i="66"/>
  <c r="D35" i="61"/>
  <c r="F6" i="55"/>
  <c r="G6" i="55"/>
  <c r="J38" i="14"/>
  <c r="E5" i="79"/>
  <c r="G5" i="79"/>
  <c r="G15" i="66"/>
  <c r="H15" i="66"/>
  <c r="S39" i="61"/>
  <c r="T39" i="61"/>
  <c r="S9" i="55"/>
  <c r="R9" i="14"/>
  <c r="S44" i="55"/>
  <c r="T44" i="55"/>
  <c r="S44" i="15"/>
  <c r="T44" i="15"/>
  <c r="J44" i="17"/>
  <c r="R44" i="14"/>
  <c r="S44" i="14"/>
  <c r="T44" i="14"/>
  <c r="S44" i="61"/>
  <c r="T44" i="61"/>
  <c r="F31" i="61"/>
  <c r="E41" i="66"/>
  <c r="F31" i="14"/>
  <c r="D3" i="66"/>
  <c r="E3" i="66"/>
  <c r="D3" i="15"/>
  <c r="E3" i="15"/>
  <c r="D3" i="14"/>
  <c r="E3" i="14"/>
  <c r="D3" i="55"/>
  <c r="E3" i="55"/>
  <c r="E41" i="61"/>
  <c r="G41" i="14"/>
  <c r="E48" i="79"/>
  <c r="D5" i="38"/>
  <c r="J10" i="80"/>
  <c r="N10" i="31"/>
  <c r="U10" i="31"/>
  <c r="G7" i="23"/>
  <c r="H7" i="23"/>
  <c r="Y7" i="31"/>
  <c r="Z7" i="31"/>
  <c r="L24" i="55"/>
  <c r="L24" i="66"/>
  <c r="L24" i="15"/>
  <c r="F5" i="15"/>
  <c r="F50" i="15"/>
  <c r="F5" i="14"/>
  <c r="F50" i="14"/>
  <c r="F5" i="55"/>
  <c r="F50" i="55"/>
  <c r="S11" i="41"/>
  <c r="I7" i="17"/>
  <c r="H7" i="44"/>
  <c r="I7" i="40"/>
  <c r="W7" i="40"/>
  <c r="I7" i="48"/>
  <c r="W7" i="48"/>
  <c r="H35" i="44"/>
  <c r="W35" i="44"/>
  <c r="I35" i="41"/>
  <c r="W35" i="41"/>
  <c r="G39" i="79"/>
  <c r="G48" i="23"/>
  <c r="H48" i="23"/>
  <c r="S48" i="55"/>
  <c r="T48" i="55"/>
  <c r="I48" i="44"/>
  <c r="Y48" i="31"/>
  <c r="Z48" i="31"/>
  <c r="J43" i="44"/>
  <c r="I29" i="40"/>
  <c r="W29" i="40"/>
  <c r="I29" i="48"/>
  <c r="W29" i="48"/>
  <c r="H29" i="44"/>
  <c r="W29" i="44"/>
  <c r="I28" i="40"/>
  <c r="W28" i="40"/>
  <c r="I28" i="17"/>
  <c r="I28" i="48"/>
  <c r="W28" i="48"/>
  <c r="B28" i="81"/>
  <c r="B20" i="50"/>
  <c r="B12" i="81"/>
  <c r="I66" i="17"/>
  <c r="H67" i="17"/>
  <c r="E65" i="17"/>
  <c r="T67" i="17"/>
  <c r="X67" i="17"/>
  <c r="F66" i="17"/>
  <c r="Q66" i="17"/>
  <c r="U66" i="17"/>
  <c r="G68" i="17"/>
  <c r="F67" i="17"/>
  <c r="N67" i="17"/>
  <c r="P67" i="17"/>
  <c r="D67" i="17"/>
  <c r="E68" i="17"/>
  <c r="E66" i="17"/>
  <c r="H66" i="17"/>
  <c r="P66" i="17"/>
  <c r="G66" i="17"/>
  <c r="G46" i="55"/>
  <c r="F12" i="79"/>
  <c r="F48" i="26"/>
  <c r="F48" i="79"/>
  <c r="D38" i="15"/>
  <c r="E38" i="15"/>
  <c r="D22" i="66"/>
  <c r="E22" i="66"/>
  <c r="F53" i="31"/>
  <c r="D53" i="66"/>
  <c r="D44" i="14"/>
  <c r="E44" i="14"/>
  <c r="D44" i="55"/>
  <c r="E44" i="55"/>
  <c r="D44" i="15"/>
  <c r="E44" i="15"/>
  <c r="V67" i="55"/>
  <c r="G66" i="14"/>
  <c r="F22" i="61"/>
  <c r="F53" i="61"/>
  <c r="F22" i="15"/>
  <c r="J17" i="44"/>
  <c r="S20" i="41"/>
  <c r="S38" i="40"/>
  <c r="S38" i="60"/>
  <c r="S38" i="48"/>
  <c r="S38" i="17"/>
  <c r="S23" i="48"/>
  <c r="S23" i="41"/>
  <c r="J67" i="15"/>
  <c r="R67" i="15"/>
  <c r="T67" i="15"/>
  <c r="R66" i="15"/>
  <c r="W66" i="15"/>
  <c r="D67" i="15"/>
  <c r="G66" i="15"/>
  <c r="M66" i="15"/>
  <c r="K66" i="15"/>
  <c r="L67" i="15"/>
  <c r="J66" i="15"/>
  <c r="O66" i="15"/>
  <c r="F45" i="66"/>
  <c r="G45" i="66"/>
  <c r="F45" i="14"/>
  <c r="G45" i="14"/>
  <c r="J33" i="44"/>
  <c r="B33" i="82"/>
  <c r="F50" i="31"/>
  <c r="D50" i="66"/>
  <c r="D5" i="15"/>
  <c r="E5" i="15"/>
  <c r="L66" i="15"/>
  <c r="F66" i="15"/>
  <c r="I7" i="60"/>
  <c r="W7" i="60"/>
  <c r="I15" i="60"/>
  <c r="W15" i="60"/>
  <c r="I41" i="48"/>
  <c r="W41" i="48"/>
  <c r="H41" i="44"/>
  <c r="I41" i="40"/>
  <c r="W41" i="40"/>
  <c r="I41" i="60"/>
  <c r="W41" i="60"/>
  <c r="I41" i="41"/>
  <c r="W41" i="41"/>
  <c r="I8" i="17"/>
  <c r="I8" i="40"/>
  <c r="W8" i="40"/>
  <c r="I8" i="60"/>
  <c r="W8" i="60"/>
  <c r="I33" i="40"/>
  <c r="W33" i="40"/>
  <c r="I33" i="60"/>
  <c r="W33" i="60"/>
  <c r="I33" i="41"/>
  <c r="W33" i="41"/>
  <c r="I33" i="48"/>
  <c r="W33" i="48"/>
  <c r="I20" i="60"/>
  <c r="W20" i="60"/>
  <c r="I20" i="41"/>
  <c r="W20" i="41"/>
  <c r="H20" i="44"/>
  <c r="G14" i="79"/>
  <c r="D24" i="66"/>
  <c r="D24" i="15"/>
  <c r="D24" i="14"/>
  <c r="D24" i="55"/>
  <c r="D12" i="66"/>
  <c r="E12" i="66"/>
  <c r="D12" i="61"/>
  <c r="E12" i="61"/>
  <c r="D12" i="14"/>
  <c r="E12" i="14"/>
  <c r="D12" i="15"/>
  <c r="D12" i="55"/>
  <c r="E12" i="55"/>
  <c r="F48" i="55"/>
  <c r="F48" i="15"/>
  <c r="F48" i="66"/>
  <c r="S3" i="40"/>
  <c r="I37" i="48"/>
  <c r="W37" i="48"/>
  <c r="I37" i="41"/>
  <c r="W37" i="41"/>
  <c r="I37" i="40"/>
  <c r="W37" i="40"/>
  <c r="I37" i="60"/>
  <c r="W37" i="60"/>
  <c r="E49" i="26"/>
  <c r="G49" i="26"/>
  <c r="G20" i="26"/>
  <c r="AQ19" i="63"/>
  <c r="D21" i="61"/>
  <c r="G28" i="66"/>
  <c r="D16" i="61"/>
  <c r="E16" i="61"/>
  <c r="D16" i="55"/>
  <c r="E16" i="55"/>
  <c r="F39" i="15"/>
  <c r="G39" i="15"/>
  <c r="H39" i="15"/>
  <c r="F39" i="55"/>
  <c r="G39" i="55"/>
  <c r="F39" i="66"/>
  <c r="F39" i="61"/>
  <c r="G39" i="61"/>
  <c r="J27" i="44"/>
  <c r="S3" i="44"/>
  <c r="S14" i="44"/>
  <c r="S14" i="60"/>
  <c r="S14" i="17"/>
  <c r="S6" i="40"/>
  <c r="S6" i="48"/>
  <c r="S6" i="44"/>
  <c r="F9" i="79"/>
  <c r="F47" i="26"/>
  <c r="D28" i="61"/>
  <c r="D28" i="14"/>
  <c r="G28" i="14"/>
  <c r="D14" i="66"/>
  <c r="E14" i="66"/>
  <c r="D14" i="15"/>
  <c r="E14" i="15"/>
  <c r="D14" i="14"/>
  <c r="E14" i="14"/>
  <c r="D14" i="55"/>
  <c r="G33" i="23"/>
  <c r="H33" i="23"/>
  <c r="Y33" i="31"/>
  <c r="Z33" i="31"/>
  <c r="L33" i="55"/>
  <c r="Y41" i="31"/>
  <c r="Z41" i="31"/>
  <c r="I29" i="17"/>
  <c r="S3" i="48"/>
  <c r="S44" i="48"/>
  <c r="S44" i="40"/>
  <c r="S44" i="41"/>
  <c r="S29" i="60"/>
  <c r="S29" i="41"/>
  <c r="S29" i="17"/>
  <c r="S21" i="41"/>
  <c r="S21" i="60"/>
  <c r="F44" i="66"/>
  <c r="F44" i="14"/>
  <c r="F44" i="55"/>
  <c r="F44" i="61"/>
  <c r="G44" i="61"/>
  <c r="F33" i="14"/>
  <c r="F33" i="55"/>
  <c r="I34" i="41"/>
  <c r="W34" i="41"/>
  <c r="I34" i="60"/>
  <c r="W34" i="60"/>
  <c r="I49" i="60"/>
  <c r="W49" i="60"/>
  <c r="I49" i="48"/>
  <c r="W49" i="48"/>
  <c r="H49" i="44"/>
  <c r="I49" i="41"/>
  <c r="W49" i="41"/>
  <c r="I49" i="40"/>
  <c r="W49" i="40"/>
  <c r="G65" i="17"/>
  <c r="D48" i="66"/>
  <c r="Q67" i="41"/>
  <c r="D66" i="17"/>
  <c r="F72" i="17"/>
  <c r="Y16" i="31"/>
  <c r="Z16" i="31"/>
  <c r="K16" i="14"/>
  <c r="G16" i="23"/>
  <c r="H16" i="23"/>
  <c r="Y23" i="31"/>
  <c r="Z23" i="31"/>
  <c r="V66" i="41"/>
  <c r="I20" i="17"/>
  <c r="S21" i="44"/>
  <c r="I49" i="17"/>
  <c r="W49" i="17"/>
  <c r="I52" i="14"/>
  <c r="S52" i="41"/>
  <c r="S13" i="60"/>
  <c r="S13" i="44"/>
  <c r="S5" i="48"/>
  <c r="S5" i="44"/>
  <c r="S5" i="40"/>
  <c r="I45" i="17"/>
  <c r="H45" i="44"/>
  <c r="I45" i="41"/>
  <c r="W45" i="41"/>
  <c r="H31" i="44"/>
  <c r="W31" i="44"/>
  <c r="I31" i="17"/>
  <c r="G13" i="79"/>
  <c r="G14" i="26"/>
  <c r="AQ13" i="63"/>
  <c r="G42" i="79"/>
  <c r="S34" i="40"/>
  <c r="S29" i="44"/>
  <c r="I7" i="41"/>
  <c r="W7" i="41"/>
  <c r="S43" i="48"/>
  <c r="S43" i="44"/>
  <c r="S43" i="40"/>
  <c r="S28" i="48"/>
  <c r="S28" i="17"/>
  <c r="S28" i="40"/>
  <c r="S28" i="60"/>
  <c r="G21" i="15"/>
  <c r="Y67" i="41"/>
  <c r="Z67" i="41"/>
  <c r="D66" i="41"/>
  <c r="F72" i="41"/>
  <c r="N67" i="41"/>
  <c r="G65" i="41"/>
  <c r="E67" i="41"/>
  <c r="N66" i="41"/>
  <c r="F65" i="41"/>
  <c r="Y66" i="41"/>
  <c r="Z66" i="41"/>
  <c r="U67" i="41"/>
  <c r="P67" i="41"/>
  <c r="D67" i="41"/>
  <c r="F73" i="41"/>
  <c r="G68" i="41"/>
  <c r="T66" i="41"/>
  <c r="D21" i="66"/>
  <c r="S34" i="41"/>
  <c r="H28" i="44"/>
  <c r="I37" i="17"/>
  <c r="W37" i="17"/>
  <c r="S35" i="17"/>
  <c r="S35" i="48"/>
  <c r="S35" i="44"/>
  <c r="F10" i="66"/>
  <c r="F10" i="14"/>
  <c r="I39" i="48"/>
  <c r="W39" i="48"/>
  <c r="H39" i="44"/>
  <c r="W39" i="44"/>
  <c r="I39" i="41"/>
  <c r="W39" i="41"/>
  <c r="B12" i="82"/>
  <c r="P67" i="66"/>
  <c r="H67" i="66"/>
  <c r="P66" i="66"/>
  <c r="F66" i="66"/>
  <c r="X67" i="66"/>
  <c r="D67" i="66"/>
  <c r="O67" i="66"/>
  <c r="N67" i="66"/>
  <c r="L67" i="66"/>
  <c r="L66" i="66"/>
  <c r="T67" i="66"/>
  <c r="F67" i="66"/>
  <c r="S34" i="44"/>
  <c r="S42" i="44"/>
  <c r="S42" i="17"/>
  <c r="S42" i="48"/>
  <c r="S27" i="48"/>
  <c r="S27" i="17"/>
  <c r="S27" i="44"/>
  <c r="S27" i="41"/>
  <c r="S27" i="60"/>
  <c r="F32" i="15"/>
  <c r="G32" i="15"/>
  <c r="F32" i="66"/>
  <c r="G32" i="66"/>
  <c r="F32" i="14"/>
  <c r="G32" i="14"/>
  <c r="F32" i="55"/>
  <c r="I4" i="17"/>
  <c r="H4" i="44"/>
  <c r="I4" i="41"/>
  <c r="W4" i="41"/>
  <c r="I4" i="40"/>
  <c r="W4" i="40"/>
  <c r="I4" i="60"/>
  <c r="W4" i="60"/>
  <c r="I6" i="41"/>
  <c r="W6" i="41"/>
  <c r="I6" i="60"/>
  <c r="W6" i="60"/>
  <c r="I6" i="48"/>
  <c r="W6" i="48"/>
  <c r="H6" i="44"/>
  <c r="I6" i="40"/>
  <c r="W6" i="40"/>
  <c r="I6" i="17"/>
  <c r="W6" i="17"/>
  <c r="L45" i="66"/>
  <c r="L45" i="15"/>
  <c r="L45" i="55"/>
  <c r="G47" i="23"/>
  <c r="H47" i="23"/>
  <c r="Y47" i="31"/>
  <c r="Z47" i="31"/>
  <c r="Y40" i="31"/>
  <c r="Z40" i="31"/>
  <c r="G40" i="23"/>
  <c r="H40" i="23"/>
  <c r="F11" i="15"/>
  <c r="F11" i="14"/>
  <c r="S19" i="60"/>
  <c r="S19" i="17"/>
  <c r="S19" i="48"/>
  <c r="S19" i="44"/>
  <c r="S19" i="40"/>
  <c r="G67" i="15"/>
  <c r="F24" i="66"/>
  <c r="F24" i="61"/>
  <c r="G24" i="61"/>
  <c r="F24" i="55"/>
  <c r="F24" i="15"/>
  <c r="B29" i="50"/>
  <c r="B7" i="82"/>
  <c r="E65" i="60"/>
  <c r="N67" i="60"/>
  <c r="O67" i="60"/>
  <c r="G65" i="60"/>
  <c r="U66" i="60"/>
  <c r="X66" i="60"/>
  <c r="X67" i="60"/>
  <c r="T66" i="60"/>
  <c r="U67" i="60"/>
  <c r="E67" i="60"/>
  <c r="E66" i="60"/>
  <c r="X66" i="61"/>
  <c r="Y66" i="61"/>
  <c r="O66" i="61"/>
  <c r="Q66" i="61"/>
  <c r="K67" i="61"/>
  <c r="L67" i="61"/>
  <c r="P66" i="61"/>
  <c r="T67" i="61"/>
  <c r="U67" i="61"/>
  <c r="T66" i="61"/>
  <c r="F66" i="61"/>
  <c r="S34" i="17"/>
  <c r="B14" i="82"/>
  <c r="B21" i="50"/>
  <c r="B33" i="81"/>
  <c r="E66" i="44"/>
  <c r="Q66" i="44"/>
  <c r="D67" i="44"/>
  <c r="F73" i="44"/>
  <c r="T67" i="44"/>
  <c r="E65" i="44"/>
  <c r="G67" i="44"/>
  <c r="N67" i="44"/>
  <c r="X66" i="44"/>
  <c r="U66" i="44"/>
  <c r="F65" i="44"/>
  <c r="Q67" i="14"/>
  <c r="L67" i="14"/>
  <c r="W67" i="14"/>
  <c r="W66" i="14"/>
  <c r="Q66" i="14"/>
  <c r="L66" i="14"/>
  <c r="M66" i="14"/>
  <c r="M66" i="44"/>
  <c r="D66" i="14"/>
  <c r="I66" i="14"/>
  <c r="S67" i="14"/>
  <c r="U67" i="14"/>
  <c r="E68" i="48"/>
  <c r="Y66" i="48"/>
  <c r="N66" i="48"/>
  <c r="Q67" i="48"/>
  <c r="P67" i="48"/>
  <c r="Y67" i="48"/>
  <c r="Z67" i="48"/>
  <c r="E67" i="48"/>
  <c r="U67" i="48"/>
  <c r="F65" i="48"/>
  <c r="E65" i="48"/>
  <c r="N67" i="48"/>
  <c r="X66" i="48"/>
  <c r="D11" i="48"/>
  <c r="G11" i="48"/>
  <c r="F52" i="61"/>
  <c r="C19" i="38"/>
  <c r="W19" i="38"/>
  <c r="G37" i="23"/>
  <c r="H37" i="23"/>
  <c r="S37" i="66"/>
  <c r="T37" i="66"/>
  <c r="F19" i="66"/>
  <c r="F19" i="14"/>
  <c r="Y31" i="31"/>
  <c r="Z31" i="31"/>
  <c r="G67" i="14"/>
  <c r="G24" i="23"/>
  <c r="H24" i="23"/>
  <c r="S24" i="15"/>
  <c r="T24" i="15"/>
  <c r="I20" i="48"/>
  <c r="W20" i="48"/>
  <c r="I11" i="41"/>
  <c r="W11" i="41"/>
  <c r="I29" i="41"/>
  <c r="W29" i="41"/>
  <c r="L66" i="55"/>
  <c r="G66" i="55"/>
  <c r="J67" i="55"/>
  <c r="AC67" i="55"/>
  <c r="M67" i="55"/>
  <c r="N67" i="55"/>
  <c r="K66" i="55"/>
  <c r="X66" i="55"/>
  <c r="J66" i="55"/>
  <c r="R67" i="55"/>
  <c r="R66" i="55"/>
  <c r="U66" i="55"/>
  <c r="E49" i="61"/>
  <c r="B29" i="82"/>
  <c r="D66" i="55"/>
  <c r="K5" i="80"/>
  <c r="G3" i="23"/>
  <c r="H3" i="23"/>
  <c r="S3" i="61"/>
  <c r="T3" i="61"/>
  <c r="I12" i="80"/>
  <c r="H18" i="23"/>
  <c r="G68" i="48"/>
  <c r="H11" i="23"/>
  <c r="H12" i="80"/>
  <c r="I13" i="80"/>
  <c r="J13" i="80"/>
  <c r="N15" i="31"/>
  <c r="Y15" i="31"/>
  <c r="Z15" i="31"/>
  <c r="H43" i="23"/>
  <c r="D13" i="61"/>
  <c r="D32" i="55"/>
  <c r="S40" i="17"/>
  <c r="E17" i="55"/>
  <c r="B37" i="82"/>
  <c r="H20" i="80"/>
  <c r="J16" i="80"/>
  <c r="N22" i="31"/>
  <c r="Y22" i="31"/>
  <c r="J42" i="44"/>
  <c r="I21" i="80"/>
  <c r="G25" i="15"/>
  <c r="H14" i="23"/>
  <c r="S14" i="55"/>
  <c r="T14" i="55"/>
  <c r="H21" i="80"/>
  <c r="D9" i="14"/>
  <c r="D9" i="61"/>
  <c r="D9" i="55"/>
  <c r="D9" i="66"/>
  <c r="V61" i="41"/>
  <c r="E18" i="15"/>
  <c r="D20" i="14"/>
  <c r="D20" i="55"/>
  <c r="D20" i="15"/>
  <c r="D6" i="14"/>
  <c r="D6" i="15"/>
  <c r="D6" i="66"/>
  <c r="W21" i="60"/>
  <c r="V61" i="48"/>
  <c r="J35" i="40"/>
  <c r="V62" i="44"/>
  <c r="W10" i="44"/>
  <c r="S8" i="15"/>
  <c r="T8" i="15"/>
  <c r="R8" i="14"/>
  <c r="S8" i="14"/>
  <c r="T8" i="14"/>
  <c r="S8" i="66"/>
  <c r="T8" i="66"/>
  <c r="S8" i="55"/>
  <c r="T8" i="55"/>
  <c r="I8" i="44"/>
  <c r="S8" i="61"/>
  <c r="T8" i="61"/>
  <c r="D18" i="61"/>
  <c r="D18" i="66"/>
  <c r="D39" i="66"/>
  <c r="G46" i="79"/>
  <c r="J39" i="40"/>
  <c r="J39" i="48"/>
  <c r="G32" i="26"/>
  <c r="AQ31" i="63"/>
  <c r="F32" i="79"/>
  <c r="S23" i="55"/>
  <c r="T23" i="55"/>
  <c r="I23" i="44"/>
  <c r="S23" i="61"/>
  <c r="T23" i="61"/>
  <c r="R23" i="14"/>
  <c r="S23" i="14"/>
  <c r="W21" i="17"/>
  <c r="G25" i="79"/>
  <c r="S25" i="66"/>
  <c r="S23" i="66"/>
  <c r="T23" i="66"/>
  <c r="I10" i="48"/>
  <c r="W10" i="48"/>
  <c r="I10" i="17"/>
  <c r="E45" i="15"/>
  <c r="G45" i="15"/>
  <c r="D37" i="61"/>
  <c r="S23" i="15"/>
  <c r="T23" i="15"/>
  <c r="J39" i="41"/>
  <c r="G46" i="26"/>
  <c r="D37" i="15"/>
  <c r="H66" i="23"/>
  <c r="F54" i="55"/>
  <c r="G52" i="15"/>
  <c r="P65" i="15"/>
  <c r="O65" i="14"/>
  <c r="S42" i="55"/>
  <c r="T42" i="55"/>
  <c r="I42" i="44"/>
  <c r="S42" i="61"/>
  <c r="T42" i="61"/>
  <c r="S42" i="66"/>
  <c r="T42" i="66"/>
  <c r="S42" i="15"/>
  <c r="T42" i="15"/>
  <c r="J42" i="17"/>
  <c r="R42" i="14"/>
  <c r="S42" i="14"/>
  <c r="T42" i="14"/>
  <c r="AQ8" i="63"/>
  <c r="Q4" i="38"/>
  <c r="F4" i="15"/>
  <c r="F4" i="66"/>
  <c r="F4" i="61"/>
  <c r="F4" i="55"/>
  <c r="F3" i="55"/>
  <c r="F3" i="15"/>
  <c r="F3" i="66"/>
  <c r="F3" i="61"/>
  <c r="F3" i="14"/>
  <c r="S22" i="61"/>
  <c r="R22" i="14"/>
  <c r="S22" i="66"/>
  <c r="S22" i="55"/>
  <c r="S22" i="15"/>
  <c r="S10" i="15"/>
  <c r="T10" i="15"/>
  <c r="L34" i="61"/>
  <c r="L34" i="55"/>
  <c r="D8" i="55"/>
  <c r="D8" i="14"/>
  <c r="D8" i="66"/>
  <c r="D8" i="61"/>
  <c r="E5" i="61"/>
  <c r="D50" i="61"/>
  <c r="G28" i="26"/>
  <c r="F38" i="79"/>
  <c r="G38" i="79"/>
  <c r="G38" i="26"/>
  <c r="F31" i="66"/>
  <c r="F31" i="15"/>
  <c r="D8" i="15"/>
  <c r="E50" i="79"/>
  <c r="G50" i="79"/>
  <c r="E40" i="61"/>
  <c r="E20" i="79"/>
  <c r="G20" i="79"/>
  <c r="S9" i="66"/>
  <c r="S9" i="61"/>
  <c r="G19" i="26"/>
  <c r="G8" i="26"/>
  <c r="AQ7" i="63"/>
  <c r="G36" i="61"/>
  <c r="D10" i="14"/>
  <c r="D10" i="61"/>
  <c r="D10" i="66"/>
  <c r="D10" i="55"/>
  <c r="D11" i="15"/>
  <c r="D11" i="14"/>
  <c r="D11" i="55"/>
  <c r="D11" i="66"/>
  <c r="G27" i="26"/>
  <c r="AQ26" i="63"/>
  <c r="D11" i="61"/>
  <c r="S9" i="15"/>
  <c r="G18" i="26"/>
  <c r="AQ17" i="63"/>
  <c r="E18" i="79"/>
  <c r="G18" i="79"/>
  <c r="C6" i="24"/>
  <c r="F6" i="24"/>
  <c r="Q5" i="38"/>
  <c r="U21" i="31"/>
  <c r="G7" i="15"/>
  <c r="G43" i="26"/>
  <c r="G22" i="26"/>
  <c r="E22" i="79"/>
  <c r="G22" i="79"/>
  <c r="S37" i="44"/>
  <c r="S37" i="41"/>
  <c r="S37" i="40"/>
  <c r="S37" i="60"/>
  <c r="S37" i="48"/>
  <c r="I19" i="41"/>
  <c r="W19" i="41"/>
  <c r="I19" i="17"/>
  <c r="I19" i="48"/>
  <c r="W19" i="48"/>
  <c r="H19" i="44"/>
  <c r="I19" i="60"/>
  <c r="I19" i="40"/>
  <c r="W19" i="40"/>
  <c r="N66" i="40"/>
  <c r="V67" i="40"/>
  <c r="U67" i="40"/>
  <c r="X66" i="40"/>
  <c r="Q67" i="40"/>
  <c r="E65" i="40"/>
  <c r="V66" i="40"/>
  <c r="G66" i="40"/>
  <c r="Y67" i="40"/>
  <c r="I67" i="40"/>
  <c r="D67" i="40"/>
  <c r="F73" i="40"/>
  <c r="T67" i="40"/>
  <c r="U66" i="40"/>
  <c r="N67" i="40"/>
  <c r="H66" i="40"/>
  <c r="Q66" i="40"/>
  <c r="E66" i="40"/>
  <c r="H67" i="40"/>
  <c r="X67" i="40"/>
  <c r="T66" i="40"/>
  <c r="P67" i="40"/>
  <c r="Y66" i="40"/>
  <c r="D66" i="40"/>
  <c r="F72" i="40"/>
  <c r="F66" i="40"/>
  <c r="D14" i="40"/>
  <c r="G68" i="40"/>
  <c r="F67" i="40"/>
  <c r="E67" i="40"/>
  <c r="E22" i="15"/>
  <c r="D17" i="15"/>
  <c r="D17" i="66"/>
  <c r="D17" i="14"/>
  <c r="J46" i="44"/>
  <c r="G65" i="40"/>
  <c r="D27" i="14"/>
  <c r="D27" i="66"/>
  <c r="E68" i="40"/>
  <c r="E7" i="15"/>
  <c r="D22" i="14"/>
  <c r="D25" i="61"/>
  <c r="D25" i="66"/>
  <c r="D25" i="14"/>
  <c r="F68" i="40"/>
  <c r="D27" i="15"/>
  <c r="G67" i="40"/>
  <c r="E9" i="79"/>
  <c r="D26" i="61"/>
  <c r="D26" i="14"/>
  <c r="D26" i="55"/>
  <c r="D26" i="15"/>
  <c r="F40" i="61"/>
  <c r="G40" i="61"/>
  <c r="F40" i="14"/>
  <c r="F40" i="55"/>
  <c r="F40" i="66"/>
  <c r="F40" i="15"/>
  <c r="J48" i="44"/>
  <c r="D26" i="66"/>
  <c r="L11" i="66"/>
  <c r="L11" i="15"/>
  <c r="L11" i="55"/>
  <c r="L11" i="61"/>
  <c r="K11" i="14"/>
  <c r="R29" i="14"/>
  <c r="S29" i="14"/>
  <c r="T29" i="14"/>
  <c r="S29" i="55"/>
  <c r="T29" i="55"/>
  <c r="S29" i="15"/>
  <c r="T29" i="15"/>
  <c r="J29" i="17"/>
  <c r="S29" i="61"/>
  <c r="T29" i="61"/>
  <c r="S37" i="17"/>
  <c r="D7" i="61"/>
  <c r="D7" i="55"/>
  <c r="D7" i="66"/>
  <c r="G42" i="15"/>
  <c r="P66" i="40"/>
  <c r="D22" i="55"/>
  <c r="D22" i="61"/>
  <c r="E29" i="66"/>
  <c r="D5" i="14"/>
  <c r="D5" i="55"/>
  <c r="D5" i="66"/>
  <c r="D21" i="14"/>
  <c r="D21" i="55"/>
  <c r="D7" i="14"/>
  <c r="D34" i="55"/>
  <c r="D34" i="66"/>
  <c r="D34" i="15"/>
  <c r="D40" i="66"/>
  <c r="D40" i="55"/>
  <c r="D40" i="15"/>
  <c r="G28" i="23"/>
  <c r="H28" i="23"/>
  <c r="Y28" i="31"/>
  <c r="Z28" i="31"/>
  <c r="D27" i="55"/>
  <c r="D48" i="15"/>
  <c r="D48" i="55"/>
  <c r="D27" i="61"/>
  <c r="E48" i="61"/>
  <c r="F65" i="40"/>
  <c r="D40" i="14"/>
  <c r="E28" i="14"/>
  <c r="S38" i="66"/>
  <c r="T38" i="66"/>
  <c r="S38" i="61"/>
  <c r="T38" i="61"/>
  <c r="S30" i="17"/>
  <c r="S30" i="48"/>
  <c r="S15" i="60"/>
  <c r="S15" i="17"/>
  <c r="S15" i="48"/>
  <c r="S15" i="41"/>
  <c r="G40" i="48"/>
  <c r="T67" i="48"/>
  <c r="G57" i="31"/>
  <c r="D28" i="15"/>
  <c r="D16" i="66"/>
  <c r="P66" i="48"/>
  <c r="Y14" i="31"/>
  <c r="Z14" i="31"/>
  <c r="F39" i="14"/>
  <c r="G39" i="14"/>
  <c r="F22" i="14"/>
  <c r="F53" i="14"/>
  <c r="F22" i="55"/>
  <c r="F53" i="55"/>
  <c r="F22" i="66"/>
  <c r="G22" i="66"/>
  <c r="I17" i="60"/>
  <c r="I17" i="48"/>
  <c r="W17" i="48"/>
  <c r="I17" i="40"/>
  <c r="W17" i="40"/>
  <c r="I17" i="41"/>
  <c r="W17" i="41"/>
  <c r="I17" i="17"/>
  <c r="B26" i="81"/>
  <c r="B7" i="50"/>
  <c r="B32" i="82"/>
  <c r="B5" i="82"/>
  <c r="B27" i="50"/>
  <c r="B3" i="81"/>
  <c r="D42" i="61"/>
  <c r="D44" i="66"/>
  <c r="G67" i="48"/>
  <c r="E66" i="48"/>
  <c r="D67" i="55"/>
  <c r="G49" i="23"/>
  <c r="H49" i="23"/>
  <c r="S44" i="17"/>
  <c r="S44" i="44"/>
  <c r="F29" i="66"/>
  <c r="F29" i="55"/>
  <c r="F29" i="61"/>
  <c r="F29" i="15"/>
  <c r="F29" i="14"/>
  <c r="D46" i="66"/>
  <c r="D28" i="55"/>
  <c r="S38" i="15"/>
  <c r="T38" i="15"/>
  <c r="J38" i="17"/>
  <c r="S32" i="15"/>
  <c r="T32" i="15"/>
  <c r="H45" i="23"/>
  <c r="S15" i="40"/>
  <c r="L47" i="15"/>
  <c r="L47" i="55"/>
  <c r="S15" i="44"/>
  <c r="R38" i="14"/>
  <c r="S38" i="14"/>
  <c r="T38" i="14"/>
  <c r="X54" i="31"/>
  <c r="G54" i="23"/>
  <c r="H54" i="23"/>
  <c r="O66" i="14"/>
  <c r="P66" i="14"/>
  <c r="S66" i="14"/>
  <c r="N67" i="14"/>
  <c r="O67" i="14"/>
  <c r="I67" i="17"/>
  <c r="G67" i="17"/>
  <c r="X66" i="17"/>
  <c r="Z66" i="17"/>
  <c r="V67" i="17"/>
  <c r="V66" i="17"/>
  <c r="P66" i="41"/>
  <c r="I66" i="41"/>
  <c r="P67" i="44"/>
  <c r="E67" i="44"/>
  <c r="H67" i="44"/>
  <c r="H66" i="44"/>
  <c r="O66" i="44"/>
  <c r="H67" i="48"/>
  <c r="J24" i="17"/>
  <c r="K45" i="14"/>
  <c r="L45" i="61"/>
  <c r="I67" i="48"/>
  <c r="I16" i="48"/>
  <c r="I16" i="60"/>
  <c r="H16" i="44"/>
  <c r="I16" i="17"/>
  <c r="I16" i="40"/>
  <c r="W16" i="40"/>
  <c r="I16" i="41"/>
  <c r="W16" i="41"/>
  <c r="U67" i="55"/>
  <c r="F66" i="55"/>
  <c r="F67" i="55"/>
  <c r="S38" i="55"/>
  <c r="T38" i="55"/>
  <c r="I38" i="44"/>
  <c r="F14" i="66"/>
  <c r="F14" i="15"/>
  <c r="F14" i="61"/>
  <c r="G14" i="61"/>
  <c r="F14" i="14"/>
  <c r="G46" i="23"/>
  <c r="H46" i="23"/>
  <c r="Y46" i="31"/>
  <c r="Z46" i="31"/>
  <c r="D29" i="61"/>
  <c r="L44" i="61"/>
  <c r="Y20" i="31"/>
  <c r="Z20" i="31"/>
  <c r="L26" i="55"/>
  <c r="L26" i="61"/>
  <c r="L26" i="66"/>
  <c r="F18" i="15"/>
  <c r="G18" i="15"/>
  <c r="F18" i="61"/>
  <c r="F18" i="14"/>
  <c r="G18" i="14"/>
  <c r="F18" i="55"/>
  <c r="F18" i="66"/>
  <c r="S33" i="44"/>
  <c r="S33" i="41"/>
  <c r="S18" i="60"/>
  <c r="S18" i="17"/>
  <c r="S18" i="48"/>
  <c r="S18" i="44"/>
  <c r="S18" i="40"/>
  <c r="S10" i="17"/>
  <c r="S10" i="41"/>
  <c r="S10" i="60"/>
  <c r="S10" i="48"/>
  <c r="S10" i="44"/>
  <c r="S10" i="40"/>
  <c r="X51" i="31"/>
  <c r="G51" i="23"/>
  <c r="I66" i="48"/>
  <c r="S54" i="41"/>
  <c r="S54" i="60"/>
  <c r="S54" i="40"/>
  <c r="F42" i="61"/>
  <c r="F42" i="66"/>
  <c r="S31" i="55"/>
  <c r="T31" i="55"/>
  <c r="S31" i="15"/>
  <c r="T31" i="15"/>
  <c r="F20" i="61"/>
  <c r="G20" i="61"/>
  <c r="F20" i="15"/>
  <c r="F20" i="14"/>
  <c r="F20" i="66"/>
  <c r="G20" i="66"/>
  <c r="F20" i="55"/>
  <c r="P67" i="15"/>
  <c r="D16" i="14"/>
  <c r="D29" i="15"/>
  <c r="P66" i="15"/>
  <c r="U66" i="15"/>
  <c r="D46" i="14"/>
  <c r="T66" i="55"/>
  <c r="T67" i="55"/>
  <c r="L44" i="15"/>
  <c r="F67" i="15"/>
  <c r="S18" i="41"/>
  <c r="S46" i="17"/>
  <c r="S46" i="44"/>
  <c r="G19" i="23"/>
  <c r="H19" i="23"/>
  <c r="Y19" i="31"/>
  <c r="Z19" i="31"/>
  <c r="E30" i="63"/>
  <c r="V67" i="60"/>
  <c r="W67" i="60"/>
  <c r="S42" i="40"/>
  <c r="AG26" i="44"/>
  <c r="I35" i="48"/>
  <c r="W35" i="48"/>
  <c r="I4" i="48"/>
  <c r="I11" i="60"/>
  <c r="S6" i="60"/>
  <c r="S32" i="40"/>
  <c r="S32" i="60"/>
  <c r="I45" i="60"/>
  <c r="I45" i="48"/>
  <c r="W45" i="48"/>
  <c r="I28" i="41"/>
  <c r="W28" i="41"/>
  <c r="I28" i="60"/>
  <c r="B10" i="50"/>
  <c r="J12" i="44"/>
  <c r="S24" i="40"/>
  <c r="S24" i="41"/>
  <c r="B12" i="50"/>
  <c r="B35" i="82"/>
  <c r="B19" i="50"/>
  <c r="B7" i="81"/>
  <c r="I51" i="41"/>
  <c r="I35" i="60"/>
  <c r="S45" i="60"/>
  <c r="S45" i="48"/>
  <c r="S16" i="17"/>
  <c r="S16" i="48"/>
  <c r="B2" i="82"/>
  <c r="B40" i="50"/>
  <c r="B2" i="81"/>
  <c r="S23" i="17"/>
  <c r="S23" i="40"/>
  <c r="U5" i="15"/>
  <c r="U50" i="15"/>
  <c r="P50" i="15"/>
  <c r="I34" i="40"/>
  <c r="W34" i="40"/>
  <c r="I34" i="17"/>
  <c r="B10" i="82"/>
  <c r="F67" i="14"/>
  <c r="V67" i="48"/>
  <c r="I53" i="40"/>
  <c r="W53" i="40"/>
  <c r="I53" i="17"/>
  <c r="F5" i="61"/>
  <c r="F50" i="61"/>
  <c r="S27" i="40"/>
  <c r="S13" i="40"/>
  <c r="S40" i="40"/>
  <c r="S43" i="41"/>
  <c r="S3" i="60"/>
  <c r="S43" i="60"/>
  <c r="I14" i="17"/>
  <c r="I14" i="40"/>
  <c r="W14" i="40"/>
  <c r="I14" i="60"/>
  <c r="I39" i="40"/>
  <c r="W39" i="40"/>
  <c r="I39" i="17"/>
  <c r="B38" i="82"/>
  <c r="B5" i="81"/>
  <c r="I66" i="40"/>
  <c r="W66" i="40"/>
  <c r="P52" i="15"/>
  <c r="U13" i="15"/>
  <c r="U52" i="15"/>
  <c r="B41" i="81"/>
  <c r="B30" i="82"/>
  <c r="B25" i="81"/>
  <c r="B35" i="50"/>
  <c r="B9" i="81"/>
  <c r="H53" i="44"/>
  <c r="S23" i="44"/>
  <c r="S13" i="48"/>
  <c r="S20" i="40"/>
  <c r="S36" i="17"/>
  <c r="S36" i="48"/>
  <c r="I13" i="60"/>
  <c r="H13" i="44"/>
  <c r="I13" i="41"/>
  <c r="W13" i="41"/>
  <c r="O52" i="14"/>
  <c r="B3" i="82"/>
  <c r="B41" i="50"/>
  <c r="I67" i="41"/>
  <c r="O67" i="41"/>
  <c r="V67" i="41"/>
  <c r="S13" i="41"/>
  <c r="F34" i="14"/>
  <c r="F34" i="66"/>
  <c r="I26" i="40"/>
  <c r="W26" i="40"/>
  <c r="I26" i="48"/>
  <c r="W26" i="48"/>
  <c r="S5" i="60"/>
  <c r="S5" i="41"/>
  <c r="I48" i="60"/>
  <c r="I48" i="48"/>
  <c r="W48" i="48"/>
  <c r="I48" i="40"/>
  <c r="W48" i="40"/>
  <c r="I32" i="17"/>
  <c r="I32" i="40"/>
  <c r="W32" i="40"/>
  <c r="I32" i="41"/>
  <c r="W32" i="41"/>
  <c r="I66" i="60"/>
  <c r="V66" i="48"/>
  <c r="I54" i="40"/>
  <c r="W54" i="40"/>
  <c r="F16" i="61"/>
  <c r="I26" i="17"/>
  <c r="J24" i="44"/>
  <c r="S36" i="41"/>
  <c r="I11" i="40"/>
  <c r="S29" i="48"/>
  <c r="I25" i="48"/>
  <c r="W25" i="48"/>
  <c r="J38" i="44"/>
  <c r="S16" i="60"/>
  <c r="B15" i="50"/>
  <c r="P66" i="60"/>
  <c r="F11" i="55"/>
  <c r="F11" i="61"/>
  <c r="S12" i="60"/>
  <c r="S12" i="48"/>
  <c r="S4" i="60"/>
  <c r="S4" i="48"/>
  <c r="I54" i="17"/>
  <c r="F16" i="14"/>
  <c r="I50" i="14"/>
  <c r="S4" i="44"/>
  <c r="S16" i="41"/>
  <c r="S3" i="41"/>
  <c r="I32" i="48"/>
  <c r="W32" i="48"/>
  <c r="B17" i="50"/>
  <c r="B19" i="82"/>
  <c r="S23" i="60"/>
  <c r="S47" i="41"/>
  <c r="S47" i="40"/>
  <c r="S11" i="60"/>
  <c r="S11" i="17"/>
  <c r="S11" i="48"/>
  <c r="S11" i="44"/>
  <c r="I25" i="17"/>
  <c r="I25" i="41"/>
  <c r="W25" i="41"/>
  <c r="I25" i="40"/>
  <c r="W25" i="40"/>
  <c r="H67" i="60"/>
  <c r="I20" i="80"/>
  <c r="J20" i="80"/>
  <c r="N35" i="31"/>
  <c r="Y35" i="31"/>
  <c r="Z35" i="31"/>
  <c r="B13" i="81"/>
  <c r="T67" i="60"/>
  <c r="K8" i="80"/>
  <c r="G6" i="23"/>
  <c r="I44" i="40"/>
  <c r="W44" i="40"/>
  <c r="I43" i="48"/>
  <c r="W43" i="48"/>
  <c r="I5" i="41"/>
  <c r="I31" i="40"/>
  <c r="W31" i="40"/>
  <c r="S48" i="48"/>
  <c r="S41" i="60"/>
  <c r="S21" i="48"/>
  <c r="B9" i="82"/>
  <c r="E68" i="60"/>
  <c r="Y66" i="60"/>
  <c r="I44" i="41"/>
  <c r="W44" i="41"/>
  <c r="H5" i="44"/>
  <c r="I31" i="41"/>
  <c r="W31" i="41"/>
  <c r="I29" i="60"/>
  <c r="I43" i="17"/>
  <c r="H8" i="80"/>
  <c r="H17" i="80"/>
  <c r="J17" i="80"/>
  <c r="N25" i="31"/>
  <c r="B11" i="81"/>
  <c r="I12" i="40"/>
  <c r="B17" i="82"/>
  <c r="H19" i="80"/>
  <c r="J19" i="80"/>
  <c r="N32" i="31"/>
  <c r="K11" i="80"/>
  <c r="G12" i="23"/>
  <c r="H12" i="23"/>
  <c r="I5" i="80"/>
  <c r="H18" i="80"/>
  <c r="J18" i="80"/>
  <c r="N29" i="31"/>
  <c r="Y29" i="31"/>
  <c r="Z29" i="31"/>
  <c r="K7" i="80"/>
  <c r="L15" i="61"/>
  <c r="K15" i="14"/>
  <c r="L15" i="66"/>
  <c r="L15" i="55"/>
  <c r="L15" i="15"/>
  <c r="L42" i="15"/>
  <c r="K42" i="14"/>
  <c r="L42" i="55"/>
  <c r="L42" i="61"/>
  <c r="L42" i="66"/>
  <c r="L35" i="55"/>
  <c r="L35" i="15"/>
  <c r="K35" i="14"/>
  <c r="L35" i="61"/>
  <c r="L35" i="66"/>
  <c r="S67" i="48"/>
  <c r="S67" i="17"/>
  <c r="S67" i="44"/>
  <c r="S67" i="41"/>
  <c r="S67" i="40"/>
  <c r="S67" i="60"/>
  <c r="L29" i="55"/>
  <c r="L29" i="61"/>
  <c r="K29" i="14"/>
  <c r="L29" i="15"/>
  <c r="L29" i="66"/>
  <c r="Y53" i="31"/>
  <c r="Z22" i="31"/>
  <c r="Y51" i="31"/>
  <c r="Z9" i="31"/>
  <c r="H49" i="55"/>
  <c r="J49" i="55"/>
  <c r="K49" i="55"/>
  <c r="L12" i="61"/>
  <c r="L12" i="66"/>
  <c r="L12" i="55"/>
  <c r="L12" i="15"/>
  <c r="K12" i="14"/>
  <c r="G14" i="66"/>
  <c r="R32" i="14"/>
  <c r="S32" i="14"/>
  <c r="T32" i="14"/>
  <c r="P39" i="17"/>
  <c r="P39" i="41"/>
  <c r="J4" i="60"/>
  <c r="S39" i="66"/>
  <c r="T39" i="66"/>
  <c r="G50" i="26"/>
  <c r="G49" i="14"/>
  <c r="P39" i="40"/>
  <c r="S32" i="66"/>
  <c r="T32" i="66"/>
  <c r="Z66" i="44"/>
  <c r="P26" i="40"/>
  <c r="J8" i="17"/>
  <c r="P26" i="44"/>
  <c r="J15" i="44"/>
  <c r="Y21" i="31"/>
  <c r="Z21" i="31"/>
  <c r="G17" i="61"/>
  <c r="H17" i="61"/>
  <c r="L18" i="55"/>
  <c r="W66" i="61"/>
  <c r="J32" i="44"/>
  <c r="L33" i="15"/>
  <c r="L38" i="15"/>
  <c r="L38" i="66"/>
  <c r="L38" i="55"/>
  <c r="P39" i="60"/>
  <c r="G16" i="55"/>
  <c r="L38" i="61"/>
  <c r="Z67" i="60"/>
  <c r="G25" i="55"/>
  <c r="W66" i="41"/>
  <c r="I66" i="15"/>
  <c r="P39" i="48"/>
  <c r="W5" i="17"/>
  <c r="E5" i="63"/>
  <c r="Z67" i="40"/>
  <c r="S36" i="15"/>
  <c r="T36" i="15"/>
  <c r="J36" i="17"/>
  <c r="P18" i="40"/>
  <c r="P18" i="48"/>
  <c r="P26" i="41"/>
  <c r="I27" i="44"/>
  <c r="E43" i="15"/>
  <c r="P26" i="17"/>
  <c r="Y49" i="44"/>
  <c r="AC49" i="44"/>
  <c r="E66" i="55"/>
  <c r="J27" i="60"/>
  <c r="I14" i="44"/>
  <c r="L43" i="66"/>
  <c r="J27" i="41"/>
  <c r="H65" i="23"/>
  <c r="S66" i="15"/>
  <c r="R26" i="14"/>
  <c r="S26" i="14"/>
  <c r="T26" i="14"/>
  <c r="H17" i="55"/>
  <c r="AO14" i="63"/>
  <c r="L43" i="61"/>
  <c r="R25" i="14"/>
  <c r="S26" i="55"/>
  <c r="T26" i="55"/>
  <c r="I26" i="44"/>
  <c r="P26" i="48"/>
  <c r="J14" i="44"/>
  <c r="S36" i="55"/>
  <c r="T36" i="55"/>
  <c r="S39" i="15"/>
  <c r="T39" i="15"/>
  <c r="S39" i="55"/>
  <c r="T39" i="55"/>
  <c r="W67" i="40"/>
  <c r="G43" i="61"/>
  <c r="J47" i="44"/>
  <c r="W47" i="44"/>
  <c r="J17" i="55"/>
  <c r="K17" i="55"/>
  <c r="Y23" i="60"/>
  <c r="AC23" i="60"/>
  <c r="Y23" i="41"/>
  <c r="AC23" i="41"/>
  <c r="S35" i="15"/>
  <c r="T35" i="15"/>
  <c r="J35" i="17"/>
  <c r="S35" i="61"/>
  <c r="T35" i="61"/>
  <c r="H13" i="66"/>
  <c r="S26" i="15"/>
  <c r="T26" i="15"/>
  <c r="K43" i="14"/>
  <c r="W66" i="55"/>
  <c r="S54" i="44"/>
  <c r="S54" i="48"/>
  <c r="W66" i="17"/>
  <c r="E18" i="38"/>
  <c r="Y66" i="55"/>
  <c r="S26" i="66"/>
  <c r="T26" i="66"/>
  <c r="M66" i="17"/>
  <c r="H51" i="15"/>
  <c r="G73" i="17"/>
  <c r="J4" i="40"/>
  <c r="G46" i="15"/>
  <c r="J46" i="15"/>
  <c r="K46" i="15"/>
  <c r="AC46" i="15"/>
  <c r="P17" i="41"/>
  <c r="G18" i="55"/>
  <c r="J18" i="55"/>
  <c r="K18" i="55"/>
  <c r="G23" i="66"/>
  <c r="J4" i="41"/>
  <c r="K13" i="15"/>
  <c r="G48" i="14"/>
  <c r="S35" i="66"/>
  <c r="T35" i="66"/>
  <c r="Z67" i="44"/>
  <c r="E20" i="63"/>
  <c r="W23" i="17"/>
  <c r="J23" i="44"/>
  <c r="H23" i="61"/>
  <c r="J23" i="61"/>
  <c r="K23" i="61"/>
  <c r="J30" i="55"/>
  <c r="Y30" i="44"/>
  <c r="AC30" i="44"/>
  <c r="H30" i="55"/>
  <c r="AO27" i="63"/>
  <c r="S20" i="61"/>
  <c r="T20" i="61"/>
  <c r="S20" i="66"/>
  <c r="T20" i="66"/>
  <c r="R20" i="14"/>
  <c r="S20" i="14"/>
  <c r="T20" i="14"/>
  <c r="L33" i="61"/>
  <c r="Y50" i="31"/>
  <c r="Z5" i="31"/>
  <c r="R66" i="14"/>
  <c r="I29" i="44"/>
  <c r="H13" i="15"/>
  <c r="O62" i="14"/>
  <c r="L33" i="66"/>
  <c r="J39" i="15"/>
  <c r="K39" i="15"/>
  <c r="P44" i="41"/>
  <c r="P17" i="17"/>
  <c r="P17" i="40"/>
  <c r="P17" i="60"/>
  <c r="P17" i="44"/>
  <c r="H67" i="14"/>
  <c r="K33" i="14"/>
  <c r="W67" i="55"/>
  <c r="Y48" i="17"/>
  <c r="AC48" i="17"/>
  <c r="P44" i="48"/>
  <c r="W67" i="61"/>
  <c r="L18" i="66"/>
  <c r="L18" i="15"/>
  <c r="H49" i="61"/>
  <c r="J49" i="61"/>
  <c r="K49" i="61"/>
  <c r="M49" i="61"/>
  <c r="O49" i="61"/>
  <c r="Q49" i="61"/>
  <c r="R49" i="61"/>
  <c r="G44" i="55"/>
  <c r="J44" i="55"/>
  <c r="K44" i="55"/>
  <c r="W67" i="15"/>
  <c r="E11" i="63"/>
  <c r="W13" i="17"/>
  <c r="W30" i="17"/>
  <c r="E27" i="63"/>
  <c r="L38" i="14"/>
  <c r="N38" i="14"/>
  <c r="P38" i="14"/>
  <c r="Q38" i="14"/>
  <c r="H37" i="48"/>
  <c r="E41" i="63"/>
  <c r="W46" i="17"/>
  <c r="E32" i="63"/>
  <c r="W35" i="17"/>
  <c r="L22" i="66"/>
  <c r="L22" i="55"/>
  <c r="L53" i="55"/>
  <c r="L22" i="61"/>
  <c r="L53" i="61"/>
  <c r="K22" i="14"/>
  <c r="L22" i="15"/>
  <c r="L53" i="15"/>
  <c r="Z53" i="31"/>
  <c r="L53" i="66"/>
  <c r="G29" i="14"/>
  <c r="Y29" i="17"/>
  <c r="AC29" i="17"/>
  <c r="S31" i="61"/>
  <c r="T31" i="61"/>
  <c r="I44" i="44"/>
  <c r="S4" i="61"/>
  <c r="T4" i="61"/>
  <c r="S4" i="66"/>
  <c r="T4" i="66"/>
  <c r="S4" i="15"/>
  <c r="T4" i="15"/>
  <c r="S4" i="55"/>
  <c r="T4" i="55"/>
  <c r="I4" i="44"/>
  <c r="H49" i="15"/>
  <c r="J49" i="15"/>
  <c r="K49" i="15"/>
  <c r="AC49" i="15"/>
  <c r="Z66" i="60"/>
  <c r="G34" i="14"/>
  <c r="Y34" i="48"/>
  <c r="AC34" i="48"/>
  <c r="S17" i="55"/>
  <c r="T17" i="55"/>
  <c r="I17" i="44"/>
  <c r="F57" i="26"/>
  <c r="H66" i="55"/>
  <c r="R31" i="14"/>
  <c r="S31" i="14"/>
  <c r="T31" i="14"/>
  <c r="J31" i="60"/>
  <c r="F58" i="26"/>
  <c r="P62" i="55"/>
  <c r="I54" i="48"/>
  <c r="W54" i="48"/>
  <c r="I54" i="60"/>
  <c r="W54" i="60"/>
  <c r="S17" i="61"/>
  <c r="T17" i="61"/>
  <c r="E23" i="15"/>
  <c r="G29" i="55"/>
  <c r="Y48" i="48"/>
  <c r="AC48" i="48"/>
  <c r="H46" i="15"/>
  <c r="I24" i="80"/>
  <c r="L43" i="55"/>
  <c r="G29" i="66"/>
  <c r="H29" i="66"/>
  <c r="S17" i="15"/>
  <c r="T17" i="15"/>
  <c r="J40" i="44"/>
  <c r="Q66" i="15"/>
  <c r="J9" i="44"/>
  <c r="G41" i="55"/>
  <c r="Y41" i="44"/>
  <c r="AC41" i="44"/>
  <c r="G38" i="66"/>
  <c r="N67" i="61"/>
  <c r="H67" i="15"/>
  <c r="G65" i="48"/>
  <c r="H48" i="14"/>
  <c r="D50" i="15"/>
  <c r="R17" i="14"/>
  <c r="S17" i="14"/>
  <c r="T17" i="14"/>
  <c r="J17" i="48"/>
  <c r="J25" i="44"/>
  <c r="K9" i="15"/>
  <c r="AC9" i="15"/>
  <c r="Y48" i="40"/>
  <c r="AC48" i="40"/>
  <c r="U54" i="55"/>
  <c r="J54" i="44"/>
  <c r="G12" i="55"/>
  <c r="Y12" i="44"/>
  <c r="AC12" i="44"/>
  <c r="G43" i="14"/>
  <c r="Y43" i="40"/>
  <c r="AC43" i="40"/>
  <c r="O66" i="17"/>
  <c r="P34" i="60"/>
  <c r="P34" i="48"/>
  <c r="P34" i="44"/>
  <c r="P34" i="40"/>
  <c r="E37" i="63"/>
  <c r="W42" i="17"/>
  <c r="S21" i="55"/>
  <c r="T21" i="55"/>
  <c r="I21" i="44"/>
  <c r="S21" i="15"/>
  <c r="T21" i="15"/>
  <c r="J21" i="17"/>
  <c r="R21" i="14"/>
  <c r="S21" i="14"/>
  <c r="T21" i="14"/>
  <c r="S21" i="61"/>
  <c r="T21" i="61"/>
  <c r="S21" i="66"/>
  <c r="T21" i="66"/>
  <c r="P35" i="60"/>
  <c r="P35" i="40"/>
  <c r="P35" i="17"/>
  <c r="P35" i="48"/>
  <c r="P35" i="44"/>
  <c r="P35" i="41"/>
  <c r="W67" i="17"/>
  <c r="S52" i="48"/>
  <c r="D31" i="14"/>
  <c r="P44" i="44"/>
  <c r="D33" i="14"/>
  <c r="E33" i="14"/>
  <c r="D33" i="61"/>
  <c r="E33" i="61"/>
  <c r="D33" i="15"/>
  <c r="D33" i="55"/>
  <c r="E33" i="55"/>
  <c r="D33" i="66"/>
  <c r="E42" i="63"/>
  <c r="W47" i="17"/>
  <c r="G36" i="55"/>
  <c r="J41" i="61"/>
  <c r="K41" i="61"/>
  <c r="H41" i="61"/>
  <c r="D31" i="55"/>
  <c r="E31" i="55"/>
  <c r="I67" i="15"/>
  <c r="S41" i="55"/>
  <c r="T41" i="55"/>
  <c r="I41" i="44"/>
  <c r="G32" i="61"/>
  <c r="E32" i="61"/>
  <c r="L30" i="15"/>
  <c r="L30" i="66"/>
  <c r="K30" i="14"/>
  <c r="L30" i="55"/>
  <c r="L30" i="61"/>
  <c r="E10" i="63"/>
  <c r="W12" i="17"/>
  <c r="H43" i="61"/>
  <c r="J43" i="61"/>
  <c r="K43" i="61"/>
  <c r="G36" i="14"/>
  <c r="E36" i="14"/>
  <c r="I31" i="44"/>
  <c r="Y44" i="44"/>
  <c r="AC44" i="44"/>
  <c r="G33" i="14"/>
  <c r="Y33" i="17"/>
  <c r="AC33" i="17"/>
  <c r="R24" i="14"/>
  <c r="S24" i="14"/>
  <c r="T24" i="14"/>
  <c r="J24" i="41"/>
  <c r="M66" i="48"/>
  <c r="D31" i="15"/>
  <c r="H44" i="55"/>
  <c r="AO39" i="63"/>
  <c r="S25" i="15"/>
  <c r="J12" i="80"/>
  <c r="N13" i="31"/>
  <c r="M67" i="14"/>
  <c r="M67" i="41"/>
  <c r="P44" i="60"/>
  <c r="S41" i="61"/>
  <c r="T41" i="61"/>
  <c r="J18" i="44"/>
  <c r="S30" i="15"/>
  <c r="T30" i="15"/>
  <c r="J30" i="17"/>
  <c r="R30" i="14"/>
  <c r="S30" i="14"/>
  <c r="T30" i="14"/>
  <c r="S30" i="61"/>
  <c r="T30" i="61"/>
  <c r="S30" i="55"/>
  <c r="T30" i="55"/>
  <c r="I30" i="44"/>
  <c r="S30" i="66"/>
  <c r="T30" i="66"/>
  <c r="M50" i="32"/>
  <c r="J44" i="44"/>
  <c r="J30" i="66"/>
  <c r="K30" i="66"/>
  <c r="H30" i="66"/>
  <c r="E25" i="15"/>
  <c r="D54" i="15"/>
  <c r="E34" i="63"/>
  <c r="W38" i="17"/>
  <c r="P68" i="55"/>
  <c r="D54" i="55"/>
  <c r="E54" i="55"/>
  <c r="E25" i="55"/>
  <c r="E36" i="66"/>
  <c r="G36" i="66"/>
  <c r="S25" i="55"/>
  <c r="G44" i="14"/>
  <c r="Y44" i="41"/>
  <c r="AC44" i="41"/>
  <c r="G5" i="15"/>
  <c r="H5" i="15"/>
  <c r="G49" i="66"/>
  <c r="D47" i="61"/>
  <c r="E47" i="61"/>
  <c r="D47" i="66"/>
  <c r="E47" i="66"/>
  <c r="D47" i="55"/>
  <c r="E47" i="55"/>
  <c r="D47" i="15"/>
  <c r="E47" i="15"/>
  <c r="D47" i="14"/>
  <c r="E47" i="14"/>
  <c r="S15" i="15"/>
  <c r="T15" i="15"/>
  <c r="J15" i="17"/>
  <c r="S15" i="66"/>
  <c r="T15" i="66"/>
  <c r="S15" i="61"/>
  <c r="T15" i="61"/>
  <c r="R15" i="14"/>
  <c r="S15" i="14"/>
  <c r="T15" i="14"/>
  <c r="S15" i="55"/>
  <c r="T15" i="55"/>
  <c r="I15" i="44"/>
  <c r="E67" i="61"/>
  <c r="I67" i="61"/>
  <c r="J52" i="66"/>
  <c r="H52" i="66"/>
  <c r="E36" i="15"/>
  <c r="G36" i="15"/>
  <c r="S37" i="15"/>
  <c r="T37" i="15"/>
  <c r="J37" i="17"/>
  <c r="S41" i="66"/>
  <c r="T41" i="66"/>
  <c r="R37" i="14"/>
  <c r="S37" i="14"/>
  <c r="T37" i="14"/>
  <c r="C5" i="24"/>
  <c r="F5" i="24"/>
  <c r="Y4" i="31"/>
  <c r="Z4" i="31"/>
  <c r="I51" i="40"/>
  <c r="W51" i="40"/>
  <c r="I51" i="60"/>
  <c r="W51" i="60"/>
  <c r="H51" i="44"/>
  <c r="I51" i="48"/>
  <c r="W51" i="48"/>
  <c r="I51" i="17"/>
  <c r="W51" i="17"/>
  <c r="D52" i="14"/>
  <c r="G52" i="14"/>
  <c r="H52" i="14"/>
  <c r="E13" i="14"/>
  <c r="G13" i="14"/>
  <c r="Y15" i="60"/>
  <c r="AC15" i="60"/>
  <c r="Y15" i="41"/>
  <c r="AC15" i="41"/>
  <c r="H15" i="14"/>
  <c r="Y15" i="48"/>
  <c r="AC15" i="48"/>
  <c r="J15" i="14"/>
  <c r="Y15" i="40"/>
  <c r="AC15" i="40"/>
  <c r="Y15" i="17"/>
  <c r="AC15" i="17"/>
  <c r="G16" i="61"/>
  <c r="J16" i="61"/>
  <c r="K16" i="61"/>
  <c r="S32" i="61"/>
  <c r="T32" i="61"/>
  <c r="R41" i="14"/>
  <c r="S41" i="14"/>
  <c r="T41" i="14"/>
  <c r="S37" i="55"/>
  <c r="T37" i="55"/>
  <c r="I37" i="44"/>
  <c r="E57" i="26"/>
  <c r="H11" i="48"/>
  <c r="R66" i="17"/>
  <c r="I50" i="17"/>
  <c r="W50" i="17"/>
  <c r="H50" i="44"/>
  <c r="I50" i="40"/>
  <c r="W50" i="40"/>
  <c r="I50" i="60"/>
  <c r="W50" i="60"/>
  <c r="I50" i="48"/>
  <c r="W50" i="48"/>
  <c r="I50" i="41"/>
  <c r="W50" i="41"/>
  <c r="E39" i="63"/>
  <c r="W44" i="17"/>
  <c r="E8" i="63"/>
  <c r="W9" i="17"/>
  <c r="G23" i="55"/>
  <c r="E23" i="55"/>
  <c r="G38" i="15"/>
  <c r="J38" i="15"/>
  <c r="K38" i="15"/>
  <c r="J22" i="44"/>
  <c r="W22" i="44"/>
  <c r="P18" i="17"/>
  <c r="P18" i="44"/>
  <c r="P18" i="60"/>
  <c r="P18" i="41"/>
  <c r="E15" i="63"/>
  <c r="W18" i="17"/>
  <c r="D37" i="14"/>
  <c r="D37" i="66"/>
  <c r="D37" i="55"/>
  <c r="J23" i="15"/>
  <c r="K23" i="15"/>
  <c r="AC23" i="15"/>
  <c r="H23" i="15"/>
  <c r="Y23" i="48"/>
  <c r="AC23" i="48"/>
  <c r="Y23" i="40"/>
  <c r="AC23" i="40"/>
  <c r="J23" i="14"/>
  <c r="H23" i="14"/>
  <c r="E15" i="55"/>
  <c r="G15" i="55"/>
  <c r="S37" i="61"/>
  <c r="T37" i="61"/>
  <c r="F68" i="14"/>
  <c r="E49" i="79"/>
  <c r="G49" i="79"/>
  <c r="E58" i="26"/>
  <c r="G58" i="26"/>
  <c r="H58" i="26"/>
  <c r="H14" i="40"/>
  <c r="Z67" i="17"/>
  <c r="E19" i="63"/>
  <c r="W22" i="17"/>
  <c r="S51" i="48"/>
  <c r="S51" i="44"/>
  <c r="S51" i="41"/>
  <c r="S51" i="40"/>
  <c r="S51" i="17"/>
  <c r="S51" i="60"/>
  <c r="J30" i="61"/>
  <c r="H30" i="61"/>
  <c r="G12" i="79"/>
  <c r="K13" i="66"/>
  <c r="G35" i="15"/>
  <c r="H35" i="15"/>
  <c r="E12" i="63"/>
  <c r="W15" i="17"/>
  <c r="L21" i="15"/>
  <c r="L21" i="61"/>
  <c r="K21" i="14"/>
  <c r="L21" i="66"/>
  <c r="L21" i="55"/>
  <c r="S34" i="15"/>
  <c r="T34" i="15"/>
  <c r="R34" i="14"/>
  <c r="S34" i="14"/>
  <c r="T34" i="14"/>
  <c r="S34" i="55"/>
  <c r="T34" i="55"/>
  <c r="I34" i="44"/>
  <c r="S34" i="66"/>
  <c r="T34" i="66"/>
  <c r="S34" i="61"/>
  <c r="T34" i="61"/>
  <c r="S10" i="55"/>
  <c r="T10" i="55"/>
  <c r="I10" i="44"/>
  <c r="S10" i="61"/>
  <c r="T10" i="61"/>
  <c r="R10" i="14"/>
  <c r="S10" i="14"/>
  <c r="T10" i="14"/>
  <c r="S10" i="66"/>
  <c r="T10" i="66"/>
  <c r="E30" i="14"/>
  <c r="G30" i="14"/>
  <c r="E43" i="66"/>
  <c r="G43" i="66"/>
  <c r="E38" i="61"/>
  <c r="G38" i="61"/>
  <c r="I36" i="44"/>
  <c r="S20" i="55"/>
  <c r="T20" i="55"/>
  <c r="I20" i="44"/>
  <c r="S20" i="15"/>
  <c r="T20" i="15"/>
  <c r="J20" i="17"/>
  <c r="P8" i="48"/>
  <c r="P8" i="40"/>
  <c r="P8" i="41"/>
  <c r="P8" i="44"/>
  <c r="P8" i="17"/>
  <c r="P8" i="60"/>
  <c r="L27" i="55"/>
  <c r="L27" i="15"/>
  <c r="K27" i="14"/>
  <c r="L27" i="61"/>
  <c r="L27" i="66"/>
  <c r="Y38" i="41"/>
  <c r="AC38" i="41"/>
  <c r="Y38" i="60"/>
  <c r="AC38" i="60"/>
  <c r="H38" i="14"/>
  <c r="Y38" i="17"/>
  <c r="AC38" i="17"/>
  <c r="Y38" i="40"/>
  <c r="AC38" i="40"/>
  <c r="E34" i="61"/>
  <c r="G34" i="61"/>
  <c r="E36" i="63"/>
  <c r="W40" i="17"/>
  <c r="S3" i="66"/>
  <c r="T3" i="66"/>
  <c r="G44" i="15"/>
  <c r="J44" i="15"/>
  <c r="K44" i="15"/>
  <c r="S3" i="15"/>
  <c r="T3" i="15"/>
  <c r="I39" i="44"/>
  <c r="P44" i="17"/>
  <c r="D42" i="66"/>
  <c r="E42" i="66"/>
  <c r="R36" i="14"/>
  <c r="S36" i="14"/>
  <c r="T36" i="14"/>
  <c r="G54" i="66"/>
  <c r="N67" i="15"/>
  <c r="E15" i="15"/>
  <c r="G15" i="15"/>
  <c r="E43" i="55"/>
  <c r="G43" i="55"/>
  <c r="E41" i="15"/>
  <c r="G41" i="15"/>
  <c r="S52" i="44"/>
  <c r="S3" i="55"/>
  <c r="T3" i="55"/>
  <c r="R3" i="14"/>
  <c r="S3" i="14"/>
  <c r="J39" i="44"/>
  <c r="G31" i="61"/>
  <c r="C10" i="24"/>
  <c r="F10" i="24"/>
  <c r="N51" i="31"/>
  <c r="U9" i="31"/>
  <c r="U51" i="31"/>
  <c r="H49" i="14"/>
  <c r="Y49" i="41"/>
  <c r="AC49" i="41"/>
  <c r="Y49" i="40"/>
  <c r="AC49" i="40"/>
  <c r="Y49" i="60"/>
  <c r="AC49" i="60"/>
  <c r="J49" i="14"/>
  <c r="Y49" i="48"/>
  <c r="AC49" i="48"/>
  <c r="Y49" i="17"/>
  <c r="AC49" i="17"/>
  <c r="J11" i="44"/>
  <c r="D19" i="61"/>
  <c r="D19" i="66"/>
  <c r="E19" i="66"/>
  <c r="D19" i="14"/>
  <c r="E19" i="14"/>
  <c r="D19" i="15"/>
  <c r="D19" i="55"/>
  <c r="G45" i="55"/>
  <c r="E45" i="55"/>
  <c r="J36" i="44"/>
  <c r="W36" i="44"/>
  <c r="J15" i="66"/>
  <c r="K15" i="66"/>
  <c r="G47" i="61"/>
  <c r="J47" i="61"/>
  <c r="K47" i="61"/>
  <c r="S52" i="60"/>
  <c r="D31" i="66"/>
  <c r="E31" i="66"/>
  <c r="V66" i="14"/>
  <c r="N66" i="15"/>
  <c r="G12" i="14"/>
  <c r="Y12" i="48"/>
  <c r="AC12" i="48"/>
  <c r="S36" i="61"/>
  <c r="T36" i="61"/>
  <c r="G38" i="55"/>
  <c r="W3" i="17"/>
  <c r="E3" i="63"/>
  <c r="P42" i="17"/>
  <c r="P42" i="40"/>
  <c r="P42" i="48"/>
  <c r="P42" i="60"/>
  <c r="P42" i="44"/>
  <c r="P42" i="41"/>
  <c r="G45" i="61"/>
  <c r="E45" i="61"/>
  <c r="J32" i="66"/>
  <c r="K32" i="66"/>
  <c r="H32" i="66"/>
  <c r="H45" i="66"/>
  <c r="J45" i="66"/>
  <c r="K45" i="66"/>
  <c r="M45" i="66"/>
  <c r="O45" i="66"/>
  <c r="Q45" i="66"/>
  <c r="R45" i="66"/>
  <c r="H39" i="61"/>
  <c r="J39" i="61"/>
  <c r="K39" i="61"/>
  <c r="M39" i="61"/>
  <c r="O39" i="61"/>
  <c r="Q39" i="61"/>
  <c r="R39" i="61"/>
  <c r="Y39" i="44"/>
  <c r="AC39" i="44"/>
  <c r="H39" i="55"/>
  <c r="AO35" i="63"/>
  <c r="J39" i="55"/>
  <c r="K39" i="55"/>
  <c r="K52" i="66"/>
  <c r="S66" i="40"/>
  <c r="S66" i="17"/>
  <c r="S66" i="60"/>
  <c r="S66" i="48"/>
  <c r="S66" i="44"/>
  <c r="S66" i="41"/>
  <c r="D52" i="61"/>
  <c r="E13" i="61"/>
  <c r="G73" i="40"/>
  <c r="E66" i="61"/>
  <c r="H66" i="61"/>
  <c r="I67" i="66"/>
  <c r="E67" i="66"/>
  <c r="K41" i="14"/>
  <c r="L41" i="55"/>
  <c r="L41" i="66"/>
  <c r="L41" i="61"/>
  <c r="L41" i="15"/>
  <c r="G72" i="17"/>
  <c r="S7" i="61"/>
  <c r="T7" i="61"/>
  <c r="R7" i="14"/>
  <c r="S7" i="14"/>
  <c r="T7" i="14"/>
  <c r="S7" i="66"/>
  <c r="T7" i="66"/>
  <c r="S7" i="15"/>
  <c r="T7" i="15"/>
  <c r="J7" i="17"/>
  <c r="S7" i="55"/>
  <c r="T7" i="55"/>
  <c r="I7" i="44"/>
  <c r="S24" i="66"/>
  <c r="T24" i="66"/>
  <c r="L9" i="55"/>
  <c r="L51" i="55"/>
  <c r="L9" i="15"/>
  <c r="S40" i="15"/>
  <c r="T40" i="15"/>
  <c r="J40" i="17"/>
  <c r="S40" i="66"/>
  <c r="T40" i="66"/>
  <c r="R40" i="14"/>
  <c r="S40" i="14"/>
  <c r="T40" i="14"/>
  <c r="S40" i="55"/>
  <c r="T40" i="55"/>
  <c r="I40" i="44"/>
  <c r="S40" i="61"/>
  <c r="T40" i="61"/>
  <c r="Y67" i="66"/>
  <c r="J21" i="15"/>
  <c r="H21" i="15"/>
  <c r="L23" i="66"/>
  <c r="L23" i="15"/>
  <c r="K23" i="14"/>
  <c r="L23" i="61"/>
  <c r="L23" i="55"/>
  <c r="Y33" i="48"/>
  <c r="AC33" i="48"/>
  <c r="J20" i="44"/>
  <c r="W20" i="44"/>
  <c r="G12" i="61"/>
  <c r="AC13" i="15"/>
  <c r="S9" i="14"/>
  <c r="T9" i="14"/>
  <c r="R51" i="14"/>
  <c r="S51" i="14"/>
  <c r="T51" i="14"/>
  <c r="S33" i="61"/>
  <c r="T33" i="61"/>
  <c r="S33" i="15"/>
  <c r="T33" i="15"/>
  <c r="J33" i="17"/>
  <c r="T66" i="14"/>
  <c r="U12" i="31"/>
  <c r="C13" i="24"/>
  <c r="F13" i="24"/>
  <c r="G32" i="55"/>
  <c r="E32" i="55"/>
  <c r="H24" i="61"/>
  <c r="J24" i="61"/>
  <c r="K24" i="61"/>
  <c r="M24" i="61"/>
  <c r="O24" i="61"/>
  <c r="Q24" i="61"/>
  <c r="R24" i="61"/>
  <c r="L47" i="66"/>
  <c r="L47" i="61"/>
  <c r="U66" i="66"/>
  <c r="Q66" i="66"/>
  <c r="Y66" i="66"/>
  <c r="E66" i="66"/>
  <c r="L16" i="15"/>
  <c r="L16" i="55"/>
  <c r="L16" i="61"/>
  <c r="L16" i="66"/>
  <c r="M44" i="55"/>
  <c r="O44" i="55"/>
  <c r="Q44" i="55"/>
  <c r="R44" i="55"/>
  <c r="AC44" i="55"/>
  <c r="G14" i="55"/>
  <c r="E14" i="55"/>
  <c r="E25" i="63"/>
  <c r="W28" i="17"/>
  <c r="D12" i="38"/>
  <c r="D19" i="38"/>
  <c r="T9" i="55"/>
  <c r="I9" i="44"/>
  <c r="S51" i="55"/>
  <c r="T51" i="55"/>
  <c r="I35" i="44"/>
  <c r="G13" i="61"/>
  <c r="H43" i="15"/>
  <c r="J43" i="15"/>
  <c r="K43" i="15"/>
  <c r="J31" i="44"/>
  <c r="Y4" i="40"/>
  <c r="AC4" i="40"/>
  <c r="Y4" i="60"/>
  <c r="AC4" i="60"/>
  <c r="Y4" i="48"/>
  <c r="AC4" i="48"/>
  <c r="J4" i="14"/>
  <c r="H4" i="14"/>
  <c r="Y4" i="17"/>
  <c r="AC4" i="17"/>
  <c r="H38" i="15"/>
  <c r="L40" i="15"/>
  <c r="L40" i="66"/>
  <c r="K40" i="14"/>
  <c r="L40" i="55"/>
  <c r="L40" i="61"/>
  <c r="R47" i="14"/>
  <c r="S47" i="14"/>
  <c r="T47" i="14"/>
  <c r="S47" i="15"/>
  <c r="T47" i="15"/>
  <c r="J47" i="17"/>
  <c r="S47" i="55"/>
  <c r="T47" i="55"/>
  <c r="I47" i="44"/>
  <c r="S47" i="61"/>
  <c r="T47" i="61"/>
  <c r="U67" i="15"/>
  <c r="J67" i="48"/>
  <c r="K67" i="48"/>
  <c r="L67" i="48"/>
  <c r="H25" i="15"/>
  <c r="J25" i="15"/>
  <c r="K25" i="15"/>
  <c r="AC25" i="15"/>
  <c r="J4" i="44"/>
  <c r="W4" i="44"/>
  <c r="E40" i="63"/>
  <c r="W45" i="17"/>
  <c r="E48" i="66"/>
  <c r="G48" i="66"/>
  <c r="G50" i="66"/>
  <c r="E50" i="66"/>
  <c r="J7" i="44"/>
  <c r="W7" i="44"/>
  <c r="P49" i="41"/>
  <c r="P49" i="17"/>
  <c r="P49" i="44"/>
  <c r="P49" i="48"/>
  <c r="P49" i="40"/>
  <c r="P49" i="60"/>
  <c r="G48" i="26"/>
  <c r="S43" i="66"/>
  <c r="T43" i="66"/>
  <c r="S43" i="15"/>
  <c r="T43" i="15"/>
  <c r="J43" i="17"/>
  <c r="S43" i="61"/>
  <c r="T43" i="61"/>
  <c r="S43" i="55"/>
  <c r="T43" i="55"/>
  <c r="I43" i="44"/>
  <c r="R43" i="14"/>
  <c r="S43" i="14"/>
  <c r="T43" i="14"/>
  <c r="J45" i="44"/>
  <c r="W45" i="44"/>
  <c r="S24" i="61"/>
  <c r="T24" i="61"/>
  <c r="G5" i="61"/>
  <c r="H5" i="61"/>
  <c r="J21" i="80"/>
  <c r="N36" i="31"/>
  <c r="Y36" i="31"/>
  <c r="Z36" i="31"/>
  <c r="L36" i="61"/>
  <c r="G73" i="41"/>
  <c r="M66" i="60"/>
  <c r="M66" i="40"/>
  <c r="M66" i="41"/>
  <c r="E4" i="63"/>
  <c r="W4" i="17"/>
  <c r="G53" i="66"/>
  <c r="E53" i="66"/>
  <c r="E6" i="63"/>
  <c r="W7" i="17"/>
  <c r="J43" i="14"/>
  <c r="Y43" i="60"/>
  <c r="AC43" i="60"/>
  <c r="H43" i="14"/>
  <c r="Y43" i="48"/>
  <c r="AC43" i="48"/>
  <c r="Y6" i="44"/>
  <c r="AC6" i="44"/>
  <c r="J6" i="55"/>
  <c r="K6" i="55"/>
  <c r="H6" i="55"/>
  <c r="S16" i="66"/>
  <c r="T16" i="66"/>
  <c r="R16" i="14"/>
  <c r="S16" i="14"/>
  <c r="T16" i="14"/>
  <c r="S16" i="15"/>
  <c r="T16" i="15"/>
  <c r="S16" i="61"/>
  <c r="T16" i="61"/>
  <c r="C11" i="24"/>
  <c r="F11" i="24"/>
  <c r="Y10" i="31"/>
  <c r="Z10" i="31"/>
  <c r="U13" i="31"/>
  <c r="U52" i="31"/>
  <c r="C14" i="24"/>
  <c r="F14" i="24"/>
  <c r="Z66" i="48"/>
  <c r="C16" i="24"/>
  <c r="F16" i="24"/>
  <c r="U15" i="31"/>
  <c r="E28" i="61"/>
  <c r="G28" i="61"/>
  <c r="G12" i="15"/>
  <c r="E12" i="15"/>
  <c r="E35" i="61"/>
  <c r="G35" i="61"/>
  <c r="E28" i="63"/>
  <c r="W31" i="17"/>
  <c r="C23" i="24"/>
  <c r="F23" i="24"/>
  <c r="N53" i="31"/>
  <c r="R11" i="14"/>
  <c r="S11" i="14"/>
  <c r="T11" i="14"/>
  <c r="S11" i="66"/>
  <c r="T11" i="66"/>
  <c r="S11" i="61"/>
  <c r="T11" i="61"/>
  <c r="S11" i="55"/>
  <c r="T11" i="55"/>
  <c r="I11" i="44"/>
  <c r="S11" i="15"/>
  <c r="T11" i="15"/>
  <c r="J11" i="17"/>
  <c r="K31" i="14"/>
  <c r="L31" i="55"/>
  <c r="L31" i="15"/>
  <c r="L31" i="61"/>
  <c r="L31" i="66"/>
  <c r="Y32" i="17"/>
  <c r="AC32" i="17"/>
  <c r="Y32" i="60"/>
  <c r="AC32" i="60"/>
  <c r="Y32" i="41"/>
  <c r="AC32" i="41"/>
  <c r="H32" i="14"/>
  <c r="J32" i="14"/>
  <c r="Y32" i="48"/>
  <c r="AC32" i="48"/>
  <c r="Y32" i="40"/>
  <c r="AC32" i="40"/>
  <c r="N66" i="61"/>
  <c r="F47" i="79"/>
  <c r="G47" i="26"/>
  <c r="K51" i="15"/>
  <c r="H28" i="66"/>
  <c r="J28" i="66"/>
  <c r="K28" i="66"/>
  <c r="L48" i="15"/>
  <c r="L48" i="61"/>
  <c r="L48" i="66"/>
  <c r="L48" i="55"/>
  <c r="K48" i="14"/>
  <c r="J29" i="44"/>
  <c r="E35" i="66"/>
  <c r="G35" i="66"/>
  <c r="M23" i="61"/>
  <c r="O23" i="61"/>
  <c r="Q23" i="61"/>
  <c r="R23" i="61"/>
  <c r="X23" i="61"/>
  <c r="Y23" i="61"/>
  <c r="E21" i="66"/>
  <c r="G21" i="66"/>
  <c r="P61" i="15"/>
  <c r="G14" i="14"/>
  <c r="H14" i="14"/>
  <c r="AC66" i="55"/>
  <c r="E21" i="61"/>
  <c r="G21" i="61"/>
  <c r="E7" i="63"/>
  <c r="W8" i="17"/>
  <c r="Y45" i="40"/>
  <c r="AC45" i="40"/>
  <c r="J45" i="14"/>
  <c r="L45" i="14"/>
  <c r="N45" i="14"/>
  <c r="P45" i="14"/>
  <c r="Q45" i="14"/>
  <c r="Y45" i="48"/>
  <c r="AC45" i="48"/>
  <c r="H45" i="14"/>
  <c r="Y45" i="17"/>
  <c r="AC45" i="17"/>
  <c r="Y45" i="41"/>
  <c r="AC45" i="41"/>
  <c r="Y45" i="60"/>
  <c r="AC45" i="60"/>
  <c r="S48" i="66"/>
  <c r="T48" i="66"/>
  <c r="R48" i="14"/>
  <c r="S48" i="14"/>
  <c r="T48" i="14"/>
  <c r="S48" i="61"/>
  <c r="T48" i="61"/>
  <c r="S48" i="15"/>
  <c r="T48" i="15"/>
  <c r="J48" i="17"/>
  <c r="G48" i="79"/>
  <c r="G35" i="14"/>
  <c r="E35" i="14"/>
  <c r="S24" i="55"/>
  <c r="T24" i="55"/>
  <c r="I24" i="44"/>
  <c r="J12" i="55"/>
  <c r="K12" i="55"/>
  <c r="AC12" i="55"/>
  <c r="H12" i="55"/>
  <c r="AO10" i="63"/>
  <c r="J44" i="40"/>
  <c r="J44" i="60"/>
  <c r="J44" i="48"/>
  <c r="J44" i="41"/>
  <c r="G12" i="66"/>
  <c r="H13" i="55"/>
  <c r="AO11" i="63"/>
  <c r="J13" i="55"/>
  <c r="K13" i="55"/>
  <c r="Y13" i="44"/>
  <c r="AC13" i="44"/>
  <c r="R33" i="14"/>
  <c r="S33" i="14"/>
  <c r="T33" i="14"/>
  <c r="J33" i="40"/>
  <c r="H66" i="14"/>
  <c r="S16" i="55"/>
  <c r="T16" i="55"/>
  <c r="J31" i="17"/>
  <c r="J49" i="44"/>
  <c r="W49" i="44"/>
  <c r="G14" i="15"/>
  <c r="H14" i="15"/>
  <c r="S14" i="66"/>
  <c r="T14" i="66"/>
  <c r="V67" i="14"/>
  <c r="U67" i="66"/>
  <c r="S52" i="40"/>
  <c r="S52" i="17"/>
  <c r="G24" i="55"/>
  <c r="E24" i="55"/>
  <c r="Y46" i="44"/>
  <c r="AC46" i="44"/>
  <c r="H46" i="55"/>
  <c r="AO41" i="63"/>
  <c r="J46" i="55"/>
  <c r="K46" i="55"/>
  <c r="AC46" i="55"/>
  <c r="Y41" i="41"/>
  <c r="AC41" i="41"/>
  <c r="Y41" i="17"/>
  <c r="AC41" i="17"/>
  <c r="Y41" i="40"/>
  <c r="AC41" i="40"/>
  <c r="Y41" i="48"/>
  <c r="AC41" i="48"/>
  <c r="J41" i="14"/>
  <c r="H41" i="14"/>
  <c r="Y41" i="60"/>
  <c r="AC41" i="60"/>
  <c r="E35" i="55"/>
  <c r="G35" i="55"/>
  <c r="H52" i="55"/>
  <c r="J52" i="55"/>
  <c r="Y52" i="44"/>
  <c r="AC52" i="44"/>
  <c r="S47" i="66"/>
  <c r="T47" i="66"/>
  <c r="S33" i="66"/>
  <c r="T33" i="66"/>
  <c r="S14" i="61"/>
  <c r="T14" i="61"/>
  <c r="S18" i="66"/>
  <c r="T18" i="66"/>
  <c r="S18" i="55"/>
  <c r="T18" i="55"/>
  <c r="I18" i="44"/>
  <c r="S18" i="61"/>
  <c r="T18" i="61"/>
  <c r="R18" i="14"/>
  <c r="S18" i="14"/>
  <c r="T18" i="14"/>
  <c r="S18" i="15"/>
  <c r="T18" i="15"/>
  <c r="J18" i="17"/>
  <c r="S14" i="15"/>
  <c r="T14" i="15"/>
  <c r="J14" i="17"/>
  <c r="S13" i="66"/>
  <c r="S13" i="61"/>
  <c r="R13" i="14"/>
  <c r="S13" i="55"/>
  <c r="S13" i="15"/>
  <c r="E24" i="14"/>
  <c r="G24" i="14"/>
  <c r="H41" i="66"/>
  <c r="J41" i="66"/>
  <c r="K41" i="66"/>
  <c r="H30" i="15"/>
  <c r="J30" i="15"/>
  <c r="K30" i="15"/>
  <c r="U42" i="31"/>
  <c r="C43" i="24"/>
  <c r="F43" i="24"/>
  <c r="H32" i="15"/>
  <c r="J32" i="15"/>
  <c r="K32" i="15"/>
  <c r="AC32" i="15"/>
  <c r="K47" i="14"/>
  <c r="P47" i="48"/>
  <c r="R14" i="14"/>
  <c r="S14" i="14"/>
  <c r="T14" i="14"/>
  <c r="J14" i="60"/>
  <c r="K14" i="60"/>
  <c r="L14" i="60"/>
  <c r="N14" i="60"/>
  <c r="I66" i="55"/>
  <c r="U66" i="61"/>
  <c r="J35" i="44"/>
  <c r="E24" i="15"/>
  <c r="G24" i="15"/>
  <c r="J41" i="44"/>
  <c r="W41" i="44"/>
  <c r="H66" i="66"/>
  <c r="E42" i="55"/>
  <c r="G42" i="55"/>
  <c r="G72" i="41"/>
  <c r="J4" i="17"/>
  <c r="J44" i="61"/>
  <c r="K44" i="61"/>
  <c r="M44" i="61"/>
  <c r="O44" i="61"/>
  <c r="Q44" i="61"/>
  <c r="R44" i="61"/>
  <c r="H44" i="61"/>
  <c r="F73" i="17"/>
  <c r="Y44" i="40"/>
  <c r="AC44" i="40"/>
  <c r="H44" i="14"/>
  <c r="S33" i="55"/>
  <c r="T33" i="55"/>
  <c r="I33" i="44"/>
  <c r="U22" i="31"/>
  <c r="U53" i="31"/>
  <c r="W6" i="44"/>
  <c r="J6" i="44"/>
  <c r="Q67" i="66"/>
  <c r="J28" i="44"/>
  <c r="W28" i="44"/>
  <c r="E17" i="63"/>
  <c r="W20" i="17"/>
  <c r="E26" i="63"/>
  <c r="W29" i="17"/>
  <c r="E24" i="66"/>
  <c r="G24" i="66"/>
  <c r="F53" i="15"/>
  <c r="G53" i="15"/>
  <c r="G22" i="15"/>
  <c r="L7" i="55"/>
  <c r="L7" i="15"/>
  <c r="K7" i="14"/>
  <c r="L7" i="61"/>
  <c r="L7" i="66"/>
  <c r="L49" i="14"/>
  <c r="N49" i="14"/>
  <c r="P49" i="14"/>
  <c r="Q49" i="14"/>
  <c r="E42" i="14"/>
  <c r="G42" i="14"/>
  <c r="J6" i="61"/>
  <c r="K6" i="61"/>
  <c r="H6" i="61"/>
  <c r="J18" i="15"/>
  <c r="K18" i="15"/>
  <c r="H18" i="15"/>
  <c r="H16" i="61"/>
  <c r="U38" i="14"/>
  <c r="V38" i="14"/>
  <c r="W38" i="14"/>
  <c r="X38" i="14"/>
  <c r="H40" i="61"/>
  <c r="J40" i="61"/>
  <c r="K40" i="61"/>
  <c r="U35" i="31"/>
  <c r="C36" i="24"/>
  <c r="F36" i="24"/>
  <c r="C30" i="24"/>
  <c r="F30" i="24"/>
  <c r="U29" i="31"/>
  <c r="W14" i="17"/>
  <c r="W17" i="17"/>
  <c r="E14" i="63"/>
  <c r="J17" i="17"/>
  <c r="E25" i="66"/>
  <c r="G25" i="66"/>
  <c r="J5" i="80"/>
  <c r="G11" i="61"/>
  <c r="E11" i="61"/>
  <c r="AQ27" i="63"/>
  <c r="G3" i="15"/>
  <c r="F65" i="15"/>
  <c r="H45" i="15"/>
  <c r="J45" i="15"/>
  <c r="K45" i="15"/>
  <c r="E18" i="61"/>
  <c r="G18" i="61"/>
  <c r="E20" i="55"/>
  <c r="G20" i="55"/>
  <c r="K30" i="61"/>
  <c r="E9" i="14"/>
  <c r="D51" i="14"/>
  <c r="G9" i="14"/>
  <c r="J14" i="66"/>
  <c r="K14" i="66"/>
  <c r="H14" i="66"/>
  <c r="W17" i="60"/>
  <c r="E34" i="15"/>
  <c r="G34" i="15"/>
  <c r="J16" i="15"/>
  <c r="K16" i="15"/>
  <c r="H16" i="15"/>
  <c r="O67" i="17"/>
  <c r="J42" i="40"/>
  <c r="J42" i="41"/>
  <c r="J42" i="60"/>
  <c r="J42" i="48"/>
  <c r="W12" i="40"/>
  <c r="I65" i="40"/>
  <c r="W65" i="40"/>
  <c r="I65" i="41"/>
  <c r="W65" i="41"/>
  <c r="W5" i="41"/>
  <c r="W66" i="60"/>
  <c r="O66" i="60"/>
  <c r="R66" i="60"/>
  <c r="W28" i="60"/>
  <c r="S19" i="55"/>
  <c r="T19" i="55"/>
  <c r="I19" i="44"/>
  <c r="S19" i="61"/>
  <c r="T19" i="61"/>
  <c r="S19" i="15"/>
  <c r="T19" i="15"/>
  <c r="J19" i="17"/>
  <c r="S19" i="66"/>
  <c r="T19" i="66"/>
  <c r="R19" i="14"/>
  <c r="S19" i="14"/>
  <c r="T19" i="14"/>
  <c r="J22" i="66"/>
  <c r="K22" i="66"/>
  <c r="H22" i="66"/>
  <c r="E34" i="66"/>
  <c r="G34" i="66"/>
  <c r="D53" i="61"/>
  <c r="E22" i="61"/>
  <c r="G22" i="61"/>
  <c r="E57" i="79"/>
  <c r="E60" i="79"/>
  <c r="G9" i="79"/>
  <c r="E58" i="79"/>
  <c r="E27" i="15"/>
  <c r="G27" i="15"/>
  <c r="S53" i="15"/>
  <c r="T53" i="15"/>
  <c r="J53" i="17"/>
  <c r="T22" i="15"/>
  <c r="J22" i="17"/>
  <c r="G3" i="55"/>
  <c r="F65" i="55"/>
  <c r="F61" i="55"/>
  <c r="F62" i="55"/>
  <c r="G37" i="15"/>
  <c r="E37" i="15"/>
  <c r="E40" i="14"/>
  <c r="G40" i="14"/>
  <c r="E40" i="55"/>
  <c r="G40" i="55"/>
  <c r="H20" i="61"/>
  <c r="J20" i="61"/>
  <c r="K20" i="61"/>
  <c r="K19" i="14"/>
  <c r="L19" i="66"/>
  <c r="L19" i="15"/>
  <c r="L19" i="55"/>
  <c r="L19" i="61"/>
  <c r="J20" i="41"/>
  <c r="J20" i="40"/>
  <c r="J20" i="60"/>
  <c r="J20" i="48"/>
  <c r="R67" i="40"/>
  <c r="G11" i="66"/>
  <c r="E11" i="66"/>
  <c r="E50" i="61"/>
  <c r="G50" i="61"/>
  <c r="H15" i="61"/>
  <c r="J15" i="61"/>
  <c r="K15" i="61"/>
  <c r="M15" i="61"/>
  <c r="O15" i="61"/>
  <c r="Q15" i="61"/>
  <c r="R15" i="61"/>
  <c r="S53" i="55"/>
  <c r="T53" i="55"/>
  <c r="T22" i="55"/>
  <c r="I22" i="44"/>
  <c r="E9" i="63"/>
  <c r="J10" i="17"/>
  <c r="W10" i="17"/>
  <c r="U32" i="31"/>
  <c r="C33" i="24"/>
  <c r="F33" i="24"/>
  <c r="Y32" i="31"/>
  <c r="Z32" i="31"/>
  <c r="W67" i="41"/>
  <c r="R67" i="41"/>
  <c r="I67" i="55"/>
  <c r="E67" i="55"/>
  <c r="E46" i="14"/>
  <c r="G46" i="14"/>
  <c r="G28" i="55"/>
  <c r="E28" i="55"/>
  <c r="P12" i="40"/>
  <c r="P12" i="60"/>
  <c r="P12" i="17"/>
  <c r="P12" i="48"/>
  <c r="P12" i="41"/>
  <c r="P12" i="44"/>
  <c r="E48" i="55"/>
  <c r="G48" i="55"/>
  <c r="G34" i="55"/>
  <c r="E34" i="55"/>
  <c r="G22" i="55"/>
  <c r="D53" i="55"/>
  <c r="E22" i="55"/>
  <c r="J29" i="60"/>
  <c r="J29" i="48"/>
  <c r="J29" i="41"/>
  <c r="J29" i="40"/>
  <c r="C26" i="24"/>
  <c r="F26" i="24"/>
  <c r="Y25" i="31"/>
  <c r="N54" i="31"/>
  <c r="U25" i="31"/>
  <c r="U54" i="31"/>
  <c r="I52" i="60"/>
  <c r="I52" i="40"/>
  <c r="I61" i="40"/>
  <c r="W61" i="40"/>
  <c r="I52" i="17"/>
  <c r="I62" i="17"/>
  <c r="W62" i="17"/>
  <c r="I52" i="48"/>
  <c r="W52" i="48"/>
  <c r="I52" i="41"/>
  <c r="W52" i="41"/>
  <c r="H52" i="44"/>
  <c r="O68" i="14"/>
  <c r="E52" i="14"/>
  <c r="O61" i="14"/>
  <c r="Y66" i="15"/>
  <c r="E66" i="15"/>
  <c r="H66" i="15"/>
  <c r="AC66" i="15"/>
  <c r="G46" i="66"/>
  <c r="E46" i="66"/>
  <c r="E44" i="66"/>
  <c r="G44" i="66"/>
  <c r="E48" i="15"/>
  <c r="G48" i="15"/>
  <c r="E7" i="14"/>
  <c r="G7" i="14"/>
  <c r="P11" i="41"/>
  <c r="P11" i="17"/>
  <c r="P11" i="60"/>
  <c r="P11" i="44"/>
  <c r="P11" i="40"/>
  <c r="P11" i="48"/>
  <c r="Z66" i="40"/>
  <c r="E67" i="14"/>
  <c r="G11" i="55"/>
  <c r="E11" i="55"/>
  <c r="S53" i="66"/>
  <c r="T53" i="66"/>
  <c r="T22" i="66"/>
  <c r="H18" i="55"/>
  <c r="AO15" i="63"/>
  <c r="Y18" i="44"/>
  <c r="AC18" i="44"/>
  <c r="P43" i="40"/>
  <c r="P43" i="44"/>
  <c r="P43" i="17"/>
  <c r="P43" i="41"/>
  <c r="P43" i="60"/>
  <c r="P43" i="48"/>
  <c r="P45" i="48"/>
  <c r="P45" i="60"/>
  <c r="P45" i="17"/>
  <c r="P45" i="44"/>
  <c r="P45" i="41"/>
  <c r="P45" i="40"/>
  <c r="Y29" i="41"/>
  <c r="AC29" i="41"/>
  <c r="J29" i="14"/>
  <c r="L29" i="14"/>
  <c r="N29" i="14"/>
  <c r="P29" i="14"/>
  <c r="Q29" i="14"/>
  <c r="Y29" i="40"/>
  <c r="AC29" i="40"/>
  <c r="Y29" i="60"/>
  <c r="AC29" i="60"/>
  <c r="Y29" i="48"/>
  <c r="AC29" i="48"/>
  <c r="H29" i="14"/>
  <c r="J39" i="14"/>
  <c r="L39" i="14"/>
  <c r="N39" i="14"/>
  <c r="P39" i="14"/>
  <c r="Q39" i="14"/>
  <c r="H39" i="14"/>
  <c r="Y39" i="40"/>
  <c r="AC39" i="40"/>
  <c r="Y39" i="17"/>
  <c r="AC39" i="17"/>
  <c r="Y39" i="48"/>
  <c r="AC39" i="48"/>
  <c r="Y39" i="60"/>
  <c r="AC39" i="60"/>
  <c r="Y39" i="41"/>
  <c r="AC39" i="41"/>
  <c r="G21" i="55"/>
  <c r="E21" i="55"/>
  <c r="J3" i="17"/>
  <c r="T67" i="14"/>
  <c r="E11" i="14"/>
  <c r="G11" i="14"/>
  <c r="S22" i="14"/>
  <c r="T22" i="14"/>
  <c r="R53" i="14"/>
  <c r="S53" i="14"/>
  <c r="T53" i="14"/>
  <c r="F68" i="55"/>
  <c r="G4" i="55"/>
  <c r="J8" i="60"/>
  <c r="J8" i="40"/>
  <c r="J8" i="48"/>
  <c r="J8" i="41"/>
  <c r="H51" i="23"/>
  <c r="G67" i="23"/>
  <c r="H67" i="23"/>
  <c r="E7" i="55"/>
  <c r="G7" i="55"/>
  <c r="E23" i="63"/>
  <c r="J26" i="17"/>
  <c r="W26" i="17"/>
  <c r="Y14" i="60"/>
  <c r="AC14" i="60"/>
  <c r="Y14" i="17"/>
  <c r="AC14" i="17"/>
  <c r="Y14" i="48"/>
  <c r="AC14" i="48"/>
  <c r="J14" i="14"/>
  <c r="Y14" i="40"/>
  <c r="AC14" i="40"/>
  <c r="W53" i="17"/>
  <c r="L20" i="61"/>
  <c r="K20" i="14"/>
  <c r="L20" i="15"/>
  <c r="L20" i="55"/>
  <c r="L20" i="66"/>
  <c r="J13" i="44"/>
  <c r="W13" i="44"/>
  <c r="G29" i="15"/>
  <c r="E29" i="15"/>
  <c r="G42" i="61"/>
  <c r="E42" i="61"/>
  <c r="T3" i="14"/>
  <c r="E11" i="15"/>
  <c r="G11" i="15"/>
  <c r="E8" i="15"/>
  <c r="G8" i="15"/>
  <c r="S53" i="61"/>
  <c r="T53" i="61"/>
  <c r="T22" i="61"/>
  <c r="F68" i="61"/>
  <c r="G4" i="61"/>
  <c r="J53" i="44"/>
  <c r="I53" i="44"/>
  <c r="W53" i="44"/>
  <c r="W16" i="60"/>
  <c r="Y18" i="60"/>
  <c r="AC18" i="60"/>
  <c r="H18" i="14"/>
  <c r="Y18" i="41"/>
  <c r="AC18" i="41"/>
  <c r="Y18" i="17"/>
  <c r="AC18" i="17"/>
  <c r="J18" i="14"/>
  <c r="L18" i="14"/>
  <c r="N18" i="14"/>
  <c r="P18" i="14"/>
  <c r="Q18" i="14"/>
  <c r="Y18" i="40"/>
  <c r="AC18" i="40"/>
  <c r="Y18" i="48"/>
  <c r="AC18" i="48"/>
  <c r="J8" i="80"/>
  <c r="N6" i="31"/>
  <c r="Y6" i="31"/>
  <c r="Z6" i="31"/>
  <c r="H24" i="80"/>
  <c r="E38" i="63"/>
  <c r="W43" i="17"/>
  <c r="L14" i="61"/>
  <c r="L14" i="15"/>
  <c r="L14" i="66"/>
  <c r="L14" i="55"/>
  <c r="K14" i="14"/>
  <c r="E27" i="55"/>
  <c r="G27" i="55"/>
  <c r="G21" i="14"/>
  <c r="E21" i="14"/>
  <c r="I3" i="44"/>
  <c r="W29" i="60"/>
  <c r="W13" i="60"/>
  <c r="I65" i="60"/>
  <c r="F19" i="60"/>
  <c r="W35" i="60"/>
  <c r="G16" i="14"/>
  <c r="E16" i="14"/>
  <c r="P16" i="17"/>
  <c r="P16" i="60"/>
  <c r="P16" i="44"/>
  <c r="P16" i="41"/>
  <c r="P16" i="40"/>
  <c r="P16" i="48"/>
  <c r="P67" i="14"/>
  <c r="L28" i="66"/>
  <c r="K28" i="14"/>
  <c r="L28" i="55"/>
  <c r="L28" i="15"/>
  <c r="L28" i="61"/>
  <c r="G5" i="66"/>
  <c r="E5" i="66"/>
  <c r="J41" i="40"/>
  <c r="J41" i="60"/>
  <c r="K41" i="60"/>
  <c r="L41" i="60"/>
  <c r="N41" i="60"/>
  <c r="J41" i="48"/>
  <c r="K41" i="48"/>
  <c r="L41" i="48"/>
  <c r="N41" i="48"/>
  <c r="J41" i="41"/>
  <c r="K41" i="41"/>
  <c r="L41" i="41"/>
  <c r="N41" i="41"/>
  <c r="P38" i="44"/>
  <c r="P38" i="40"/>
  <c r="P38" i="17"/>
  <c r="P38" i="48"/>
  <c r="P38" i="41"/>
  <c r="P38" i="60"/>
  <c r="G31" i="66"/>
  <c r="O66" i="40"/>
  <c r="AQ21" i="63"/>
  <c r="R66" i="41"/>
  <c r="E8" i="61"/>
  <c r="G8" i="61"/>
  <c r="F68" i="66"/>
  <c r="G4" i="66"/>
  <c r="AC49" i="55"/>
  <c r="M49" i="55"/>
  <c r="O49" i="55"/>
  <c r="Q49" i="55"/>
  <c r="R49" i="55"/>
  <c r="W4" i="48"/>
  <c r="Y34" i="41"/>
  <c r="AC34" i="41"/>
  <c r="Y34" i="17"/>
  <c r="AC34" i="17"/>
  <c r="Y34" i="60"/>
  <c r="AC34" i="60"/>
  <c r="J34" i="14"/>
  <c r="L34" i="14"/>
  <c r="N34" i="14"/>
  <c r="P34" i="14"/>
  <c r="Q34" i="14"/>
  <c r="H34" i="14"/>
  <c r="G69" i="23"/>
  <c r="H69" i="23"/>
  <c r="H6" i="23"/>
  <c r="J32" i="17"/>
  <c r="E29" i="63"/>
  <c r="W32" i="17"/>
  <c r="S28" i="15"/>
  <c r="T28" i="15"/>
  <c r="J28" i="17"/>
  <c r="S28" i="66"/>
  <c r="T28" i="66"/>
  <c r="R28" i="14"/>
  <c r="S28" i="14"/>
  <c r="T28" i="14"/>
  <c r="S28" i="61"/>
  <c r="T28" i="61"/>
  <c r="S28" i="55"/>
  <c r="T28" i="55"/>
  <c r="I28" i="44"/>
  <c r="D50" i="55"/>
  <c r="E5" i="55"/>
  <c r="G5" i="55"/>
  <c r="E31" i="14"/>
  <c r="G31" i="14"/>
  <c r="P29" i="44"/>
  <c r="P29" i="60"/>
  <c r="P29" i="41"/>
  <c r="P29" i="40"/>
  <c r="P29" i="17"/>
  <c r="P29" i="48"/>
  <c r="G17" i="14"/>
  <c r="E17" i="14"/>
  <c r="R66" i="40"/>
  <c r="AQ42" i="63"/>
  <c r="AQ18" i="63"/>
  <c r="K21" i="15"/>
  <c r="E8" i="66"/>
  <c r="G8" i="66"/>
  <c r="G4" i="15"/>
  <c r="G57" i="26"/>
  <c r="G6" i="66"/>
  <c r="E6" i="66"/>
  <c r="E20" i="14"/>
  <c r="G20" i="14"/>
  <c r="S50" i="48"/>
  <c r="S50" i="44"/>
  <c r="S50" i="17"/>
  <c r="S50" i="41"/>
  <c r="S50" i="40"/>
  <c r="S50" i="60"/>
  <c r="E26" i="61"/>
  <c r="G26" i="61"/>
  <c r="R12" i="14"/>
  <c r="S12" i="14"/>
  <c r="T12" i="14"/>
  <c r="S12" i="55"/>
  <c r="T12" i="55"/>
  <c r="I12" i="44"/>
  <c r="S12" i="61"/>
  <c r="T12" i="61"/>
  <c r="S12" i="66"/>
  <c r="T12" i="66"/>
  <c r="S12" i="15"/>
  <c r="T12" i="15"/>
  <c r="J12" i="17"/>
  <c r="W45" i="60"/>
  <c r="W48" i="60"/>
  <c r="W51" i="41"/>
  <c r="J5" i="44"/>
  <c r="W5" i="44"/>
  <c r="H65" i="44"/>
  <c r="W65" i="44"/>
  <c r="E35" i="63"/>
  <c r="J39" i="17"/>
  <c r="W39" i="17"/>
  <c r="W11" i="60"/>
  <c r="Q67" i="15"/>
  <c r="E67" i="15"/>
  <c r="E29" i="61"/>
  <c r="G29" i="61"/>
  <c r="E66" i="14"/>
  <c r="X66" i="14"/>
  <c r="J24" i="48"/>
  <c r="J24" i="60"/>
  <c r="J24" i="40"/>
  <c r="R67" i="17"/>
  <c r="E5" i="14"/>
  <c r="G5" i="14"/>
  <c r="D50" i="14"/>
  <c r="O66" i="41"/>
  <c r="AC67" i="15"/>
  <c r="P15" i="17"/>
  <c r="P15" i="48"/>
  <c r="P15" i="44"/>
  <c r="P15" i="41"/>
  <c r="P15" i="40"/>
  <c r="P15" i="60"/>
  <c r="E17" i="66"/>
  <c r="G17" i="66"/>
  <c r="W19" i="60"/>
  <c r="J7" i="15"/>
  <c r="K7" i="15"/>
  <c r="H7" i="15"/>
  <c r="T9" i="61"/>
  <c r="S51" i="61"/>
  <c r="T51" i="61"/>
  <c r="E8" i="14"/>
  <c r="G8" i="14"/>
  <c r="R5" i="38"/>
  <c r="Q11" i="38"/>
  <c r="Q18" i="38"/>
  <c r="H23" i="66"/>
  <c r="J23" i="66"/>
  <c r="K23" i="66"/>
  <c r="S54" i="15"/>
  <c r="T54" i="15"/>
  <c r="J54" i="17"/>
  <c r="T25" i="15"/>
  <c r="J25" i="17"/>
  <c r="E6" i="15"/>
  <c r="G6" i="15"/>
  <c r="D65" i="15"/>
  <c r="D62" i="15"/>
  <c r="J29" i="66"/>
  <c r="K29" i="66"/>
  <c r="M29" i="66"/>
  <c r="O29" i="66"/>
  <c r="Q29" i="66"/>
  <c r="R29" i="66"/>
  <c r="H42" i="15"/>
  <c r="J42" i="15"/>
  <c r="K42" i="15"/>
  <c r="E26" i="15"/>
  <c r="G26" i="15"/>
  <c r="E31" i="15"/>
  <c r="G31" i="15"/>
  <c r="Y67" i="15"/>
  <c r="E17" i="15"/>
  <c r="G17" i="15"/>
  <c r="O67" i="40"/>
  <c r="J19" i="44"/>
  <c r="W19" i="44"/>
  <c r="G10" i="55"/>
  <c r="E10" i="55"/>
  <c r="T9" i="66"/>
  <c r="S51" i="66"/>
  <c r="T51" i="66"/>
  <c r="E8" i="55"/>
  <c r="G8" i="55"/>
  <c r="S25" i="14"/>
  <c r="T25" i="14"/>
  <c r="R54" i="14"/>
  <c r="S54" i="14"/>
  <c r="T54" i="14"/>
  <c r="E63" i="79"/>
  <c r="G6" i="14"/>
  <c r="E6" i="14"/>
  <c r="AC39" i="15"/>
  <c r="M39" i="15"/>
  <c r="O39" i="15"/>
  <c r="Q39" i="15"/>
  <c r="R39" i="15"/>
  <c r="W11" i="40"/>
  <c r="W14" i="60"/>
  <c r="J26" i="60"/>
  <c r="J26" i="41"/>
  <c r="J26" i="48"/>
  <c r="J26" i="40"/>
  <c r="J20" i="66"/>
  <c r="K20" i="66"/>
  <c r="H20" i="66"/>
  <c r="L46" i="15"/>
  <c r="M46" i="15"/>
  <c r="O46" i="15"/>
  <c r="Q46" i="15"/>
  <c r="R46" i="15"/>
  <c r="L46" i="55"/>
  <c r="K46" i="14"/>
  <c r="L46" i="61"/>
  <c r="M46" i="61"/>
  <c r="O46" i="61"/>
  <c r="Q46" i="61"/>
  <c r="R46" i="61"/>
  <c r="L46" i="66"/>
  <c r="E13" i="63"/>
  <c r="J16" i="17"/>
  <c r="W16" i="17"/>
  <c r="I65" i="17"/>
  <c r="F19" i="17"/>
  <c r="W66" i="44"/>
  <c r="R66" i="44"/>
  <c r="Y54" i="31"/>
  <c r="Z25" i="31"/>
  <c r="E16" i="66"/>
  <c r="G16" i="66"/>
  <c r="Y28" i="41"/>
  <c r="AC28" i="41"/>
  <c r="J28" i="14"/>
  <c r="Y28" i="60"/>
  <c r="AC28" i="60"/>
  <c r="Y28" i="40"/>
  <c r="AC28" i="40"/>
  <c r="Y28" i="48"/>
  <c r="AC28" i="48"/>
  <c r="Y28" i="17"/>
  <c r="AC28" i="17"/>
  <c r="H28" i="14"/>
  <c r="E26" i="55"/>
  <c r="G26" i="55"/>
  <c r="E27" i="66"/>
  <c r="G27" i="66"/>
  <c r="G10" i="66"/>
  <c r="E10" i="66"/>
  <c r="D68" i="66"/>
  <c r="AQ37" i="63"/>
  <c r="E50" i="15"/>
  <c r="G50" i="15"/>
  <c r="D68" i="15"/>
  <c r="S54" i="55"/>
  <c r="T54" i="55"/>
  <c r="I54" i="44"/>
  <c r="T25" i="55"/>
  <c r="I25" i="44"/>
  <c r="E20" i="15"/>
  <c r="G20" i="15"/>
  <c r="J34" i="17"/>
  <c r="E31" i="63"/>
  <c r="W34" i="17"/>
  <c r="G5" i="23"/>
  <c r="K24" i="80"/>
  <c r="E22" i="63"/>
  <c r="F25" i="17"/>
  <c r="W25" i="17"/>
  <c r="W54" i="17"/>
  <c r="P68" i="15"/>
  <c r="P62" i="15"/>
  <c r="W66" i="48"/>
  <c r="R66" i="48"/>
  <c r="O66" i="48"/>
  <c r="S46" i="61"/>
  <c r="T46" i="61"/>
  <c r="S46" i="66"/>
  <c r="T46" i="66"/>
  <c r="R46" i="14"/>
  <c r="S46" i="14"/>
  <c r="T46" i="14"/>
  <c r="S46" i="15"/>
  <c r="T46" i="15"/>
  <c r="J46" i="17"/>
  <c r="S46" i="55"/>
  <c r="T46" i="55"/>
  <c r="I46" i="44"/>
  <c r="J16" i="44"/>
  <c r="I16" i="44"/>
  <c r="W16" i="44"/>
  <c r="W67" i="44"/>
  <c r="O67" i="44"/>
  <c r="R67" i="44"/>
  <c r="J38" i="60"/>
  <c r="J38" i="48"/>
  <c r="J38" i="41"/>
  <c r="J38" i="40"/>
  <c r="S45" i="55"/>
  <c r="T45" i="55"/>
  <c r="S45" i="15"/>
  <c r="T45" i="15"/>
  <c r="J45" i="17"/>
  <c r="R45" i="14"/>
  <c r="S45" i="14"/>
  <c r="T45" i="14"/>
  <c r="S45" i="66"/>
  <c r="T45" i="66"/>
  <c r="S45" i="61"/>
  <c r="T45" i="61"/>
  <c r="S49" i="55"/>
  <c r="T49" i="55"/>
  <c r="I49" i="44"/>
  <c r="R49" i="14"/>
  <c r="S49" i="14"/>
  <c r="S49" i="66"/>
  <c r="T49" i="66"/>
  <c r="S49" i="61"/>
  <c r="T49" i="61"/>
  <c r="S49" i="15"/>
  <c r="T49" i="15"/>
  <c r="G28" i="15"/>
  <c r="E28" i="15"/>
  <c r="J66" i="41"/>
  <c r="K66" i="41"/>
  <c r="L66" i="41"/>
  <c r="J66" i="60"/>
  <c r="K66" i="60"/>
  <c r="L66" i="60"/>
  <c r="J66" i="17"/>
  <c r="K66" i="17"/>
  <c r="L66" i="17"/>
  <c r="J66" i="40"/>
  <c r="K66" i="40"/>
  <c r="L66" i="40"/>
  <c r="I66" i="44"/>
  <c r="K66" i="44"/>
  <c r="L66" i="44"/>
  <c r="J66" i="48"/>
  <c r="K66" i="48"/>
  <c r="L66" i="48"/>
  <c r="G40" i="15"/>
  <c r="E40" i="15"/>
  <c r="E7" i="66"/>
  <c r="G7" i="66"/>
  <c r="G26" i="14"/>
  <c r="E26" i="14"/>
  <c r="D54" i="14"/>
  <c r="E25" i="14"/>
  <c r="G25" i="14"/>
  <c r="E27" i="14"/>
  <c r="G27" i="14"/>
  <c r="E16" i="63"/>
  <c r="W19" i="17"/>
  <c r="Q19" i="38"/>
  <c r="Q12" i="38"/>
  <c r="G10" i="61"/>
  <c r="E10" i="61"/>
  <c r="J5" i="15"/>
  <c r="K5" i="15"/>
  <c r="J23" i="17"/>
  <c r="T25" i="61"/>
  <c r="S54" i="61"/>
  <c r="T54" i="61"/>
  <c r="K30" i="55"/>
  <c r="H4" i="38"/>
  <c r="G10" i="14"/>
  <c r="E10" i="14"/>
  <c r="J17" i="40"/>
  <c r="J17" i="60"/>
  <c r="J17" i="41"/>
  <c r="H52" i="15"/>
  <c r="J52" i="15"/>
  <c r="T23" i="14"/>
  <c r="AC4" i="41"/>
  <c r="Y16" i="44"/>
  <c r="AC16" i="44"/>
  <c r="H16" i="55"/>
  <c r="AO13" i="63"/>
  <c r="J16" i="55"/>
  <c r="K16" i="55"/>
  <c r="J48" i="61"/>
  <c r="K48" i="61"/>
  <c r="M48" i="61"/>
  <c r="O48" i="61"/>
  <c r="Q48" i="61"/>
  <c r="R48" i="61"/>
  <c r="H48" i="61"/>
  <c r="G40" i="66"/>
  <c r="E40" i="66"/>
  <c r="P33" i="44"/>
  <c r="P33" i="17"/>
  <c r="P33" i="48"/>
  <c r="P33" i="41"/>
  <c r="P33" i="40"/>
  <c r="P33" i="60"/>
  <c r="E7" i="61"/>
  <c r="G7" i="61"/>
  <c r="D65" i="61"/>
  <c r="G26" i="66"/>
  <c r="E26" i="66"/>
  <c r="Y29" i="44"/>
  <c r="AC29" i="44"/>
  <c r="J29" i="55"/>
  <c r="K29" i="55"/>
  <c r="H29" i="55"/>
  <c r="AO26" i="63"/>
  <c r="D54" i="61"/>
  <c r="E25" i="61"/>
  <c r="G25" i="61"/>
  <c r="M67" i="40"/>
  <c r="M67" i="44"/>
  <c r="G3" i="14"/>
  <c r="F61" i="14"/>
  <c r="F65" i="14"/>
  <c r="F62" i="14"/>
  <c r="Y25" i="44"/>
  <c r="AC25" i="44"/>
  <c r="J25" i="55"/>
  <c r="K25" i="55"/>
  <c r="H25" i="55"/>
  <c r="AO22" i="63"/>
  <c r="G37" i="61"/>
  <c r="E37" i="61"/>
  <c r="T25" i="66"/>
  <c r="S54" i="66"/>
  <c r="T54" i="66"/>
  <c r="V23" i="61"/>
  <c r="W23" i="61"/>
  <c r="G9" i="66"/>
  <c r="E9" i="66"/>
  <c r="W16" i="48"/>
  <c r="I65" i="48"/>
  <c r="W65" i="48"/>
  <c r="H14" i="61"/>
  <c r="J14" i="61"/>
  <c r="K14" i="61"/>
  <c r="M14" i="61"/>
  <c r="O14" i="61"/>
  <c r="Q14" i="61"/>
  <c r="R14" i="61"/>
  <c r="W67" i="48"/>
  <c r="O67" i="48"/>
  <c r="R67" i="48"/>
  <c r="J32" i="48"/>
  <c r="J32" i="60"/>
  <c r="J32" i="40"/>
  <c r="J32" i="41"/>
  <c r="G61" i="48"/>
  <c r="H44" i="15"/>
  <c r="E22" i="14"/>
  <c r="D53" i="14"/>
  <c r="G22" i="14"/>
  <c r="H36" i="61"/>
  <c r="J36" i="61"/>
  <c r="K36" i="61"/>
  <c r="J37" i="60"/>
  <c r="K37" i="60"/>
  <c r="L37" i="60"/>
  <c r="N37" i="60"/>
  <c r="J37" i="48"/>
  <c r="K37" i="48"/>
  <c r="L37" i="48"/>
  <c r="N37" i="48"/>
  <c r="J37" i="41"/>
  <c r="K37" i="41"/>
  <c r="L37" i="41"/>
  <c r="N37" i="41"/>
  <c r="J37" i="40"/>
  <c r="G3" i="61"/>
  <c r="F65" i="61"/>
  <c r="F61" i="61"/>
  <c r="F62" i="61"/>
  <c r="E39" i="66"/>
  <c r="G39" i="66"/>
  <c r="M15" i="66"/>
  <c r="O15" i="66"/>
  <c r="Q15" i="66"/>
  <c r="R15" i="66"/>
  <c r="G9" i="55"/>
  <c r="E9" i="55"/>
  <c r="D51" i="55"/>
  <c r="G27" i="61"/>
  <c r="E27" i="61"/>
  <c r="J67" i="41"/>
  <c r="K67" i="41"/>
  <c r="L67" i="41"/>
  <c r="X67" i="14"/>
  <c r="G72" i="40"/>
  <c r="T9" i="15"/>
  <c r="J9" i="17"/>
  <c r="S51" i="15"/>
  <c r="T51" i="15"/>
  <c r="J51" i="17"/>
  <c r="G3" i="66"/>
  <c r="F65" i="66"/>
  <c r="F62" i="66"/>
  <c r="F61" i="66"/>
  <c r="R67" i="14"/>
  <c r="S67" i="15"/>
  <c r="S67" i="61"/>
  <c r="S67" i="66"/>
  <c r="S67" i="55"/>
  <c r="G32" i="79"/>
  <c r="F60" i="79"/>
  <c r="F58" i="79"/>
  <c r="F57" i="79"/>
  <c r="G18" i="66"/>
  <c r="E18" i="66"/>
  <c r="E52" i="15"/>
  <c r="L15" i="14"/>
  <c r="N15" i="14"/>
  <c r="P15" i="14"/>
  <c r="Q15" i="14"/>
  <c r="G9" i="61"/>
  <c r="D51" i="61"/>
  <c r="E9" i="61"/>
  <c r="M67" i="17"/>
  <c r="D65" i="14"/>
  <c r="M30" i="61"/>
  <c r="O30" i="61"/>
  <c r="Q30" i="61"/>
  <c r="R30" i="61"/>
  <c r="D61" i="66"/>
  <c r="Z51" i="31"/>
  <c r="L51" i="66"/>
  <c r="K9" i="14"/>
  <c r="L9" i="61"/>
  <c r="L51" i="61"/>
  <c r="L9" i="66"/>
  <c r="D62" i="66"/>
  <c r="N52" i="31"/>
  <c r="Y13" i="31"/>
  <c r="L43" i="14"/>
  <c r="N43" i="14"/>
  <c r="P43" i="14"/>
  <c r="Q43" i="14"/>
  <c r="M41" i="66"/>
  <c r="O41" i="66"/>
  <c r="Q41" i="66"/>
  <c r="R41" i="66"/>
  <c r="X41" i="66"/>
  <c r="Y41" i="66"/>
  <c r="P47" i="59"/>
  <c r="Y44" i="17"/>
  <c r="AC44" i="17"/>
  <c r="K36" i="14"/>
  <c r="P36" i="40"/>
  <c r="I51" i="44"/>
  <c r="L36" i="55"/>
  <c r="G31" i="55"/>
  <c r="Y14" i="41"/>
  <c r="AC14" i="41"/>
  <c r="Y44" i="60"/>
  <c r="AC44" i="60"/>
  <c r="L36" i="66"/>
  <c r="L32" i="55"/>
  <c r="L32" i="61"/>
  <c r="K32" i="14"/>
  <c r="L32" i="15"/>
  <c r="L32" i="66"/>
  <c r="M32" i="66"/>
  <c r="O32" i="66"/>
  <c r="Q32" i="66"/>
  <c r="R32" i="66"/>
  <c r="L6" i="15"/>
  <c r="L6" i="66"/>
  <c r="K6" i="14"/>
  <c r="L6" i="61"/>
  <c r="M6" i="61"/>
  <c r="O6" i="61"/>
  <c r="Q6" i="61"/>
  <c r="R6" i="61"/>
  <c r="L6" i="55"/>
  <c r="M6" i="55"/>
  <c r="O6" i="55"/>
  <c r="Q6" i="55"/>
  <c r="R6" i="55"/>
  <c r="L32" i="14"/>
  <c r="N32" i="14"/>
  <c r="P32" i="14"/>
  <c r="Q32" i="14"/>
  <c r="L10" i="61"/>
  <c r="L10" i="55"/>
  <c r="K10" i="14"/>
  <c r="L10" i="66"/>
  <c r="L10" i="15"/>
  <c r="M10" i="15"/>
  <c r="O10" i="15"/>
  <c r="Q10" i="15"/>
  <c r="R10" i="15"/>
  <c r="M36" i="61"/>
  <c r="O36" i="61"/>
  <c r="Q36" i="61"/>
  <c r="R36" i="61"/>
  <c r="M67" i="48"/>
  <c r="J31" i="40"/>
  <c r="L36" i="15"/>
  <c r="J17" i="61"/>
  <c r="K17" i="61"/>
  <c r="M17" i="61"/>
  <c r="O17" i="61"/>
  <c r="Q17" i="61"/>
  <c r="R17" i="61"/>
  <c r="M67" i="60"/>
  <c r="M46" i="55"/>
  <c r="O46" i="55"/>
  <c r="Q46" i="55"/>
  <c r="R46" i="55"/>
  <c r="H61" i="44"/>
  <c r="W61" i="44"/>
  <c r="Y33" i="40"/>
  <c r="AC33" i="40"/>
  <c r="Y44" i="48"/>
  <c r="AC44" i="48"/>
  <c r="J44" i="14"/>
  <c r="L44" i="14"/>
  <c r="N44" i="14"/>
  <c r="P44" i="14"/>
  <c r="Q44" i="14"/>
  <c r="M16" i="61"/>
  <c r="O16" i="61"/>
  <c r="Q16" i="61"/>
  <c r="R16" i="61"/>
  <c r="K4" i="14"/>
  <c r="L4" i="15"/>
  <c r="L4" i="61"/>
  <c r="L4" i="66"/>
  <c r="L4" i="55"/>
  <c r="I62" i="60"/>
  <c r="W62" i="60"/>
  <c r="J33" i="60"/>
  <c r="M23" i="15"/>
  <c r="O23" i="15"/>
  <c r="Q23" i="15"/>
  <c r="R23" i="15"/>
  <c r="X23" i="15"/>
  <c r="Y23" i="15"/>
  <c r="AC17" i="55"/>
  <c r="M17" i="55"/>
  <c r="O17" i="55"/>
  <c r="Q17" i="55"/>
  <c r="R17" i="55"/>
  <c r="S66" i="61"/>
  <c r="S66" i="55"/>
  <c r="S66" i="66"/>
  <c r="G47" i="15"/>
  <c r="H47" i="15"/>
  <c r="D68" i="14"/>
  <c r="J67" i="60"/>
  <c r="K67" i="60"/>
  <c r="L67" i="60"/>
  <c r="Y12" i="60"/>
  <c r="AC12" i="60"/>
  <c r="M43" i="61"/>
  <c r="O43" i="61"/>
  <c r="Q43" i="61"/>
  <c r="R43" i="61"/>
  <c r="X43" i="61"/>
  <c r="Y43" i="61"/>
  <c r="M20" i="66"/>
  <c r="O20" i="66"/>
  <c r="Q20" i="66"/>
  <c r="R20" i="66"/>
  <c r="D65" i="55"/>
  <c r="G33" i="61"/>
  <c r="J5" i="61"/>
  <c r="K5" i="61"/>
  <c r="Y43" i="41"/>
  <c r="AC43" i="41"/>
  <c r="J33" i="14"/>
  <c r="L33" i="14"/>
  <c r="N33" i="14"/>
  <c r="P33" i="14"/>
  <c r="Q33" i="14"/>
  <c r="J48" i="14"/>
  <c r="Y48" i="60"/>
  <c r="AC48" i="60"/>
  <c r="Y48" i="41"/>
  <c r="AC48" i="41"/>
  <c r="P47" i="40"/>
  <c r="Y43" i="17"/>
  <c r="AC43" i="17"/>
  <c r="P47" i="41"/>
  <c r="H62" i="44"/>
  <c r="W62" i="44"/>
  <c r="P47" i="60"/>
  <c r="J35" i="15"/>
  <c r="K35" i="15"/>
  <c r="M35" i="15"/>
  <c r="O35" i="15"/>
  <c r="Q35" i="15"/>
  <c r="R35" i="15"/>
  <c r="P47" i="44"/>
  <c r="G47" i="55"/>
  <c r="J67" i="17"/>
  <c r="K67" i="17"/>
  <c r="L67" i="17"/>
  <c r="J14" i="41"/>
  <c r="K14" i="41"/>
  <c r="L14" i="41"/>
  <c r="N14" i="41"/>
  <c r="Y34" i="40"/>
  <c r="AC34" i="40"/>
  <c r="V41" i="66"/>
  <c r="W41" i="66"/>
  <c r="J14" i="48"/>
  <c r="K14" i="48"/>
  <c r="L14" i="48"/>
  <c r="N14" i="48"/>
  <c r="K52" i="15"/>
  <c r="M23" i="66"/>
  <c r="O23" i="66"/>
  <c r="Q23" i="66"/>
  <c r="R23" i="66"/>
  <c r="U62" i="55"/>
  <c r="U61" i="55"/>
  <c r="U68" i="55"/>
  <c r="J33" i="41"/>
  <c r="G19" i="66"/>
  <c r="J67" i="40"/>
  <c r="K67" i="40"/>
  <c r="L67" i="40"/>
  <c r="J14" i="40"/>
  <c r="K14" i="40"/>
  <c r="L14" i="40"/>
  <c r="N14" i="40"/>
  <c r="O14" i="40"/>
  <c r="I67" i="44"/>
  <c r="K67" i="44"/>
  <c r="L67" i="44"/>
  <c r="F45" i="60"/>
  <c r="J33" i="48"/>
  <c r="I61" i="60"/>
  <c r="W61" i="60"/>
  <c r="L5" i="55"/>
  <c r="L50" i="55"/>
  <c r="L5" i="15"/>
  <c r="L50" i="15"/>
  <c r="K5" i="14"/>
  <c r="L5" i="66"/>
  <c r="Z50" i="31"/>
  <c r="L50" i="66"/>
  <c r="L5" i="61"/>
  <c r="L50" i="61"/>
  <c r="J41" i="55"/>
  <c r="K41" i="55"/>
  <c r="M41" i="55"/>
  <c r="O41" i="55"/>
  <c r="Q41" i="55"/>
  <c r="R41" i="55"/>
  <c r="M41" i="61"/>
  <c r="O41" i="61"/>
  <c r="Q41" i="61"/>
  <c r="R41" i="61"/>
  <c r="V41" i="61"/>
  <c r="W41" i="61"/>
  <c r="D61" i="15"/>
  <c r="H41" i="55"/>
  <c r="G54" i="55"/>
  <c r="G42" i="66"/>
  <c r="J38" i="66"/>
  <c r="K38" i="66"/>
  <c r="M38" i="66"/>
  <c r="O38" i="66"/>
  <c r="Q38" i="66"/>
  <c r="R38" i="66"/>
  <c r="X38" i="66"/>
  <c r="Y38" i="66"/>
  <c r="P32" i="59"/>
  <c r="H38" i="66"/>
  <c r="Q6" i="38"/>
  <c r="R6" i="38"/>
  <c r="M49" i="15"/>
  <c r="O49" i="15"/>
  <c r="Q49" i="15"/>
  <c r="R49" i="15"/>
  <c r="J31" i="41"/>
  <c r="D65" i="66"/>
  <c r="P47" i="17"/>
  <c r="M12" i="55"/>
  <c r="O12" i="55"/>
  <c r="Q12" i="55"/>
  <c r="R12" i="55"/>
  <c r="V12" i="55"/>
  <c r="W12" i="55"/>
  <c r="L41" i="14"/>
  <c r="N41" i="14"/>
  <c r="P41" i="14"/>
  <c r="Q41" i="14"/>
  <c r="J31" i="48"/>
  <c r="G47" i="66"/>
  <c r="K53" i="14"/>
  <c r="P22" i="17"/>
  <c r="P22" i="48"/>
  <c r="P22" i="41"/>
  <c r="P22" i="44"/>
  <c r="P22" i="60"/>
  <c r="P22" i="40"/>
  <c r="V43" i="61"/>
  <c r="W43" i="61"/>
  <c r="Y43" i="44"/>
  <c r="AC43" i="44"/>
  <c r="H43" i="55"/>
  <c r="AO38" i="63"/>
  <c r="J43" i="55"/>
  <c r="K43" i="55"/>
  <c r="J34" i="61"/>
  <c r="K34" i="61"/>
  <c r="M34" i="61"/>
  <c r="O34" i="61"/>
  <c r="Q34" i="61"/>
  <c r="R34" i="61"/>
  <c r="H34" i="61"/>
  <c r="J47" i="15"/>
  <c r="K47" i="15"/>
  <c r="J50" i="44"/>
  <c r="W50" i="44"/>
  <c r="F16" i="60"/>
  <c r="J15" i="15"/>
  <c r="K15" i="15"/>
  <c r="H15" i="15"/>
  <c r="Y13" i="48"/>
  <c r="AC13" i="48"/>
  <c r="Y13" i="41"/>
  <c r="AC13" i="41"/>
  <c r="H13" i="14"/>
  <c r="Y13" i="17"/>
  <c r="AC13" i="17"/>
  <c r="Y13" i="60"/>
  <c r="AC13" i="60"/>
  <c r="Y13" i="40"/>
  <c r="AC13" i="40"/>
  <c r="J13" i="14"/>
  <c r="J34" i="60"/>
  <c r="J34" i="48"/>
  <c r="J34" i="41"/>
  <c r="J34" i="40"/>
  <c r="P36" i="17"/>
  <c r="J36" i="14"/>
  <c r="Y36" i="41"/>
  <c r="AC36" i="41"/>
  <c r="Y36" i="60"/>
  <c r="AC36" i="60"/>
  <c r="Y36" i="17"/>
  <c r="AC36" i="17"/>
  <c r="Y36" i="40"/>
  <c r="AC36" i="40"/>
  <c r="Y36" i="48"/>
  <c r="AC36" i="48"/>
  <c r="H36" i="14"/>
  <c r="M32" i="15"/>
  <c r="O32" i="15"/>
  <c r="Q32" i="15"/>
  <c r="R32" i="15"/>
  <c r="Y52" i="60"/>
  <c r="AC52" i="60"/>
  <c r="Y52" i="17"/>
  <c r="AC52" i="17"/>
  <c r="Y52" i="41"/>
  <c r="AC52" i="41"/>
  <c r="Y52" i="40"/>
  <c r="AC52" i="40"/>
  <c r="J52" i="14"/>
  <c r="Y52" i="48"/>
  <c r="AC52" i="48"/>
  <c r="J54" i="66"/>
  <c r="H54" i="66"/>
  <c r="E54" i="15"/>
  <c r="G54" i="15"/>
  <c r="J36" i="55"/>
  <c r="K36" i="55"/>
  <c r="Y36" i="44"/>
  <c r="AC36" i="44"/>
  <c r="H36" i="55"/>
  <c r="AO33" i="63"/>
  <c r="J36" i="48"/>
  <c r="J36" i="41"/>
  <c r="J36" i="60"/>
  <c r="J36" i="40"/>
  <c r="H38" i="61"/>
  <c r="J38" i="61"/>
  <c r="K38" i="61"/>
  <c r="M38" i="61"/>
  <c r="O38" i="61"/>
  <c r="Q38" i="61"/>
  <c r="R38" i="61"/>
  <c r="I61" i="17"/>
  <c r="W61" i="17"/>
  <c r="H47" i="61"/>
  <c r="H38" i="55"/>
  <c r="AO34" i="63"/>
  <c r="J38" i="55"/>
  <c r="K38" i="55"/>
  <c r="Y38" i="44"/>
  <c r="AC38" i="44"/>
  <c r="H45" i="55"/>
  <c r="AO40" i="63"/>
  <c r="J45" i="55"/>
  <c r="K45" i="55"/>
  <c r="Y45" i="44"/>
  <c r="AC45" i="44"/>
  <c r="P21" i="44"/>
  <c r="P21" i="48"/>
  <c r="P21" i="41"/>
  <c r="P21" i="17"/>
  <c r="P21" i="40"/>
  <c r="P21" i="60"/>
  <c r="E37" i="55"/>
  <c r="G37" i="55"/>
  <c r="W51" i="44"/>
  <c r="J51" i="44"/>
  <c r="E19" i="55"/>
  <c r="G19" i="55"/>
  <c r="H31" i="61"/>
  <c r="J31" i="61"/>
  <c r="K31" i="61"/>
  <c r="M31" i="61"/>
  <c r="O31" i="61"/>
  <c r="Q31" i="61"/>
  <c r="R31" i="61"/>
  <c r="H43" i="66"/>
  <c r="J43" i="66"/>
  <c r="K43" i="66"/>
  <c r="M43" i="66"/>
  <c r="O43" i="66"/>
  <c r="Q43" i="66"/>
  <c r="R43" i="66"/>
  <c r="V43" i="66"/>
  <c r="W43" i="66"/>
  <c r="G37" i="66"/>
  <c r="E37" i="66"/>
  <c r="Y23" i="44"/>
  <c r="AC23" i="44"/>
  <c r="H23" i="55"/>
  <c r="AO20" i="63"/>
  <c r="J23" i="55"/>
  <c r="K23" i="55"/>
  <c r="H49" i="66"/>
  <c r="J49" i="66"/>
  <c r="K49" i="66"/>
  <c r="M49" i="66"/>
  <c r="O49" i="66"/>
  <c r="Q49" i="66"/>
  <c r="R49" i="66"/>
  <c r="G33" i="66"/>
  <c r="E33" i="66"/>
  <c r="G19" i="15"/>
  <c r="E19" i="15"/>
  <c r="P27" i="17"/>
  <c r="P27" i="48"/>
  <c r="P27" i="40"/>
  <c r="P27" i="60"/>
  <c r="P27" i="41"/>
  <c r="P27" i="44"/>
  <c r="G37" i="14"/>
  <c r="E37" i="14"/>
  <c r="M30" i="66"/>
  <c r="O30" i="66"/>
  <c r="Q30" i="66"/>
  <c r="R30" i="66"/>
  <c r="J12" i="14"/>
  <c r="L12" i="14"/>
  <c r="N12" i="14"/>
  <c r="P12" i="14"/>
  <c r="Q12" i="14"/>
  <c r="W12" i="14"/>
  <c r="X12" i="14"/>
  <c r="Y12" i="17"/>
  <c r="AC12" i="17"/>
  <c r="Y12" i="41"/>
  <c r="AC12" i="41"/>
  <c r="Y12" i="40"/>
  <c r="AC12" i="40"/>
  <c r="H12" i="14"/>
  <c r="H30" i="14"/>
  <c r="Y30" i="60"/>
  <c r="AC30" i="60"/>
  <c r="J30" i="14"/>
  <c r="L30" i="14"/>
  <c r="N30" i="14"/>
  <c r="P30" i="14"/>
  <c r="Q30" i="14"/>
  <c r="Y30" i="40"/>
  <c r="AC30" i="40"/>
  <c r="Y30" i="17"/>
  <c r="AC30" i="17"/>
  <c r="Y30" i="48"/>
  <c r="AC30" i="48"/>
  <c r="Y30" i="41"/>
  <c r="AC30" i="41"/>
  <c r="J33" i="61"/>
  <c r="K33" i="61"/>
  <c r="M33" i="61"/>
  <c r="O33" i="61"/>
  <c r="Q33" i="61"/>
  <c r="R33" i="61"/>
  <c r="H33" i="61"/>
  <c r="J15" i="48"/>
  <c r="J15" i="60"/>
  <c r="J15" i="40"/>
  <c r="J15" i="41"/>
  <c r="P30" i="17"/>
  <c r="P30" i="44"/>
  <c r="P30" i="40"/>
  <c r="P30" i="60"/>
  <c r="P30" i="48"/>
  <c r="P30" i="41"/>
  <c r="E33" i="15"/>
  <c r="G33" i="15"/>
  <c r="F68" i="15"/>
  <c r="I68" i="48"/>
  <c r="W68" i="48"/>
  <c r="E19" i="61"/>
  <c r="G19" i="61"/>
  <c r="Y33" i="41"/>
  <c r="AC33" i="41"/>
  <c r="Y33" i="60"/>
  <c r="AC33" i="60"/>
  <c r="H33" i="14"/>
  <c r="J21" i="40"/>
  <c r="J21" i="48"/>
  <c r="J21" i="41"/>
  <c r="J21" i="60"/>
  <c r="I62" i="48"/>
  <c r="W62" i="48"/>
  <c r="F61" i="15"/>
  <c r="J10" i="60"/>
  <c r="J10" i="48"/>
  <c r="J10" i="40"/>
  <c r="J10" i="41"/>
  <c r="G19" i="14"/>
  <c r="G47" i="14"/>
  <c r="J45" i="61"/>
  <c r="K45" i="61"/>
  <c r="M45" i="61"/>
  <c r="O45" i="61"/>
  <c r="Q45" i="61"/>
  <c r="R45" i="61"/>
  <c r="V45" i="61"/>
  <c r="W45" i="61"/>
  <c r="H45" i="61"/>
  <c r="H41" i="15"/>
  <c r="J41" i="15"/>
  <c r="K41" i="15"/>
  <c r="AC41" i="15"/>
  <c r="H36" i="66"/>
  <c r="J36" i="66"/>
  <c r="K36" i="66"/>
  <c r="M36" i="66"/>
  <c r="O36" i="66"/>
  <c r="Q36" i="66"/>
  <c r="R36" i="66"/>
  <c r="J32" i="61"/>
  <c r="K32" i="61"/>
  <c r="M32" i="61"/>
  <c r="O32" i="61"/>
  <c r="Q32" i="61"/>
  <c r="R32" i="61"/>
  <c r="H32" i="61"/>
  <c r="Y15" i="44"/>
  <c r="AC15" i="44"/>
  <c r="H15" i="55"/>
  <c r="AO12" i="63"/>
  <c r="J15" i="55"/>
  <c r="K15" i="55"/>
  <c r="H36" i="15"/>
  <c r="J36" i="15"/>
  <c r="K36" i="15"/>
  <c r="J30" i="41"/>
  <c r="J30" i="60"/>
  <c r="J30" i="48"/>
  <c r="J30" i="40"/>
  <c r="G33" i="55"/>
  <c r="X44" i="61"/>
  <c r="Y44" i="61"/>
  <c r="V44" i="61"/>
  <c r="W44" i="61"/>
  <c r="X44" i="55"/>
  <c r="Y44" i="55"/>
  <c r="V44" i="55"/>
  <c r="W44" i="55"/>
  <c r="F35" i="60"/>
  <c r="J22" i="15"/>
  <c r="K22" i="15"/>
  <c r="H22" i="15"/>
  <c r="H24" i="15"/>
  <c r="J24" i="15"/>
  <c r="K24" i="15"/>
  <c r="H35" i="66"/>
  <c r="J35" i="66"/>
  <c r="K35" i="66"/>
  <c r="M35" i="66"/>
  <c r="O35" i="66"/>
  <c r="Q35" i="66"/>
  <c r="R35" i="66"/>
  <c r="F28" i="60"/>
  <c r="J53" i="15"/>
  <c r="K53" i="15"/>
  <c r="H53" i="15"/>
  <c r="T13" i="15"/>
  <c r="J13" i="17"/>
  <c r="S52" i="15"/>
  <c r="T52" i="15"/>
  <c r="J52" i="17"/>
  <c r="AC38" i="15"/>
  <c r="M38" i="15"/>
  <c r="O38" i="15"/>
  <c r="Q38" i="15"/>
  <c r="R38" i="15"/>
  <c r="S52" i="55"/>
  <c r="T52" i="55"/>
  <c r="T13" i="55"/>
  <c r="I13" i="44"/>
  <c r="H21" i="61"/>
  <c r="J21" i="61"/>
  <c r="K21" i="61"/>
  <c r="M21" i="61"/>
  <c r="O21" i="61"/>
  <c r="Q21" i="61"/>
  <c r="R21" i="61"/>
  <c r="J43" i="48"/>
  <c r="J43" i="60"/>
  <c r="J43" i="41"/>
  <c r="J43" i="40"/>
  <c r="J50" i="66"/>
  <c r="H50" i="66"/>
  <c r="L51" i="15"/>
  <c r="M51" i="15"/>
  <c r="O51" i="15"/>
  <c r="Q51" i="15"/>
  <c r="R51" i="15"/>
  <c r="M9" i="15"/>
  <c r="O9" i="15"/>
  <c r="Q9" i="15"/>
  <c r="R9" i="15"/>
  <c r="V9" i="15"/>
  <c r="W9" i="15"/>
  <c r="S13" i="14"/>
  <c r="T13" i="14"/>
  <c r="R52" i="14"/>
  <c r="S52" i="14"/>
  <c r="T52" i="14"/>
  <c r="J52" i="40"/>
  <c r="J24" i="55"/>
  <c r="K24" i="55"/>
  <c r="H24" i="55"/>
  <c r="AO21" i="63"/>
  <c r="Y24" i="44"/>
  <c r="AC24" i="44"/>
  <c r="Y35" i="60"/>
  <c r="AC35" i="60"/>
  <c r="Y35" i="40"/>
  <c r="AC35" i="40"/>
  <c r="H35" i="14"/>
  <c r="J35" i="14"/>
  <c r="L35" i="14"/>
  <c r="N35" i="14"/>
  <c r="P35" i="14"/>
  <c r="Q35" i="14"/>
  <c r="Y35" i="17"/>
  <c r="AC35" i="17"/>
  <c r="Y35" i="41"/>
  <c r="AC35" i="41"/>
  <c r="Y35" i="48"/>
  <c r="AC35" i="48"/>
  <c r="P48" i="17"/>
  <c r="P48" i="40"/>
  <c r="P48" i="41"/>
  <c r="P48" i="60"/>
  <c r="P48" i="44"/>
  <c r="P48" i="48"/>
  <c r="J48" i="66"/>
  <c r="K48" i="66"/>
  <c r="M48" i="66"/>
  <c r="O48" i="66"/>
  <c r="Q48" i="66"/>
  <c r="R48" i="66"/>
  <c r="H48" i="66"/>
  <c r="Y24" i="60"/>
  <c r="AC24" i="60"/>
  <c r="H24" i="14"/>
  <c r="Y24" i="40"/>
  <c r="AC24" i="40"/>
  <c r="Y24" i="17"/>
  <c r="AC24" i="17"/>
  <c r="J24" i="14"/>
  <c r="L24" i="14"/>
  <c r="N24" i="14"/>
  <c r="P24" i="14"/>
  <c r="Q24" i="14"/>
  <c r="Y24" i="41"/>
  <c r="AC24" i="41"/>
  <c r="Y24" i="48"/>
  <c r="AC24" i="48"/>
  <c r="J7" i="60"/>
  <c r="J7" i="48"/>
  <c r="J7" i="41"/>
  <c r="J7" i="40"/>
  <c r="H24" i="66"/>
  <c r="J24" i="66"/>
  <c r="K24" i="66"/>
  <c r="M24" i="66"/>
  <c r="O24" i="66"/>
  <c r="Q24" i="66"/>
  <c r="R24" i="66"/>
  <c r="X24" i="66"/>
  <c r="Y24" i="66"/>
  <c r="P19" i="59"/>
  <c r="I68" i="41"/>
  <c r="W68" i="41"/>
  <c r="S52" i="61"/>
  <c r="T52" i="61"/>
  <c r="T13" i="61"/>
  <c r="K52" i="55"/>
  <c r="X41" i="61"/>
  <c r="Y41" i="61"/>
  <c r="I62" i="40"/>
  <c r="W62" i="40"/>
  <c r="D61" i="61"/>
  <c r="M28" i="66"/>
  <c r="O28" i="66"/>
  <c r="Q28" i="66"/>
  <c r="R28" i="66"/>
  <c r="F29" i="60"/>
  <c r="F62" i="15"/>
  <c r="W44" i="14"/>
  <c r="X44" i="14"/>
  <c r="U44" i="14"/>
  <c r="V44" i="14"/>
  <c r="T13" i="66"/>
  <c r="S52" i="66"/>
  <c r="T52" i="66"/>
  <c r="J53" i="66"/>
  <c r="H53" i="66"/>
  <c r="D62" i="14"/>
  <c r="E62" i="14"/>
  <c r="F13" i="60"/>
  <c r="V23" i="15"/>
  <c r="W23" i="15"/>
  <c r="F48" i="60"/>
  <c r="M47" i="61"/>
  <c r="O47" i="61"/>
  <c r="Q47" i="61"/>
  <c r="R47" i="61"/>
  <c r="V47" i="61"/>
  <c r="W47" i="61"/>
  <c r="D62" i="55"/>
  <c r="E62" i="55"/>
  <c r="J14" i="15"/>
  <c r="K14" i="15"/>
  <c r="M14" i="15"/>
  <c r="O14" i="15"/>
  <c r="Q14" i="15"/>
  <c r="R14" i="15"/>
  <c r="Y35" i="44"/>
  <c r="AC35" i="44"/>
  <c r="J35" i="55"/>
  <c r="K35" i="55"/>
  <c r="H35" i="55"/>
  <c r="AO32" i="63"/>
  <c r="AC13" i="55"/>
  <c r="J35" i="61"/>
  <c r="K35" i="61"/>
  <c r="M35" i="61"/>
  <c r="O35" i="61"/>
  <c r="Q35" i="61"/>
  <c r="R35" i="61"/>
  <c r="H35" i="61"/>
  <c r="J16" i="40"/>
  <c r="J16" i="48"/>
  <c r="J16" i="41"/>
  <c r="J16" i="60"/>
  <c r="J47" i="40"/>
  <c r="J47" i="60"/>
  <c r="J47" i="41"/>
  <c r="J47" i="48"/>
  <c r="I68" i="17"/>
  <c r="F53" i="17"/>
  <c r="J48" i="48"/>
  <c r="J48" i="60"/>
  <c r="J48" i="41"/>
  <c r="J48" i="40"/>
  <c r="P23" i="41"/>
  <c r="P23" i="48"/>
  <c r="P23" i="40"/>
  <c r="P23" i="60"/>
  <c r="P23" i="17"/>
  <c r="P23" i="44"/>
  <c r="L23" i="14"/>
  <c r="N23" i="14"/>
  <c r="P23" i="14"/>
  <c r="Q23" i="14"/>
  <c r="P41" i="41"/>
  <c r="Q41" i="41"/>
  <c r="P41" i="40"/>
  <c r="P41" i="48"/>
  <c r="P41" i="60"/>
  <c r="Q41" i="60"/>
  <c r="P41" i="17"/>
  <c r="P41" i="44"/>
  <c r="AC39" i="55"/>
  <c r="M39" i="55"/>
  <c r="O39" i="55"/>
  <c r="Q39" i="55"/>
  <c r="R39" i="55"/>
  <c r="E52" i="61"/>
  <c r="G52" i="61"/>
  <c r="Y42" i="40"/>
  <c r="AC42" i="40"/>
  <c r="J42" i="14"/>
  <c r="L42" i="14"/>
  <c r="N42" i="14"/>
  <c r="P42" i="14"/>
  <c r="Q42" i="14"/>
  <c r="Y42" i="41"/>
  <c r="AC42" i="41"/>
  <c r="Y42" i="48"/>
  <c r="AC42" i="48"/>
  <c r="Y42" i="60"/>
  <c r="AC42" i="60"/>
  <c r="Y42" i="17"/>
  <c r="AC42" i="17"/>
  <c r="H42" i="14"/>
  <c r="J12" i="66"/>
  <c r="K12" i="66"/>
  <c r="M12" i="66"/>
  <c r="O12" i="66"/>
  <c r="Q12" i="66"/>
  <c r="R12" i="66"/>
  <c r="V12" i="66"/>
  <c r="W12" i="66"/>
  <c r="H12" i="66"/>
  <c r="P31" i="60"/>
  <c r="P31" i="44"/>
  <c r="P31" i="48"/>
  <c r="P31" i="17"/>
  <c r="P31" i="40"/>
  <c r="P31" i="41"/>
  <c r="J51" i="41"/>
  <c r="J51" i="60"/>
  <c r="J51" i="48"/>
  <c r="J51" i="40"/>
  <c r="J12" i="15"/>
  <c r="K12" i="15"/>
  <c r="H12" i="15"/>
  <c r="AC6" i="55"/>
  <c r="J9" i="48"/>
  <c r="J9" i="60"/>
  <c r="J9" i="41"/>
  <c r="J9" i="40"/>
  <c r="M40" i="61"/>
  <c r="O40" i="61"/>
  <c r="Q40" i="61"/>
  <c r="R40" i="61"/>
  <c r="X40" i="61"/>
  <c r="Y40" i="61"/>
  <c r="J18" i="40"/>
  <c r="J18" i="48"/>
  <c r="J18" i="60"/>
  <c r="J18" i="41"/>
  <c r="AC51" i="15"/>
  <c r="J28" i="61"/>
  <c r="K28" i="61"/>
  <c r="M28" i="61"/>
  <c r="O28" i="61"/>
  <c r="Q28" i="61"/>
  <c r="R28" i="61"/>
  <c r="H28" i="61"/>
  <c r="P40" i="40"/>
  <c r="P40" i="48"/>
  <c r="P40" i="60"/>
  <c r="P40" i="17"/>
  <c r="P40" i="44"/>
  <c r="P40" i="41"/>
  <c r="AC35" i="15"/>
  <c r="X39" i="61"/>
  <c r="Y39" i="61"/>
  <c r="V39" i="61"/>
  <c r="W39" i="61"/>
  <c r="Y42" i="44"/>
  <c r="AC42" i="44"/>
  <c r="H42" i="55"/>
  <c r="AO37" i="63"/>
  <c r="J42" i="55"/>
  <c r="K42" i="55"/>
  <c r="M42" i="55"/>
  <c r="O42" i="55"/>
  <c r="Q42" i="55"/>
  <c r="R42" i="55"/>
  <c r="G47" i="79"/>
  <c r="F63" i="79"/>
  <c r="G63" i="79"/>
  <c r="M43" i="15"/>
  <c r="O43" i="15"/>
  <c r="Q43" i="15"/>
  <c r="R43" i="15"/>
  <c r="AC43" i="15"/>
  <c r="H21" i="66"/>
  <c r="J21" i="66"/>
  <c r="K21" i="66"/>
  <c r="M21" i="66"/>
  <c r="O21" i="66"/>
  <c r="Q21" i="66"/>
  <c r="R21" i="66"/>
  <c r="U36" i="31"/>
  <c r="C37" i="24"/>
  <c r="F37" i="24"/>
  <c r="P7" i="48"/>
  <c r="P7" i="44"/>
  <c r="P7" i="40"/>
  <c r="P7" i="41"/>
  <c r="P7" i="60"/>
  <c r="P7" i="17"/>
  <c r="J11" i="48"/>
  <c r="K11" i="48"/>
  <c r="L11" i="48"/>
  <c r="N11" i="48"/>
  <c r="O11" i="48"/>
  <c r="J11" i="40"/>
  <c r="J11" i="41"/>
  <c r="K11" i="41"/>
  <c r="L11" i="41"/>
  <c r="N11" i="41"/>
  <c r="J11" i="60"/>
  <c r="K11" i="60"/>
  <c r="L11" i="60"/>
  <c r="N11" i="60"/>
  <c r="O11" i="60"/>
  <c r="H13" i="61"/>
  <c r="J13" i="61"/>
  <c r="K13" i="61"/>
  <c r="Y14" i="44"/>
  <c r="AC14" i="44"/>
  <c r="J14" i="55"/>
  <c r="K14" i="55"/>
  <c r="AC14" i="55"/>
  <c r="H14" i="55"/>
  <c r="J32" i="55"/>
  <c r="K32" i="55"/>
  <c r="H32" i="55"/>
  <c r="AO29" i="63"/>
  <c r="Y32" i="44"/>
  <c r="AC32" i="44"/>
  <c r="L48" i="14"/>
  <c r="N48" i="14"/>
  <c r="P48" i="14"/>
  <c r="Q48" i="14"/>
  <c r="J12" i="61"/>
  <c r="K12" i="61"/>
  <c r="M12" i="61"/>
  <c r="O12" i="61"/>
  <c r="Q12" i="61"/>
  <c r="R12" i="61"/>
  <c r="X12" i="61"/>
  <c r="Y12" i="61"/>
  <c r="H12" i="61"/>
  <c r="J40" i="41"/>
  <c r="J40" i="40"/>
  <c r="J40" i="48"/>
  <c r="J40" i="60"/>
  <c r="E61" i="61"/>
  <c r="M29" i="55"/>
  <c r="O29" i="55"/>
  <c r="Q29" i="55"/>
  <c r="R29" i="55"/>
  <c r="AC29" i="55"/>
  <c r="G51" i="55"/>
  <c r="E51" i="55"/>
  <c r="H9" i="66"/>
  <c r="J9" i="66"/>
  <c r="K9" i="66"/>
  <c r="H26" i="66"/>
  <c r="J26" i="66"/>
  <c r="K26" i="66"/>
  <c r="M26" i="66"/>
  <c r="O26" i="66"/>
  <c r="Q26" i="66"/>
  <c r="R26" i="66"/>
  <c r="V48" i="61"/>
  <c r="W48" i="61"/>
  <c r="X48" i="61"/>
  <c r="Y48" i="61"/>
  <c r="AC52" i="15"/>
  <c r="X45" i="66"/>
  <c r="Y45" i="66"/>
  <c r="P38" i="59"/>
  <c r="V45" i="66"/>
  <c r="W45" i="66"/>
  <c r="J50" i="15"/>
  <c r="K50" i="15"/>
  <c r="H50" i="15"/>
  <c r="V46" i="55"/>
  <c r="W46" i="55"/>
  <c r="X46" i="55"/>
  <c r="Y46" i="55"/>
  <c r="M21" i="15"/>
  <c r="O21" i="15"/>
  <c r="Q21" i="15"/>
  <c r="R21" i="15"/>
  <c r="AC21" i="15"/>
  <c r="X24" i="61"/>
  <c r="Y24" i="61"/>
  <c r="V24" i="61"/>
  <c r="W24" i="61"/>
  <c r="H4" i="61"/>
  <c r="J4" i="61"/>
  <c r="H42" i="61"/>
  <c r="J42" i="61"/>
  <c r="K42" i="61"/>
  <c r="M42" i="61"/>
  <c r="O42" i="61"/>
  <c r="Q42" i="61"/>
  <c r="R42" i="61"/>
  <c r="K50" i="61"/>
  <c r="M50" i="61"/>
  <c r="O50" i="61"/>
  <c r="Q50" i="61"/>
  <c r="R50" i="61"/>
  <c r="W29" i="14"/>
  <c r="X29" i="14"/>
  <c r="U29" i="14"/>
  <c r="V29" i="14"/>
  <c r="H34" i="66"/>
  <c r="J34" i="66"/>
  <c r="K34" i="66"/>
  <c r="M34" i="66"/>
  <c r="O34" i="66"/>
  <c r="Q34" i="66"/>
  <c r="R34" i="66"/>
  <c r="AC45" i="15"/>
  <c r="M45" i="15"/>
  <c r="O45" i="15"/>
  <c r="Q45" i="15"/>
  <c r="R45" i="15"/>
  <c r="Q37" i="48"/>
  <c r="O37" i="48"/>
  <c r="D62" i="61"/>
  <c r="AC16" i="55"/>
  <c r="M16" i="55"/>
  <c r="O16" i="55"/>
  <c r="Q16" i="55"/>
  <c r="R16" i="55"/>
  <c r="H40" i="15"/>
  <c r="J40" i="15"/>
  <c r="K40" i="15"/>
  <c r="J45" i="60"/>
  <c r="J45" i="48"/>
  <c r="J45" i="41"/>
  <c r="J45" i="40"/>
  <c r="H5" i="23"/>
  <c r="G61" i="23"/>
  <c r="H61" i="23"/>
  <c r="G62" i="23"/>
  <c r="H62" i="23"/>
  <c r="G64" i="23"/>
  <c r="H64" i="23"/>
  <c r="L28" i="14"/>
  <c r="N28" i="14"/>
  <c r="P28" i="14"/>
  <c r="Q28" i="14"/>
  <c r="X46" i="15"/>
  <c r="Y46" i="15"/>
  <c r="V46" i="15"/>
  <c r="W46" i="15"/>
  <c r="D68" i="55"/>
  <c r="AC42" i="15"/>
  <c r="M42" i="15"/>
  <c r="O42" i="15"/>
  <c r="Q42" i="15"/>
  <c r="R42" i="15"/>
  <c r="J6" i="15"/>
  <c r="K6" i="15"/>
  <c r="H6" i="15"/>
  <c r="Y8" i="48"/>
  <c r="AC8" i="48"/>
  <c r="Y8" i="60"/>
  <c r="AC8" i="60"/>
  <c r="Y8" i="41"/>
  <c r="AC8" i="41"/>
  <c r="J8" i="14"/>
  <c r="L8" i="14"/>
  <c r="N8" i="14"/>
  <c r="P8" i="14"/>
  <c r="Q8" i="14"/>
  <c r="Y8" i="17"/>
  <c r="AC8" i="17"/>
  <c r="H8" i="14"/>
  <c r="Y8" i="40"/>
  <c r="AC8" i="40"/>
  <c r="E65" i="55"/>
  <c r="E65" i="66"/>
  <c r="Y21" i="48"/>
  <c r="AC21" i="48"/>
  <c r="Y21" i="17"/>
  <c r="AC21" i="17"/>
  <c r="J21" i="14"/>
  <c r="L21" i="14"/>
  <c r="N21" i="14"/>
  <c r="P21" i="14"/>
  <c r="Q21" i="14"/>
  <c r="Y21" i="60"/>
  <c r="AC21" i="60"/>
  <c r="Y21" i="40"/>
  <c r="AC21" i="40"/>
  <c r="H21" i="14"/>
  <c r="Y21" i="41"/>
  <c r="AC21" i="41"/>
  <c r="W18" i="14"/>
  <c r="X18" i="14"/>
  <c r="U18" i="14"/>
  <c r="V18" i="14"/>
  <c r="Y7" i="40"/>
  <c r="AC7" i="40"/>
  <c r="Y7" i="60"/>
  <c r="AC7" i="60"/>
  <c r="H7" i="14"/>
  <c r="Y7" i="48"/>
  <c r="AC7" i="48"/>
  <c r="Y7" i="17"/>
  <c r="AC7" i="17"/>
  <c r="J7" i="14"/>
  <c r="L7" i="14"/>
  <c r="N7" i="14"/>
  <c r="P7" i="14"/>
  <c r="Q7" i="14"/>
  <c r="Y7" i="41"/>
  <c r="AC7" i="41"/>
  <c r="P19" i="40"/>
  <c r="P19" i="48"/>
  <c r="P19" i="60"/>
  <c r="P19" i="41"/>
  <c r="P19" i="44"/>
  <c r="P19" i="17"/>
  <c r="J3" i="55"/>
  <c r="H3" i="55"/>
  <c r="AO3" i="63"/>
  <c r="Y3" i="44"/>
  <c r="I62" i="41"/>
  <c r="W62" i="41"/>
  <c r="E62" i="15"/>
  <c r="O37" i="41"/>
  <c r="Q37" i="41"/>
  <c r="J46" i="41"/>
  <c r="J46" i="48"/>
  <c r="J46" i="40"/>
  <c r="J46" i="60"/>
  <c r="E65" i="15"/>
  <c r="E61" i="66"/>
  <c r="Y9" i="44"/>
  <c r="AC9" i="44"/>
  <c r="J9" i="55"/>
  <c r="K9" i="55"/>
  <c r="H9" i="55"/>
  <c r="AO8" i="63"/>
  <c r="O37" i="60"/>
  <c r="Q37" i="60"/>
  <c r="AC42" i="55"/>
  <c r="V39" i="15"/>
  <c r="W39" i="15"/>
  <c r="X39" i="15"/>
  <c r="Y39" i="15"/>
  <c r="V24" i="66"/>
  <c r="W24" i="66"/>
  <c r="I61" i="48"/>
  <c r="W61" i="48"/>
  <c r="Y16" i="60"/>
  <c r="AC16" i="60"/>
  <c r="H16" i="14"/>
  <c r="Y16" i="48"/>
  <c r="AC16" i="48"/>
  <c r="Y16" i="41"/>
  <c r="AC16" i="41"/>
  <c r="Y16" i="17"/>
  <c r="AC16" i="17"/>
  <c r="J16" i="14"/>
  <c r="L16" i="14"/>
  <c r="N16" i="14"/>
  <c r="P16" i="14"/>
  <c r="Q16" i="14"/>
  <c r="Y16" i="40"/>
  <c r="AC16" i="40"/>
  <c r="Y27" i="44"/>
  <c r="AC27" i="44"/>
  <c r="J27" i="55"/>
  <c r="K27" i="55"/>
  <c r="H27" i="55"/>
  <c r="AO24" i="63"/>
  <c r="AC18" i="55"/>
  <c r="M18" i="55"/>
  <c r="O18" i="55"/>
  <c r="Q18" i="55"/>
  <c r="R18" i="55"/>
  <c r="J28" i="55"/>
  <c r="K28" i="55"/>
  <c r="Y28" i="44"/>
  <c r="AC28" i="44"/>
  <c r="H28" i="55"/>
  <c r="AO25" i="63"/>
  <c r="M20" i="61"/>
  <c r="O20" i="61"/>
  <c r="Q20" i="61"/>
  <c r="R20" i="61"/>
  <c r="M14" i="66"/>
  <c r="O14" i="66"/>
  <c r="Q14" i="66"/>
  <c r="R14" i="66"/>
  <c r="J40" i="66"/>
  <c r="K40" i="66"/>
  <c r="M40" i="66"/>
  <c r="O40" i="66"/>
  <c r="Q40" i="66"/>
  <c r="R40" i="66"/>
  <c r="H40" i="66"/>
  <c r="H16" i="66"/>
  <c r="J16" i="66"/>
  <c r="K16" i="66"/>
  <c r="M16" i="66"/>
  <c r="O16" i="66"/>
  <c r="Q16" i="66"/>
  <c r="R16" i="66"/>
  <c r="V20" i="66"/>
  <c r="W20" i="66"/>
  <c r="X20" i="66"/>
  <c r="Y20" i="66"/>
  <c r="P15" i="59"/>
  <c r="D61" i="55"/>
  <c r="H31" i="66"/>
  <c r="J31" i="66"/>
  <c r="K31" i="66"/>
  <c r="M31" i="66"/>
  <c r="O31" i="66"/>
  <c r="Q31" i="66"/>
  <c r="R31" i="66"/>
  <c r="H5" i="66"/>
  <c r="J5" i="66"/>
  <c r="K5" i="66"/>
  <c r="H48" i="15"/>
  <c r="J48" i="15"/>
  <c r="K48" i="15"/>
  <c r="F11" i="17"/>
  <c r="H11" i="66"/>
  <c r="J11" i="66"/>
  <c r="K11" i="66"/>
  <c r="M11" i="66"/>
  <c r="O11" i="66"/>
  <c r="Q11" i="66"/>
  <c r="R11" i="66"/>
  <c r="K53" i="66"/>
  <c r="M53" i="66"/>
  <c r="O53" i="66"/>
  <c r="Q53" i="66"/>
  <c r="R53" i="66"/>
  <c r="M22" i="66"/>
  <c r="O22" i="66"/>
  <c r="Q22" i="66"/>
  <c r="R22" i="66"/>
  <c r="J8" i="55"/>
  <c r="K8" i="55"/>
  <c r="Y8" i="44"/>
  <c r="AC8" i="44"/>
  <c r="H8" i="55"/>
  <c r="AO7" i="63"/>
  <c r="X15" i="66"/>
  <c r="Y15" i="66"/>
  <c r="P10" i="59"/>
  <c r="V15" i="66"/>
  <c r="W15" i="66"/>
  <c r="E65" i="61"/>
  <c r="E68" i="66"/>
  <c r="V29" i="66"/>
  <c r="W29" i="66"/>
  <c r="X29" i="66"/>
  <c r="Y29" i="66"/>
  <c r="P24" i="59"/>
  <c r="J20" i="14"/>
  <c r="L20" i="14"/>
  <c r="N20" i="14"/>
  <c r="P20" i="14"/>
  <c r="Q20" i="14"/>
  <c r="H20" i="14"/>
  <c r="Y20" i="41"/>
  <c r="AC20" i="41"/>
  <c r="Y20" i="17"/>
  <c r="AC20" i="17"/>
  <c r="Y20" i="40"/>
  <c r="AC20" i="40"/>
  <c r="Y20" i="48"/>
  <c r="AC20" i="48"/>
  <c r="Y20" i="60"/>
  <c r="AC20" i="60"/>
  <c r="H5" i="55"/>
  <c r="AO5" i="63"/>
  <c r="J5" i="55"/>
  <c r="K5" i="55"/>
  <c r="Y5" i="44"/>
  <c r="AC5" i="44"/>
  <c r="P14" i="40"/>
  <c r="P14" i="41"/>
  <c r="P14" i="17"/>
  <c r="P14" i="60"/>
  <c r="Q14" i="60"/>
  <c r="P14" i="48"/>
  <c r="Q14" i="48"/>
  <c r="P14" i="44"/>
  <c r="J8" i="15"/>
  <c r="K8" i="15"/>
  <c r="H8" i="15"/>
  <c r="J29" i="15"/>
  <c r="K29" i="15"/>
  <c r="H29" i="15"/>
  <c r="Y21" i="44"/>
  <c r="AC21" i="44"/>
  <c r="J21" i="55"/>
  <c r="K21" i="55"/>
  <c r="H21" i="55"/>
  <c r="AO18" i="63"/>
  <c r="H40" i="55"/>
  <c r="AO36" i="63"/>
  <c r="J40" i="55"/>
  <c r="K40" i="55"/>
  <c r="Y40" i="44"/>
  <c r="AC40" i="44"/>
  <c r="H25" i="14"/>
  <c r="Y25" i="17"/>
  <c r="AC25" i="17"/>
  <c r="Y25" i="48"/>
  <c r="AC25" i="48"/>
  <c r="Y25" i="60"/>
  <c r="AC25" i="60"/>
  <c r="Y25" i="40"/>
  <c r="AC25" i="40"/>
  <c r="J25" i="14"/>
  <c r="Y25" i="41"/>
  <c r="AC25" i="41"/>
  <c r="Z54" i="31"/>
  <c r="L54" i="66"/>
  <c r="L25" i="66"/>
  <c r="L25" i="55"/>
  <c r="M25" i="55"/>
  <c r="O25" i="55"/>
  <c r="Q25" i="55"/>
  <c r="R25" i="55"/>
  <c r="L25" i="61"/>
  <c r="L25" i="15"/>
  <c r="K25" i="14"/>
  <c r="U32" i="14"/>
  <c r="V32" i="14"/>
  <c r="W32" i="14"/>
  <c r="X32" i="14"/>
  <c r="F31" i="60"/>
  <c r="F40" i="60"/>
  <c r="F30" i="60"/>
  <c r="F12" i="60"/>
  <c r="F20" i="60"/>
  <c r="F22" i="60"/>
  <c r="F5" i="60"/>
  <c r="F46" i="60"/>
  <c r="F27" i="60"/>
  <c r="F42" i="60"/>
  <c r="F33" i="60"/>
  <c r="F18" i="60"/>
  <c r="F15" i="60"/>
  <c r="F7" i="60"/>
  <c r="F39" i="60"/>
  <c r="W65" i="60"/>
  <c r="F36" i="60"/>
  <c r="F47" i="60"/>
  <c r="F6" i="60"/>
  <c r="F3" i="60"/>
  <c r="F24" i="60"/>
  <c r="F32" i="60"/>
  <c r="F43" i="60"/>
  <c r="F44" i="60"/>
  <c r="F26" i="60"/>
  <c r="F23" i="60"/>
  <c r="F34" i="60"/>
  <c r="F38" i="60"/>
  <c r="F49" i="60"/>
  <c r="F25" i="60"/>
  <c r="F8" i="60"/>
  <c r="F9" i="60"/>
  <c r="F21" i="60"/>
  <c r="L14" i="14"/>
  <c r="N14" i="14"/>
  <c r="P14" i="14"/>
  <c r="Q14" i="14"/>
  <c r="H11" i="55"/>
  <c r="Y11" i="44"/>
  <c r="AC11" i="44"/>
  <c r="J11" i="55"/>
  <c r="K11" i="55"/>
  <c r="J52" i="44"/>
  <c r="I52" i="44"/>
  <c r="W52" i="44"/>
  <c r="H68" i="44"/>
  <c r="W68" i="44"/>
  <c r="E53" i="55"/>
  <c r="G53" i="55"/>
  <c r="J19" i="41"/>
  <c r="J19" i="40"/>
  <c r="J19" i="48"/>
  <c r="J19" i="60"/>
  <c r="H3" i="15"/>
  <c r="J3" i="15"/>
  <c r="G61" i="15"/>
  <c r="H61" i="15"/>
  <c r="G65" i="15"/>
  <c r="H65" i="15"/>
  <c r="E5" i="38"/>
  <c r="AC30" i="55"/>
  <c r="M30" i="55"/>
  <c r="O30" i="55"/>
  <c r="Q30" i="55"/>
  <c r="R30" i="55"/>
  <c r="E51" i="61"/>
  <c r="G51" i="61"/>
  <c r="Y27" i="41"/>
  <c r="AC27" i="41"/>
  <c r="H27" i="14"/>
  <c r="Y27" i="40"/>
  <c r="AC27" i="40"/>
  <c r="Y27" i="17"/>
  <c r="AC27" i="17"/>
  <c r="Y27" i="48"/>
  <c r="AC27" i="48"/>
  <c r="J27" i="14"/>
  <c r="L27" i="14"/>
  <c r="N27" i="14"/>
  <c r="P27" i="14"/>
  <c r="Q27" i="14"/>
  <c r="Y27" i="60"/>
  <c r="AC27" i="60"/>
  <c r="J9" i="61"/>
  <c r="K9" i="61"/>
  <c r="H9" i="61"/>
  <c r="H39" i="66"/>
  <c r="J39" i="66"/>
  <c r="K39" i="66"/>
  <c r="M39" i="66"/>
  <c r="O39" i="66"/>
  <c r="Q39" i="66"/>
  <c r="R39" i="66"/>
  <c r="Y22" i="41"/>
  <c r="AC22" i="41"/>
  <c r="Y22" i="60"/>
  <c r="AC22" i="60"/>
  <c r="Y22" i="48"/>
  <c r="AC22" i="48"/>
  <c r="J22" i="14"/>
  <c r="L22" i="14"/>
  <c r="N22" i="14"/>
  <c r="P22" i="14"/>
  <c r="Q22" i="14"/>
  <c r="H22" i="14"/>
  <c r="Y22" i="17"/>
  <c r="AC22" i="17"/>
  <c r="Y22" i="40"/>
  <c r="AC22" i="40"/>
  <c r="E68" i="14"/>
  <c r="J10" i="66"/>
  <c r="K10" i="66"/>
  <c r="M10" i="66"/>
  <c r="O10" i="66"/>
  <c r="Q10" i="66"/>
  <c r="R10" i="66"/>
  <c r="H10" i="66"/>
  <c r="AC7" i="15"/>
  <c r="M7" i="15"/>
  <c r="O7" i="15"/>
  <c r="Q7" i="15"/>
  <c r="R7" i="15"/>
  <c r="J12" i="60"/>
  <c r="J12" i="48"/>
  <c r="J12" i="41"/>
  <c r="J12" i="40"/>
  <c r="E50" i="55"/>
  <c r="G50" i="55"/>
  <c r="Y22" i="44"/>
  <c r="AC22" i="44"/>
  <c r="H22" i="55"/>
  <c r="AO19" i="63"/>
  <c r="J22" i="55"/>
  <c r="K22" i="55"/>
  <c r="Y40" i="41"/>
  <c r="AC40" i="41"/>
  <c r="Y40" i="60"/>
  <c r="AC40" i="60"/>
  <c r="H40" i="14"/>
  <c r="J40" i="14"/>
  <c r="L40" i="14"/>
  <c r="N40" i="14"/>
  <c r="P40" i="14"/>
  <c r="Q40" i="14"/>
  <c r="Y40" i="17"/>
  <c r="AC40" i="17"/>
  <c r="Y40" i="48"/>
  <c r="AC40" i="48"/>
  <c r="Y40" i="40"/>
  <c r="AC40" i="40"/>
  <c r="Y9" i="60"/>
  <c r="AC9" i="60"/>
  <c r="Y9" i="40"/>
  <c r="AC9" i="40"/>
  <c r="Y9" i="17"/>
  <c r="AC9" i="17"/>
  <c r="Y9" i="41"/>
  <c r="AC9" i="41"/>
  <c r="Y9" i="48"/>
  <c r="AC9" i="48"/>
  <c r="H9" i="14"/>
  <c r="J9" i="14"/>
  <c r="L9" i="14"/>
  <c r="N9" i="14"/>
  <c r="P9" i="14"/>
  <c r="Q9" i="14"/>
  <c r="AC30" i="15"/>
  <c r="M30" i="15"/>
  <c r="O30" i="15"/>
  <c r="Q30" i="15"/>
  <c r="R30" i="15"/>
  <c r="U12" i="14"/>
  <c r="V12" i="14"/>
  <c r="O14" i="60"/>
  <c r="J8" i="61"/>
  <c r="K8" i="61"/>
  <c r="M8" i="61"/>
  <c r="O8" i="61"/>
  <c r="Q8" i="61"/>
  <c r="R8" i="61"/>
  <c r="H8" i="61"/>
  <c r="J23" i="40"/>
  <c r="J23" i="41"/>
  <c r="J23" i="48"/>
  <c r="J23" i="60"/>
  <c r="J7" i="66"/>
  <c r="K7" i="66"/>
  <c r="M7" i="66"/>
  <c r="O7" i="66"/>
  <c r="Q7" i="66"/>
  <c r="R7" i="66"/>
  <c r="H7" i="66"/>
  <c r="V36" i="61"/>
  <c r="W36" i="61"/>
  <c r="X36" i="61"/>
  <c r="Y36" i="61"/>
  <c r="I45" i="44"/>
  <c r="J10" i="55"/>
  <c r="K10" i="55"/>
  <c r="Y10" i="44"/>
  <c r="AC10" i="44"/>
  <c r="H10" i="55"/>
  <c r="AO9" i="63"/>
  <c r="J7" i="61"/>
  <c r="K7" i="61"/>
  <c r="M7" i="61"/>
  <c r="O7" i="61"/>
  <c r="Q7" i="61"/>
  <c r="R7" i="61"/>
  <c r="H7" i="61"/>
  <c r="H27" i="61"/>
  <c r="J27" i="61"/>
  <c r="K27" i="61"/>
  <c r="M27" i="61"/>
  <c r="O27" i="61"/>
  <c r="Q27" i="61"/>
  <c r="R27" i="61"/>
  <c r="U33" i="14"/>
  <c r="V33" i="14"/>
  <c r="W33" i="14"/>
  <c r="X33" i="14"/>
  <c r="U15" i="14"/>
  <c r="V15" i="14"/>
  <c r="W15" i="14"/>
  <c r="X15" i="14"/>
  <c r="E53" i="14"/>
  <c r="G53" i="14"/>
  <c r="E54" i="14"/>
  <c r="G54" i="14"/>
  <c r="Y6" i="17"/>
  <c r="AC6" i="17"/>
  <c r="H6" i="14"/>
  <c r="Y6" i="60"/>
  <c r="AC6" i="60"/>
  <c r="Y6" i="48"/>
  <c r="AC6" i="48"/>
  <c r="J6" i="14"/>
  <c r="L6" i="14"/>
  <c r="N6" i="14"/>
  <c r="P6" i="14"/>
  <c r="Q6" i="14"/>
  <c r="Y6" i="41"/>
  <c r="AC6" i="41"/>
  <c r="Y6" i="40"/>
  <c r="AC6" i="40"/>
  <c r="D61" i="14"/>
  <c r="J29" i="61"/>
  <c r="K29" i="61"/>
  <c r="M29" i="61"/>
  <c r="O29" i="61"/>
  <c r="Q29" i="61"/>
  <c r="R29" i="61"/>
  <c r="H29" i="61"/>
  <c r="H26" i="61"/>
  <c r="J26" i="61"/>
  <c r="K26" i="61"/>
  <c r="M26" i="61"/>
  <c r="O26" i="61"/>
  <c r="Q26" i="61"/>
  <c r="R26" i="61"/>
  <c r="H6" i="66"/>
  <c r="J6" i="66"/>
  <c r="K6" i="66"/>
  <c r="M6" i="66"/>
  <c r="O6" i="66"/>
  <c r="Q6" i="66"/>
  <c r="R6" i="66"/>
  <c r="S6" i="61"/>
  <c r="T6" i="61"/>
  <c r="S6" i="15"/>
  <c r="T6" i="15"/>
  <c r="J6" i="17"/>
  <c r="R6" i="14"/>
  <c r="S6" i="14"/>
  <c r="T6" i="14"/>
  <c r="S6" i="55"/>
  <c r="T6" i="55"/>
  <c r="S6" i="66"/>
  <c r="T6" i="66"/>
  <c r="P28" i="48"/>
  <c r="P28" i="17"/>
  <c r="P28" i="41"/>
  <c r="P28" i="44"/>
  <c r="P28" i="60"/>
  <c r="P28" i="40"/>
  <c r="H44" i="66"/>
  <c r="J44" i="66"/>
  <c r="K44" i="66"/>
  <c r="M44" i="66"/>
  <c r="O44" i="66"/>
  <c r="Q44" i="66"/>
  <c r="R44" i="66"/>
  <c r="J27" i="15"/>
  <c r="K27" i="15"/>
  <c r="H27" i="15"/>
  <c r="G51" i="14"/>
  <c r="E51" i="14"/>
  <c r="H37" i="61"/>
  <c r="J37" i="61"/>
  <c r="K37" i="61"/>
  <c r="M37" i="61"/>
  <c r="O37" i="61"/>
  <c r="Q37" i="61"/>
  <c r="R37" i="61"/>
  <c r="Y10" i="41"/>
  <c r="J10" i="14"/>
  <c r="Y10" i="17"/>
  <c r="Y10" i="60"/>
  <c r="H10" i="14"/>
  <c r="Y10" i="40"/>
  <c r="Y10" i="48"/>
  <c r="AC5" i="15"/>
  <c r="M5" i="15"/>
  <c r="O5" i="15"/>
  <c r="Q5" i="15"/>
  <c r="R5" i="15"/>
  <c r="H20" i="15"/>
  <c r="J20" i="15"/>
  <c r="K20" i="15"/>
  <c r="J27" i="66"/>
  <c r="K27" i="66"/>
  <c r="M27" i="66"/>
  <c r="O27" i="66"/>
  <c r="Q27" i="66"/>
  <c r="R27" i="66"/>
  <c r="H27" i="66"/>
  <c r="H17" i="15"/>
  <c r="J17" i="15"/>
  <c r="K17" i="15"/>
  <c r="E65" i="14"/>
  <c r="J17" i="14"/>
  <c r="L17" i="14"/>
  <c r="N17" i="14"/>
  <c r="P17" i="14"/>
  <c r="Q17" i="14"/>
  <c r="Y17" i="48"/>
  <c r="AC17" i="48"/>
  <c r="Y17" i="60"/>
  <c r="AC17" i="60"/>
  <c r="Y17" i="17"/>
  <c r="AC17" i="17"/>
  <c r="Y17" i="40"/>
  <c r="AC17" i="40"/>
  <c r="Y17" i="41"/>
  <c r="AC17" i="41"/>
  <c r="H17" i="14"/>
  <c r="AC24" i="55"/>
  <c r="M24" i="55"/>
  <c r="O24" i="55"/>
  <c r="Q24" i="55"/>
  <c r="R24" i="55"/>
  <c r="V28" i="66"/>
  <c r="W28" i="66"/>
  <c r="X28" i="66"/>
  <c r="Y28" i="66"/>
  <c r="P23" i="59"/>
  <c r="W52" i="17"/>
  <c r="J34" i="55"/>
  <c r="K34" i="55"/>
  <c r="Y34" i="44"/>
  <c r="AC34" i="44"/>
  <c r="H34" i="55"/>
  <c r="AO31" i="63"/>
  <c r="X12" i="55"/>
  <c r="Y12" i="55"/>
  <c r="X14" i="61"/>
  <c r="Y14" i="61"/>
  <c r="V14" i="61"/>
  <c r="W14" i="61"/>
  <c r="H25" i="61"/>
  <c r="J25" i="61"/>
  <c r="K25" i="61"/>
  <c r="Y26" i="60"/>
  <c r="AC26" i="60"/>
  <c r="Y26" i="40"/>
  <c r="AC26" i="40"/>
  <c r="Y26" i="48"/>
  <c r="AC26" i="48"/>
  <c r="Y26" i="17"/>
  <c r="AC26" i="17"/>
  <c r="Y26" i="41"/>
  <c r="AC26" i="41"/>
  <c r="H26" i="14"/>
  <c r="J26" i="14"/>
  <c r="L26" i="14"/>
  <c r="N26" i="14"/>
  <c r="P26" i="14"/>
  <c r="Q26" i="14"/>
  <c r="H28" i="15"/>
  <c r="J28" i="15"/>
  <c r="K28" i="15"/>
  <c r="W65" i="17"/>
  <c r="F7" i="17"/>
  <c r="F49" i="17"/>
  <c r="F21" i="17"/>
  <c r="F47" i="17"/>
  <c r="F33" i="17"/>
  <c r="F27" i="17"/>
  <c r="F29" i="17"/>
  <c r="F23" i="17"/>
  <c r="F5" i="17"/>
  <c r="F45" i="17"/>
  <c r="F35" i="17"/>
  <c r="F15" i="17"/>
  <c r="F9" i="17"/>
  <c r="F31" i="17"/>
  <c r="F13" i="17"/>
  <c r="F3" i="17"/>
  <c r="J54" i="48"/>
  <c r="J54" i="41"/>
  <c r="J54" i="60"/>
  <c r="J54" i="40"/>
  <c r="E50" i="14"/>
  <c r="G50" i="14"/>
  <c r="M47" i="15"/>
  <c r="O47" i="15"/>
  <c r="Q47" i="15"/>
  <c r="R47" i="15"/>
  <c r="AC47" i="15"/>
  <c r="J28" i="40"/>
  <c r="J28" i="48"/>
  <c r="J28" i="41"/>
  <c r="J28" i="60"/>
  <c r="V49" i="55"/>
  <c r="W49" i="55"/>
  <c r="X49" i="55"/>
  <c r="Y49" i="55"/>
  <c r="Q11" i="60"/>
  <c r="F43" i="17"/>
  <c r="J11" i="15"/>
  <c r="K11" i="15"/>
  <c r="H11" i="15"/>
  <c r="W43" i="14"/>
  <c r="X43" i="14"/>
  <c r="U43" i="14"/>
  <c r="V43" i="14"/>
  <c r="W52" i="40"/>
  <c r="I68" i="40"/>
  <c r="W68" i="40"/>
  <c r="H48" i="55"/>
  <c r="AO43" i="63"/>
  <c r="Y48" i="44"/>
  <c r="AC48" i="44"/>
  <c r="J48" i="55"/>
  <c r="K48" i="55"/>
  <c r="G58" i="79"/>
  <c r="X30" i="61"/>
  <c r="Y30" i="61"/>
  <c r="V30" i="61"/>
  <c r="W30" i="61"/>
  <c r="H11" i="61"/>
  <c r="J11" i="61"/>
  <c r="K11" i="61"/>
  <c r="M11" i="61"/>
  <c r="O11" i="61"/>
  <c r="Q11" i="61"/>
  <c r="R11" i="61"/>
  <c r="J3" i="61"/>
  <c r="H3" i="61"/>
  <c r="G65" i="61"/>
  <c r="H65" i="61"/>
  <c r="J3" i="66"/>
  <c r="H3" i="66"/>
  <c r="G65" i="66"/>
  <c r="H65" i="66"/>
  <c r="M44" i="15"/>
  <c r="O44" i="15"/>
  <c r="Q44" i="15"/>
  <c r="R44" i="15"/>
  <c r="AC44" i="15"/>
  <c r="H18" i="66"/>
  <c r="J18" i="66"/>
  <c r="K18" i="66"/>
  <c r="M18" i="66"/>
  <c r="O18" i="66"/>
  <c r="Q18" i="66"/>
  <c r="R18" i="66"/>
  <c r="AC25" i="55"/>
  <c r="D68" i="61"/>
  <c r="J49" i="17"/>
  <c r="V49" i="15"/>
  <c r="W49" i="15"/>
  <c r="X49" i="15"/>
  <c r="Y49" i="15"/>
  <c r="J26" i="55"/>
  <c r="K26" i="55"/>
  <c r="Y26" i="44"/>
  <c r="AC26" i="44"/>
  <c r="H26" i="55"/>
  <c r="AO23" i="63"/>
  <c r="J25" i="48"/>
  <c r="J25" i="40"/>
  <c r="J25" i="60"/>
  <c r="J25" i="41"/>
  <c r="H17" i="66"/>
  <c r="J17" i="66"/>
  <c r="K17" i="66"/>
  <c r="M17" i="66"/>
  <c r="O17" i="66"/>
  <c r="Q17" i="66"/>
  <c r="R17" i="66"/>
  <c r="J5" i="14"/>
  <c r="L5" i="14"/>
  <c r="N5" i="14"/>
  <c r="P5" i="14"/>
  <c r="Q5" i="14"/>
  <c r="Y5" i="48"/>
  <c r="AC5" i="48"/>
  <c r="Y5" i="60"/>
  <c r="AC5" i="60"/>
  <c r="Y5" i="17"/>
  <c r="AC5" i="17"/>
  <c r="Y5" i="40"/>
  <c r="AC5" i="40"/>
  <c r="Y5" i="41"/>
  <c r="AC5" i="41"/>
  <c r="H5" i="14"/>
  <c r="Y11" i="17"/>
  <c r="AC11" i="17"/>
  <c r="Y11" i="60"/>
  <c r="AC11" i="60"/>
  <c r="Y11" i="40"/>
  <c r="AC11" i="40"/>
  <c r="J11" i="14"/>
  <c r="L11" i="14"/>
  <c r="N11" i="14"/>
  <c r="P11" i="14"/>
  <c r="Q11" i="14"/>
  <c r="Y11" i="41"/>
  <c r="AC11" i="41"/>
  <c r="H11" i="14"/>
  <c r="Y11" i="48"/>
  <c r="AC11" i="48"/>
  <c r="J46" i="66"/>
  <c r="K46" i="66"/>
  <c r="M46" i="66"/>
  <c r="O46" i="66"/>
  <c r="Q46" i="66"/>
  <c r="R46" i="66"/>
  <c r="H46" i="66"/>
  <c r="I68" i="60"/>
  <c r="W52" i="60"/>
  <c r="H20" i="55"/>
  <c r="AO17" i="63"/>
  <c r="J20" i="55"/>
  <c r="K20" i="55"/>
  <c r="Y20" i="44"/>
  <c r="AC20" i="44"/>
  <c r="N3" i="31"/>
  <c r="Y3" i="31"/>
  <c r="Z3" i="31"/>
  <c r="J24" i="80"/>
  <c r="U45" i="14"/>
  <c r="V45" i="14"/>
  <c r="G54" i="61"/>
  <c r="E54" i="61"/>
  <c r="H11" i="38"/>
  <c r="Q14" i="41"/>
  <c r="O14" i="41"/>
  <c r="X49" i="61"/>
  <c r="Y49" i="61"/>
  <c r="V49" i="61"/>
  <c r="W49" i="61"/>
  <c r="Q20" i="38"/>
  <c r="R20" i="38"/>
  <c r="Q13" i="38"/>
  <c r="R13" i="38"/>
  <c r="J31" i="15"/>
  <c r="K31" i="15"/>
  <c r="H31" i="15"/>
  <c r="V23" i="66"/>
  <c r="W23" i="66"/>
  <c r="X23" i="66"/>
  <c r="Y23" i="66"/>
  <c r="P18" i="59"/>
  <c r="W34" i="14"/>
  <c r="X34" i="14"/>
  <c r="U34" i="14"/>
  <c r="V34" i="14"/>
  <c r="H4" i="66"/>
  <c r="G68" i="66"/>
  <c r="H68" i="66"/>
  <c r="J4" i="66"/>
  <c r="O41" i="41"/>
  <c r="H4" i="55"/>
  <c r="AO4" i="63"/>
  <c r="J4" i="55"/>
  <c r="Y4" i="44"/>
  <c r="W39" i="14"/>
  <c r="X39" i="14"/>
  <c r="U39" i="14"/>
  <c r="V39" i="14"/>
  <c r="Y46" i="40"/>
  <c r="AC46" i="40"/>
  <c r="J46" i="14"/>
  <c r="L46" i="14"/>
  <c r="N46" i="14"/>
  <c r="P46" i="14"/>
  <c r="Q46" i="14"/>
  <c r="Y46" i="41"/>
  <c r="AC46" i="41"/>
  <c r="Y46" i="60"/>
  <c r="AC46" i="60"/>
  <c r="H46" i="14"/>
  <c r="Y46" i="17"/>
  <c r="AC46" i="17"/>
  <c r="Y46" i="48"/>
  <c r="AC46" i="48"/>
  <c r="X15" i="61"/>
  <c r="Y15" i="61"/>
  <c r="V15" i="61"/>
  <c r="W15" i="61"/>
  <c r="G60" i="79"/>
  <c r="AC16" i="15"/>
  <c r="M16" i="15"/>
  <c r="O16" i="15"/>
  <c r="Q16" i="15"/>
  <c r="R16" i="15"/>
  <c r="X16" i="61"/>
  <c r="Y16" i="61"/>
  <c r="V16" i="61"/>
  <c r="W16" i="61"/>
  <c r="W45" i="14"/>
  <c r="X45" i="14"/>
  <c r="J10" i="61"/>
  <c r="K10" i="61"/>
  <c r="M10" i="61"/>
  <c r="O10" i="61"/>
  <c r="Q10" i="61"/>
  <c r="R10" i="61"/>
  <c r="H10" i="61"/>
  <c r="O14" i="48"/>
  <c r="V49" i="66"/>
  <c r="W49" i="66"/>
  <c r="X49" i="66"/>
  <c r="Y49" i="66"/>
  <c r="P42" i="59"/>
  <c r="X34" i="61"/>
  <c r="Y34" i="61"/>
  <c r="V34" i="61"/>
  <c r="W34" i="61"/>
  <c r="H11" i="17"/>
  <c r="K11" i="17"/>
  <c r="L11" i="17"/>
  <c r="N11" i="17"/>
  <c r="H49" i="40"/>
  <c r="G11" i="44"/>
  <c r="K11" i="44"/>
  <c r="L11" i="44"/>
  <c r="N11" i="44"/>
  <c r="H11" i="40"/>
  <c r="K11" i="40"/>
  <c r="L11" i="40"/>
  <c r="N11" i="40"/>
  <c r="S4" i="38"/>
  <c r="H41" i="17"/>
  <c r="K41" i="17"/>
  <c r="L41" i="17"/>
  <c r="N41" i="17"/>
  <c r="G41" i="44"/>
  <c r="K41" i="44"/>
  <c r="L41" i="44"/>
  <c r="N41" i="44"/>
  <c r="H37" i="17"/>
  <c r="K37" i="17"/>
  <c r="L37" i="17"/>
  <c r="N37" i="17"/>
  <c r="H6" i="40"/>
  <c r="H14" i="17"/>
  <c r="K14" i="17"/>
  <c r="L14" i="17"/>
  <c r="N14" i="17"/>
  <c r="G37" i="44"/>
  <c r="K37" i="44"/>
  <c r="L37" i="44"/>
  <c r="N37" i="44"/>
  <c r="G14" i="44"/>
  <c r="K14" i="44"/>
  <c r="L14" i="44"/>
  <c r="N14" i="44"/>
  <c r="H41" i="40"/>
  <c r="K41" i="40"/>
  <c r="L41" i="40"/>
  <c r="N41" i="40"/>
  <c r="H37" i="40"/>
  <c r="K37" i="40"/>
  <c r="L37" i="40"/>
  <c r="N37" i="40"/>
  <c r="J31" i="55"/>
  <c r="K31" i="55"/>
  <c r="Y31" i="44"/>
  <c r="AC31" i="44"/>
  <c r="H31" i="55"/>
  <c r="AO28" i="63"/>
  <c r="H4" i="15"/>
  <c r="J4" i="15"/>
  <c r="G68" i="15"/>
  <c r="H68" i="15"/>
  <c r="Q41" i="48"/>
  <c r="O41" i="48"/>
  <c r="G57" i="79"/>
  <c r="H34" i="15"/>
  <c r="J34" i="15"/>
  <c r="K34" i="15"/>
  <c r="J18" i="61"/>
  <c r="K18" i="61"/>
  <c r="M18" i="61"/>
  <c r="O18" i="61"/>
  <c r="Q18" i="61"/>
  <c r="R18" i="61"/>
  <c r="H18" i="61"/>
  <c r="H25" i="66"/>
  <c r="J25" i="66"/>
  <c r="K25" i="66"/>
  <c r="Y7" i="44"/>
  <c r="AC7" i="44"/>
  <c r="H7" i="55"/>
  <c r="AO6" i="63"/>
  <c r="J7" i="55"/>
  <c r="K7" i="55"/>
  <c r="J53" i="48"/>
  <c r="J53" i="40"/>
  <c r="J53" i="41"/>
  <c r="J53" i="60"/>
  <c r="H50" i="61"/>
  <c r="J50" i="61"/>
  <c r="H37" i="15"/>
  <c r="J37" i="15"/>
  <c r="K37" i="15"/>
  <c r="J22" i="61"/>
  <c r="K22" i="61"/>
  <c r="H22" i="61"/>
  <c r="M18" i="15"/>
  <c r="O18" i="15"/>
  <c r="Q18" i="15"/>
  <c r="R18" i="15"/>
  <c r="AC18" i="15"/>
  <c r="T49" i="14"/>
  <c r="W49" i="14"/>
  <c r="X49" i="14"/>
  <c r="U49" i="14"/>
  <c r="V49" i="14"/>
  <c r="J8" i="66"/>
  <c r="K8" i="66"/>
  <c r="M8" i="66"/>
  <c r="O8" i="66"/>
  <c r="Q8" i="66"/>
  <c r="R8" i="66"/>
  <c r="H8" i="66"/>
  <c r="C7" i="24"/>
  <c r="F7" i="24"/>
  <c r="U6" i="31"/>
  <c r="J3" i="41"/>
  <c r="J3" i="48"/>
  <c r="J3" i="40"/>
  <c r="J3" i="60"/>
  <c r="P20" i="17"/>
  <c r="P20" i="48"/>
  <c r="P20" i="44"/>
  <c r="P20" i="41"/>
  <c r="P20" i="40"/>
  <c r="P20" i="60"/>
  <c r="J22" i="41"/>
  <c r="J22" i="48"/>
  <c r="J22" i="40"/>
  <c r="J22" i="60"/>
  <c r="F17" i="60"/>
  <c r="F17" i="17"/>
  <c r="X45" i="61"/>
  <c r="Y45" i="61"/>
  <c r="O41" i="60"/>
  <c r="V46" i="61"/>
  <c r="W46" i="61"/>
  <c r="X46" i="61"/>
  <c r="Y46" i="61"/>
  <c r="R19" i="38"/>
  <c r="Y3" i="17"/>
  <c r="Y3" i="60"/>
  <c r="Y3" i="40"/>
  <c r="Y3" i="48"/>
  <c r="J3" i="14"/>
  <c r="Y3" i="41"/>
  <c r="H3" i="14"/>
  <c r="E68" i="15"/>
  <c r="P46" i="60"/>
  <c r="P46" i="44"/>
  <c r="P46" i="48"/>
  <c r="P46" i="17"/>
  <c r="P46" i="40"/>
  <c r="P46" i="41"/>
  <c r="H26" i="15"/>
  <c r="J26" i="15"/>
  <c r="K26" i="15"/>
  <c r="E61" i="15"/>
  <c r="R12" i="38"/>
  <c r="F39" i="17"/>
  <c r="Y31" i="48"/>
  <c r="AC31" i="48"/>
  <c r="Y31" i="40"/>
  <c r="AC31" i="40"/>
  <c r="Y31" i="60"/>
  <c r="AC31" i="60"/>
  <c r="J31" i="14"/>
  <c r="L31" i="14"/>
  <c r="N31" i="14"/>
  <c r="P31" i="14"/>
  <c r="Q31" i="14"/>
  <c r="H31" i="14"/>
  <c r="Y31" i="41"/>
  <c r="AC31" i="41"/>
  <c r="Y31" i="17"/>
  <c r="AC31" i="17"/>
  <c r="E62" i="66"/>
  <c r="S68" i="15"/>
  <c r="R68" i="14"/>
  <c r="S68" i="55"/>
  <c r="S68" i="66"/>
  <c r="S68" i="61"/>
  <c r="E53" i="61"/>
  <c r="G53" i="61"/>
  <c r="I61" i="41"/>
  <c r="W61" i="41"/>
  <c r="X32" i="66"/>
  <c r="Y32" i="66"/>
  <c r="P27" i="59"/>
  <c r="V32" i="66"/>
  <c r="W32" i="66"/>
  <c r="P36" i="48"/>
  <c r="P6" i="40"/>
  <c r="P6" i="48"/>
  <c r="P6" i="17"/>
  <c r="P6" i="44"/>
  <c r="P6" i="60"/>
  <c r="P6" i="41"/>
  <c r="AC14" i="15"/>
  <c r="AC41" i="55"/>
  <c r="Y52" i="31"/>
  <c r="Z13" i="31"/>
  <c r="V17" i="61"/>
  <c r="W17" i="61"/>
  <c r="X17" i="61"/>
  <c r="Y17" i="61"/>
  <c r="M5" i="61"/>
  <c r="O5" i="61"/>
  <c r="Q5" i="61"/>
  <c r="R5" i="61"/>
  <c r="G65" i="14"/>
  <c r="H65" i="14"/>
  <c r="G61" i="66"/>
  <c r="H61" i="66"/>
  <c r="P32" i="48"/>
  <c r="P32" i="60"/>
  <c r="P32" i="44"/>
  <c r="P32" i="41"/>
  <c r="P32" i="40"/>
  <c r="P32" i="17"/>
  <c r="P9" i="60"/>
  <c r="P9" i="17"/>
  <c r="K51" i="14"/>
  <c r="P9" i="41"/>
  <c r="P9" i="44"/>
  <c r="P9" i="48"/>
  <c r="P9" i="40"/>
  <c r="J52" i="48"/>
  <c r="X10" i="15"/>
  <c r="Y10" i="15"/>
  <c r="V10" i="15"/>
  <c r="W10" i="15"/>
  <c r="J52" i="41"/>
  <c r="L36" i="14"/>
  <c r="N36" i="14"/>
  <c r="P36" i="14"/>
  <c r="Q36" i="14"/>
  <c r="U36" i="14"/>
  <c r="V36" i="14"/>
  <c r="P4" i="44"/>
  <c r="P4" i="41"/>
  <c r="P4" i="17"/>
  <c r="P4" i="48"/>
  <c r="P4" i="40"/>
  <c r="P4" i="60"/>
  <c r="P36" i="41"/>
  <c r="P10" i="17"/>
  <c r="P10" i="44"/>
  <c r="P10" i="48"/>
  <c r="P10" i="41"/>
  <c r="P10" i="60"/>
  <c r="P10" i="40"/>
  <c r="P36" i="44"/>
  <c r="P36" i="60"/>
  <c r="L4" i="14"/>
  <c r="N4" i="14"/>
  <c r="P4" i="14"/>
  <c r="Q4" i="14"/>
  <c r="Q14" i="40"/>
  <c r="R14" i="40"/>
  <c r="H47" i="55"/>
  <c r="AO42" i="63"/>
  <c r="Y47" i="44"/>
  <c r="AC47" i="44"/>
  <c r="L3" i="15"/>
  <c r="K3" i="14"/>
  <c r="L3" i="66"/>
  <c r="L3" i="61"/>
  <c r="L3" i="55"/>
  <c r="V40" i="61"/>
  <c r="W40" i="61"/>
  <c r="X9" i="15"/>
  <c r="Y9" i="15"/>
  <c r="V12" i="61"/>
  <c r="W12" i="61"/>
  <c r="F51" i="17"/>
  <c r="F68" i="17"/>
  <c r="W68" i="17"/>
  <c r="V17" i="55"/>
  <c r="W17" i="55"/>
  <c r="X17" i="55"/>
  <c r="Y17" i="55"/>
  <c r="J47" i="55"/>
  <c r="K47" i="55"/>
  <c r="V51" i="15"/>
  <c r="W51" i="15"/>
  <c r="X51" i="15"/>
  <c r="Y51" i="15"/>
  <c r="V31" i="61"/>
  <c r="W31" i="61"/>
  <c r="X31" i="61"/>
  <c r="Y31" i="61"/>
  <c r="J52" i="60"/>
  <c r="J42" i="66"/>
  <c r="K42" i="66"/>
  <c r="M42" i="66"/>
  <c r="O42" i="66"/>
  <c r="Q42" i="66"/>
  <c r="R42" i="66"/>
  <c r="H42" i="66"/>
  <c r="Y54" i="44"/>
  <c r="AC54" i="44"/>
  <c r="H54" i="55"/>
  <c r="J54" i="55"/>
  <c r="K54" i="55"/>
  <c r="AC54" i="55"/>
  <c r="H19" i="66"/>
  <c r="J19" i="66"/>
  <c r="K19" i="66"/>
  <c r="M19" i="66"/>
  <c r="O19" i="66"/>
  <c r="Q19" i="66"/>
  <c r="R19" i="66"/>
  <c r="V19" i="66"/>
  <c r="W19" i="66"/>
  <c r="W41" i="14"/>
  <c r="X41" i="14"/>
  <c r="Y41" i="14"/>
  <c r="U41" i="14"/>
  <c r="V41" i="14"/>
  <c r="G62" i="66"/>
  <c r="H62" i="66"/>
  <c r="P53" i="41"/>
  <c r="P53" i="44"/>
  <c r="P53" i="60"/>
  <c r="P53" i="48"/>
  <c r="P53" i="40"/>
  <c r="P53" i="17"/>
  <c r="H47" i="66"/>
  <c r="J47" i="66"/>
  <c r="K47" i="66"/>
  <c r="M47" i="66"/>
  <c r="O47" i="66"/>
  <c r="Q47" i="66"/>
  <c r="R47" i="66"/>
  <c r="X43" i="66"/>
  <c r="Y43" i="66"/>
  <c r="P36" i="59"/>
  <c r="P5" i="40"/>
  <c r="P5" i="48"/>
  <c r="P5" i="41"/>
  <c r="P5" i="17"/>
  <c r="K50" i="14"/>
  <c r="P5" i="60"/>
  <c r="P5" i="44"/>
  <c r="G62" i="15"/>
  <c r="H62" i="15"/>
  <c r="E6" i="38"/>
  <c r="E20" i="38"/>
  <c r="F20" i="38"/>
  <c r="G65" i="55"/>
  <c r="H65" i="55"/>
  <c r="V38" i="66"/>
  <c r="W38" i="66"/>
  <c r="Y33" i="44"/>
  <c r="AC33" i="44"/>
  <c r="H33" i="55"/>
  <c r="AO30" i="63"/>
  <c r="J33" i="55"/>
  <c r="K33" i="55"/>
  <c r="M41" i="15"/>
  <c r="O41" i="15"/>
  <c r="Q41" i="15"/>
  <c r="R41" i="15"/>
  <c r="H37" i="55"/>
  <c r="J37" i="55"/>
  <c r="K37" i="55"/>
  <c r="Y37" i="44"/>
  <c r="AC37" i="44"/>
  <c r="M23" i="55"/>
  <c r="O23" i="55"/>
  <c r="Q23" i="55"/>
  <c r="R23" i="55"/>
  <c r="AC23" i="55"/>
  <c r="V38" i="61"/>
  <c r="W38" i="61"/>
  <c r="X38" i="61"/>
  <c r="Y38" i="61"/>
  <c r="V30" i="66"/>
  <c r="W30" i="66"/>
  <c r="X30" i="66"/>
  <c r="Y30" i="66"/>
  <c r="P25" i="59"/>
  <c r="Y47" i="17"/>
  <c r="AC47" i="17"/>
  <c r="H47" i="14"/>
  <c r="Y47" i="41"/>
  <c r="AC47" i="41"/>
  <c r="Y47" i="60"/>
  <c r="AC47" i="60"/>
  <c r="Y47" i="40"/>
  <c r="AC47" i="40"/>
  <c r="Y47" i="48"/>
  <c r="AC47" i="48"/>
  <c r="J47" i="14"/>
  <c r="L47" i="14"/>
  <c r="N47" i="14"/>
  <c r="P47" i="14"/>
  <c r="Q47" i="14"/>
  <c r="H19" i="61"/>
  <c r="J19" i="61"/>
  <c r="K19" i="61"/>
  <c r="M19" i="61"/>
  <c r="O19" i="61"/>
  <c r="Q19" i="61"/>
  <c r="R19" i="61"/>
  <c r="AC36" i="15"/>
  <c r="M36" i="15"/>
  <c r="O36" i="15"/>
  <c r="Q36" i="15"/>
  <c r="R36" i="15"/>
  <c r="Y19" i="40"/>
  <c r="AC19" i="40"/>
  <c r="J19" i="14"/>
  <c r="L19" i="14"/>
  <c r="N19" i="14"/>
  <c r="P19" i="14"/>
  <c r="Q19" i="14"/>
  <c r="Y19" i="60"/>
  <c r="AC19" i="60"/>
  <c r="Y19" i="41"/>
  <c r="AC19" i="41"/>
  <c r="Y19" i="48"/>
  <c r="AC19" i="48"/>
  <c r="Y19" i="17"/>
  <c r="AC19" i="17"/>
  <c r="H19" i="14"/>
  <c r="G5" i="38"/>
  <c r="Y37" i="40"/>
  <c r="AC37" i="40"/>
  <c r="H37" i="14"/>
  <c r="Y37" i="48"/>
  <c r="AC37" i="48"/>
  <c r="Y37" i="17"/>
  <c r="AC37" i="17"/>
  <c r="Y37" i="41"/>
  <c r="AC37" i="41"/>
  <c r="Y37" i="60"/>
  <c r="AC37" i="60"/>
  <c r="J37" i="14"/>
  <c r="L37" i="14"/>
  <c r="N37" i="14"/>
  <c r="P37" i="14"/>
  <c r="Q37" i="14"/>
  <c r="V32" i="15"/>
  <c r="W32" i="15"/>
  <c r="X32" i="15"/>
  <c r="Y32" i="15"/>
  <c r="X33" i="61"/>
  <c r="Y33" i="61"/>
  <c r="V33" i="61"/>
  <c r="W33" i="61"/>
  <c r="J37" i="66"/>
  <c r="K37" i="66"/>
  <c r="M37" i="66"/>
  <c r="O37" i="66"/>
  <c r="Q37" i="66"/>
  <c r="R37" i="66"/>
  <c r="H37" i="66"/>
  <c r="F37" i="17"/>
  <c r="F61" i="17"/>
  <c r="F41" i="17"/>
  <c r="AC15" i="55"/>
  <c r="M15" i="55"/>
  <c r="O15" i="55"/>
  <c r="Q15" i="55"/>
  <c r="R15" i="55"/>
  <c r="AC43" i="55"/>
  <c r="M43" i="55"/>
  <c r="O43" i="55"/>
  <c r="Q43" i="55"/>
  <c r="R43" i="55"/>
  <c r="J33" i="15"/>
  <c r="K33" i="15"/>
  <c r="H33" i="15"/>
  <c r="M45" i="55"/>
  <c r="O45" i="55"/>
  <c r="Q45" i="55"/>
  <c r="R45" i="55"/>
  <c r="AC45" i="55"/>
  <c r="AC36" i="55"/>
  <c r="M36" i="55"/>
  <c r="O36" i="55"/>
  <c r="Q36" i="55"/>
  <c r="R36" i="55"/>
  <c r="X32" i="61"/>
  <c r="Y32" i="61"/>
  <c r="V32" i="61"/>
  <c r="W32" i="61"/>
  <c r="W30" i="14"/>
  <c r="X30" i="14"/>
  <c r="U30" i="14"/>
  <c r="V30" i="14"/>
  <c r="H19" i="55"/>
  <c r="AO16" i="63"/>
  <c r="J19" i="55"/>
  <c r="K19" i="55"/>
  <c r="Y19" i="44"/>
  <c r="AC19" i="44"/>
  <c r="H54" i="15"/>
  <c r="J54" i="15"/>
  <c r="K54" i="15"/>
  <c r="AC54" i="15"/>
  <c r="V36" i="66"/>
  <c r="W36" i="66"/>
  <c r="X36" i="66"/>
  <c r="Y36" i="66"/>
  <c r="P31" i="59"/>
  <c r="W36" i="14"/>
  <c r="X36" i="14"/>
  <c r="Q11" i="48"/>
  <c r="J19" i="15"/>
  <c r="K19" i="15"/>
  <c r="H19" i="15"/>
  <c r="M38" i="55"/>
  <c r="O38" i="55"/>
  <c r="Q38" i="55"/>
  <c r="R38" i="55"/>
  <c r="AC38" i="55"/>
  <c r="J33" i="66"/>
  <c r="K33" i="66"/>
  <c r="M33" i="66"/>
  <c r="O33" i="66"/>
  <c r="Q33" i="66"/>
  <c r="R33" i="66"/>
  <c r="H33" i="66"/>
  <c r="AC15" i="15"/>
  <c r="M15" i="15"/>
  <c r="O15" i="15"/>
  <c r="Q15" i="15"/>
  <c r="R15" i="15"/>
  <c r="X28" i="61"/>
  <c r="Y28" i="61"/>
  <c r="V28" i="61"/>
  <c r="W28" i="61"/>
  <c r="AC52" i="55"/>
  <c r="G68" i="14"/>
  <c r="H68" i="14"/>
  <c r="H52" i="61"/>
  <c r="J52" i="61"/>
  <c r="M22" i="15"/>
  <c r="O22" i="15"/>
  <c r="Q22" i="15"/>
  <c r="R22" i="15"/>
  <c r="AC22" i="15"/>
  <c r="K52" i="61"/>
  <c r="X21" i="66"/>
  <c r="Y21" i="66"/>
  <c r="P16" i="59"/>
  <c r="V21" i="66"/>
  <c r="W21" i="66"/>
  <c r="X48" i="66"/>
  <c r="Y48" i="66"/>
  <c r="P41" i="59"/>
  <c r="V48" i="66"/>
  <c r="W48" i="66"/>
  <c r="V38" i="15"/>
  <c r="W38" i="15"/>
  <c r="X38" i="15"/>
  <c r="Y38" i="15"/>
  <c r="L25" i="14"/>
  <c r="N25" i="14"/>
  <c r="P25" i="14"/>
  <c r="Q25" i="14"/>
  <c r="J13" i="41"/>
  <c r="J13" i="60"/>
  <c r="J13" i="48"/>
  <c r="J13" i="40"/>
  <c r="X47" i="61"/>
  <c r="Y47" i="61"/>
  <c r="O11" i="41"/>
  <c r="Q11" i="41"/>
  <c r="X43" i="15"/>
  <c r="Y43" i="15"/>
  <c r="V43" i="15"/>
  <c r="W43" i="15"/>
  <c r="V39" i="55"/>
  <c r="W39" i="55"/>
  <c r="X39" i="55"/>
  <c r="Y39" i="55"/>
  <c r="V35" i="61"/>
  <c r="W35" i="61"/>
  <c r="X35" i="61"/>
  <c r="Y35" i="61"/>
  <c r="X41" i="55"/>
  <c r="Y41" i="55"/>
  <c r="Z41" i="55"/>
  <c r="V41" i="55"/>
  <c r="W41" i="55"/>
  <c r="U48" i="14"/>
  <c r="V48" i="14"/>
  <c r="W48" i="14"/>
  <c r="X48" i="14"/>
  <c r="M35" i="55"/>
  <c r="O35" i="55"/>
  <c r="Q35" i="55"/>
  <c r="R35" i="55"/>
  <c r="AC35" i="55"/>
  <c r="AC53" i="15"/>
  <c r="M53" i="15"/>
  <c r="O53" i="15"/>
  <c r="Q53" i="15"/>
  <c r="R53" i="15"/>
  <c r="X12" i="66"/>
  <c r="Y12" i="66"/>
  <c r="P8" i="59"/>
  <c r="W24" i="14"/>
  <c r="X24" i="14"/>
  <c r="U24" i="14"/>
  <c r="V24" i="14"/>
  <c r="U35" i="14"/>
  <c r="V35" i="14"/>
  <c r="W35" i="14"/>
  <c r="X35" i="14"/>
  <c r="V35" i="66"/>
  <c r="W35" i="66"/>
  <c r="X35" i="66"/>
  <c r="Y35" i="66"/>
  <c r="P30" i="59"/>
  <c r="AC12" i="15"/>
  <c r="M12" i="15"/>
  <c r="O12" i="15"/>
  <c r="Q12" i="15"/>
  <c r="R12" i="15"/>
  <c r="U23" i="14"/>
  <c r="V23" i="14"/>
  <c r="W23" i="14"/>
  <c r="X23" i="14"/>
  <c r="G62" i="61"/>
  <c r="H62" i="61"/>
  <c r="AC32" i="55"/>
  <c r="M32" i="55"/>
  <c r="O32" i="55"/>
  <c r="Q32" i="55"/>
  <c r="R32" i="55"/>
  <c r="X35" i="15"/>
  <c r="Y35" i="15"/>
  <c r="V35" i="15"/>
  <c r="W35" i="15"/>
  <c r="M24" i="15"/>
  <c r="O24" i="15"/>
  <c r="Q24" i="15"/>
  <c r="R24" i="15"/>
  <c r="AC24" i="15"/>
  <c r="G62" i="55"/>
  <c r="H62" i="55"/>
  <c r="M14" i="55"/>
  <c r="O14" i="55"/>
  <c r="Q14" i="55"/>
  <c r="R14" i="55"/>
  <c r="W42" i="14"/>
  <c r="X42" i="14"/>
  <c r="U42" i="14"/>
  <c r="V42" i="14"/>
  <c r="V21" i="61"/>
  <c r="W21" i="61"/>
  <c r="X21" i="61"/>
  <c r="Y21" i="61"/>
  <c r="T14" i="60"/>
  <c r="U14" i="60"/>
  <c r="X14" i="60"/>
  <c r="R14" i="60"/>
  <c r="M11" i="15"/>
  <c r="O11" i="15"/>
  <c r="Q11" i="15"/>
  <c r="R11" i="15"/>
  <c r="AC11" i="15"/>
  <c r="V27" i="66"/>
  <c r="W27" i="66"/>
  <c r="X27" i="66"/>
  <c r="Y27" i="66"/>
  <c r="P22" i="59"/>
  <c r="X26" i="61"/>
  <c r="Y26" i="61"/>
  <c r="V26" i="61"/>
  <c r="W26" i="61"/>
  <c r="X30" i="55"/>
  <c r="Y30" i="55"/>
  <c r="V30" i="55"/>
  <c r="W30" i="55"/>
  <c r="X11" i="66"/>
  <c r="Y11" i="66"/>
  <c r="V11" i="66"/>
  <c r="W11" i="66"/>
  <c r="M40" i="15"/>
  <c r="O40" i="15"/>
  <c r="Q40" i="15"/>
  <c r="R40" i="15"/>
  <c r="AC40" i="15"/>
  <c r="K3" i="61"/>
  <c r="X8" i="61"/>
  <c r="Y8" i="61"/>
  <c r="V8" i="61"/>
  <c r="W8" i="61"/>
  <c r="K50" i="66"/>
  <c r="M50" i="66"/>
  <c r="O50" i="66"/>
  <c r="Q50" i="66"/>
  <c r="R50" i="66"/>
  <c r="M5" i="66"/>
  <c r="O5" i="66"/>
  <c r="Q5" i="66"/>
  <c r="R5" i="66"/>
  <c r="T14" i="48"/>
  <c r="U14" i="48"/>
  <c r="X14" i="48"/>
  <c r="R14" i="48"/>
  <c r="X45" i="15"/>
  <c r="Y45" i="15"/>
  <c r="V45" i="15"/>
  <c r="W45" i="15"/>
  <c r="M29" i="15"/>
  <c r="O29" i="15"/>
  <c r="Q29" i="15"/>
  <c r="R29" i="15"/>
  <c r="AC29" i="15"/>
  <c r="AC6" i="15"/>
  <c r="M6" i="15"/>
  <c r="O6" i="15"/>
  <c r="Q6" i="15"/>
  <c r="R6" i="15"/>
  <c r="M25" i="66"/>
  <c r="O25" i="66"/>
  <c r="Q25" i="66"/>
  <c r="R25" i="66"/>
  <c r="K54" i="66"/>
  <c r="M54" i="66"/>
  <c r="O54" i="66"/>
  <c r="Q54" i="66"/>
  <c r="R54" i="66"/>
  <c r="X10" i="61"/>
  <c r="Y10" i="61"/>
  <c r="V10" i="61"/>
  <c r="W10" i="61"/>
  <c r="U7" i="14"/>
  <c r="V7" i="14"/>
  <c r="W7" i="14"/>
  <c r="X7" i="14"/>
  <c r="V34" i="66"/>
  <c r="W34" i="66"/>
  <c r="X34" i="66"/>
  <c r="Y34" i="66"/>
  <c r="P29" i="59"/>
  <c r="X17" i="66"/>
  <c r="Y17" i="66"/>
  <c r="P12" i="59"/>
  <c r="V17" i="66"/>
  <c r="W17" i="66"/>
  <c r="E68" i="61"/>
  <c r="F65" i="17"/>
  <c r="X39" i="66"/>
  <c r="Y39" i="66"/>
  <c r="P33" i="59"/>
  <c r="V39" i="66"/>
  <c r="W39" i="66"/>
  <c r="AC8" i="15"/>
  <c r="M8" i="15"/>
  <c r="O8" i="15"/>
  <c r="Q8" i="15"/>
  <c r="R8" i="15"/>
  <c r="AC31" i="55"/>
  <c r="M31" i="55"/>
  <c r="O31" i="55"/>
  <c r="Q31" i="55"/>
  <c r="R31" i="55"/>
  <c r="X18" i="61"/>
  <c r="Y18" i="61"/>
  <c r="V18" i="61"/>
  <c r="W18" i="61"/>
  <c r="O37" i="44"/>
  <c r="Q37" i="44"/>
  <c r="K4" i="66"/>
  <c r="J68" i="66"/>
  <c r="I68" i="66"/>
  <c r="F54" i="60"/>
  <c r="W68" i="60"/>
  <c r="F53" i="60"/>
  <c r="F51" i="60"/>
  <c r="F37" i="60"/>
  <c r="F41" i="60"/>
  <c r="F10" i="60"/>
  <c r="F4" i="60"/>
  <c r="F50" i="60"/>
  <c r="F11" i="60"/>
  <c r="F14" i="60"/>
  <c r="X37" i="61"/>
  <c r="Y37" i="61"/>
  <c r="V37" i="61"/>
  <c r="W37" i="61"/>
  <c r="U40" i="14"/>
  <c r="V40" i="14"/>
  <c r="W40" i="14"/>
  <c r="X40" i="14"/>
  <c r="W22" i="14"/>
  <c r="X22" i="14"/>
  <c r="U22" i="14"/>
  <c r="V22" i="14"/>
  <c r="J53" i="55"/>
  <c r="K53" i="55"/>
  <c r="Y53" i="44"/>
  <c r="AC53" i="44"/>
  <c r="H53" i="55"/>
  <c r="E61" i="55"/>
  <c r="K4" i="61"/>
  <c r="O37" i="17"/>
  <c r="Q37" i="17"/>
  <c r="V24" i="55"/>
  <c r="W24" i="55"/>
  <c r="X24" i="55"/>
  <c r="Y24" i="55"/>
  <c r="O41" i="44"/>
  <c r="Q41" i="44"/>
  <c r="H18" i="38"/>
  <c r="H53" i="14"/>
  <c r="Y53" i="40"/>
  <c r="AC53" i="40"/>
  <c r="Y53" i="41"/>
  <c r="AC53" i="41"/>
  <c r="Y53" i="17"/>
  <c r="AC53" i="17"/>
  <c r="Y53" i="48"/>
  <c r="AC53" i="48"/>
  <c r="Y53" i="60"/>
  <c r="AC53" i="60"/>
  <c r="J53" i="14"/>
  <c r="L53" i="14"/>
  <c r="N53" i="14"/>
  <c r="P53" i="14"/>
  <c r="Q53" i="14"/>
  <c r="V30" i="15"/>
  <c r="W30" i="15"/>
  <c r="X30" i="15"/>
  <c r="Y30" i="15"/>
  <c r="AC28" i="55"/>
  <c r="M28" i="55"/>
  <c r="O28" i="55"/>
  <c r="Q28" i="55"/>
  <c r="R28" i="55"/>
  <c r="G61" i="55"/>
  <c r="H61" i="55"/>
  <c r="W21" i="14"/>
  <c r="X21" i="14"/>
  <c r="U21" i="14"/>
  <c r="V21" i="14"/>
  <c r="V42" i="15"/>
  <c r="W42" i="15"/>
  <c r="X42" i="15"/>
  <c r="Y42" i="15"/>
  <c r="V8" i="66"/>
  <c r="W8" i="66"/>
  <c r="X8" i="66"/>
  <c r="Y8" i="66"/>
  <c r="P6" i="59"/>
  <c r="O41" i="17"/>
  <c r="Q41" i="17"/>
  <c r="V29" i="61"/>
  <c r="W29" i="61"/>
  <c r="X29" i="61"/>
  <c r="Y29" i="61"/>
  <c r="AC22" i="55"/>
  <c r="M22" i="55"/>
  <c r="O22" i="55"/>
  <c r="Q22" i="55"/>
  <c r="R22" i="55"/>
  <c r="G61" i="14"/>
  <c r="H61" i="14"/>
  <c r="S11" i="38"/>
  <c r="S5" i="38"/>
  <c r="H54" i="61"/>
  <c r="J54" i="61"/>
  <c r="M28" i="15"/>
  <c r="O28" i="15"/>
  <c r="Q28" i="15"/>
  <c r="R28" i="15"/>
  <c r="AC28" i="15"/>
  <c r="AC34" i="55"/>
  <c r="M34" i="55"/>
  <c r="O34" i="55"/>
  <c r="Q34" i="55"/>
  <c r="R34" i="55"/>
  <c r="E61" i="14"/>
  <c r="U9" i="14"/>
  <c r="V9" i="14"/>
  <c r="W9" i="14"/>
  <c r="X9" i="14"/>
  <c r="E12" i="38"/>
  <c r="F12" i="38"/>
  <c r="E19" i="38"/>
  <c r="F19" i="38"/>
  <c r="F5" i="38"/>
  <c r="V18" i="55"/>
  <c r="W18" i="55"/>
  <c r="X18" i="55"/>
  <c r="Y18" i="55"/>
  <c r="E68" i="55"/>
  <c r="X16" i="55"/>
  <c r="Y16" i="55"/>
  <c r="V16" i="55"/>
  <c r="W16" i="55"/>
  <c r="V21" i="15"/>
  <c r="W21" i="15"/>
  <c r="X21" i="15"/>
  <c r="Y21" i="15"/>
  <c r="V26" i="66"/>
  <c r="W26" i="66"/>
  <c r="X26" i="66"/>
  <c r="Y26" i="66"/>
  <c r="P21" i="59"/>
  <c r="AC20" i="55"/>
  <c r="M20" i="55"/>
  <c r="O20" i="55"/>
  <c r="Q20" i="55"/>
  <c r="R20" i="55"/>
  <c r="W16" i="14"/>
  <c r="X16" i="14"/>
  <c r="U16" i="14"/>
  <c r="V16" i="14"/>
  <c r="V18" i="66"/>
  <c r="W18" i="66"/>
  <c r="X18" i="66"/>
  <c r="Y18" i="66"/>
  <c r="P13" i="59"/>
  <c r="U46" i="14"/>
  <c r="V46" i="14"/>
  <c r="W46" i="14"/>
  <c r="X46" i="14"/>
  <c r="T41" i="48"/>
  <c r="U41" i="48"/>
  <c r="X41" i="48"/>
  <c r="R41" i="48"/>
  <c r="T11" i="60"/>
  <c r="U11" i="60"/>
  <c r="X11" i="60"/>
  <c r="R11" i="60"/>
  <c r="X7" i="15"/>
  <c r="Y7" i="15"/>
  <c r="V7" i="15"/>
  <c r="W7" i="15"/>
  <c r="G62" i="14"/>
  <c r="H62" i="14"/>
  <c r="M7" i="55"/>
  <c r="O7" i="55"/>
  <c r="Q7" i="55"/>
  <c r="R7" i="55"/>
  <c r="AC7" i="55"/>
  <c r="J68" i="15"/>
  <c r="I68" i="15"/>
  <c r="K4" i="15"/>
  <c r="Q11" i="40"/>
  <c r="O11" i="40"/>
  <c r="X16" i="15"/>
  <c r="Y16" i="15"/>
  <c r="V16" i="15"/>
  <c r="W16" i="15"/>
  <c r="W11" i="14"/>
  <c r="X11" i="14"/>
  <c r="U11" i="14"/>
  <c r="V11" i="14"/>
  <c r="M48" i="55"/>
  <c r="O48" i="55"/>
  <c r="Q48" i="55"/>
  <c r="R48" i="55"/>
  <c r="AC48" i="55"/>
  <c r="Y51" i="48"/>
  <c r="AC51" i="48"/>
  <c r="H51" i="14"/>
  <c r="J51" i="14"/>
  <c r="L51" i="14"/>
  <c r="N51" i="14"/>
  <c r="P51" i="14"/>
  <c r="Q51" i="14"/>
  <c r="Y51" i="41"/>
  <c r="AC51" i="41"/>
  <c r="Y51" i="17"/>
  <c r="AC51" i="17"/>
  <c r="Y51" i="60"/>
  <c r="AC51" i="60"/>
  <c r="Y51" i="40"/>
  <c r="AC51" i="40"/>
  <c r="V7" i="66"/>
  <c r="W7" i="66"/>
  <c r="X7" i="66"/>
  <c r="Y7" i="66"/>
  <c r="P5" i="59"/>
  <c r="P25" i="40"/>
  <c r="P25" i="48"/>
  <c r="P25" i="44"/>
  <c r="P25" i="17"/>
  <c r="P25" i="41"/>
  <c r="P25" i="60"/>
  <c r="K54" i="14"/>
  <c r="X16" i="66"/>
  <c r="Y16" i="66"/>
  <c r="P11" i="59"/>
  <c r="V16" i="66"/>
  <c r="W16" i="66"/>
  <c r="AC3" i="44"/>
  <c r="X18" i="15"/>
  <c r="Y18" i="15"/>
  <c r="V18" i="15"/>
  <c r="W18" i="15"/>
  <c r="L10" i="14"/>
  <c r="T37" i="60"/>
  <c r="U37" i="60"/>
  <c r="X37" i="60"/>
  <c r="R37" i="60"/>
  <c r="AC34" i="15"/>
  <c r="M34" i="15"/>
  <c r="O34" i="15"/>
  <c r="Q34" i="15"/>
  <c r="R34" i="15"/>
  <c r="M5" i="55"/>
  <c r="O5" i="55"/>
  <c r="Q5" i="55"/>
  <c r="R5" i="55"/>
  <c r="AC5" i="55"/>
  <c r="E62" i="61"/>
  <c r="M9" i="66"/>
  <c r="O9" i="66"/>
  <c r="Q9" i="66"/>
  <c r="R9" i="66"/>
  <c r="K51" i="66"/>
  <c r="M51" i="66"/>
  <c r="O51" i="66"/>
  <c r="Q51" i="66"/>
  <c r="R51" i="66"/>
  <c r="J6" i="60"/>
  <c r="J6" i="41"/>
  <c r="J6" i="48"/>
  <c r="J6" i="40"/>
  <c r="K6" i="40"/>
  <c r="L6" i="40"/>
  <c r="N6" i="40"/>
  <c r="V20" i="61"/>
  <c r="W20" i="61"/>
  <c r="X20" i="61"/>
  <c r="Y20" i="61"/>
  <c r="AC20" i="15"/>
  <c r="M20" i="15"/>
  <c r="O20" i="15"/>
  <c r="Q20" i="15"/>
  <c r="R20" i="15"/>
  <c r="J49" i="48"/>
  <c r="J49" i="41"/>
  <c r="J49" i="40"/>
  <c r="K49" i="40"/>
  <c r="L49" i="40"/>
  <c r="N49" i="40"/>
  <c r="J49" i="60"/>
  <c r="L54" i="15"/>
  <c r="M25" i="15"/>
  <c r="O25" i="15"/>
  <c r="Q25" i="15"/>
  <c r="R25" i="15"/>
  <c r="R41" i="60"/>
  <c r="T41" i="60"/>
  <c r="U41" i="60"/>
  <c r="X41" i="60"/>
  <c r="G61" i="61"/>
  <c r="H61" i="61"/>
  <c r="AC10" i="40"/>
  <c r="M27" i="15"/>
  <c r="O27" i="15"/>
  <c r="Q27" i="15"/>
  <c r="R27" i="15"/>
  <c r="AC27" i="15"/>
  <c r="W6" i="14"/>
  <c r="X6" i="14"/>
  <c r="U6" i="14"/>
  <c r="V6" i="14"/>
  <c r="N4" i="38"/>
  <c r="K3" i="15"/>
  <c r="J62" i="15"/>
  <c r="I62" i="15"/>
  <c r="L54" i="61"/>
  <c r="M40" i="55"/>
  <c r="O40" i="55"/>
  <c r="Q40" i="55"/>
  <c r="R40" i="55"/>
  <c r="AC40" i="55"/>
  <c r="W20" i="14"/>
  <c r="X20" i="14"/>
  <c r="U20" i="14"/>
  <c r="V20" i="14"/>
  <c r="M8" i="55"/>
  <c r="O8" i="55"/>
  <c r="Q8" i="55"/>
  <c r="R8" i="55"/>
  <c r="AC8" i="55"/>
  <c r="K3" i="55"/>
  <c r="W28" i="14"/>
  <c r="X28" i="14"/>
  <c r="U28" i="14"/>
  <c r="V28" i="14"/>
  <c r="O14" i="17"/>
  <c r="Q14" i="17"/>
  <c r="T14" i="41"/>
  <c r="U14" i="41"/>
  <c r="X14" i="41"/>
  <c r="R14" i="41"/>
  <c r="V53" i="66"/>
  <c r="W53" i="66"/>
  <c r="X53" i="66"/>
  <c r="Y53" i="66"/>
  <c r="V46" i="66"/>
  <c r="W46" i="66"/>
  <c r="X46" i="66"/>
  <c r="Y46" i="66"/>
  <c r="P39" i="59"/>
  <c r="V44" i="15"/>
  <c r="W44" i="15"/>
  <c r="X44" i="15"/>
  <c r="Y44" i="15"/>
  <c r="AC26" i="15"/>
  <c r="M26" i="15"/>
  <c r="O26" i="15"/>
  <c r="Q26" i="15"/>
  <c r="R26" i="15"/>
  <c r="Q11" i="44"/>
  <c r="O11" i="44"/>
  <c r="M31" i="15"/>
  <c r="O31" i="15"/>
  <c r="Q31" i="15"/>
  <c r="R31" i="15"/>
  <c r="AC31" i="15"/>
  <c r="V25" i="55"/>
  <c r="W25" i="55"/>
  <c r="X25" i="55"/>
  <c r="Y25" i="55"/>
  <c r="K3" i="66"/>
  <c r="J65" i="66"/>
  <c r="I65" i="66"/>
  <c r="J61" i="66"/>
  <c r="I61" i="66"/>
  <c r="J62" i="66"/>
  <c r="I62" i="66"/>
  <c r="U26" i="14"/>
  <c r="V26" i="14"/>
  <c r="W26" i="14"/>
  <c r="X26" i="14"/>
  <c r="AC10" i="48"/>
  <c r="X10" i="66"/>
  <c r="Y10" i="66"/>
  <c r="P44" i="59"/>
  <c r="V10" i="66"/>
  <c r="W10" i="66"/>
  <c r="M9" i="61"/>
  <c r="O9" i="61"/>
  <c r="Q9" i="61"/>
  <c r="R9" i="61"/>
  <c r="K51" i="61"/>
  <c r="M51" i="61"/>
  <c r="O51" i="61"/>
  <c r="Q51" i="61"/>
  <c r="R51" i="61"/>
  <c r="AC3" i="41"/>
  <c r="Q11" i="17"/>
  <c r="O11" i="17"/>
  <c r="G68" i="55"/>
  <c r="H68" i="55"/>
  <c r="X27" i="61"/>
  <c r="Y27" i="61"/>
  <c r="V27" i="61"/>
  <c r="W27" i="61"/>
  <c r="U27" i="14"/>
  <c r="V27" i="14"/>
  <c r="W27" i="14"/>
  <c r="X27" i="14"/>
  <c r="L54" i="55"/>
  <c r="M27" i="55"/>
  <c r="O27" i="55"/>
  <c r="Q27" i="55"/>
  <c r="R27" i="55"/>
  <c r="AC27" i="55"/>
  <c r="W19" i="14"/>
  <c r="X19" i="14"/>
  <c r="U19" i="14"/>
  <c r="V19" i="14"/>
  <c r="R65" i="14"/>
  <c r="S65" i="61"/>
  <c r="S65" i="55"/>
  <c r="S65" i="15"/>
  <c r="S65" i="66"/>
  <c r="R37" i="48"/>
  <c r="T37" i="48"/>
  <c r="U37" i="48"/>
  <c r="X37" i="48"/>
  <c r="AC11" i="55"/>
  <c r="M11" i="55"/>
  <c r="O11" i="55"/>
  <c r="Q11" i="55"/>
  <c r="R11" i="55"/>
  <c r="H53" i="61"/>
  <c r="J53" i="61"/>
  <c r="L3" i="14"/>
  <c r="J65" i="14"/>
  <c r="I65" i="14"/>
  <c r="AC4" i="44"/>
  <c r="U3" i="31"/>
  <c r="C4" i="24"/>
  <c r="F4" i="24"/>
  <c r="U17" i="14"/>
  <c r="V17" i="14"/>
  <c r="W17" i="14"/>
  <c r="X17" i="14"/>
  <c r="AC10" i="60"/>
  <c r="X44" i="66"/>
  <c r="Y44" i="66"/>
  <c r="P37" i="59"/>
  <c r="V44" i="66"/>
  <c r="W44" i="66"/>
  <c r="M48" i="15"/>
  <c r="O48" i="15"/>
  <c r="Q48" i="15"/>
  <c r="R48" i="15"/>
  <c r="AC48" i="15"/>
  <c r="V42" i="55"/>
  <c r="W42" i="55"/>
  <c r="X42" i="55"/>
  <c r="Y42" i="55"/>
  <c r="S62" i="66"/>
  <c r="S62" i="55"/>
  <c r="S62" i="61"/>
  <c r="R62" i="14"/>
  <c r="S62" i="15"/>
  <c r="M50" i="15"/>
  <c r="O50" i="15"/>
  <c r="Q50" i="15"/>
  <c r="R50" i="15"/>
  <c r="AC50" i="15"/>
  <c r="J51" i="55"/>
  <c r="K51" i="55"/>
  <c r="Y51" i="44"/>
  <c r="AC51" i="44"/>
  <c r="H51" i="55"/>
  <c r="AC10" i="17"/>
  <c r="I6" i="44"/>
  <c r="X6" i="55"/>
  <c r="Y6" i="55"/>
  <c r="V6" i="55"/>
  <c r="W6" i="55"/>
  <c r="V14" i="15"/>
  <c r="W14" i="15"/>
  <c r="X14" i="15"/>
  <c r="Y14" i="15"/>
  <c r="V40" i="66"/>
  <c r="W40" i="66"/>
  <c r="X40" i="66"/>
  <c r="Y40" i="66"/>
  <c r="P34" i="59"/>
  <c r="AC3" i="48"/>
  <c r="AC3" i="40"/>
  <c r="V47" i="15"/>
  <c r="W47" i="15"/>
  <c r="X47" i="15"/>
  <c r="Y47" i="15"/>
  <c r="R5" i="14"/>
  <c r="S5" i="66"/>
  <c r="S5" i="55"/>
  <c r="S5" i="61"/>
  <c r="S5" i="15"/>
  <c r="K4" i="55"/>
  <c r="Q37" i="40"/>
  <c r="O37" i="40"/>
  <c r="X7" i="61"/>
  <c r="Y7" i="61"/>
  <c r="V7" i="61"/>
  <c r="W7" i="61"/>
  <c r="AC21" i="55"/>
  <c r="M21" i="55"/>
  <c r="O21" i="55"/>
  <c r="Q21" i="55"/>
  <c r="R21" i="55"/>
  <c r="U31" i="14"/>
  <c r="V31" i="14"/>
  <c r="W31" i="14"/>
  <c r="X31" i="14"/>
  <c r="AC3" i="60"/>
  <c r="Y65" i="60"/>
  <c r="K53" i="61"/>
  <c r="M53" i="61"/>
  <c r="O53" i="61"/>
  <c r="Q53" i="61"/>
  <c r="R53" i="61"/>
  <c r="M22" i="61"/>
  <c r="O22" i="61"/>
  <c r="Q22" i="61"/>
  <c r="R22" i="61"/>
  <c r="O41" i="40"/>
  <c r="Q41" i="40"/>
  <c r="AC10" i="41"/>
  <c r="U14" i="14"/>
  <c r="V14" i="14"/>
  <c r="W14" i="14"/>
  <c r="X14" i="14"/>
  <c r="F65" i="60"/>
  <c r="T37" i="41"/>
  <c r="U37" i="41"/>
  <c r="X37" i="41"/>
  <c r="R37" i="41"/>
  <c r="W8" i="14"/>
  <c r="X8" i="14"/>
  <c r="U8" i="14"/>
  <c r="V8" i="14"/>
  <c r="V42" i="61"/>
  <c r="W42" i="61"/>
  <c r="X42" i="61"/>
  <c r="Y42" i="61"/>
  <c r="AC3" i="17"/>
  <c r="Y65" i="17"/>
  <c r="AC37" i="15"/>
  <c r="M37" i="15"/>
  <c r="O37" i="15"/>
  <c r="Q37" i="15"/>
  <c r="R37" i="15"/>
  <c r="O14" i="44"/>
  <c r="Q14" i="44"/>
  <c r="T41" i="41"/>
  <c r="U41" i="41"/>
  <c r="X41" i="41"/>
  <c r="R41" i="41"/>
  <c r="F52" i="60"/>
  <c r="M26" i="55"/>
  <c r="O26" i="55"/>
  <c r="Q26" i="55"/>
  <c r="R26" i="55"/>
  <c r="AC26" i="55"/>
  <c r="Y50" i="40"/>
  <c r="AC50" i="40"/>
  <c r="J50" i="14"/>
  <c r="L50" i="14"/>
  <c r="N50" i="14"/>
  <c r="P50" i="14"/>
  <c r="Q50" i="14"/>
  <c r="H50" i="14"/>
  <c r="Y50" i="17"/>
  <c r="AC50" i="17"/>
  <c r="Y50" i="48"/>
  <c r="AC50" i="48"/>
  <c r="Y50" i="60"/>
  <c r="AC50" i="60"/>
  <c r="Y50" i="41"/>
  <c r="AC50" i="41"/>
  <c r="M25" i="61"/>
  <c r="O25" i="61"/>
  <c r="Q25" i="61"/>
  <c r="R25" i="61"/>
  <c r="K54" i="61"/>
  <c r="M17" i="15"/>
  <c r="O17" i="15"/>
  <c r="Q17" i="15"/>
  <c r="R17" i="15"/>
  <c r="AC17" i="15"/>
  <c r="X6" i="61"/>
  <c r="Y6" i="61"/>
  <c r="V6" i="61"/>
  <c r="W6" i="61"/>
  <c r="H50" i="55"/>
  <c r="Y50" i="44"/>
  <c r="AC50" i="44"/>
  <c r="J50" i="55"/>
  <c r="K50" i="55"/>
  <c r="U25" i="14"/>
  <c r="V25" i="14"/>
  <c r="W25" i="14"/>
  <c r="X25" i="14"/>
  <c r="V31" i="66"/>
  <c r="W31" i="66"/>
  <c r="X31" i="66"/>
  <c r="Y31" i="66"/>
  <c r="P26" i="59"/>
  <c r="X29" i="55"/>
  <c r="Y29" i="55"/>
  <c r="V29" i="55"/>
  <c r="W29" i="55"/>
  <c r="X11" i="61"/>
  <c r="Y11" i="61"/>
  <c r="V11" i="61"/>
  <c r="W11" i="61"/>
  <c r="X6" i="66"/>
  <c r="Y6" i="66"/>
  <c r="P4" i="59"/>
  <c r="V6" i="66"/>
  <c r="W6" i="66"/>
  <c r="H54" i="14"/>
  <c r="Y54" i="60"/>
  <c r="AC54" i="60"/>
  <c r="Y54" i="41"/>
  <c r="AC54" i="41"/>
  <c r="Y54" i="17"/>
  <c r="AC54" i="17"/>
  <c r="Y54" i="48"/>
  <c r="AC54" i="48"/>
  <c r="J54" i="14"/>
  <c r="Y54" i="40"/>
  <c r="AC54" i="40"/>
  <c r="M10" i="55"/>
  <c r="O10" i="55"/>
  <c r="Q10" i="55"/>
  <c r="R10" i="55"/>
  <c r="AC10" i="55"/>
  <c r="J51" i="61"/>
  <c r="H51" i="61"/>
  <c r="V22" i="66"/>
  <c r="W22" i="66"/>
  <c r="X22" i="66"/>
  <c r="Y22" i="66"/>
  <c r="P17" i="59"/>
  <c r="X14" i="66"/>
  <c r="Y14" i="66"/>
  <c r="P45" i="59"/>
  <c r="V14" i="66"/>
  <c r="W14" i="66"/>
  <c r="AC9" i="55"/>
  <c r="M9" i="55"/>
  <c r="O9" i="55"/>
  <c r="Q9" i="55"/>
  <c r="R9" i="55"/>
  <c r="G68" i="61"/>
  <c r="H68" i="61"/>
  <c r="L13" i="15"/>
  <c r="Z52" i="31"/>
  <c r="L52" i="66"/>
  <c r="L13" i="55"/>
  <c r="L13" i="61"/>
  <c r="L13" i="66"/>
  <c r="K13" i="14"/>
  <c r="P51" i="41"/>
  <c r="P51" i="48"/>
  <c r="P51" i="40"/>
  <c r="P51" i="60"/>
  <c r="P51" i="44"/>
  <c r="P51" i="17"/>
  <c r="L61" i="66"/>
  <c r="J65" i="61"/>
  <c r="I65" i="61"/>
  <c r="T14" i="40"/>
  <c r="U14" i="40"/>
  <c r="X14" i="40"/>
  <c r="Y65" i="40"/>
  <c r="W4" i="14"/>
  <c r="X4" i="14"/>
  <c r="U4" i="14"/>
  <c r="V4" i="14"/>
  <c r="E13" i="38"/>
  <c r="F13" i="38"/>
  <c r="L54" i="14"/>
  <c r="N54" i="14"/>
  <c r="P54" i="14"/>
  <c r="Q54" i="14"/>
  <c r="J61" i="15"/>
  <c r="I61" i="15"/>
  <c r="AC47" i="55"/>
  <c r="M47" i="55"/>
  <c r="O47" i="55"/>
  <c r="Q47" i="55"/>
  <c r="R47" i="55"/>
  <c r="G6" i="38"/>
  <c r="J65" i="55"/>
  <c r="I65" i="55"/>
  <c r="X19" i="66"/>
  <c r="Y19" i="66"/>
  <c r="P14" i="59"/>
  <c r="Y65" i="48"/>
  <c r="P3" i="41"/>
  <c r="P3" i="17"/>
  <c r="P3" i="48"/>
  <c r="P3" i="44"/>
  <c r="P3" i="40"/>
  <c r="P3" i="60"/>
  <c r="Y65" i="41"/>
  <c r="P50" i="44"/>
  <c r="P50" i="17"/>
  <c r="P50" i="41"/>
  <c r="P50" i="40"/>
  <c r="P50" i="48"/>
  <c r="P50" i="60"/>
  <c r="J61" i="61"/>
  <c r="I61" i="61"/>
  <c r="Y65" i="44"/>
  <c r="V47" i="66"/>
  <c r="W47" i="66"/>
  <c r="X47" i="66"/>
  <c r="Y47" i="66"/>
  <c r="P40" i="59"/>
  <c r="F6" i="38"/>
  <c r="V42" i="66"/>
  <c r="W42" i="66"/>
  <c r="X42" i="66"/>
  <c r="Y42" i="66"/>
  <c r="P35" i="59"/>
  <c r="V15" i="15"/>
  <c r="W15" i="15"/>
  <c r="X15" i="15"/>
  <c r="Y15" i="15"/>
  <c r="AC19" i="55"/>
  <c r="M19" i="55"/>
  <c r="O19" i="55"/>
  <c r="Q19" i="55"/>
  <c r="R19" i="55"/>
  <c r="F61" i="60"/>
  <c r="V33" i="66"/>
  <c r="W33" i="66"/>
  <c r="X33" i="66"/>
  <c r="Y33" i="66"/>
  <c r="P28" i="59"/>
  <c r="V37" i="66"/>
  <c r="W37" i="66"/>
  <c r="X37" i="66"/>
  <c r="Y37" i="66"/>
  <c r="P46" i="59"/>
  <c r="X38" i="55"/>
  <c r="Y38" i="55"/>
  <c r="V38" i="55"/>
  <c r="W38" i="55"/>
  <c r="V36" i="55"/>
  <c r="W36" i="55"/>
  <c r="X36" i="55"/>
  <c r="Y36" i="55"/>
  <c r="V36" i="15"/>
  <c r="W36" i="15"/>
  <c r="X36" i="15"/>
  <c r="Y36" i="15"/>
  <c r="X23" i="55"/>
  <c r="Y23" i="55"/>
  <c r="V23" i="55"/>
  <c r="W23" i="55"/>
  <c r="AC19" i="15"/>
  <c r="M19" i="15"/>
  <c r="O19" i="15"/>
  <c r="Q19" i="15"/>
  <c r="R19" i="15"/>
  <c r="T11" i="48"/>
  <c r="U11" i="48"/>
  <c r="X11" i="48"/>
  <c r="Z11" i="48"/>
  <c r="AB11" i="48"/>
  <c r="AD11" i="48"/>
  <c r="R11" i="48"/>
  <c r="W37" i="14"/>
  <c r="X37" i="14"/>
  <c r="Y37" i="14"/>
  <c r="U37" i="14"/>
  <c r="V37" i="14"/>
  <c r="X19" i="61"/>
  <c r="Y19" i="61"/>
  <c r="V19" i="61"/>
  <c r="W19" i="61"/>
  <c r="AC37" i="55"/>
  <c r="M37" i="55"/>
  <c r="O37" i="55"/>
  <c r="Q37" i="55"/>
  <c r="R37" i="55"/>
  <c r="X45" i="55"/>
  <c r="Y45" i="55"/>
  <c r="V45" i="55"/>
  <c r="W45" i="55"/>
  <c r="AC33" i="15"/>
  <c r="M33" i="15"/>
  <c r="O33" i="15"/>
  <c r="Q33" i="15"/>
  <c r="R33" i="15"/>
  <c r="V41" i="15"/>
  <c r="W41" i="15"/>
  <c r="X41" i="15"/>
  <c r="Y41" i="15"/>
  <c r="Z41" i="15"/>
  <c r="V43" i="55"/>
  <c r="W43" i="55"/>
  <c r="X43" i="55"/>
  <c r="Y43" i="55"/>
  <c r="AC33" i="55"/>
  <c r="M33" i="55"/>
  <c r="O33" i="55"/>
  <c r="Q33" i="55"/>
  <c r="R33" i="55"/>
  <c r="W47" i="14"/>
  <c r="X47" i="14"/>
  <c r="U47" i="14"/>
  <c r="V47" i="14"/>
  <c r="J65" i="15"/>
  <c r="I65" i="15"/>
  <c r="M54" i="61"/>
  <c r="O54" i="61"/>
  <c r="Q54" i="61"/>
  <c r="R54" i="61"/>
  <c r="X54" i="61"/>
  <c r="Y54" i="61"/>
  <c r="X15" i="55"/>
  <c r="Y15" i="55"/>
  <c r="V15" i="55"/>
  <c r="W15" i="55"/>
  <c r="T11" i="41"/>
  <c r="U11" i="41"/>
  <c r="X11" i="41"/>
  <c r="Z11" i="41"/>
  <c r="AB11" i="41"/>
  <c r="AD11" i="41"/>
  <c r="R11" i="41"/>
  <c r="V14" i="55"/>
  <c r="W14" i="55"/>
  <c r="X14" i="55"/>
  <c r="Y14" i="55"/>
  <c r="Z14" i="55"/>
  <c r="J62" i="14"/>
  <c r="I62" i="14"/>
  <c r="S62" i="48"/>
  <c r="V24" i="15"/>
  <c r="W24" i="15"/>
  <c r="X24" i="15"/>
  <c r="Y24" i="15"/>
  <c r="V22" i="15"/>
  <c r="W22" i="15"/>
  <c r="X22" i="15"/>
  <c r="Y22" i="15"/>
  <c r="Y62" i="40"/>
  <c r="V32" i="55"/>
  <c r="W32" i="55"/>
  <c r="X32" i="55"/>
  <c r="Y32" i="55"/>
  <c r="Y61" i="48"/>
  <c r="J62" i="55"/>
  <c r="I62" i="55"/>
  <c r="X53" i="15"/>
  <c r="Y53" i="15"/>
  <c r="V53" i="15"/>
  <c r="W53" i="15"/>
  <c r="J68" i="14"/>
  <c r="I68" i="14"/>
  <c r="S68" i="44"/>
  <c r="J61" i="14"/>
  <c r="I61" i="14"/>
  <c r="S61" i="40"/>
  <c r="Y68" i="48"/>
  <c r="V12" i="15"/>
  <c r="W12" i="15"/>
  <c r="X12" i="15"/>
  <c r="Y12" i="15"/>
  <c r="X35" i="55"/>
  <c r="Y35" i="55"/>
  <c r="V35" i="55"/>
  <c r="W35" i="55"/>
  <c r="O49" i="40"/>
  <c r="Q49" i="40"/>
  <c r="O6" i="40"/>
  <c r="Q6" i="40"/>
  <c r="X26" i="55"/>
  <c r="Y26" i="55"/>
  <c r="V26" i="55"/>
  <c r="W26" i="55"/>
  <c r="X21" i="55"/>
  <c r="Y21" i="55"/>
  <c r="V21" i="55"/>
  <c r="W21" i="55"/>
  <c r="Y61" i="40"/>
  <c r="R11" i="17"/>
  <c r="T11" i="17"/>
  <c r="U11" i="17"/>
  <c r="X11" i="17"/>
  <c r="V25" i="61"/>
  <c r="W25" i="61"/>
  <c r="X25" i="61"/>
  <c r="Y25" i="61"/>
  <c r="X37" i="15"/>
  <c r="Y37" i="15"/>
  <c r="V37" i="15"/>
  <c r="W37" i="15"/>
  <c r="Y14" i="14"/>
  <c r="Y68" i="17"/>
  <c r="Z37" i="60"/>
  <c r="V8" i="15"/>
  <c r="W8" i="15"/>
  <c r="X8" i="15"/>
  <c r="Y8" i="15"/>
  <c r="X29" i="15"/>
  <c r="Y29" i="15"/>
  <c r="V29" i="15"/>
  <c r="W29" i="15"/>
  <c r="X40" i="15"/>
  <c r="Y40" i="15"/>
  <c r="V40" i="15"/>
  <c r="W40" i="15"/>
  <c r="Z14" i="40"/>
  <c r="AB14" i="40"/>
  <c r="AD14" i="40"/>
  <c r="Y61" i="41"/>
  <c r="Y68" i="41"/>
  <c r="X48" i="15"/>
  <c r="Y48" i="15"/>
  <c r="V48" i="15"/>
  <c r="W48" i="15"/>
  <c r="V40" i="55"/>
  <c r="W40" i="55"/>
  <c r="X40" i="55"/>
  <c r="Y40" i="55"/>
  <c r="Y61" i="17"/>
  <c r="T37" i="40"/>
  <c r="U37" i="40"/>
  <c r="X37" i="40"/>
  <c r="R37" i="40"/>
  <c r="M53" i="55"/>
  <c r="O53" i="55"/>
  <c r="Q53" i="55"/>
  <c r="R53" i="55"/>
  <c r="AC53" i="55"/>
  <c r="R41" i="40"/>
  <c r="T41" i="40"/>
  <c r="U41" i="40"/>
  <c r="X41" i="40"/>
  <c r="J68" i="55"/>
  <c r="I68" i="55"/>
  <c r="N3" i="14"/>
  <c r="X51" i="61"/>
  <c r="Y51" i="61"/>
  <c r="V51" i="61"/>
  <c r="W51" i="61"/>
  <c r="R14" i="17"/>
  <c r="T14" i="17"/>
  <c r="U14" i="17"/>
  <c r="X14" i="17"/>
  <c r="S12" i="38"/>
  <c r="T13" i="38"/>
  <c r="T6" i="38"/>
  <c r="M3" i="66"/>
  <c r="K61" i="66"/>
  <c r="K65" i="66"/>
  <c r="K62" i="66"/>
  <c r="V27" i="15"/>
  <c r="W27" i="15"/>
  <c r="X27" i="15"/>
  <c r="Y27" i="15"/>
  <c r="V9" i="61"/>
  <c r="W9" i="61"/>
  <c r="X9" i="61"/>
  <c r="Y9" i="61"/>
  <c r="V31" i="15"/>
  <c r="W31" i="15"/>
  <c r="X31" i="15"/>
  <c r="Y31" i="15"/>
  <c r="V51" i="66"/>
  <c r="W51" i="66"/>
  <c r="X51" i="66"/>
  <c r="Y51" i="66"/>
  <c r="Y11" i="14"/>
  <c r="X28" i="55"/>
  <c r="Y28" i="55"/>
  <c r="V28" i="55"/>
  <c r="W28" i="55"/>
  <c r="N10" i="14"/>
  <c r="X27" i="55"/>
  <c r="Y27" i="55"/>
  <c r="V27" i="55"/>
  <c r="W27" i="55"/>
  <c r="Y68" i="60"/>
  <c r="X22" i="61"/>
  <c r="Y22" i="61"/>
  <c r="V22" i="61"/>
  <c r="W22" i="61"/>
  <c r="V9" i="66"/>
  <c r="W9" i="66"/>
  <c r="X9" i="66"/>
  <c r="Y9" i="66"/>
  <c r="P7" i="59"/>
  <c r="Y62" i="44"/>
  <c r="Z11" i="60"/>
  <c r="V20" i="55"/>
  <c r="W20" i="55"/>
  <c r="X20" i="55"/>
  <c r="Y20" i="55"/>
  <c r="K4" i="38"/>
  <c r="T5" i="38"/>
  <c r="Z14" i="48"/>
  <c r="AB14" i="48"/>
  <c r="AD14" i="48"/>
  <c r="Y62" i="41"/>
  <c r="M54" i="15"/>
  <c r="O54" i="15"/>
  <c r="Q54" i="15"/>
  <c r="R54" i="15"/>
  <c r="Z14" i="41"/>
  <c r="AB14" i="41"/>
  <c r="AD14" i="41"/>
  <c r="M51" i="55"/>
  <c r="O51" i="55"/>
  <c r="Q51" i="55"/>
  <c r="R51" i="55"/>
  <c r="AC51" i="55"/>
  <c r="V53" i="61"/>
  <c r="W53" i="61"/>
  <c r="X53" i="61"/>
  <c r="Y53" i="61"/>
  <c r="X11" i="55"/>
  <c r="Y11" i="55"/>
  <c r="V11" i="55"/>
  <c r="W11" i="55"/>
  <c r="M54" i="55"/>
  <c r="O54" i="55"/>
  <c r="Q54" i="55"/>
  <c r="R54" i="55"/>
  <c r="R11" i="44"/>
  <c r="T11" i="44"/>
  <c r="U11" i="44"/>
  <c r="X11" i="44"/>
  <c r="T41" i="44"/>
  <c r="U41" i="44"/>
  <c r="X41" i="44"/>
  <c r="R41" i="44"/>
  <c r="Z14" i="60"/>
  <c r="V25" i="15"/>
  <c r="W25" i="15"/>
  <c r="X25" i="15"/>
  <c r="Y25" i="15"/>
  <c r="V9" i="55"/>
  <c r="W9" i="55"/>
  <c r="X9" i="55"/>
  <c r="Y9" i="55"/>
  <c r="Y62" i="17"/>
  <c r="AC50" i="55"/>
  <c r="M50" i="55"/>
  <c r="O50" i="55"/>
  <c r="Q50" i="55"/>
  <c r="R50" i="55"/>
  <c r="AC4" i="55"/>
  <c r="K68" i="55"/>
  <c r="M4" i="55"/>
  <c r="Y62" i="48"/>
  <c r="Y61" i="60"/>
  <c r="S50" i="15"/>
  <c r="T50" i="15"/>
  <c r="X50" i="15"/>
  <c r="Y50" i="15"/>
  <c r="T5" i="15"/>
  <c r="X26" i="15"/>
  <c r="Y26" i="15"/>
  <c r="V26" i="15"/>
  <c r="W26" i="15"/>
  <c r="AC3" i="15"/>
  <c r="M3" i="15"/>
  <c r="K62" i="15"/>
  <c r="AC62" i="15"/>
  <c r="H6" i="38"/>
  <c r="K65" i="15"/>
  <c r="K61" i="15"/>
  <c r="Y61" i="44"/>
  <c r="Z41" i="48"/>
  <c r="AB41" i="48"/>
  <c r="AD41" i="48"/>
  <c r="V22" i="55"/>
  <c r="W22" i="55"/>
  <c r="X22" i="55"/>
  <c r="Y22" i="55"/>
  <c r="M4" i="66"/>
  <c r="K68" i="66"/>
  <c r="S65" i="40"/>
  <c r="S65" i="48"/>
  <c r="S65" i="17"/>
  <c r="S65" i="60"/>
  <c r="S65" i="41"/>
  <c r="S65" i="44"/>
  <c r="Y68" i="40"/>
  <c r="X48" i="55"/>
  <c r="Y48" i="55"/>
  <c r="V48" i="55"/>
  <c r="W48" i="55"/>
  <c r="Y62" i="60"/>
  <c r="S50" i="61"/>
  <c r="T50" i="61"/>
  <c r="T5" i="61"/>
  <c r="Z37" i="48"/>
  <c r="AB37" i="48"/>
  <c r="AD37" i="48"/>
  <c r="J61" i="55"/>
  <c r="I61" i="55"/>
  <c r="U53" i="14"/>
  <c r="V53" i="14"/>
  <c r="W53" i="14"/>
  <c r="X53" i="14"/>
  <c r="R37" i="44"/>
  <c r="T37" i="44"/>
  <c r="U37" i="44"/>
  <c r="X37" i="44"/>
  <c r="X54" i="66"/>
  <c r="Y54" i="66"/>
  <c r="V54" i="66"/>
  <c r="W54" i="66"/>
  <c r="X25" i="66"/>
  <c r="Y25" i="66"/>
  <c r="P20" i="59"/>
  <c r="V25" i="66"/>
  <c r="W25" i="66"/>
  <c r="Z41" i="60"/>
  <c r="T11" i="40"/>
  <c r="U11" i="40"/>
  <c r="X11" i="40"/>
  <c r="R11" i="40"/>
  <c r="R37" i="17"/>
  <c r="T37" i="17"/>
  <c r="U37" i="17"/>
  <c r="X37" i="17"/>
  <c r="J62" i="61"/>
  <c r="I62" i="61"/>
  <c r="R50" i="14"/>
  <c r="S50" i="14"/>
  <c r="U50" i="14"/>
  <c r="V50" i="14"/>
  <c r="S5" i="14"/>
  <c r="M3" i="55"/>
  <c r="AC3" i="55"/>
  <c r="K62" i="55"/>
  <c r="AC62" i="55"/>
  <c r="K61" i="55"/>
  <c r="K65" i="55"/>
  <c r="K68" i="15"/>
  <c r="AC68" i="15"/>
  <c r="AC4" i="15"/>
  <c r="M4" i="15"/>
  <c r="X34" i="55"/>
  <c r="Y34" i="55"/>
  <c r="V34" i="55"/>
  <c r="W34" i="55"/>
  <c r="T41" i="17"/>
  <c r="U41" i="17"/>
  <c r="X41" i="17"/>
  <c r="R41" i="17"/>
  <c r="S61" i="17"/>
  <c r="S61" i="41"/>
  <c r="Z37" i="41"/>
  <c r="AB37" i="41"/>
  <c r="AD37" i="41"/>
  <c r="V17" i="15"/>
  <c r="W17" i="15"/>
  <c r="X17" i="15"/>
  <c r="Y17" i="15"/>
  <c r="X10" i="55"/>
  <c r="Y10" i="55"/>
  <c r="V10" i="55"/>
  <c r="W10" i="55"/>
  <c r="Z41" i="41"/>
  <c r="AB41" i="41"/>
  <c r="AD41" i="41"/>
  <c r="Y68" i="44"/>
  <c r="N11" i="38"/>
  <c r="N18" i="38"/>
  <c r="X34" i="15"/>
  <c r="Y34" i="15"/>
  <c r="V34" i="15"/>
  <c r="W34" i="15"/>
  <c r="P54" i="48"/>
  <c r="P54" i="17"/>
  <c r="P54" i="40"/>
  <c r="P54" i="60"/>
  <c r="P54" i="41"/>
  <c r="P54" i="44"/>
  <c r="J68" i="61"/>
  <c r="I68" i="61"/>
  <c r="X31" i="55"/>
  <c r="Y31" i="55"/>
  <c r="V31" i="55"/>
  <c r="W31" i="55"/>
  <c r="X6" i="15"/>
  <c r="Y6" i="15"/>
  <c r="V6" i="15"/>
  <c r="W6" i="15"/>
  <c r="S50" i="55"/>
  <c r="T50" i="55"/>
  <c r="T5" i="55"/>
  <c r="X5" i="55"/>
  <c r="Y5" i="55"/>
  <c r="T5" i="66"/>
  <c r="V5" i="66"/>
  <c r="W5" i="66"/>
  <c r="S50" i="66"/>
  <c r="T50" i="66"/>
  <c r="T68" i="66"/>
  <c r="U68" i="66"/>
  <c r="Z14" i="15"/>
  <c r="R14" i="44"/>
  <c r="T14" i="44"/>
  <c r="U14" i="44"/>
  <c r="X14" i="44"/>
  <c r="X8" i="55"/>
  <c r="Y8" i="55"/>
  <c r="V8" i="55"/>
  <c r="W8" i="55"/>
  <c r="U51" i="14"/>
  <c r="V51" i="14"/>
  <c r="W51" i="14"/>
  <c r="X51" i="14"/>
  <c r="M4" i="61"/>
  <c r="K68" i="61"/>
  <c r="M3" i="61"/>
  <c r="K62" i="61"/>
  <c r="K65" i="61"/>
  <c r="K61" i="61"/>
  <c r="X20" i="15"/>
  <c r="Y20" i="15"/>
  <c r="V20" i="15"/>
  <c r="W20" i="15"/>
  <c r="U54" i="14"/>
  <c r="V54" i="14"/>
  <c r="W54" i="14"/>
  <c r="X54" i="14"/>
  <c r="V7" i="55"/>
  <c r="W7" i="55"/>
  <c r="X7" i="55"/>
  <c r="Y7" i="55"/>
  <c r="X28" i="15"/>
  <c r="Y28" i="15"/>
  <c r="V28" i="15"/>
  <c r="W28" i="15"/>
  <c r="F68" i="60"/>
  <c r="V11" i="15"/>
  <c r="W11" i="15"/>
  <c r="X11" i="15"/>
  <c r="Y11" i="15"/>
  <c r="L61" i="55"/>
  <c r="P65" i="41"/>
  <c r="P65" i="60"/>
  <c r="P13" i="44"/>
  <c r="P65" i="44"/>
  <c r="P13" i="41"/>
  <c r="K52" i="14"/>
  <c r="P13" i="60"/>
  <c r="P13" i="48"/>
  <c r="P13" i="40"/>
  <c r="P65" i="40"/>
  <c r="P13" i="17"/>
  <c r="P65" i="17"/>
  <c r="L13" i="14"/>
  <c r="K65" i="14"/>
  <c r="M13" i="66"/>
  <c r="O13" i="66"/>
  <c r="Q13" i="66"/>
  <c r="R13" i="66"/>
  <c r="L65" i="66"/>
  <c r="L62" i="66"/>
  <c r="P65" i="48"/>
  <c r="L52" i="61"/>
  <c r="L65" i="61"/>
  <c r="M13" i="61"/>
  <c r="O13" i="61"/>
  <c r="Q13" i="61"/>
  <c r="R13" i="61"/>
  <c r="L52" i="55"/>
  <c r="M13" i="55"/>
  <c r="O13" i="55"/>
  <c r="Q13" i="55"/>
  <c r="R13" i="55"/>
  <c r="L65" i="55"/>
  <c r="M52" i="66"/>
  <c r="O52" i="66"/>
  <c r="Q52" i="66"/>
  <c r="R52" i="66"/>
  <c r="L68" i="66"/>
  <c r="L52" i="15"/>
  <c r="M13" i="15"/>
  <c r="O13" i="15"/>
  <c r="Q13" i="15"/>
  <c r="R13" i="15"/>
  <c r="L65" i="15"/>
  <c r="S68" i="48"/>
  <c r="AC65" i="55"/>
  <c r="X47" i="55"/>
  <c r="Y47" i="55"/>
  <c r="V47" i="55"/>
  <c r="W47" i="55"/>
  <c r="S61" i="48"/>
  <c r="T12" i="38"/>
  <c r="S68" i="41"/>
  <c r="V54" i="61"/>
  <c r="W54" i="61"/>
  <c r="S61" i="44"/>
  <c r="S61" i="60"/>
  <c r="S68" i="17"/>
  <c r="S68" i="40"/>
  <c r="S68" i="60"/>
  <c r="V50" i="15"/>
  <c r="W50" i="15"/>
  <c r="AC65" i="15"/>
  <c r="H5" i="38"/>
  <c r="H12" i="38"/>
  <c r="X33" i="15"/>
  <c r="Y33" i="15"/>
  <c r="V33" i="15"/>
  <c r="W33" i="15"/>
  <c r="V37" i="55"/>
  <c r="W37" i="55"/>
  <c r="X37" i="55"/>
  <c r="Y37" i="55"/>
  <c r="Z37" i="55"/>
  <c r="X33" i="55"/>
  <c r="Y33" i="55"/>
  <c r="V33" i="55"/>
  <c r="W33" i="55"/>
  <c r="V19" i="55"/>
  <c r="W19" i="55"/>
  <c r="X19" i="55"/>
  <c r="Y19" i="55"/>
  <c r="S62" i="40"/>
  <c r="V19" i="15"/>
  <c r="W19" i="15"/>
  <c r="X19" i="15"/>
  <c r="Y19" i="15"/>
  <c r="S62" i="44"/>
  <c r="S62" i="41"/>
  <c r="S62" i="17"/>
  <c r="AC68" i="55"/>
  <c r="S62" i="60"/>
  <c r="J5" i="17"/>
  <c r="T61" i="15"/>
  <c r="U61" i="15"/>
  <c r="T65" i="15"/>
  <c r="U65" i="15"/>
  <c r="T62" i="15"/>
  <c r="U62" i="15"/>
  <c r="X5" i="15"/>
  <c r="Y5" i="15"/>
  <c r="V5" i="15"/>
  <c r="W5" i="15"/>
  <c r="X5" i="66"/>
  <c r="Y5" i="66"/>
  <c r="P3" i="59"/>
  <c r="P3" i="14"/>
  <c r="Q3" i="14"/>
  <c r="T5" i="14"/>
  <c r="S65" i="14"/>
  <c r="T65" i="14"/>
  <c r="S62" i="14"/>
  <c r="T62" i="14"/>
  <c r="S61" i="14"/>
  <c r="T61" i="14"/>
  <c r="W5" i="14"/>
  <c r="X5" i="14"/>
  <c r="U5" i="14"/>
  <c r="V5" i="14"/>
  <c r="J50" i="17"/>
  <c r="T68" i="15"/>
  <c r="U68" i="15"/>
  <c r="Z11" i="55"/>
  <c r="T50" i="14"/>
  <c r="S68" i="14"/>
  <c r="T68" i="14"/>
  <c r="W50" i="14"/>
  <c r="X50" i="14"/>
  <c r="Z41" i="40"/>
  <c r="AB41" i="40"/>
  <c r="AD41" i="40"/>
  <c r="Z41" i="44"/>
  <c r="AB41" i="44"/>
  <c r="AD41" i="44"/>
  <c r="I50" i="44"/>
  <c r="T68" i="55"/>
  <c r="O4" i="15"/>
  <c r="Z37" i="44"/>
  <c r="AB37" i="44"/>
  <c r="AD37" i="44"/>
  <c r="O4" i="55"/>
  <c r="X51" i="55"/>
  <c r="Y51" i="55"/>
  <c r="V51" i="55"/>
  <c r="W51" i="55"/>
  <c r="T65" i="66"/>
  <c r="U65" i="66"/>
  <c r="T62" i="66"/>
  <c r="U62" i="66"/>
  <c r="T61" i="66"/>
  <c r="U61" i="66"/>
  <c r="X53" i="55"/>
  <c r="Y53" i="55"/>
  <c r="V53" i="55"/>
  <c r="W53" i="55"/>
  <c r="V5" i="55"/>
  <c r="W5" i="55"/>
  <c r="Z37" i="17"/>
  <c r="Z11" i="44"/>
  <c r="AB11" i="44"/>
  <c r="AD11" i="44"/>
  <c r="K11" i="38"/>
  <c r="V50" i="66"/>
  <c r="W50" i="66"/>
  <c r="O4" i="61"/>
  <c r="Z14" i="44"/>
  <c r="AB14" i="44"/>
  <c r="AD14" i="44"/>
  <c r="H13" i="38"/>
  <c r="I6" i="38"/>
  <c r="X50" i="55"/>
  <c r="Y50" i="55"/>
  <c r="V50" i="55"/>
  <c r="W50" i="55"/>
  <c r="P10" i="14"/>
  <c r="Q10" i="14"/>
  <c r="Z37" i="15"/>
  <c r="O3" i="15"/>
  <c r="M65" i="15"/>
  <c r="V54" i="55"/>
  <c r="W54" i="55"/>
  <c r="X54" i="55"/>
  <c r="Y54" i="55"/>
  <c r="J5" i="38"/>
  <c r="J6" i="38"/>
  <c r="Z14" i="17"/>
  <c r="X54" i="15"/>
  <c r="Y54" i="15"/>
  <c r="V54" i="15"/>
  <c r="W54" i="15"/>
  <c r="Z37" i="40"/>
  <c r="AB37" i="40"/>
  <c r="AD37" i="40"/>
  <c r="Z11" i="40"/>
  <c r="AB11" i="40"/>
  <c r="AD11" i="40"/>
  <c r="AG11" i="60"/>
  <c r="AB11" i="60"/>
  <c r="AD11" i="60"/>
  <c r="AI11" i="60"/>
  <c r="T6" i="40"/>
  <c r="U6" i="40"/>
  <c r="X6" i="40"/>
  <c r="R6" i="40"/>
  <c r="Z11" i="17"/>
  <c r="Z11" i="15"/>
  <c r="O3" i="61"/>
  <c r="M61" i="61"/>
  <c r="M62" i="61"/>
  <c r="M65" i="61"/>
  <c r="T65" i="55"/>
  <c r="T61" i="55"/>
  <c r="T62" i="55"/>
  <c r="I5" i="44"/>
  <c r="X50" i="66"/>
  <c r="Y50" i="66"/>
  <c r="AB37" i="60"/>
  <c r="AD37" i="60"/>
  <c r="AI37" i="60"/>
  <c r="AG37" i="60"/>
  <c r="R49" i="40"/>
  <c r="T49" i="40"/>
  <c r="U49" i="40"/>
  <c r="X49" i="40"/>
  <c r="AG41" i="60"/>
  <c r="AI41" i="60"/>
  <c r="AB41" i="60"/>
  <c r="AD41" i="60"/>
  <c r="Z41" i="17"/>
  <c r="T65" i="61"/>
  <c r="U65" i="61"/>
  <c r="T61" i="61"/>
  <c r="U61" i="61"/>
  <c r="T62" i="61"/>
  <c r="U62" i="61"/>
  <c r="V5" i="61"/>
  <c r="W5" i="61"/>
  <c r="X5" i="61"/>
  <c r="Y5" i="61"/>
  <c r="O3" i="66"/>
  <c r="M61" i="66"/>
  <c r="M62" i="66"/>
  <c r="M65" i="66"/>
  <c r="O3" i="55"/>
  <c r="M65" i="55"/>
  <c r="T68" i="61"/>
  <c r="U68" i="61"/>
  <c r="X50" i="61"/>
  <c r="Y50" i="61"/>
  <c r="V50" i="61"/>
  <c r="W50" i="61"/>
  <c r="M68" i="66"/>
  <c r="O4" i="66"/>
  <c r="AI14" i="60"/>
  <c r="AB14" i="60"/>
  <c r="AD14" i="60"/>
  <c r="AG14" i="60"/>
  <c r="P62" i="60"/>
  <c r="M52" i="15"/>
  <c r="L61" i="15"/>
  <c r="L68" i="15"/>
  <c r="L62" i="15"/>
  <c r="X52" i="66"/>
  <c r="Y52" i="66"/>
  <c r="V52" i="66"/>
  <c r="W52" i="66"/>
  <c r="V13" i="15"/>
  <c r="W13" i="15"/>
  <c r="X13" i="15"/>
  <c r="Y13" i="15"/>
  <c r="P52" i="60"/>
  <c r="P52" i="48"/>
  <c r="P52" i="41"/>
  <c r="P62" i="41"/>
  <c r="P52" i="40"/>
  <c r="P52" i="17"/>
  <c r="L52" i="14"/>
  <c r="P52" i="44"/>
  <c r="K62" i="14"/>
  <c r="K68" i="14"/>
  <c r="K61" i="14"/>
  <c r="N13" i="14"/>
  <c r="L65" i="14"/>
  <c r="L61" i="14"/>
  <c r="M52" i="55"/>
  <c r="L68" i="55"/>
  <c r="L62" i="55"/>
  <c r="X13" i="55"/>
  <c r="Y13" i="55"/>
  <c r="V13" i="55"/>
  <c r="W13" i="55"/>
  <c r="X13" i="61"/>
  <c r="Y13" i="61"/>
  <c r="V13" i="61"/>
  <c r="W13" i="61"/>
  <c r="L68" i="61"/>
  <c r="L61" i="61"/>
  <c r="M52" i="61"/>
  <c r="V13" i="66"/>
  <c r="W13" i="66"/>
  <c r="X13" i="66"/>
  <c r="Y13" i="66"/>
  <c r="P9" i="59"/>
  <c r="L62" i="61"/>
  <c r="I5" i="38"/>
  <c r="Q3" i="66"/>
  <c r="R3" i="66"/>
  <c r="O65" i="66"/>
  <c r="Q65" i="66"/>
  <c r="O62" i="66"/>
  <c r="Q62" i="66"/>
  <c r="O61" i="66"/>
  <c r="Q61" i="66"/>
  <c r="AI11" i="17"/>
  <c r="AB11" i="17"/>
  <c r="AD11" i="17"/>
  <c r="AG11" i="17"/>
  <c r="Q4" i="55"/>
  <c r="R4" i="55"/>
  <c r="U3" i="14"/>
  <c r="W3" i="14"/>
  <c r="H20" i="38"/>
  <c r="I20" i="38"/>
  <c r="I13" i="38"/>
  <c r="O68" i="66"/>
  <c r="Q68" i="66"/>
  <c r="Q4" i="66"/>
  <c r="R4" i="66"/>
  <c r="Z6" i="40"/>
  <c r="AB6" i="40"/>
  <c r="AD6" i="40"/>
  <c r="J68" i="41"/>
  <c r="J68" i="17"/>
  <c r="I68" i="44"/>
  <c r="J68" i="48"/>
  <c r="J68" i="60"/>
  <c r="J68" i="40"/>
  <c r="AI41" i="17"/>
  <c r="AB41" i="17"/>
  <c r="AD41" i="17"/>
  <c r="AG41" i="17"/>
  <c r="AI14" i="17"/>
  <c r="AG14" i="17"/>
  <c r="AB14" i="17"/>
  <c r="AD14" i="17"/>
  <c r="I62" i="44"/>
  <c r="K62" i="44"/>
  <c r="L62" i="44"/>
  <c r="J62" i="60"/>
  <c r="K62" i="60"/>
  <c r="L62" i="60"/>
  <c r="J62" i="40"/>
  <c r="K62" i="40"/>
  <c r="L62" i="40"/>
  <c r="J62" i="48"/>
  <c r="K62" i="48"/>
  <c r="L62" i="48"/>
  <c r="J62" i="17"/>
  <c r="K62" i="17"/>
  <c r="L62" i="17"/>
  <c r="J62" i="41"/>
  <c r="K62" i="41"/>
  <c r="L62" i="41"/>
  <c r="U10" i="14"/>
  <c r="W10" i="14"/>
  <c r="Q3" i="15"/>
  <c r="R3" i="15"/>
  <c r="O65" i="15"/>
  <c r="Q65" i="15"/>
  <c r="J65" i="17"/>
  <c r="I65" i="44"/>
  <c r="J65" i="41"/>
  <c r="J65" i="60"/>
  <c r="J65" i="40"/>
  <c r="J65" i="48"/>
  <c r="K18" i="38"/>
  <c r="O65" i="55"/>
  <c r="Q65" i="55"/>
  <c r="Q3" i="55"/>
  <c r="R3" i="55"/>
  <c r="Q4" i="15"/>
  <c r="R4" i="15"/>
  <c r="H19" i="38"/>
  <c r="I19" i="38"/>
  <c r="I12" i="38"/>
  <c r="J50" i="48"/>
  <c r="J50" i="41"/>
  <c r="J50" i="40"/>
  <c r="J50" i="60"/>
  <c r="J5" i="40"/>
  <c r="J5" i="60"/>
  <c r="J5" i="48"/>
  <c r="J5" i="41"/>
  <c r="Q4" i="61"/>
  <c r="R4" i="61"/>
  <c r="AG37" i="17"/>
  <c r="AI37" i="17"/>
  <c r="AB37" i="17"/>
  <c r="AD37" i="17"/>
  <c r="Z49" i="40"/>
  <c r="AB49" i="40"/>
  <c r="AD49" i="40"/>
  <c r="O61" i="61"/>
  <c r="Q61" i="61"/>
  <c r="O65" i="61"/>
  <c r="Q65" i="61"/>
  <c r="O62" i="61"/>
  <c r="Q62" i="61"/>
  <c r="Q3" i="61"/>
  <c r="R3" i="61"/>
  <c r="N52" i="14"/>
  <c r="N61" i="14"/>
  <c r="L68" i="14"/>
  <c r="P62" i="17"/>
  <c r="P61" i="17"/>
  <c r="P68" i="17"/>
  <c r="P68" i="48"/>
  <c r="P62" i="48"/>
  <c r="P61" i="48"/>
  <c r="P61" i="41"/>
  <c r="P68" i="41"/>
  <c r="P61" i="60"/>
  <c r="P68" i="60"/>
  <c r="O52" i="55"/>
  <c r="M68" i="55"/>
  <c r="M62" i="55"/>
  <c r="M61" i="55"/>
  <c r="O52" i="61"/>
  <c r="M68" i="61"/>
  <c r="P62" i="40"/>
  <c r="P68" i="40"/>
  <c r="L62" i="14"/>
  <c r="P13" i="14"/>
  <c r="Q13" i="14"/>
  <c r="N65" i="14"/>
  <c r="P61" i="40"/>
  <c r="O52" i="15"/>
  <c r="M68" i="15"/>
  <c r="M62" i="15"/>
  <c r="M61" i="15"/>
  <c r="P62" i="44"/>
  <c r="P68" i="44"/>
  <c r="P61" i="44"/>
  <c r="N65" i="55"/>
  <c r="N61" i="66"/>
  <c r="N61" i="61"/>
  <c r="N65" i="61"/>
  <c r="V3" i="14"/>
  <c r="N65" i="15"/>
  <c r="X4" i="66"/>
  <c r="V4" i="66"/>
  <c r="R68" i="66"/>
  <c r="X3" i="61"/>
  <c r="V3" i="61"/>
  <c r="R65" i="61"/>
  <c r="N65" i="66"/>
  <c r="X3" i="15"/>
  <c r="R65" i="15"/>
  <c r="V3" i="15"/>
  <c r="N68" i="66"/>
  <c r="V4" i="61"/>
  <c r="X4" i="61"/>
  <c r="N62" i="61"/>
  <c r="X3" i="14"/>
  <c r="V3" i="55"/>
  <c r="X3" i="55"/>
  <c r="R65" i="55"/>
  <c r="N62" i="66"/>
  <c r="X10" i="14"/>
  <c r="V10" i="14"/>
  <c r="X4" i="15"/>
  <c r="V4" i="15"/>
  <c r="R62" i="66"/>
  <c r="R65" i="66"/>
  <c r="R61" i="66"/>
  <c r="V3" i="66"/>
  <c r="X3" i="66"/>
  <c r="V4" i="55"/>
  <c r="X4" i="55"/>
  <c r="P61" i="14"/>
  <c r="M61" i="14"/>
  <c r="N68" i="55"/>
  <c r="Q52" i="55"/>
  <c r="R52" i="55"/>
  <c r="O68" i="55"/>
  <c r="Q68" i="55"/>
  <c r="O61" i="55"/>
  <c r="O62" i="55"/>
  <c r="Q62" i="55"/>
  <c r="P65" i="14"/>
  <c r="M65" i="14"/>
  <c r="N62" i="14"/>
  <c r="P62" i="14"/>
  <c r="Q52" i="15"/>
  <c r="R52" i="15"/>
  <c r="O68" i="15"/>
  <c r="O61" i="15"/>
  <c r="Q61" i="15"/>
  <c r="O62" i="15"/>
  <c r="Q62" i="15"/>
  <c r="W13" i="14"/>
  <c r="U13" i="14"/>
  <c r="Q65" i="14"/>
  <c r="Q52" i="61"/>
  <c r="R52" i="61"/>
  <c r="O68" i="61"/>
  <c r="Q68" i="61"/>
  <c r="P52" i="14"/>
  <c r="Q52" i="14"/>
  <c r="N68" i="14"/>
  <c r="P68" i="14"/>
  <c r="Y3" i="61"/>
  <c r="X65" i="61"/>
  <c r="Y65" i="61"/>
  <c r="Y4" i="61"/>
  <c r="W4" i="55"/>
  <c r="X65" i="66"/>
  <c r="Y65" i="66"/>
  <c r="Y3" i="66"/>
  <c r="P2" i="59"/>
  <c r="X61" i="66"/>
  <c r="Y61" i="66"/>
  <c r="X62" i="66"/>
  <c r="Y62" i="66"/>
  <c r="W3" i="61"/>
  <c r="V65" i="61"/>
  <c r="W65" i="61"/>
  <c r="W3" i="66"/>
  <c r="V65" i="66"/>
  <c r="W65" i="66"/>
  <c r="V62" i="66"/>
  <c r="W62" i="66"/>
  <c r="V61" i="66"/>
  <c r="W61" i="66"/>
  <c r="W4" i="61"/>
  <c r="W4" i="15"/>
  <c r="Y3" i="55"/>
  <c r="X65" i="55"/>
  <c r="Y65" i="55"/>
  <c r="Y4" i="15"/>
  <c r="W3" i="55"/>
  <c r="V65" i="55"/>
  <c r="W65" i="55"/>
  <c r="W3" i="15"/>
  <c r="V65" i="15"/>
  <c r="W65" i="15"/>
  <c r="W4" i="66"/>
  <c r="V68" i="66"/>
  <c r="W68" i="66"/>
  <c r="X68" i="66"/>
  <c r="Y68" i="66"/>
  <c r="Y4" i="66"/>
  <c r="P43" i="59"/>
  <c r="X65" i="15"/>
  <c r="Y65" i="15"/>
  <c r="Y3" i="15"/>
  <c r="Y4" i="55"/>
  <c r="X52" i="15"/>
  <c r="V52" i="15"/>
  <c r="R68" i="15"/>
  <c r="R61" i="15"/>
  <c r="R62" i="15"/>
  <c r="M65" i="41"/>
  <c r="M65" i="48"/>
  <c r="M65" i="60"/>
  <c r="M65" i="40"/>
  <c r="M65" i="17"/>
  <c r="M65" i="44"/>
  <c r="V52" i="61"/>
  <c r="X52" i="61"/>
  <c r="R62" i="61"/>
  <c r="R68" i="61"/>
  <c r="R61" i="61"/>
  <c r="Q61" i="55"/>
  <c r="N61" i="55"/>
  <c r="W52" i="14"/>
  <c r="U52" i="14"/>
  <c r="Q68" i="14"/>
  <c r="M68" i="14"/>
  <c r="M62" i="14"/>
  <c r="V52" i="55"/>
  <c r="X52" i="55"/>
  <c r="R68" i="55"/>
  <c r="R62" i="55"/>
  <c r="R61" i="55"/>
  <c r="Q68" i="15"/>
  <c r="N68" i="15"/>
  <c r="Q61" i="14"/>
  <c r="N62" i="15"/>
  <c r="Q62" i="14"/>
  <c r="N62" i="55"/>
  <c r="V13" i="14"/>
  <c r="U61" i="14"/>
  <c r="V61" i="14"/>
  <c r="U65" i="14"/>
  <c r="V65" i="14"/>
  <c r="U62" i="14"/>
  <c r="N68" i="61"/>
  <c r="X13" i="14"/>
  <c r="W65" i="14"/>
  <c r="X65" i="14"/>
  <c r="W61" i="14"/>
  <c r="X61" i="14"/>
  <c r="W62" i="14"/>
  <c r="X62" i="14"/>
  <c r="N61" i="15"/>
  <c r="M61" i="60"/>
  <c r="M61" i="17"/>
  <c r="M61" i="40"/>
  <c r="M61" i="41"/>
  <c r="M61" i="44"/>
  <c r="M61" i="48"/>
  <c r="D28" i="44"/>
  <c r="G28" i="44"/>
  <c r="K28" i="44"/>
  <c r="L28" i="44"/>
  <c r="N28" i="44"/>
  <c r="D27" i="44"/>
  <c r="G27" i="44"/>
  <c r="K27" i="44"/>
  <c r="L27" i="44"/>
  <c r="N27" i="44"/>
  <c r="D44" i="44"/>
  <c r="G44" i="44"/>
  <c r="K44" i="44"/>
  <c r="L44" i="44"/>
  <c r="N44" i="44"/>
  <c r="D49" i="44"/>
  <c r="G49" i="44"/>
  <c r="K49" i="44"/>
  <c r="L49" i="44"/>
  <c r="N49" i="44"/>
  <c r="D17" i="44"/>
  <c r="G17" i="44"/>
  <c r="K17" i="44"/>
  <c r="L17" i="44"/>
  <c r="N17" i="44"/>
  <c r="D7" i="44"/>
  <c r="G7" i="44"/>
  <c r="K7" i="44"/>
  <c r="L7" i="44"/>
  <c r="N7" i="44"/>
  <c r="D39" i="44"/>
  <c r="G39" i="44"/>
  <c r="K39" i="44"/>
  <c r="L39" i="44"/>
  <c r="N39" i="44"/>
  <c r="D40" i="44"/>
  <c r="G40" i="44"/>
  <c r="K40" i="44"/>
  <c r="L40" i="44"/>
  <c r="N40" i="44"/>
  <c r="D48" i="44"/>
  <c r="G48" i="44"/>
  <c r="K48" i="44"/>
  <c r="L48" i="44"/>
  <c r="N48" i="44"/>
  <c r="D9" i="44"/>
  <c r="G9" i="44"/>
  <c r="K9" i="44"/>
  <c r="L9" i="44"/>
  <c r="N9" i="44"/>
  <c r="D24" i="44"/>
  <c r="G24" i="44"/>
  <c r="K24" i="44"/>
  <c r="L24" i="44"/>
  <c r="N24" i="44"/>
  <c r="D38" i="44"/>
  <c r="G38" i="44"/>
  <c r="K38" i="44"/>
  <c r="L38" i="44"/>
  <c r="N38" i="44"/>
  <c r="D23" i="44"/>
  <c r="G23" i="44"/>
  <c r="K23" i="44"/>
  <c r="L23" i="44"/>
  <c r="N23" i="44"/>
  <c r="D31" i="44"/>
  <c r="G31" i="44"/>
  <c r="K31" i="44"/>
  <c r="L31" i="44"/>
  <c r="N31" i="44"/>
  <c r="D5" i="44"/>
  <c r="G5" i="44"/>
  <c r="K5" i="44"/>
  <c r="L5" i="44"/>
  <c r="N5" i="44"/>
  <c r="D34" i="44"/>
  <c r="G34" i="44"/>
  <c r="K34" i="44"/>
  <c r="L34" i="44"/>
  <c r="N34" i="44"/>
  <c r="D25" i="44"/>
  <c r="G25" i="44"/>
  <c r="K25" i="44"/>
  <c r="L25" i="44"/>
  <c r="N25" i="44"/>
  <c r="D36" i="44"/>
  <c r="G36" i="44"/>
  <c r="K36" i="44"/>
  <c r="L36" i="44"/>
  <c r="N36" i="44"/>
  <c r="D43" i="44"/>
  <c r="G43" i="44"/>
  <c r="K43" i="44"/>
  <c r="L43" i="44"/>
  <c r="N43" i="44"/>
  <c r="D20" i="44"/>
  <c r="G20" i="44"/>
  <c r="K20" i="44"/>
  <c r="L20" i="44"/>
  <c r="N20" i="44"/>
  <c r="D19" i="44"/>
  <c r="G19" i="44"/>
  <c r="K19" i="44"/>
  <c r="L19" i="44"/>
  <c r="N19" i="44"/>
  <c r="D16" i="44"/>
  <c r="G16" i="44"/>
  <c r="K16" i="44"/>
  <c r="L16" i="44"/>
  <c r="N16" i="44"/>
  <c r="D8" i="44"/>
  <c r="G8" i="44"/>
  <c r="K8" i="44"/>
  <c r="L8" i="44"/>
  <c r="N8" i="44"/>
  <c r="D33" i="44"/>
  <c r="G33" i="44"/>
  <c r="K33" i="44"/>
  <c r="L33" i="44"/>
  <c r="N33" i="44"/>
  <c r="D45" i="44"/>
  <c r="G45" i="44"/>
  <c r="K45" i="44"/>
  <c r="L45" i="44"/>
  <c r="N45" i="44"/>
  <c r="D30" i="44"/>
  <c r="G30" i="44"/>
  <c r="K30" i="44"/>
  <c r="L30" i="44"/>
  <c r="N30" i="44"/>
  <c r="D18" i="44"/>
  <c r="G18" i="44"/>
  <c r="K18" i="44"/>
  <c r="L18" i="44"/>
  <c r="N18" i="44"/>
  <c r="D15" i="44"/>
  <c r="G15" i="44"/>
  <c r="K15" i="44"/>
  <c r="L15" i="44"/>
  <c r="N15" i="44"/>
  <c r="D22" i="44"/>
  <c r="G22" i="44"/>
  <c r="K22" i="44"/>
  <c r="L22" i="44"/>
  <c r="N22" i="44"/>
  <c r="D12" i="44"/>
  <c r="G12" i="44"/>
  <c r="K12" i="44"/>
  <c r="L12" i="44"/>
  <c r="N12" i="44"/>
  <c r="D3" i="44"/>
  <c r="D46" i="44"/>
  <c r="G46" i="44"/>
  <c r="K46" i="44"/>
  <c r="L46" i="44"/>
  <c r="N46" i="44"/>
  <c r="D21" i="44"/>
  <c r="G21" i="44"/>
  <c r="K21" i="44"/>
  <c r="L21" i="44"/>
  <c r="N21" i="44"/>
  <c r="D42" i="44"/>
  <c r="G42" i="44"/>
  <c r="K42" i="44"/>
  <c r="L42" i="44"/>
  <c r="N42" i="44"/>
  <c r="D35" i="44"/>
  <c r="G35" i="44"/>
  <c r="K35" i="44"/>
  <c r="L35" i="44"/>
  <c r="N35" i="44"/>
  <c r="Z44" i="55"/>
  <c r="AP39" i="63"/>
  <c r="D26" i="44"/>
  <c r="G26" i="44"/>
  <c r="K26" i="44"/>
  <c r="L26" i="44"/>
  <c r="N26" i="44"/>
  <c r="D47" i="44"/>
  <c r="G47" i="44"/>
  <c r="K47" i="44"/>
  <c r="L47" i="44"/>
  <c r="N47" i="44"/>
  <c r="D32" i="44"/>
  <c r="G32" i="44"/>
  <c r="K32" i="44"/>
  <c r="L32" i="44"/>
  <c r="N32" i="44"/>
  <c r="D13" i="44"/>
  <c r="G13" i="44"/>
  <c r="K13" i="44"/>
  <c r="L13" i="44"/>
  <c r="N13" i="44"/>
  <c r="D29" i="44"/>
  <c r="G29" i="44"/>
  <c r="K29" i="44"/>
  <c r="L29" i="44"/>
  <c r="N29" i="44"/>
  <c r="D6" i="44"/>
  <c r="G6" i="44"/>
  <c r="K6" i="44"/>
  <c r="L6" i="44"/>
  <c r="N6" i="44"/>
  <c r="Z35" i="55"/>
  <c r="AP32" i="63"/>
  <c r="Z13" i="55"/>
  <c r="AP11" i="63"/>
  <c r="Z39" i="55"/>
  <c r="AP35" i="63"/>
  <c r="Z33" i="55"/>
  <c r="AP30" i="63"/>
  <c r="Z32" i="55"/>
  <c r="AP29" i="63"/>
  <c r="Z43" i="55"/>
  <c r="AP38" i="63"/>
  <c r="Z17" i="55"/>
  <c r="AP14" i="63"/>
  <c r="Z15" i="55"/>
  <c r="AP12" i="63"/>
  <c r="Z36" i="55"/>
  <c r="AP33" i="63"/>
  <c r="Z12" i="55"/>
  <c r="AP10" i="63"/>
  <c r="Z38" i="55"/>
  <c r="AP34" i="63"/>
  <c r="Z47" i="55"/>
  <c r="AP42" i="63"/>
  <c r="Z45" i="55"/>
  <c r="AP40" i="63"/>
  <c r="Z19" i="55"/>
  <c r="AP16" i="63"/>
  <c r="Z46" i="55"/>
  <c r="AP41" i="63"/>
  <c r="Z49" i="55"/>
  <c r="Z23" i="55"/>
  <c r="AP20" i="63"/>
  <c r="Z42" i="55"/>
  <c r="AP37" i="63"/>
  <c r="Z30" i="55"/>
  <c r="AP27" i="63"/>
  <c r="Z18" i="55"/>
  <c r="AP15" i="63"/>
  <c r="Z25" i="55"/>
  <c r="AP22" i="63"/>
  <c r="Z24" i="55"/>
  <c r="AP21" i="63"/>
  <c r="Z6" i="55"/>
  <c r="Z29" i="55"/>
  <c r="AP26" i="63"/>
  <c r="Z16" i="55"/>
  <c r="AP13" i="63"/>
  <c r="Z7" i="55"/>
  <c r="AP6" i="63"/>
  <c r="Z5" i="55"/>
  <c r="AP5" i="63"/>
  <c r="Z8" i="55"/>
  <c r="AP7" i="63"/>
  <c r="Z31" i="55"/>
  <c r="AP28" i="63"/>
  <c r="Z20" i="55"/>
  <c r="AP17" i="63"/>
  <c r="Z34" i="55"/>
  <c r="AP31" i="63"/>
  <c r="Z26" i="55"/>
  <c r="AP23" i="63"/>
  <c r="Z22" i="55"/>
  <c r="AP19" i="63"/>
  <c r="Z27" i="55"/>
  <c r="AP24" i="63"/>
  <c r="Z28" i="55"/>
  <c r="AP25" i="63"/>
  <c r="Z48" i="55"/>
  <c r="AP43" i="63"/>
  <c r="Z21" i="55"/>
  <c r="AP18" i="63"/>
  <c r="Z9" i="55"/>
  <c r="AP8" i="63"/>
  <c r="Z40" i="55"/>
  <c r="AP36" i="63"/>
  <c r="Z3" i="55"/>
  <c r="AP3" i="63"/>
  <c r="Z3" i="15"/>
  <c r="C5" i="82"/>
  <c r="P5" i="38"/>
  <c r="P6" i="38"/>
  <c r="D28" i="17"/>
  <c r="H28" i="17"/>
  <c r="K28" i="17"/>
  <c r="L28" i="17"/>
  <c r="N28" i="17"/>
  <c r="D40" i="17"/>
  <c r="H40" i="17"/>
  <c r="K40" i="17"/>
  <c r="L40" i="17"/>
  <c r="N40" i="17"/>
  <c r="D5" i="60"/>
  <c r="H5" i="60"/>
  <c r="K5" i="60"/>
  <c r="L5" i="60"/>
  <c r="N5" i="60"/>
  <c r="D39" i="17"/>
  <c r="H39" i="17"/>
  <c r="K39" i="17"/>
  <c r="L39" i="17"/>
  <c r="N39" i="17"/>
  <c r="D44" i="17"/>
  <c r="H44" i="17"/>
  <c r="K44" i="17"/>
  <c r="L44" i="17"/>
  <c r="N44" i="17"/>
  <c r="D35" i="60"/>
  <c r="H35" i="60"/>
  <c r="K35" i="60"/>
  <c r="L35" i="60"/>
  <c r="N35" i="60"/>
  <c r="D12" i="17"/>
  <c r="H12" i="17"/>
  <c r="K12" i="17"/>
  <c r="L12" i="17"/>
  <c r="N12" i="17"/>
  <c r="D19" i="17"/>
  <c r="H19" i="17"/>
  <c r="K19" i="17"/>
  <c r="L19" i="17"/>
  <c r="N19" i="17"/>
  <c r="D33" i="17"/>
  <c r="H33" i="17"/>
  <c r="K33" i="17"/>
  <c r="L33" i="17"/>
  <c r="N33" i="17"/>
  <c r="D44" i="60"/>
  <c r="H44" i="60"/>
  <c r="K44" i="60"/>
  <c r="L44" i="60"/>
  <c r="N44" i="60"/>
  <c r="D35" i="17"/>
  <c r="H35" i="17"/>
  <c r="K35" i="17"/>
  <c r="L35" i="17"/>
  <c r="N35" i="17"/>
  <c r="D49" i="60"/>
  <c r="H49" i="60"/>
  <c r="K49" i="60"/>
  <c r="L49" i="60"/>
  <c r="N49" i="60"/>
  <c r="D36" i="60"/>
  <c r="H36" i="60"/>
  <c r="K36" i="60"/>
  <c r="L36" i="60"/>
  <c r="N36" i="60"/>
  <c r="D36" i="17"/>
  <c r="H36" i="17"/>
  <c r="K36" i="17"/>
  <c r="L36" i="17"/>
  <c r="N36" i="17"/>
  <c r="D8" i="60"/>
  <c r="H8" i="60"/>
  <c r="K8" i="60"/>
  <c r="L8" i="60"/>
  <c r="N8" i="60"/>
  <c r="D17" i="17"/>
  <c r="H17" i="17"/>
  <c r="K17" i="17"/>
  <c r="L17" i="17"/>
  <c r="N17" i="17"/>
  <c r="D48" i="17"/>
  <c r="H48" i="17"/>
  <c r="K48" i="17"/>
  <c r="L48" i="17"/>
  <c r="N48" i="17"/>
  <c r="D32" i="17"/>
  <c r="H32" i="17"/>
  <c r="K32" i="17"/>
  <c r="L32" i="17"/>
  <c r="N32" i="17"/>
  <c r="D33" i="60"/>
  <c r="H33" i="60"/>
  <c r="K33" i="60"/>
  <c r="L33" i="60"/>
  <c r="N33" i="60"/>
  <c r="D24" i="60"/>
  <c r="H24" i="60"/>
  <c r="K24" i="60"/>
  <c r="L24" i="60"/>
  <c r="N24" i="60"/>
  <c r="D9" i="60"/>
  <c r="H9" i="60"/>
  <c r="K9" i="60"/>
  <c r="L9" i="60"/>
  <c r="N9" i="60"/>
  <c r="D23" i="60"/>
  <c r="H23" i="60"/>
  <c r="K23" i="60"/>
  <c r="L23" i="60"/>
  <c r="N23" i="60"/>
  <c r="D26" i="60"/>
  <c r="H26" i="60"/>
  <c r="K26" i="60"/>
  <c r="L26" i="60"/>
  <c r="N26" i="60"/>
  <c r="D38" i="60"/>
  <c r="H38" i="60"/>
  <c r="K38" i="60"/>
  <c r="L38" i="60"/>
  <c r="N38" i="60"/>
  <c r="D38" i="17"/>
  <c r="H38" i="17"/>
  <c r="K38" i="17"/>
  <c r="L38" i="17"/>
  <c r="N38" i="17"/>
  <c r="D29" i="17"/>
  <c r="H29" i="17"/>
  <c r="K29" i="17"/>
  <c r="L29" i="17"/>
  <c r="N29" i="17"/>
  <c r="D43" i="17"/>
  <c r="H43" i="17"/>
  <c r="K43" i="17"/>
  <c r="L43" i="17"/>
  <c r="N43" i="17"/>
  <c r="D19" i="60"/>
  <c r="H19" i="60"/>
  <c r="K19" i="60"/>
  <c r="L19" i="60"/>
  <c r="N19" i="60"/>
  <c r="D3" i="17"/>
  <c r="N5" i="38"/>
  <c r="D12" i="60"/>
  <c r="H12" i="60"/>
  <c r="K12" i="60"/>
  <c r="L12" i="60"/>
  <c r="N12" i="60"/>
  <c r="D31" i="17"/>
  <c r="D29" i="60"/>
  <c r="H29" i="60"/>
  <c r="K29" i="60"/>
  <c r="L29" i="60"/>
  <c r="N29" i="60"/>
  <c r="D48" i="60"/>
  <c r="H48" i="60"/>
  <c r="K48" i="60"/>
  <c r="L48" i="60"/>
  <c r="N48" i="60"/>
  <c r="D46" i="17"/>
  <c r="H46" i="17"/>
  <c r="K46" i="17"/>
  <c r="L46" i="17"/>
  <c r="N46" i="17"/>
  <c r="D34" i="60"/>
  <c r="H34" i="60"/>
  <c r="K34" i="60"/>
  <c r="L34" i="60"/>
  <c r="N34" i="60"/>
  <c r="D39" i="60"/>
  <c r="H39" i="60"/>
  <c r="K39" i="60"/>
  <c r="L39" i="60"/>
  <c r="N39" i="60"/>
  <c r="D22" i="17"/>
  <c r="H22" i="17"/>
  <c r="K22" i="17"/>
  <c r="L22" i="17"/>
  <c r="N22" i="17"/>
  <c r="D5" i="17"/>
  <c r="H5" i="17"/>
  <c r="K5" i="17"/>
  <c r="L5" i="17"/>
  <c r="N5" i="17"/>
  <c r="D6" i="17"/>
  <c r="H6" i="17"/>
  <c r="K6" i="17"/>
  <c r="L6" i="17"/>
  <c r="N6" i="17"/>
  <c r="D49" i="17"/>
  <c r="H49" i="17"/>
  <c r="K49" i="17"/>
  <c r="L49" i="17"/>
  <c r="N49" i="17"/>
  <c r="D18" i="17"/>
  <c r="H18" i="17"/>
  <c r="K18" i="17"/>
  <c r="L18" i="17"/>
  <c r="N18" i="17"/>
  <c r="D42" i="17"/>
  <c r="H42" i="17"/>
  <c r="K42" i="17"/>
  <c r="L42" i="17"/>
  <c r="N42" i="17"/>
  <c r="D46" i="60"/>
  <c r="H46" i="60"/>
  <c r="K46" i="60"/>
  <c r="L46" i="60"/>
  <c r="N46" i="60"/>
  <c r="D21" i="17"/>
  <c r="H21" i="17"/>
  <c r="K21" i="17"/>
  <c r="L21" i="17"/>
  <c r="N21" i="17"/>
  <c r="D15" i="17"/>
  <c r="H15" i="17"/>
  <c r="K15" i="17"/>
  <c r="L15" i="17"/>
  <c r="N15" i="17"/>
  <c r="D34" i="17"/>
  <c r="H34" i="17"/>
  <c r="K34" i="17"/>
  <c r="L34" i="17"/>
  <c r="N34" i="17"/>
  <c r="D42" i="60"/>
  <c r="H42" i="60"/>
  <c r="K42" i="60"/>
  <c r="L42" i="60"/>
  <c r="N42" i="60"/>
  <c r="D21" i="60"/>
  <c r="H21" i="60"/>
  <c r="K21" i="60"/>
  <c r="L21" i="60"/>
  <c r="N21" i="60"/>
  <c r="D15" i="60"/>
  <c r="H15" i="60"/>
  <c r="K15" i="60"/>
  <c r="L15" i="60"/>
  <c r="N15" i="60"/>
  <c r="D26" i="17"/>
  <c r="H26" i="17"/>
  <c r="K26" i="17"/>
  <c r="L26" i="17"/>
  <c r="N26" i="17"/>
  <c r="D30" i="17"/>
  <c r="H30" i="17"/>
  <c r="K30" i="17"/>
  <c r="L30" i="17"/>
  <c r="N30" i="17"/>
  <c r="D7" i="17"/>
  <c r="H7" i="17"/>
  <c r="K7" i="17"/>
  <c r="L7" i="17"/>
  <c r="N7" i="17"/>
  <c r="D27" i="17"/>
  <c r="H27" i="17"/>
  <c r="K27" i="17"/>
  <c r="L27" i="17"/>
  <c r="N27" i="17"/>
  <c r="D17" i="60"/>
  <c r="H17" i="60"/>
  <c r="K17" i="60"/>
  <c r="L17" i="60"/>
  <c r="N17" i="60"/>
  <c r="D13" i="17"/>
  <c r="H13" i="17"/>
  <c r="K13" i="17"/>
  <c r="L13" i="17"/>
  <c r="N13" i="17"/>
  <c r="D45" i="60"/>
  <c r="H45" i="60"/>
  <c r="K45" i="60"/>
  <c r="L45" i="60"/>
  <c r="N45" i="60"/>
  <c r="D18" i="60"/>
  <c r="H18" i="60"/>
  <c r="K18" i="60"/>
  <c r="L18" i="60"/>
  <c r="N18" i="60"/>
  <c r="D47" i="60"/>
  <c r="H47" i="60"/>
  <c r="K47" i="60"/>
  <c r="L47" i="60"/>
  <c r="N47" i="60"/>
  <c r="D8" i="17"/>
  <c r="H8" i="17"/>
  <c r="K8" i="17"/>
  <c r="L8" i="17"/>
  <c r="N8" i="17"/>
  <c r="D31" i="60"/>
  <c r="H31" i="60"/>
  <c r="K31" i="60"/>
  <c r="L31" i="60"/>
  <c r="N31" i="60"/>
  <c r="D25" i="60"/>
  <c r="H25" i="60"/>
  <c r="K25" i="60"/>
  <c r="L25" i="60"/>
  <c r="N25" i="60"/>
  <c r="D27" i="60"/>
  <c r="H27" i="60"/>
  <c r="K27" i="60"/>
  <c r="L27" i="60"/>
  <c r="N27" i="60"/>
  <c r="D30" i="60"/>
  <c r="H30" i="60"/>
  <c r="K30" i="60"/>
  <c r="L30" i="60"/>
  <c r="N30" i="60"/>
  <c r="D43" i="60"/>
  <c r="H43" i="60"/>
  <c r="K43" i="60"/>
  <c r="L43" i="60"/>
  <c r="N43" i="60"/>
  <c r="D7" i="60"/>
  <c r="H7" i="60"/>
  <c r="K7" i="60"/>
  <c r="L7" i="60"/>
  <c r="N7" i="60"/>
  <c r="D40" i="60"/>
  <c r="H40" i="60"/>
  <c r="K40" i="60"/>
  <c r="L40" i="60"/>
  <c r="N40" i="60"/>
  <c r="D24" i="17"/>
  <c r="H24" i="17"/>
  <c r="K24" i="17"/>
  <c r="L24" i="17"/>
  <c r="N24" i="17"/>
  <c r="D28" i="60"/>
  <c r="H28" i="60"/>
  <c r="K28" i="60"/>
  <c r="L28" i="60"/>
  <c r="N28" i="60"/>
  <c r="D3" i="60"/>
  <c r="Z43" i="15"/>
  <c r="C19" i="82"/>
  <c r="D45" i="17"/>
  <c r="H45" i="17"/>
  <c r="K45" i="17"/>
  <c r="L45" i="17"/>
  <c r="N45" i="17"/>
  <c r="D22" i="60"/>
  <c r="H22" i="60"/>
  <c r="K22" i="60"/>
  <c r="L22" i="60"/>
  <c r="N22" i="60"/>
  <c r="D13" i="60"/>
  <c r="H13" i="60"/>
  <c r="K13" i="60"/>
  <c r="L13" i="60"/>
  <c r="N13" i="60"/>
  <c r="D23" i="17"/>
  <c r="H23" i="17"/>
  <c r="K23" i="17"/>
  <c r="L23" i="17"/>
  <c r="N23" i="17"/>
  <c r="D16" i="17"/>
  <c r="H16" i="17"/>
  <c r="K16" i="17"/>
  <c r="L16" i="17"/>
  <c r="N16" i="17"/>
  <c r="D9" i="17"/>
  <c r="H9" i="17"/>
  <c r="K9" i="17"/>
  <c r="L9" i="17"/>
  <c r="N9" i="17"/>
  <c r="D47" i="17"/>
  <c r="H47" i="17"/>
  <c r="K47" i="17"/>
  <c r="L47" i="17"/>
  <c r="N47" i="17"/>
  <c r="D6" i="60"/>
  <c r="H6" i="60"/>
  <c r="K6" i="60"/>
  <c r="L6" i="60"/>
  <c r="N6" i="60"/>
  <c r="D20" i="60"/>
  <c r="H20" i="60"/>
  <c r="K20" i="60"/>
  <c r="L20" i="60"/>
  <c r="N20" i="60"/>
  <c r="D20" i="17"/>
  <c r="H20" i="17"/>
  <c r="K20" i="17"/>
  <c r="L20" i="17"/>
  <c r="N20" i="17"/>
  <c r="D16" i="60"/>
  <c r="H16" i="60"/>
  <c r="K16" i="60"/>
  <c r="L16" i="60"/>
  <c r="N16" i="60"/>
  <c r="D32" i="60"/>
  <c r="H32" i="60"/>
  <c r="K32" i="60"/>
  <c r="L32" i="60"/>
  <c r="N32" i="60"/>
  <c r="D25" i="17"/>
  <c r="H25" i="17"/>
  <c r="K25" i="17"/>
  <c r="L25" i="17"/>
  <c r="N25" i="17"/>
  <c r="Z13" i="15"/>
  <c r="C35" i="82"/>
  <c r="Z15" i="15"/>
  <c r="C10" i="82"/>
  <c r="Z32" i="15"/>
  <c r="C42" i="82"/>
  <c r="Z23" i="15"/>
  <c r="C4" i="82"/>
  <c r="Z36" i="15"/>
  <c r="C17" i="82"/>
  <c r="Z33" i="15"/>
  <c r="C22" i="82"/>
  <c r="Z22" i="15"/>
  <c r="C26" i="82"/>
  <c r="Z38" i="15"/>
  <c r="C24" i="82"/>
  <c r="Z35" i="15"/>
  <c r="C15" i="82"/>
  <c r="Z46" i="15"/>
  <c r="C3" i="82"/>
  <c r="Z19" i="15"/>
  <c r="C7" i="82"/>
  <c r="Z9" i="15"/>
  <c r="C18" i="82"/>
  <c r="Z24" i="15"/>
  <c r="C6" i="82"/>
  <c r="Z12" i="15"/>
  <c r="C14" i="82"/>
  <c r="Z49" i="15"/>
  <c r="Z39" i="15"/>
  <c r="C9" i="82"/>
  <c r="Z45" i="15"/>
  <c r="C25" i="82"/>
  <c r="Z44" i="15"/>
  <c r="C38" i="82"/>
  <c r="Z42" i="15"/>
  <c r="C16" i="82"/>
  <c r="Z47" i="15"/>
  <c r="C33" i="82"/>
  <c r="Z16" i="15"/>
  <c r="C21" i="82"/>
  <c r="Z21" i="15"/>
  <c r="C23" i="82"/>
  <c r="Z18" i="15"/>
  <c r="C32" i="82"/>
  <c r="Z30" i="15"/>
  <c r="C13" i="82"/>
  <c r="Z7" i="15"/>
  <c r="C31" i="82"/>
  <c r="Z29" i="15"/>
  <c r="C11" i="82"/>
  <c r="Z20" i="15"/>
  <c r="C29" i="82"/>
  <c r="Z48" i="15"/>
  <c r="C12" i="82"/>
  <c r="Z28" i="15"/>
  <c r="C20" i="82"/>
  <c r="Z17" i="15"/>
  <c r="C2" i="82"/>
  <c r="Z6" i="15"/>
  <c r="Z34" i="15"/>
  <c r="C27" i="82"/>
  <c r="Z25" i="15"/>
  <c r="C41" i="82"/>
  <c r="Z31" i="15"/>
  <c r="C8" i="82"/>
  <c r="Z27" i="15"/>
  <c r="C37" i="82"/>
  <c r="Z8" i="15"/>
  <c r="C30" i="82"/>
  <c r="Z26" i="15"/>
  <c r="C40" i="82"/>
  <c r="Z40" i="15"/>
  <c r="C36" i="82"/>
  <c r="Z5" i="15"/>
  <c r="C39" i="82"/>
  <c r="Y52" i="61"/>
  <c r="X62" i="61"/>
  <c r="Y62" i="61"/>
  <c r="X61" i="61"/>
  <c r="Y61" i="61"/>
  <c r="X68" i="61"/>
  <c r="Y68" i="61"/>
  <c r="W52" i="61"/>
  <c r="V62" i="61"/>
  <c r="W62" i="61"/>
  <c r="V68" i="61"/>
  <c r="W68" i="61"/>
  <c r="V61" i="61"/>
  <c r="W61" i="61"/>
  <c r="Z42" i="14"/>
  <c r="Z49" i="14"/>
  <c r="Z31" i="14"/>
  <c r="Z27" i="14"/>
  <c r="Z10" i="14"/>
  <c r="Z30" i="14"/>
  <c r="Z32" i="14"/>
  <c r="Z16" i="14"/>
  <c r="Z51" i="14"/>
  <c r="Z36" i="14"/>
  <c r="Z18" i="14"/>
  <c r="Z17" i="14"/>
  <c r="Z54" i="14"/>
  <c r="Z44" i="14"/>
  <c r="Z15" i="14"/>
  <c r="Z25" i="14"/>
  <c r="Z53" i="14"/>
  <c r="Z19" i="14"/>
  <c r="Z46" i="14"/>
  <c r="Z66" i="14"/>
  <c r="K6" i="38"/>
  <c r="Z62" i="14"/>
  <c r="Z33" i="14"/>
  <c r="Z28" i="14"/>
  <c r="Z5" i="14"/>
  <c r="Z26" i="14"/>
  <c r="Z12" i="14"/>
  <c r="Z7" i="14"/>
  <c r="Z43" i="14"/>
  <c r="Z14" i="14"/>
  <c r="Z34" i="14"/>
  <c r="Z41" i="14"/>
  <c r="Z38" i="14"/>
  <c r="Z29" i="14"/>
  <c r="Z22" i="14"/>
  <c r="Z50" i="14"/>
  <c r="Z23" i="14"/>
  <c r="Z67" i="14"/>
  <c r="Z21" i="14"/>
  <c r="Z47" i="14"/>
  <c r="Z37" i="14"/>
  <c r="Z3" i="14"/>
  <c r="Z35" i="14"/>
  <c r="Z20" i="14"/>
  <c r="Z11" i="14"/>
  <c r="Z40" i="14"/>
  <c r="Z24" i="14"/>
  <c r="Z9" i="14"/>
  <c r="Z4" i="14"/>
  <c r="Z6" i="14"/>
  <c r="Z48" i="14"/>
  <c r="Z39" i="14"/>
  <c r="Z45" i="14"/>
  <c r="Z8" i="14"/>
  <c r="Z61" i="14"/>
  <c r="D44" i="40"/>
  <c r="H44" i="40"/>
  <c r="K44" i="40"/>
  <c r="L44" i="40"/>
  <c r="N44" i="40"/>
  <c r="D8" i="48"/>
  <c r="H8" i="48"/>
  <c r="K8" i="48"/>
  <c r="L8" i="48"/>
  <c r="N8" i="48"/>
  <c r="D33" i="48"/>
  <c r="H33" i="48"/>
  <c r="K33" i="48"/>
  <c r="L33" i="48"/>
  <c r="N33" i="48"/>
  <c r="D21" i="40"/>
  <c r="H21" i="40"/>
  <c r="K21" i="40"/>
  <c r="L21" i="40"/>
  <c r="N21" i="40"/>
  <c r="D16" i="41"/>
  <c r="H16" i="41"/>
  <c r="K16" i="41"/>
  <c r="L16" i="41"/>
  <c r="N16" i="41"/>
  <c r="D32" i="41"/>
  <c r="H32" i="41"/>
  <c r="K32" i="41"/>
  <c r="L32" i="41"/>
  <c r="N32" i="41"/>
  <c r="D25" i="41"/>
  <c r="H25" i="41"/>
  <c r="K25" i="41"/>
  <c r="L25" i="41"/>
  <c r="N25" i="41"/>
  <c r="D28" i="40"/>
  <c r="H28" i="40"/>
  <c r="K28" i="40"/>
  <c r="L28" i="40"/>
  <c r="N28" i="40"/>
  <c r="Y24" i="14"/>
  <c r="Y16" i="14"/>
  <c r="D5" i="41"/>
  <c r="H5" i="41"/>
  <c r="K5" i="41"/>
  <c r="L5" i="41"/>
  <c r="N5" i="41"/>
  <c r="D45" i="48"/>
  <c r="H45" i="48"/>
  <c r="K45" i="48"/>
  <c r="L45" i="48"/>
  <c r="N45" i="48"/>
  <c r="D45" i="41"/>
  <c r="H45" i="41"/>
  <c r="K45" i="41"/>
  <c r="L45" i="41"/>
  <c r="N45" i="41"/>
  <c r="D7" i="40"/>
  <c r="H7" i="40"/>
  <c r="K7" i="40"/>
  <c r="L7" i="40"/>
  <c r="N7" i="40"/>
  <c r="D31" i="41"/>
  <c r="H31" i="41"/>
  <c r="K31" i="41"/>
  <c r="L31" i="41"/>
  <c r="N31" i="41"/>
  <c r="D5" i="48"/>
  <c r="H5" i="48"/>
  <c r="K5" i="48"/>
  <c r="L5" i="48"/>
  <c r="N5" i="48"/>
  <c r="D39" i="40"/>
  <c r="H39" i="40"/>
  <c r="K39" i="40"/>
  <c r="L39" i="40"/>
  <c r="N39" i="40"/>
  <c r="D23" i="41"/>
  <c r="H23" i="41"/>
  <c r="K23" i="41"/>
  <c r="L23" i="41"/>
  <c r="N23" i="41"/>
  <c r="Y48" i="14"/>
  <c r="Y25" i="14"/>
  <c r="D20" i="40"/>
  <c r="H20" i="40"/>
  <c r="K20" i="40"/>
  <c r="L20" i="40"/>
  <c r="N20" i="40"/>
  <c r="D16" i="40"/>
  <c r="H16" i="40"/>
  <c r="K16" i="40"/>
  <c r="L16" i="40"/>
  <c r="N16" i="40"/>
  <c r="D12" i="41"/>
  <c r="H12" i="41"/>
  <c r="K12" i="41"/>
  <c r="L12" i="41"/>
  <c r="N12" i="41"/>
  <c r="D27" i="40"/>
  <c r="H27" i="40"/>
  <c r="K27" i="40"/>
  <c r="L27" i="40"/>
  <c r="N27" i="40"/>
  <c r="D19" i="41"/>
  <c r="H19" i="41"/>
  <c r="K19" i="41"/>
  <c r="L19" i="41"/>
  <c r="N19" i="41"/>
  <c r="D9" i="41"/>
  <c r="H9" i="41"/>
  <c r="K9" i="41"/>
  <c r="L9" i="41"/>
  <c r="N9" i="41"/>
  <c r="Z65" i="14"/>
  <c r="D28" i="41"/>
  <c r="H28" i="41"/>
  <c r="K28" i="41"/>
  <c r="L28" i="41"/>
  <c r="N28" i="41"/>
  <c r="Y32" i="14"/>
  <c r="Y28" i="14"/>
  <c r="Y3" i="14"/>
  <c r="D33" i="40"/>
  <c r="H33" i="40"/>
  <c r="K33" i="40"/>
  <c r="L33" i="40"/>
  <c r="N33" i="40"/>
  <c r="D26" i="41"/>
  <c r="H26" i="41"/>
  <c r="K26" i="41"/>
  <c r="L26" i="41"/>
  <c r="N26" i="41"/>
  <c r="D6" i="41"/>
  <c r="H6" i="41"/>
  <c r="K6" i="41"/>
  <c r="L6" i="41"/>
  <c r="N6" i="41"/>
  <c r="D13" i="40"/>
  <c r="H13" i="40"/>
  <c r="K13" i="40"/>
  <c r="L13" i="40"/>
  <c r="N13" i="40"/>
  <c r="D47" i="40"/>
  <c r="H47" i="40"/>
  <c r="K47" i="40"/>
  <c r="L47" i="40"/>
  <c r="N47" i="40"/>
  <c r="D42" i="40"/>
  <c r="H42" i="40"/>
  <c r="K42" i="40"/>
  <c r="L42" i="40"/>
  <c r="N42" i="40"/>
  <c r="D48" i="48"/>
  <c r="H48" i="48"/>
  <c r="K48" i="48"/>
  <c r="L48" i="48"/>
  <c r="N48" i="48"/>
  <c r="D44" i="48"/>
  <c r="H44" i="48"/>
  <c r="K44" i="48"/>
  <c r="L44" i="48"/>
  <c r="N44" i="48"/>
  <c r="Y18" i="14"/>
  <c r="Y22" i="14"/>
  <c r="D25" i="40"/>
  <c r="H25" i="40"/>
  <c r="K25" i="40"/>
  <c r="L25" i="40"/>
  <c r="N25" i="40"/>
  <c r="D24" i="48"/>
  <c r="H24" i="48"/>
  <c r="K24" i="48"/>
  <c r="L24" i="48"/>
  <c r="N24" i="48"/>
  <c r="D17" i="40"/>
  <c r="H17" i="40"/>
  <c r="K17" i="40"/>
  <c r="L17" i="40"/>
  <c r="N17" i="40"/>
  <c r="D34" i="40"/>
  <c r="H34" i="40"/>
  <c r="K34" i="40"/>
  <c r="L34" i="40"/>
  <c r="N34" i="40"/>
  <c r="D46" i="40"/>
  <c r="H46" i="40"/>
  <c r="K46" i="40"/>
  <c r="L46" i="40"/>
  <c r="N46" i="40"/>
  <c r="D33" i="41"/>
  <c r="H33" i="41"/>
  <c r="K33" i="41"/>
  <c r="L33" i="41"/>
  <c r="N33" i="41"/>
  <c r="D16" i="48"/>
  <c r="H16" i="48"/>
  <c r="K16" i="48"/>
  <c r="L16" i="48"/>
  <c r="N16" i="48"/>
  <c r="D34" i="41"/>
  <c r="H34" i="41"/>
  <c r="K34" i="41"/>
  <c r="L34" i="41"/>
  <c r="N34" i="41"/>
  <c r="Y15" i="14"/>
  <c r="Y7" i="14"/>
  <c r="D9" i="40"/>
  <c r="H9" i="40"/>
  <c r="K9" i="40"/>
  <c r="L9" i="40"/>
  <c r="N9" i="40"/>
  <c r="K5" i="38"/>
  <c r="D17" i="48"/>
  <c r="H17" i="48"/>
  <c r="K17" i="48"/>
  <c r="L17" i="48"/>
  <c r="N17" i="48"/>
  <c r="D23" i="40"/>
  <c r="H23" i="40"/>
  <c r="K23" i="40"/>
  <c r="L23" i="40"/>
  <c r="N23" i="40"/>
  <c r="D15" i="48"/>
  <c r="H15" i="48"/>
  <c r="K15" i="48"/>
  <c r="L15" i="48"/>
  <c r="N15" i="48"/>
  <c r="Y33" i="14"/>
  <c r="Y9" i="14"/>
  <c r="D36" i="40"/>
  <c r="H36" i="40"/>
  <c r="K36" i="40"/>
  <c r="L36" i="40"/>
  <c r="N36" i="40"/>
  <c r="D38" i="41"/>
  <c r="H38" i="41"/>
  <c r="K38" i="41"/>
  <c r="L38" i="41"/>
  <c r="N38" i="41"/>
  <c r="D43" i="48"/>
  <c r="H43" i="48"/>
  <c r="K43" i="48"/>
  <c r="L43" i="48"/>
  <c r="N43" i="48"/>
  <c r="Y42" i="14"/>
  <c r="D6" i="48"/>
  <c r="H6" i="48"/>
  <c r="K6" i="48"/>
  <c r="L6" i="48"/>
  <c r="N6" i="48"/>
  <c r="Y35" i="14"/>
  <c r="D18" i="40"/>
  <c r="H18" i="40"/>
  <c r="K18" i="40"/>
  <c r="L18" i="40"/>
  <c r="N18" i="40"/>
  <c r="D43" i="41"/>
  <c r="H43" i="41"/>
  <c r="K43" i="41"/>
  <c r="L43" i="41"/>
  <c r="N43" i="41"/>
  <c r="D49" i="48"/>
  <c r="H49" i="48"/>
  <c r="K49" i="48"/>
  <c r="L49" i="48"/>
  <c r="N49" i="48"/>
  <c r="D8" i="41"/>
  <c r="H8" i="41"/>
  <c r="K8" i="41"/>
  <c r="L8" i="41"/>
  <c r="N8" i="41"/>
  <c r="D18" i="41"/>
  <c r="H18" i="41"/>
  <c r="K18" i="41"/>
  <c r="L18" i="41"/>
  <c r="N18" i="41"/>
  <c r="D25" i="48"/>
  <c r="H25" i="48"/>
  <c r="K25" i="48"/>
  <c r="L25" i="48"/>
  <c r="N25" i="48"/>
  <c r="D29" i="41"/>
  <c r="H29" i="41"/>
  <c r="K29" i="41"/>
  <c r="L29" i="41"/>
  <c r="N29" i="41"/>
  <c r="D15" i="41"/>
  <c r="H15" i="41"/>
  <c r="K15" i="41"/>
  <c r="L15" i="41"/>
  <c r="N15" i="41"/>
  <c r="Y29" i="14"/>
  <c r="Y21" i="14"/>
  <c r="Y40" i="14"/>
  <c r="D38" i="48"/>
  <c r="H38" i="48"/>
  <c r="K38" i="48"/>
  <c r="L38" i="48"/>
  <c r="N38" i="48"/>
  <c r="D21" i="48"/>
  <c r="H21" i="48"/>
  <c r="K21" i="48"/>
  <c r="L21" i="48"/>
  <c r="N21" i="48"/>
  <c r="D45" i="40"/>
  <c r="H45" i="40"/>
  <c r="K45" i="40"/>
  <c r="L45" i="40"/>
  <c r="N45" i="40"/>
  <c r="D44" i="41"/>
  <c r="H44" i="41"/>
  <c r="K44" i="41"/>
  <c r="L44" i="41"/>
  <c r="N44" i="41"/>
  <c r="D36" i="48"/>
  <c r="H36" i="48"/>
  <c r="K36" i="48"/>
  <c r="L36" i="48"/>
  <c r="N36" i="48"/>
  <c r="D49" i="41"/>
  <c r="H49" i="41"/>
  <c r="K49" i="41"/>
  <c r="L49" i="41"/>
  <c r="N49" i="41"/>
  <c r="D29" i="48"/>
  <c r="H29" i="48"/>
  <c r="K29" i="48"/>
  <c r="L29" i="48"/>
  <c r="N29" i="48"/>
  <c r="Y30" i="14"/>
  <c r="Y34" i="14"/>
  <c r="Y20" i="14"/>
  <c r="Y26" i="14"/>
  <c r="D20" i="48"/>
  <c r="H20" i="48"/>
  <c r="K20" i="48"/>
  <c r="L20" i="48"/>
  <c r="N20" i="48"/>
  <c r="D9" i="48"/>
  <c r="H9" i="48"/>
  <c r="K9" i="48"/>
  <c r="L9" i="48"/>
  <c r="N9" i="48"/>
  <c r="D47" i="41"/>
  <c r="H47" i="41"/>
  <c r="K47" i="41"/>
  <c r="L47" i="41"/>
  <c r="N47" i="41"/>
  <c r="D22" i="48"/>
  <c r="H22" i="48"/>
  <c r="K22" i="48"/>
  <c r="L22" i="48"/>
  <c r="N22" i="48"/>
  <c r="Y43" i="14"/>
  <c r="D32" i="48"/>
  <c r="H32" i="48"/>
  <c r="K32" i="48"/>
  <c r="L32" i="48"/>
  <c r="N32" i="48"/>
  <c r="D12" i="48"/>
  <c r="H12" i="48"/>
  <c r="K12" i="48"/>
  <c r="L12" i="48"/>
  <c r="N12" i="48"/>
  <c r="D7" i="48"/>
  <c r="H7" i="48"/>
  <c r="K7" i="48"/>
  <c r="L7" i="48"/>
  <c r="N7" i="48"/>
  <c r="Y6" i="14"/>
  <c r="Y36" i="14"/>
  <c r="D36" i="41"/>
  <c r="H36" i="41"/>
  <c r="K36" i="41"/>
  <c r="L36" i="41"/>
  <c r="N36" i="41"/>
  <c r="D13" i="41"/>
  <c r="H13" i="41"/>
  <c r="K13" i="41"/>
  <c r="L13" i="41"/>
  <c r="N13" i="41"/>
  <c r="D31" i="48"/>
  <c r="H31" i="48"/>
  <c r="K31" i="48"/>
  <c r="L31" i="48"/>
  <c r="N31" i="48"/>
  <c r="D19" i="40"/>
  <c r="H19" i="40"/>
  <c r="K19" i="40"/>
  <c r="L19" i="40"/>
  <c r="N19" i="40"/>
  <c r="D18" i="48"/>
  <c r="H18" i="48"/>
  <c r="K18" i="48"/>
  <c r="L18" i="48"/>
  <c r="N18" i="48"/>
  <c r="D29" i="40"/>
  <c r="H29" i="40"/>
  <c r="K29" i="40"/>
  <c r="L29" i="40"/>
  <c r="N29" i="40"/>
  <c r="D8" i="40"/>
  <c r="H8" i="40"/>
  <c r="K8" i="40"/>
  <c r="L8" i="40"/>
  <c r="N8" i="40"/>
  <c r="D23" i="48"/>
  <c r="H23" i="48"/>
  <c r="K23" i="48"/>
  <c r="L23" i="48"/>
  <c r="N23" i="48"/>
  <c r="D24" i="40"/>
  <c r="H24" i="40"/>
  <c r="K24" i="40"/>
  <c r="L24" i="40"/>
  <c r="N24" i="40"/>
  <c r="D5" i="40"/>
  <c r="H5" i="40"/>
  <c r="K5" i="40"/>
  <c r="L5" i="40"/>
  <c r="N5" i="40"/>
  <c r="D17" i="41"/>
  <c r="H17" i="41"/>
  <c r="K17" i="41"/>
  <c r="L17" i="41"/>
  <c r="N17" i="41"/>
  <c r="D39" i="48"/>
  <c r="H39" i="48"/>
  <c r="K39" i="48"/>
  <c r="L39" i="48"/>
  <c r="N39" i="48"/>
  <c r="D40" i="41"/>
  <c r="H40" i="41"/>
  <c r="K40" i="41"/>
  <c r="L40" i="41"/>
  <c r="N40" i="41"/>
  <c r="D28" i="48"/>
  <c r="H28" i="48"/>
  <c r="K28" i="48"/>
  <c r="L28" i="48"/>
  <c r="N28" i="48"/>
  <c r="Y12" i="14"/>
  <c r="Y19" i="14"/>
  <c r="D38" i="40"/>
  <c r="H38" i="40"/>
  <c r="K38" i="40"/>
  <c r="L38" i="40"/>
  <c r="N38" i="40"/>
  <c r="D3" i="41"/>
  <c r="D19" i="48"/>
  <c r="H19" i="48"/>
  <c r="K19" i="48"/>
  <c r="L19" i="48"/>
  <c r="N19" i="48"/>
  <c r="Y45" i="14"/>
  <c r="D3" i="40"/>
  <c r="D42" i="48"/>
  <c r="H42" i="48"/>
  <c r="K42" i="48"/>
  <c r="L42" i="48"/>
  <c r="N42" i="48"/>
  <c r="D30" i="48"/>
  <c r="H30" i="48"/>
  <c r="K30" i="48"/>
  <c r="L30" i="48"/>
  <c r="N30" i="48"/>
  <c r="D13" i="48"/>
  <c r="H13" i="48"/>
  <c r="K13" i="48"/>
  <c r="L13" i="48"/>
  <c r="N13" i="48"/>
  <c r="Y23" i="14"/>
  <c r="D35" i="40"/>
  <c r="H35" i="40"/>
  <c r="K35" i="40"/>
  <c r="L35" i="40"/>
  <c r="N35" i="40"/>
  <c r="Y17" i="14"/>
  <c r="D12" i="40"/>
  <c r="H12" i="40"/>
  <c r="K12" i="40"/>
  <c r="L12" i="40"/>
  <c r="N12" i="40"/>
  <c r="D30" i="40"/>
  <c r="H30" i="40"/>
  <c r="K30" i="40"/>
  <c r="L30" i="40"/>
  <c r="N30" i="40"/>
  <c r="D22" i="40"/>
  <c r="H22" i="40"/>
  <c r="K22" i="40"/>
  <c r="L22" i="40"/>
  <c r="N22" i="40"/>
  <c r="D30" i="41"/>
  <c r="H30" i="41"/>
  <c r="K30" i="41"/>
  <c r="L30" i="41"/>
  <c r="N30" i="41"/>
  <c r="D42" i="41"/>
  <c r="H42" i="41"/>
  <c r="K42" i="41"/>
  <c r="L42" i="41"/>
  <c r="N42" i="41"/>
  <c r="D26" i="48"/>
  <c r="H26" i="48"/>
  <c r="K26" i="48"/>
  <c r="L26" i="48"/>
  <c r="N26" i="48"/>
  <c r="D39" i="41"/>
  <c r="H39" i="41"/>
  <c r="K39" i="41"/>
  <c r="L39" i="41"/>
  <c r="N39" i="41"/>
  <c r="D35" i="48"/>
  <c r="H35" i="48"/>
  <c r="K35" i="48"/>
  <c r="L35" i="48"/>
  <c r="N35" i="48"/>
  <c r="D43" i="40"/>
  <c r="H43" i="40"/>
  <c r="K43" i="40"/>
  <c r="L43" i="40"/>
  <c r="N43" i="40"/>
  <c r="D48" i="41"/>
  <c r="H48" i="41"/>
  <c r="K48" i="41"/>
  <c r="L48" i="41"/>
  <c r="N48" i="41"/>
  <c r="D20" i="41"/>
  <c r="H20" i="41"/>
  <c r="K20" i="41"/>
  <c r="L20" i="41"/>
  <c r="N20" i="41"/>
  <c r="Y44" i="14"/>
  <c r="Y39" i="14"/>
  <c r="Y8" i="14"/>
  <c r="D27" i="48"/>
  <c r="H27" i="48"/>
  <c r="K27" i="48"/>
  <c r="L27" i="48"/>
  <c r="N27" i="48"/>
  <c r="D26" i="40"/>
  <c r="H26" i="40"/>
  <c r="K26" i="40"/>
  <c r="L26" i="40"/>
  <c r="N26" i="40"/>
  <c r="D22" i="41"/>
  <c r="H22" i="41"/>
  <c r="K22" i="41"/>
  <c r="L22" i="41"/>
  <c r="N22" i="41"/>
  <c r="D31" i="40"/>
  <c r="H31" i="40"/>
  <c r="K31" i="40"/>
  <c r="L31" i="40"/>
  <c r="N31" i="40"/>
  <c r="D32" i="40"/>
  <c r="H32" i="40"/>
  <c r="K32" i="40"/>
  <c r="L32" i="40"/>
  <c r="N32" i="40"/>
  <c r="D46" i="41"/>
  <c r="H46" i="41"/>
  <c r="K46" i="41"/>
  <c r="L46" i="41"/>
  <c r="N46" i="41"/>
  <c r="Y38" i="14"/>
  <c r="D24" i="41"/>
  <c r="H24" i="41"/>
  <c r="K24" i="41"/>
  <c r="L24" i="41"/>
  <c r="N24" i="41"/>
  <c r="Y49" i="14"/>
  <c r="D7" i="41"/>
  <c r="H7" i="41"/>
  <c r="K7" i="41"/>
  <c r="L7" i="41"/>
  <c r="N7" i="41"/>
  <c r="D40" i="48"/>
  <c r="H40" i="48"/>
  <c r="K40" i="48"/>
  <c r="L40" i="48"/>
  <c r="N40" i="48"/>
  <c r="D27" i="41"/>
  <c r="H27" i="41"/>
  <c r="K27" i="41"/>
  <c r="L27" i="41"/>
  <c r="N27" i="41"/>
  <c r="Y5" i="14"/>
  <c r="D48" i="40"/>
  <c r="H48" i="40"/>
  <c r="K48" i="40"/>
  <c r="L48" i="40"/>
  <c r="N48" i="40"/>
  <c r="Y46" i="14"/>
  <c r="D35" i="41"/>
  <c r="H35" i="41"/>
  <c r="K35" i="41"/>
  <c r="L35" i="41"/>
  <c r="N35" i="41"/>
  <c r="D34" i="48"/>
  <c r="H34" i="48"/>
  <c r="K34" i="48"/>
  <c r="L34" i="48"/>
  <c r="N34" i="48"/>
  <c r="D21" i="41"/>
  <c r="H21" i="41"/>
  <c r="K21" i="41"/>
  <c r="L21" i="41"/>
  <c r="N21" i="41"/>
  <c r="D47" i="48"/>
  <c r="H47" i="48"/>
  <c r="K47" i="48"/>
  <c r="L47" i="48"/>
  <c r="N47" i="48"/>
  <c r="D3" i="48"/>
  <c r="D15" i="40"/>
  <c r="H15" i="40"/>
  <c r="K15" i="40"/>
  <c r="L15" i="40"/>
  <c r="N15" i="40"/>
  <c r="D46" i="48"/>
  <c r="H46" i="48"/>
  <c r="K46" i="48"/>
  <c r="L46" i="48"/>
  <c r="N46" i="48"/>
  <c r="Y47" i="14"/>
  <c r="Y31" i="14"/>
  <c r="D40" i="40"/>
  <c r="H40" i="40"/>
  <c r="K40" i="40"/>
  <c r="L40" i="40"/>
  <c r="N40" i="40"/>
  <c r="Y27" i="14"/>
  <c r="Y52" i="55"/>
  <c r="X68" i="55"/>
  <c r="Y68" i="55"/>
  <c r="X61" i="55"/>
  <c r="Y61" i="55"/>
  <c r="AA61" i="55"/>
  <c r="X62" i="55"/>
  <c r="Y62" i="55"/>
  <c r="M5" i="38"/>
  <c r="Z13" i="14"/>
  <c r="M6" i="38"/>
  <c r="Y13" i="14"/>
  <c r="W52" i="55"/>
  <c r="V62" i="55"/>
  <c r="W62" i="55"/>
  <c r="V61" i="55"/>
  <c r="W61" i="55"/>
  <c r="V68" i="55"/>
  <c r="W68" i="55"/>
  <c r="M62" i="48"/>
  <c r="N62" i="48"/>
  <c r="O62" i="48"/>
  <c r="M62" i="40"/>
  <c r="N62" i="40"/>
  <c r="O62" i="40"/>
  <c r="M62" i="60"/>
  <c r="N62" i="60"/>
  <c r="O62" i="60"/>
  <c r="M62" i="41"/>
  <c r="N62" i="41"/>
  <c r="O62" i="41"/>
  <c r="M62" i="44"/>
  <c r="N62" i="44"/>
  <c r="O62" i="44"/>
  <c r="M62" i="17"/>
  <c r="N62" i="17"/>
  <c r="O62" i="17"/>
  <c r="V62" i="14"/>
  <c r="M68" i="41"/>
  <c r="M68" i="44"/>
  <c r="M68" i="17"/>
  <c r="M68" i="60"/>
  <c r="M68" i="48"/>
  <c r="M68" i="40"/>
  <c r="V52" i="14"/>
  <c r="U68" i="14"/>
  <c r="V68" i="14"/>
  <c r="X52" i="14"/>
  <c r="W68" i="14"/>
  <c r="X68" i="14"/>
  <c r="W52" i="15"/>
  <c r="V61" i="15"/>
  <c r="W61" i="15"/>
  <c r="V62" i="15"/>
  <c r="W62" i="15"/>
  <c r="V68" i="15"/>
  <c r="W68" i="15"/>
  <c r="Y52" i="15"/>
  <c r="X62" i="15"/>
  <c r="Y62" i="15"/>
  <c r="X68" i="15"/>
  <c r="Y68" i="15"/>
  <c r="X61" i="15"/>
  <c r="Y61" i="15"/>
  <c r="Q6" i="17"/>
  <c r="O6" i="17"/>
  <c r="Q5" i="17"/>
  <c r="O5" i="17"/>
  <c r="Q15" i="60"/>
  <c r="O15" i="60"/>
  <c r="O22" i="44"/>
  <c r="Q22" i="44"/>
  <c r="Q31" i="44"/>
  <c r="O31" i="44"/>
  <c r="O16" i="60"/>
  <c r="Q16" i="60"/>
  <c r="O40" i="17"/>
  <c r="Q40" i="17"/>
  <c r="Q20" i="60"/>
  <c r="O20" i="60"/>
  <c r="O43" i="60"/>
  <c r="Q43" i="60"/>
  <c r="O21" i="60"/>
  <c r="Q21" i="60"/>
  <c r="O29" i="60"/>
  <c r="Q29" i="60"/>
  <c r="O48" i="17"/>
  <c r="Q48" i="17"/>
  <c r="O28" i="17"/>
  <c r="Q28" i="17"/>
  <c r="Q15" i="44"/>
  <c r="O15" i="44"/>
  <c r="O23" i="44"/>
  <c r="Q23" i="44"/>
  <c r="O6" i="60"/>
  <c r="Q6" i="60"/>
  <c r="Q30" i="60"/>
  <c r="O30" i="60"/>
  <c r="O42" i="60"/>
  <c r="Q42" i="60"/>
  <c r="H31" i="17"/>
  <c r="K31" i="17"/>
  <c r="L31" i="17"/>
  <c r="N31" i="17"/>
  <c r="D70" i="17"/>
  <c r="Q17" i="17"/>
  <c r="O17" i="17"/>
  <c r="Q18" i="44"/>
  <c r="O18" i="44"/>
  <c r="O38" i="44"/>
  <c r="Q38" i="44"/>
  <c r="Q47" i="17"/>
  <c r="O47" i="17"/>
  <c r="O27" i="60"/>
  <c r="Q27" i="60"/>
  <c r="O34" i="17"/>
  <c r="Q34" i="17"/>
  <c r="O12" i="60"/>
  <c r="Q12" i="60"/>
  <c r="O8" i="60"/>
  <c r="Q8" i="60"/>
  <c r="O6" i="44"/>
  <c r="Q6" i="44"/>
  <c r="Q30" i="44"/>
  <c r="O30" i="44"/>
  <c r="Q24" i="44"/>
  <c r="O24" i="44"/>
  <c r="Q19" i="17"/>
  <c r="O19" i="17"/>
  <c r="Q20" i="17"/>
  <c r="O20" i="17"/>
  <c r="Q7" i="60"/>
  <c r="O7" i="60"/>
  <c r="Q48" i="60"/>
  <c r="O48" i="60"/>
  <c r="O32" i="17"/>
  <c r="Q32" i="17"/>
  <c r="Q9" i="17"/>
  <c r="O9" i="17"/>
  <c r="O25" i="60"/>
  <c r="Q25" i="60"/>
  <c r="Q15" i="17"/>
  <c r="O15" i="17"/>
  <c r="N19" i="38"/>
  <c r="O19" i="38"/>
  <c r="N12" i="38"/>
  <c r="O12" i="38"/>
  <c r="O5" i="38"/>
  <c r="Z4" i="38"/>
  <c r="AB3" i="38"/>
  <c r="Q36" i="17"/>
  <c r="O36" i="17"/>
  <c r="O29" i="44"/>
  <c r="Q29" i="44"/>
  <c r="Q45" i="44"/>
  <c r="O45" i="44"/>
  <c r="Q9" i="44"/>
  <c r="O9" i="44"/>
  <c r="Q46" i="17"/>
  <c r="O46" i="17"/>
  <c r="Q12" i="44"/>
  <c r="O12" i="44"/>
  <c r="O31" i="60"/>
  <c r="Q31" i="60"/>
  <c r="O21" i="17"/>
  <c r="Q21" i="17"/>
  <c r="H3" i="17"/>
  <c r="D65" i="17"/>
  <c r="O36" i="60"/>
  <c r="Q36" i="60"/>
  <c r="O13" i="44"/>
  <c r="Q13" i="44"/>
  <c r="O33" i="44"/>
  <c r="Q33" i="44"/>
  <c r="Q48" i="44"/>
  <c r="O48" i="44"/>
  <c r="O23" i="17"/>
  <c r="Q23" i="17"/>
  <c r="Q8" i="17"/>
  <c r="O8" i="17"/>
  <c r="Q46" i="60"/>
  <c r="O46" i="60"/>
  <c r="O19" i="60"/>
  <c r="Q19" i="60"/>
  <c r="O49" i="60"/>
  <c r="Q49" i="60"/>
  <c r="O32" i="44"/>
  <c r="Q32" i="44"/>
  <c r="Q8" i="44"/>
  <c r="O8" i="44"/>
  <c r="O40" i="44"/>
  <c r="Q40" i="44"/>
  <c r="Q5" i="44"/>
  <c r="O5" i="44"/>
  <c r="O16" i="17"/>
  <c r="Q16" i="17"/>
  <c r="O13" i="60"/>
  <c r="Q13" i="60"/>
  <c r="Q47" i="60"/>
  <c r="O47" i="60"/>
  <c r="O42" i="17"/>
  <c r="Q42" i="17"/>
  <c r="O43" i="17"/>
  <c r="Q43" i="17"/>
  <c r="Q35" i="17"/>
  <c r="O35" i="17"/>
  <c r="O47" i="44"/>
  <c r="Q47" i="44"/>
  <c r="O39" i="44"/>
  <c r="Q39" i="44"/>
  <c r="H3" i="60"/>
  <c r="D65" i="60"/>
  <c r="Q26" i="17"/>
  <c r="O26" i="17"/>
  <c r="Q5" i="60"/>
  <c r="O5" i="60"/>
  <c r="O22" i="60"/>
  <c r="Q22" i="60"/>
  <c r="Q18" i="60"/>
  <c r="O18" i="60"/>
  <c r="Q18" i="17"/>
  <c r="O18" i="17"/>
  <c r="O29" i="17"/>
  <c r="Q29" i="17"/>
  <c r="O44" i="60"/>
  <c r="Q44" i="60"/>
  <c r="Q26" i="44"/>
  <c r="O26" i="44"/>
  <c r="O16" i="44"/>
  <c r="Q16" i="44"/>
  <c r="O7" i="44"/>
  <c r="Q7" i="44"/>
  <c r="O45" i="17"/>
  <c r="Q45" i="17"/>
  <c r="O45" i="60"/>
  <c r="Q45" i="60"/>
  <c r="O49" i="17"/>
  <c r="Q49" i="17"/>
  <c r="Q38" i="17"/>
  <c r="O38" i="17"/>
  <c r="Q33" i="17"/>
  <c r="O33" i="17"/>
  <c r="O19" i="44"/>
  <c r="Q19" i="44"/>
  <c r="Q17" i="44"/>
  <c r="O17" i="44"/>
  <c r="Q35" i="44"/>
  <c r="O35" i="44"/>
  <c r="O20" i="44"/>
  <c r="Q20" i="44"/>
  <c r="O49" i="44"/>
  <c r="Q49" i="44"/>
  <c r="Q26" i="60"/>
  <c r="O26" i="60"/>
  <c r="O12" i="17"/>
  <c r="Q12" i="17"/>
  <c r="O42" i="44"/>
  <c r="Q42" i="44"/>
  <c r="O43" i="44"/>
  <c r="Q43" i="44"/>
  <c r="Q44" i="44"/>
  <c r="O44" i="44"/>
  <c r="Q28" i="60"/>
  <c r="O28" i="60"/>
  <c r="Q22" i="17"/>
  <c r="O22" i="17"/>
  <c r="O21" i="44"/>
  <c r="Q21" i="44"/>
  <c r="O36" i="44"/>
  <c r="Q36" i="44"/>
  <c r="Q27" i="44"/>
  <c r="O27" i="44"/>
  <c r="O35" i="60"/>
  <c r="Q35" i="60"/>
  <c r="O46" i="44"/>
  <c r="Q46" i="44"/>
  <c r="Q25" i="44"/>
  <c r="O25" i="44"/>
  <c r="Q28" i="44"/>
  <c r="O28" i="44"/>
  <c r="Q13" i="17"/>
  <c r="O13" i="17"/>
  <c r="Q17" i="60"/>
  <c r="O17" i="60"/>
  <c r="Q27" i="17"/>
  <c r="O27" i="17"/>
  <c r="Q23" i="60"/>
  <c r="O23" i="60"/>
  <c r="O25" i="17"/>
  <c r="Q25" i="17"/>
  <c r="Q24" i="17"/>
  <c r="O24" i="17"/>
  <c r="O7" i="17"/>
  <c r="Q7" i="17"/>
  <c r="O39" i="60"/>
  <c r="Q39" i="60"/>
  <c r="O9" i="60"/>
  <c r="Q9" i="60"/>
  <c r="Q44" i="17"/>
  <c r="O44" i="17"/>
  <c r="O32" i="60"/>
  <c r="Q32" i="60"/>
  <c r="O40" i="60"/>
  <c r="Q40" i="60"/>
  <c r="Q30" i="17"/>
  <c r="O30" i="17"/>
  <c r="O34" i="60"/>
  <c r="Q34" i="60"/>
  <c r="O24" i="60"/>
  <c r="Q24" i="60"/>
  <c r="O39" i="17"/>
  <c r="Q39" i="17"/>
  <c r="D65" i="44"/>
  <c r="F71" i="44"/>
  <c r="G3" i="44"/>
  <c r="Q34" i="44"/>
  <c r="O34" i="44"/>
  <c r="Q38" i="60"/>
  <c r="O38" i="60"/>
  <c r="Q33" i="60"/>
  <c r="O33" i="60"/>
  <c r="O43" i="40"/>
  <c r="Q43" i="40"/>
  <c r="Q19" i="48"/>
  <c r="O19" i="48"/>
  <c r="Q24" i="41"/>
  <c r="O24" i="41"/>
  <c r="Q26" i="48"/>
  <c r="O26" i="48"/>
  <c r="Q38" i="40"/>
  <c r="O38" i="40"/>
  <c r="Q36" i="41"/>
  <c r="O36" i="41"/>
  <c r="Q49" i="41"/>
  <c r="O49" i="41"/>
  <c r="Q18" i="40"/>
  <c r="O18" i="40"/>
  <c r="O34" i="41"/>
  <c r="Q34" i="41"/>
  <c r="Q26" i="41"/>
  <c r="O26" i="41"/>
  <c r="O39" i="40"/>
  <c r="Q39" i="40"/>
  <c r="Q44" i="40"/>
  <c r="O44" i="40"/>
  <c r="O16" i="48"/>
  <c r="Q16" i="48"/>
  <c r="O33" i="40"/>
  <c r="Q33" i="40"/>
  <c r="Q5" i="48"/>
  <c r="O5" i="48"/>
  <c r="D50" i="41"/>
  <c r="H50" i="41"/>
  <c r="K50" i="41"/>
  <c r="L50" i="41"/>
  <c r="N50" i="41"/>
  <c r="Y50" i="14"/>
  <c r="D53" i="41"/>
  <c r="H53" i="41"/>
  <c r="K53" i="41"/>
  <c r="L53" i="41"/>
  <c r="N53" i="41"/>
  <c r="Y10" i="14"/>
  <c r="D50" i="48"/>
  <c r="H50" i="48"/>
  <c r="K50" i="48"/>
  <c r="L50" i="48"/>
  <c r="N50" i="48"/>
  <c r="D52" i="41"/>
  <c r="H52" i="41"/>
  <c r="K52" i="41"/>
  <c r="L52" i="41"/>
  <c r="N52" i="41"/>
  <c r="D10" i="40"/>
  <c r="H10" i="40"/>
  <c r="K10" i="40"/>
  <c r="L10" i="40"/>
  <c r="N10" i="40"/>
  <c r="Y51" i="14"/>
  <c r="D54" i="41"/>
  <c r="H54" i="41"/>
  <c r="K54" i="41"/>
  <c r="L54" i="41"/>
  <c r="N54" i="41"/>
  <c r="D4" i="48"/>
  <c r="D54" i="48"/>
  <c r="H54" i="48"/>
  <c r="K54" i="48"/>
  <c r="L54" i="48"/>
  <c r="N54" i="48"/>
  <c r="D52" i="48"/>
  <c r="H52" i="48"/>
  <c r="K52" i="48"/>
  <c r="L52" i="48"/>
  <c r="N52" i="48"/>
  <c r="D10" i="41"/>
  <c r="H10" i="41"/>
  <c r="K10" i="41"/>
  <c r="L10" i="41"/>
  <c r="N10" i="41"/>
  <c r="D53" i="40"/>
  <c r="H53" i="40"/>
  <c r="K53" i="40"/>
  <c r="L53" i="40"/>
  <c r="N53" i="40"/>
  <c r="Y54" i="14"/>
  <c r="D54" i="40"/>
  <c r="H54" i="40"/>
  <c r="K54" i="40"/>
  <c r="L54" i="40"/>
  <c r="N54" i="40"/>
  <c r="D4" i="41"/>
  <c r="D10" i="48"/>
  <c r="H10" i="48"/>
  <c r="K10" i="48"/>
  <c r="L10" i="48"/>
  <c r="N10" i="48"/>
  <c r="D51" i="48"/>
  <c r="H51" i="48"/>
  <c r="K51" i="48"/>
  <c r="L51" i="48"/>
  <c r="N51" i="48"/>
  <c r="D51" i="41"/>
  <c r="H51" i="41"/>
  <c r="K51" i="41"/>
  <c r="L51" i="41"/>
  <c r="N51" i="41"/>
  <c r="D4" i="40"/>
  <c r="Z68" i="14"/>
  <c r="D53" i="48"/>
  <c r="H53" i="48"/>
  <c r="K53" i="48"/>
  <c r="L53" i="48"/>
  <c r="N53" i="48"/>
  <c r="Y4" i="14"/>
  <c r="D50" i="40"/>
  <c r="H50" i="40"/>
  <c r="K50" i="40"/>
  <c r="L50" i="40"/>
  <c r="N50" i="40"/>
  <c r="D51" i="40"/>
  <c r="H51" i="40"/>
  <c r="K51" i="40"/>
  <c r="L51" i="40"/>
  <c r="N51" i="40"/>
  <c r="D52" i="40"/>
  <c r="H52" i="40"/>
  <c r="K52" i="40"/>
  <c r="L52" i="40"/>
  <c r="N52" i="40"/>
  <c r="Y53" i="14"/>
  <c r="Q42" i="41"/>
  <c r="O42" i="41"/>
  <c r="Z52" i="14"/>
  <c r="Y52" i="14"/>
  <c r="O46" i="48"/>
  <c r="Q46" i="48"/>
  <c r="Q46" i="41"/>
  <c r="O46" i="41"/>
  <c r="O30" i="41"/>
  <c r="Q30" i="41"/>
  <c r="Q44" i="41"/>
  <c r="O44" i="41"/>
  <c r="O6" i="48"/>
  <c r="Q6" i="48"/>
  <c r="O33" i="41"/>
  <c r="Q33" i="41"/>
  <c r="Q31" i="41"/>
  <c r="O31" i="41"/>
  <c r="Q36" i="48"/>
  <c r="O36" i="48"/>
  <c r="O15" i="40"/>
  <c r="Q15" i="40"/>
  <c r="Q32" i="40"/>
  <c r="O32" i="40"/>
  <c r="Q22" i="40"/>
  <c r="O22" i="40"/>
  <c r="O28" i="48"/>
  <c r="Q28" i="48"/>
  <c r="O7" i="48"/>
  <c r="Q7" i="48"/>
  <c r="O45" i="40"/>
  <c r="Q45" i="40"/>
  <c r="O46" i="40"/>
  <c r="Q46" i="40"/>
  <c r="Q7" i="40"/>
  <c r="O7" i="40"/>
  <c r="K13" i="38"/>
  <c r="L6" i="38"/>
  <c r="AA52" i="55"/>
  <c r="Z52" i="55"/>
  <c r="D65" i="48"/>
  <c r="H3" i="48"/>
  <c r="O31" i="40"/>
  <c r="Q31" i="40"/>
  <c r="Q30" i="40"/>
  <c r="O30" i="40"/>
  <c r="O40" i="41"/>
  <c r="Q40" i="41"/>
  <c r="Q12" i="48"/>
  <c r="O12" i="48"/>
  <c r="O21" i="48"/>
  <c r="Q21" i="48"/>
  <c r="Q43" i="48"/>
  <c r="O43" i="48"/>
  <c r="O34" i="40"/>
  <c r="Q34" i="40"/>
  <c r="Q45" i="41"/>
  <c r="O45" i="41"/>
  <c r="O47" i="48"/>
  <c r="Q47" i="48"/>
  <c r="Q22" i="41"/>
  <c r="O22" i="41"/>
  <c r="Q12" i="40"/>
  <c r="O12" i="40"/>
  <c r="O39" i="48"/>
  <c r="Q39" i="48"/>
  <c r="O32" i="48"/>
  <c r="Q32" i="48"/>
  <c r="O38" i="48"/>
  <c r="Q38" i="48"/>
  <c r="O38" i="41"/>
  <c r="Q38" i="41"/>
  <c r="Q17" i="40"/>
  <c r="O17" i="40"/>
  <c r="Q28" i="41"/>
  <c r="O28" i="41"/>
  <c r="O45" i="48"/>
  <c r="Q45" i="48"/>
  <c r="O40" i="48"/>
  <c r="Q40" i="48"/>
  <c r="O21" i="41"/>
  <c r="Q21" i="41"/>
  <c r="Q26" i="40"/>
  <c r="O26" i="40"/>
  <c r="O17" i="41"/>
  <c r="Q17" i="41"/>
  <c r="O36" i="40"/>
  <c r="Q36" i="40"/>
  <c r="O24" i="48"/>
  <c r="Q24" i="48"/>
  <c r="Q5" i="41"/>
  <c r="O5" i="41"/>
  <c r="O34" i="48"/>
  <c r="Q34" i="48"/>
  <c r="O27" i="48"/>
  <c r="Q27" i="48"/>
  <c r="Q35" i="40"/>
  <c r="O35" i="40"/>
  <c r="O5" i="40"/>
  <c r="Q5" i="40"/>
  <c r="Q22" i="48"/>
  <c r="O22" i="48"/>
  <c r="Q25" i="40"/>
  <c r="O25" i="40"/>
  <c r="O9" i="41"/>
  <c r="Q9" i="41"/>
  <c r="O35" i="41"/>
  <c r="Q35" i="41"/>
  <c r="Q24" i="40"/>
  <c r="O24" i="40"/>
  <c r="Q47" i="41"/>
  <c r="O47" i="41"/>
  <c r="O19" i="41"/>
  <c r="Q19" i="41"/>
  <c r="AA61" i="15"/>
  <c r="O13" i="48"/>
  <c r="Q13" i="48"/>
  <c r="Q23" i="48"/>
  <c r="O23" i="48"/>
  <c r="Q9" i="48"/>
  <c r="O9" i="48"/>
  <c r="O15" i="41"/>
  <c r="Q15" i="41"/>
  <c r="O15" i="48"/>
  <c r="Q15" i="48"/>
  <c r="O27" i="40"/>
  <c r="Q27" i="40"/>
  <c r="Q28" i="40"/>
  <c r="O28" i="40"/>
  <c r="D4" i="17"/>
  <c r="D51" i="17"/>
  <c r="H51" i="17"/>
  <c r="K51" i="17"/>
  <c r="L51" i="17"/>
  <c r="N51" i="17"/>
  <c r="D10" i="60"/>
  <c r="H10" i="60"/>
  <c r="K10" i="60"/>
  <c r="L10" i="60"/>
  <c r="N10" i="60"/>
  <c r="D54" i="17"/>
  <c r="H54" i="17"/>
  <c r="K54" i="17"/>
  <c r="L54" i="17"/>
  <c r="N54" i="17"/>
  <c r="D53" i="60"/>
  <c r="H53" i="60"/>
  <c r="K53" i="60"/>
  <c r="L53" i="60"/>
  <c r="N53" i="60"/>
  <c r="Z4" i="15"/>
  <c r="C34" i="82"/>
  <c r="D50" i="60"/>
  <c r="H50" i="60"/>
  <c r="K50" i="60"/>
  <c r="L50" i="60"/>
  <c r="N50" i="60"/>
  <c r="D50" i="17"/>
  <c r="H50" i="17"/>
  <c r="K50" i="17"/>
  <c r="L50" i="17"/>
  <c r="N50" i="17"/>
  <c r="AA68" i="15"/>
  <c r="D10" i="17"/>
  <c r="H10" i="17"/>
  <c r="K10" i="17"/>
  <c r="L10" i="17"/>
  <c r="N10" i="17"/>
  <c r="Z54" i="15"/>
  <c r="D51" i="60"/>
  <c r="H51" i="60"/>
  <c r="K51" i="60"/>
  <c r="L51" i="60"/>
  <c r="N51" i="60"/>
  <c r="D52" i="17"/>
  <c r="H52" i="17"/>
  <c r="K52" i="17"/>
  <c r="L52" i="17"/>
  <c r="N52" i="17"/>
  <c r="Z10" i="15"/>
  <c r="C28" i="82"/>
  <c r="D52" i="60"/>
  <c r="H52" i="60"/>
  <c r="K52" i="60"/>
  <c r="L52" i="60"/>
  <c r="N52" i="60"/>
  <c r="D54" i="60"/>
  <c r="H54" i="60"/>
  <c r="K54" i="60"/>
  <c r="L54" i="60"/>
  <c r="N54" i="60"/>
  <c r="D4" i="60"/>
  <c r="D53" i="17"/>
  <c r="H53" i="17"/>
  <c r="K53" i="17"/>
  <c r="L53" i="17"/>
  <c r="N53" i="17"/>
  <c r="Z53" i="15"/>
  <c r="Z51" i="15"/>
  <c r="Z50" i="15"/>
  <c r="AA41" i="55"/>
  <c r="AA23" i="55"/>
  <c r="AA48" i="55"/>
  <c r="AA37" i="55"/>
  <c r="AA42" i="55"/>
  <c r="AA11" i="55"/>
  <c r="AA33" i="55"/>
  <c r="AA30" i="55"/>
  <c r="AA21" i="55"/>
  <c r="AA4" i="55"/>
  <c r="AA32" i="55"/>
  <c r="AA18" i="55"/>
  <c r="AA9" i="55"/>
  <c r="AA17" i="55"/>
  <c r="AA40" i="55"/>
  <c r="AA25" i="55"/>
  <c r="AA7" i="55"/>
  <c r="AA36" i="55"/>
  <c r="AA29" i="55"/>
  <c r="AA5" i="55"/>
  <c r="AA3" i="55"/>
  <c r="AA43" i="55"/>
  <c r="AA6" i="55"/>
  <c r="AA8" i="55"/>
  <c r="AA67" i="55"/>
  <c r="AA12" i="55"/>
  <c r="AA20" i="55"/>
  <c r="AA53" i="55"/>
  <c r="AA44" i="55"/>
  <c r="AA38" i="55"/>
  <c r="AA16" i="55"/>
  <c r="AA31" i="55"/>
  <c r="AA65" i="55"/>
  <c r="AA62" i="55"/>
  <c r="AA47" i="55"/>
  <c r="AA10" i="55"/>
  <c r="AA50" i="55"/>
  <c r="AA66" i="55"/>
  <c r="AA45" i="55"/>
  <c r="AA34" i="55"/>
  <c r="AA51" i="55"/>
  <c r="AA19" i="55"/>
  <c r="AA22" i="55"/>
  <c r="AA54" i="55"/>
  <c r="AA35" i="55"/>
  <c r="AA46" i="55"/>
  <c r="AA28" i="55"/>
  <c r="AA24" i="55"/>
  <c r="AA13" i="55"/>
  <c r="AA14" i="55"/>
  <c r="AA27" i="55"/>
  <c r="AA39" i="55"/>
  <c r="AA49" i="55"/>
  <c r="AA26" i="55"/>
  <c r="AA15" i="55"/>
  <c r="Q48" i="40"/>
  <c r="O48" i="40"/>
  <c r="O30" i="48"/>
  <c r="Q30" i="48"/>
  <c r="Q8" i="40"/>
  <c r="O8" i="40"/>
  <c r="Q20" i="48"/>
  <c r="O20" i="48"/>
  <c r="O29" i="41"/>
  <c r="Q29" i="41"/>
  <c r="Q23" i="40"/>
  <c r="O23" i="40"/>
  <c r="Q44" i="48"/>
  <c r="O44" i="48"/>
  <c r="Q12" i="41"/>
  <c r="O12" i="41"/>
  <c r="Q25" i="41"/>
  <c r="O25" i="41"/>
  <c r="AA23" i="15"/>
  <c r="AA51" i="15"/>
  <c r="AA48" i="15"/>
  <c r="AA16" i="15"/>
  <c r="AA25" i="15"/>
  <c r="D62" i="40"/>
  <c r="AA11" i="15"/>
  <c r="AA22" i="15"/>
  <c r="AA49" i="15"/>
  <c r="AA6" i="15"/>
  <c r="AA33" i="15"/>
  <c r="AA32" i="15"/>
  <c r="AA24" i="15"/>
  <c r="AA28" i="15"/>
  <c r="AA65" i="15"/>
  <c r="AA36" i="15"/>
  <c r="AA44" i="15"/>
  <c r="AA17" i="15"/>
  <c r="AA21" i="15"/>
  <c r="AA67" i="15"/>
  <c r="AA34" i="15"/>
  <c r="AA35" i="15"/>
  <c r="AA3" i="15"/>
  <c r="D62" i="44"/>
  <c r="AA38" i="15"/>
  <c r="N6" i="38"/>
  <c r="AA10" i="15"/>
  <c r="AA14" i="15"/>
  <c r="AA31" i="15"/>
  <c r="D62" i="41"/>
  <c r="AA66" i="15"/>
  <c r="AA18" i="15"/>
  <c r="AA8" i="15"/>
  <c r="AA39" i="15"/>
  <c r="D62" i="48"/>
  <c r="AA46" i="15"/>
  <c r="AA7" i="15"/>
  <c r="AA40" i="15"/>
  <c r="D62" i="17"/>
  <c r="AA53" i="15"/>
  <c r="AA47" i="15"/>
  <c r="AA27" i="15"/>
  <c r="AA12" i="15"/>
  <c r="AA42" i="15"/>
  <c r="AA43" i="15"/>
  <c r="AA4" i="15"/>
  <c r="AA62" i="15"/>
  <c r="AA26" i="15"/>
  <c r="AA13" i="15"/>
  <c r="AA19" i="15"/>
  <c r="AA45" i="15"/>
  <c r="AA50" i="15"/>
  <c r="AA41" i="15"/>
  <c r="AA29" i="15"/>
  <c r="AA5" i="15"/>
  <c r="D62" i="60"/>
  <c r="AA20" i="15"/>
  <c r="AA30" i="15"/>
  <c r="AA15" i="15"/>
  <c r="AA9" i="15"/>
  <c r="AA37" i="15"/>
  <c r="AA54" i="15"/>
  <c r="Q20" i="41"/>
  <c r="O20" i="41"/>
  <c r="O42" i="48"/>
  <c r="Q42" i="48"/>
  <c r="Q29" i="40"/>
  <c r="O29" i="40"/>
  <c r="Q25" i="48"/>
  <c r="O25" i="48"/>
  <c r="O17" i="48"/>
  <c r="Q17" i="48"/>
  <c r="O48" i="48"/>
  <c r="Q48" i="48"/>
  <c r="Q16" i="40"/>
  <c r="O16" i="40"/>
  <c r="Q32" i="41"/>
  <c r="O32" i="41"/>
  <c r="Z52" i="15"/>
  <c r="AA52" i="15"/>
  <c r="AA68" i="55"/>
  <c r="D52" i="44"/>
  <c r="G52" i="44"/>
  <c r="K52" i="44"/>
  <c r="L52" i="44"/>
  <c r="N52" i="44"/>
  <c r="D54" i="44"/>
  <c r="G54" i="44"/>
  <c r="K54" i="44"/>
  <c r="L54" i="44"/>
  <c r="N54" i="44"/>
  <c r="D4" i="44"/>
  <c r="Z4" i="55"/>
  <c r="AP4" i="63"/>
  <c r="D53" i="44"/>
  <c r="G53" i="44"/>
  <c r="K53" i="44"/>
  <c r="L53" i="44"/>
  <c r="N53" i="44"/>
  <c r="Z10" i="55"/>
  <c r="AP9" i="63"/>
  <c r="Z50" i="55"/>
  <c r="Z51" i="55"/>
  <c r="Z54" i="55"/>
  <c r="Z53" i="55"/>
  <c r="D51" i="44"/>
  <c r="G51" i="44"/>
  <c r="K51" i="44"/>
  <c r="L51" i="44"/>
  <c r="N51" i="44"/>
  <c r="D10" i="44"/>
  <c r="G10" i="44"/>
  <c r="K10" i="44"/>
  <c r="L10" i="44"/>
  <c r="N10" i="44"/>
  <c r="D50" i="44"/>
  <c r="G50" i="44"/>
  <c r="K50" i="44"/>
  <c r="L50" i="44"/>
  <c r="N50" i="44"/>
  <c r="Q27" i="41"/>
  <c r="O27" i="41"/>
  <c r="Q48" i="41"/>
  <c r="O48" i="41"/>
  <c r="D65" i="40"/>
  <c r="H3" i="40"/>
  <c r="Q18" i="48"/>
  <c r="O18" i="48"/>
  <c r="Q18" i="41"/>
  <c r="O18" i="41"/>
  <c r="L5" i="38"/>
  <c r="K12" i="38"/>
  <c r="Q42" i="40"/>
  <c r="O42" i="40"/>
  <c r="Q20" i="40"/>
  <c r="O20" i="40"/>
  <c r="O16" i="41"/>
  <c r="Q16" i="41"/>
  <c r="Q19" i="40"/>
  <c r="O19" i="40"/>
  <c r="Q8" i="41"/>
  <c r="O8" i="41"/>
  <c r="O9" i="40"/>
  <c r="Q9" i="40"/>
  <c r="Q47" i="40"/>
  <c r="O47" i="40"/>
  <c r="O21" i="40"/>
  <c r="Q21" i="40"/>
  <c r="O49" i="48"/>
  <c r="Q49" i="48"/>
  <c r="Q13" i="40"/>
  <c r="O13" i="40"/>
  <c r="Q33" i="48"/>
  <c r="O33" i="48"/>
  <c r="O7" i="41"/>
  <c r="Q7" i="41"/>
  <c r="Q35" i="48"/>
  <c r="O35" i="48"/>
  <c r="O31" i="48"/>
  <c r="Q31" i="48"/>
  <c r="Q40" i="40"/>
  <c r="O40" i="40"/>
  <c r="O39" i="41"/>
  <c r="Q39" i="41"/>
  <c r="H3" i="41"/>
  <c r="D61" i="41"/>
  <c r="G76" i="41"/>
  <c r="D65" i="41"/>
  <c r="O13" i="41"/>
  <c r="Q13" i="41"/>
  <c r="Q29" i="48"/>
  <c r="O29" i="48"/>
  <c r="Q43" i="41"/>
  <c r="O43" i="41"/>
  <c r="O6" i="41"/>
  <c r="Q6" i="41"/>
  <c r="O23" i="41"/>
  <c r="Q23" i="41"/>
  <c r="Q8" i="48"/>
  <c r="O8" i="48"/>
  <c r="R36" i="60"/>
  <c r="T36" i="60"/>
  <c r="U36" i="60"/>
  <c r="X36" i="60"/>
  <c r="R24" i="17"/>
  <c r="T24" i="17"/>
  <c r="U24" i="17"/>
  <c r="X24" i="17"/>
  <c r="T17" i="60"/>
  <c r="U17" i="60"/>
  <c r="X17" i="60"/>
  <c r="R17" i="60"/>
  <c r="G65" i="44"/>
  <c r="K65" i="44"/>
  <c r="L65" i="44"/>
  <c r="K3" i="44"/>
  <c r="L3" i="44"/>
  <c r="R32" i="60"/>
  <c r="T32" i="60"/>
  <c r="U32" i="60"/>
  <c r="X32" i="60"/>
  <c r="R28" i="44"/>
  <c r="T28" i="44"/>
  <c r="U28" i="44"/>
  <c r="X28" i="44"/>
  <c r="R35" i="44"/>
  <c r="T35" i="44"/>
  <c r="U35" i="44"/>
  <c r="X35" i="44"/>
  <c r="R7" i="44"/>
  <c r="T7" i="44"/>
  <c r="U7" i="44"/>
  <c r="X7" i="44"/>
  <c r="T29" i="17"/>
  <c r="U29" i="17"/>
  <c r="X29" i="17"/>
  <c r="R29" i="17"/>
  <c r="R40" i="44"/>
  <c r="T40" i="44"/>
  <c r="U40" i="44"/>
  <c r="X40" i="44"/>
  <c r="R17" i="17"/>
  <c r="T17" i="17"/>
  <c r="U17" i="17"/>
  <c r="X17" i="17"/>
  <c r="R29" i="60"/>
  <c r="T29" i="60"/>
  <c r="U29" i="60"/>
  <c r="X29" i="60"/>
  <c r="T20" i="44"/>
  <c r="U20" i="44"/>
  <c r="X20" i="44"/>
  <c r="R20" i="44"/>
  <c r="T36" i="44"/>
  <c r="U36" i="44"/>
  <c r="X36" i="44"/>
  <c r="R36" i="44"/>
  <c r="T21" i="44"/>
  <c r="U21" i="44"/>
  <c r="X21" i="44"/>
  <c r="R21" i="44"/>
  <c r="R17" i="44"/>
  <c r="T17" i="44"/>
  <c r="U17" i="44"/>
  <c r="X17" i="44"/>
  <c r="T45" i="60"/>
  <c r="U45" i="60"/>
  <c r="X45" i="60"/>
  <c r="R45" i="60"/>
  <c r="R5" i="60"/>
  <c r="T5" i="60"/>
  <c r="U5" i="60"/>
  <c r="X5" i="60"/>
  <c r="T13" i="44"/>
  <c r="U13" i="44"/>
  <c r="X13" i="44"/>
  <c r="R13" i="44"/>
  <c r="R31" i="60"/>
  <c r="T31" i="60"/>
  <c r="U31" i="60"/>
  <c r="X31" i="60"/>
  <c r="R45" i="44"/>
  <c r="T45" i="44"/>
  <c r="U45" i="44"/>
  <c r="X45" i="44"/>
  <c r="R47" i="44"/>
  <c r="T47" i="44"/>
  <c r="U47" i="44"/>
  <c r="X47" i="44"/>
  <c r="Q31" i="17"/>
  <c r="O31" i="17"/>
  <c r="R21" i="60"/>
  <c r="T21" i="60"/>
  <c r="U21" i="60"/>
  <c r="X21" i="60"/>
  <c r="T15" i="60"/>
  <c r="U15" i="60"/>
  <c r="X15" i="60"/>
  <c r="R15" i="60"/>
  <c r="T47" i="60"/>
  <c r="U47" i="60"/>
  <c r="X47" i="60"/>
  <c r="R47" i="60"/>
  <c r="R34" i="44"/>
  <c r="T34" i="44"/>
  <c r="U34" i="44"/>
  <c r="X34" i="44"/>
  <c r="R42" i="60"/>
  <c r="T42" i="60"/>
  <c r="U42" i="60"/>
  <c r="X42" i="60"/>
  <c r="R30" i="17"/>
  <c r="T30" i="17"/>
  <c r="U30" i="17"/>
  <c r="X30" i="17"/>
  <c r="T25" i="44"/>
  <c r="U25" i="44"/>
  <c r="X25" i="44"/>
  <c r="R25" i="44"/>
  <c r="T22" i="17"/>
  <c r="U22" i="17"/>
  <c r="X22" i="17"/>
  <c r="R22" i="17"/>
  <c r="R19" i="44"/>
  <c r="T19" i="44"/>
  <c r="U19" i="44"/>
  <c r="X19" i="44"/>
  <c r="R16" i="44"/>
  <c r="T16" i="44"/>
  <c r="U16" i="44"/>
  <c r="X16" i="44"/>
  <c r="R49" i="60"/>
  <c r="T49" i="60"/>
  <c r="U49" i="60"/>
  <c r="X49" i="60"/>
  <c r="R29" i="44"/>
  <c r="T29" i="44"/>
  <c r="U29" i="44"/>
  <c r="X29" i="44"/>
  <c r="R32" i="17"/>
  <c r="T32" i="17"/>
  <c r="U32" i="17"/>
  <c r="X32" i="17"/>
  <c r="R8" i="60"/>
  <c r="T8" i="60"/>
  <c r="U8" i="60"/>
  <c r="X8" i="60"/>
  <c r="R44" i="17"/>
  <c r="T44" i="17"/>
  <c r="U44" i="17"/>
  <c r="X44" i="17"/>
  <c r="R46" i="44"/>
  <c r="T46" i="44"/>
  <c r="U46" i="44"/>
  <c r="X46" i="44"/>
  <c r="T45" i="17"/>
  <c r="U45" i="17"/>
  <c r="X45" i="17"/>
  <c r="R45" i="17"/>
  <c r="R18" i="17"/>
  <c r="T18" i="17"/>
  <c r="U18" i="17"/>
  <c r="X18" i="17"/>
  <c r="R26" i="17"/>
  <c r="T26" i="17"/>
  <c r="U26" i="17"/>
  <c r="X26" i="17"/>
  <c r="R8" i="44"/>
  <c r="T8" i="44"/>
  <c r="U8" i="44"/>
  <c r="X8" i="44"/>
  <c r="T9" i="60"/>
  <c r="U9" i="60"/>
  <c r="X9" i="60"/>
  <c r="R9" i="60"/>
  <c r="R28" i="60"/>
  <c r="T28" i="60"/>
  <c r="U28" i="60"/>
  <c r="X28" i="60"/>
  <c r="R32" i="44"/>
  <c r="T32" i="44"/>
  <c r="U32" i="44"/>
  <c r="X32" i="44"/>
  <c r="R19" i="60"/>
  <c r="T19" i="60"/>
  <c r="U19" i="60"/>
  <c r="X19" i="60"/>
  <c r="R19" i="17"/>
  <c r="T19" i="17"/>
  <c r="U19" i="17"/>
  <c r="X19" i="17"/>
  <c r="R12" i="60"/>
  <c r="T12" i="60"/>
  <c r="U12" i="60"/>
  <c r="X12" i="60"/>
  <c r="R43" i="60"/>
  <c r="T43" i="60"/>
  <c r="U43" i="60"/>
  <c r="X43" i="60"/>
  <c r="T16" i="60"/>
  <c r="U16" i="60"/>
  <c r="X16" i="60"/>
  <c r="R16" i="60"/>
  <c r="R36" i="17"/>
  <c r="T36" i="17"/>
  <c r="U36" i="17"/>
  <c r="X36" i="17"/>
  <c r="T48" i="60"/>
  <c r="U48" i="60"/>
  <c r="X48" i="60"/>
  <c r="R48" i="60"/>
  <c r="T42" i="44"/>
  <c r="U42" i="44"/>
  <c r="X42" i="44"/>
  <c r="R42" i="44"/>
  <c r="R26" i="44"/>
  <c r="T26" i="44"/>
  <c r="U26" i="44"/>
  <c r="X26" i="44"/>
  <c r="T18" i="60"/>
  <c r="U18" i="60"/>
  <c r="X18" i="60"/>
  <c r="R18" i="60"/>
  <c r="T39" i="17"/>
  <c r="U39" i="17"/>
  <c r="X39" i="17"/>
  <c r="R39" i="17"/>
  <c r="R39" i="60"/>
  <c r="T39" i="60"/>
  <c r="U39" i="60"/>
  <c r="X39" i="60"/>
  <c r="R22" i="60"/>
  <c r="T22" i="60"/>
  <c r="U22" i="60"/>
  <c r="X22" i="60"/>
  <c r="R34" i="17"/>
  <c r="T34" i="17"/>
  <c r="U34" i="17"/>
  <c r="X34" i="17"/>
  <c r="R30" i="60"/>
  <c r="T30" i="60"/>
  <c r="U30" i="60"/>
  <c r="X30" i="60"/>
  <c r="R38" i="60"/>
  <c r="T38" i="60"/>
  <c r="U38" i="60"/>
  <c r="X38" i="60"/>
  <c r="T23" i="60"/>
  <c r="U23" i="60"/>
  <c r="X23" i="60"/>
  <c r="R23" i="60"/>
  <c r="R12" i="17"/>
  <c r="T12" i="17"/>
  <c r="U12" i="17"/>
  <c r="X12" i="17"/>
  <c r="R35" i="17"/>
  <c r="T35" i="17"/>
  <c r="U35" i="17"/>
  <c r="X35" i="17"/>
  <c r="T46" i="60"/>
  <c r="U46" i="60"/>
  <c r="X46" i="60"/>
  <c r="R46" i="60"/>
  <c r="T12" i="44"/>
  <c r="U12" i="44"/>
  <c r="X12" i="44"/>
  <c r="R12" i="44"/>
  <c r="R7" i="60"/>
  <c r="T7" i="60"/>
  <c r="U7" i="60"/>
  <c r="X7" i="60"/>
  <c r="T24" i="44"/>
  <c r="U24" i="44"/>
  <c r="X24" i="44"/>
  <c r="R24" i="44"/>
  <c r="R38" i="44"/>
  <c r="T38" i="44"/>
  <c r="U38" i="44"/>
  <c r="X38" i="44"/>
  <c r="T6" i="60"/>
  <c r="U6" i="60"/>
  <c r="X6" i="60"/>
  <c r="R6" i="60"/>
  <c r="R20" i="60"/>
  <c r="T20" i="60"/>
  <c r="U20" i="60"/>
  <c r="X20" i="60"/>
  <c r="T43" i="17"/>
  <c r="U43" i="17"/>
  <c r="X43" i="17"/>
  <c r="R43" i="17"/>
  <c r="R31" i="44"/>
  <c r="T31" i="44"/>
  <c r="U31" i="44"/>
  <c r="X31" i="44"/>
  <c r="R24" i="60"/>
  <c r="T24" i="60"/>
  <c r="U24" i="60"/>
  <c r="X24" i="60"/>
  <c r="T7" i="17"/>
  <c r="U7" i="17"/>
  <c r="X7" i="17"/>
  <c r="R7" i="17"/>
  <c r="K3" i="60"/>
  <c r="L3" i="60"/>
  <c r="H65" i="60"/>
  <c r="K65" i="60"/>
  <c r="L65" i="60"/>
  <c r="T27" i="60"/>
  <c r="U27" i="60"/>
  <c r="X27" i="60"/>
  <c r="R27" i="60"/>
  <c r="T27" i="17"/>
  <c r="U27" i="17"/>
  <c r="X27" i="17"/>
  <c r="R27" i="17"/>
  <c r="R16" i="17"/>
  <c r="T16" i="17"/>
  <c r="U16" i="17"/>
  <c r="X16" i="17"/>
  <c r="R8" i="17"/>
  <c r="T8" i="17"/>
  <c r="U8" i="17"/>
  <c r="X8" i="17"/>
  <c r="T46" i="17"/>
  <c r="U46" i="17"/>
  <c r="X46" i="17"/>
  <c r="R46" i="17"/>
  <c r="T20" i="17"/>
  <c r="U20" i="17"/>
  <c r="X20" i="17"/>
  <c r="R20" i="17"/>
  <c r="R30" i="44"/>
  <c r="T30" i="44"/>
  <c r="U30" i="44"/>
  <c r="X30" i="44"/>
  <c r="T22" i="44"/>
  <c r="U22" i="44"/>
  <c r="X22" i="44"/>
  <c r="R22" i="44"/>
  <c r="R44" i="44"/>
  <c r="T44" i="44"/>
  <c r="U44" i="44"/>
  <c r="X44" i="44"/>
  <c r="T15" i="17"/>
  <c r="U15" i="17"/>
  <c r="X15" i="17"/>
  <c r="R15" i="17"/>
  <c r="T6" i="44"/>
  <c r="U6" i="44"/>
  <c r="X6" i="44"/>
  <c r="R6" i="44"/>
  <c r="T18" i="44"/>
  <c r="U18" i="44"/>
  <c r="X18" i="44"/>
  <c r="R18" i="44"/>
  <c r="R23" i="44"/>
  <c r="T23" i="44"/>
  <c r="U23" i="44"/>
  <c r="X23" i="44"/>
  <c r="T5" i="17"/>
  <c r="U5" i="17"/>
  <c r="X5" i="17"/>
  <c r="R5" i="17"/>
  <c r="R33" i="60"/>
  <c r="T33" i="60"/>
  <c r="U33" i="60"/>
  <c r="X33" i="60"/>
  <c r="R34" i="60"/>
  <c r="T34" i="60"/>
  <c r="U34" i="60"/>
  <c r="X34" i="60"/>
  <c r="R39" i="44"/>
  <c r="T39" i="44"/>
  <c r="U39" i="44"/>
  <c r="X39" i="44"/>
  <c r="R23" i="17"/>
  <c r="T23" i="17"/>
  <c r="U23" i="17"/>
  <c r="X23" i="17"/>
  <c r="T25" i="60"/>
  <c r="U25" i="60"/>
  <c r="X25" i="60"/>
  <c r="R25" i="60"/>
  <c r="T47" i="17"/>
  <c r="U47" i="17"/>
  <c r="X47" i="17"/>
  <c r="R47" i="17"/>
  <c r="R35" i="60"/>
  <c r="T35" i="60"/>
  <c r="U35" i="60"/>
  <c r="X35" i="60"/>
  <c r="T33" i="17"/>
  <c r="U33" i="17"/>
  <c r="X33" i="17"/>
  <c r="R33" i="17"/>
  <c r="T28" i="17"/>
  <c r="U28" i="17"/>
  <c r="X28" i="17"/>
  <c r="R28" i="17"/>
  <c r="R40" i="17"/>
  <c r="T40" i="17"/>
  <c r="U40" i="17"/>
  <c r="X40" i="17"/>
  <c r="R26" i="60"/>
  <c r="T26" i="60"/>
  <c r="U26" i="60"/>
  <c r="X26" i="60"/>
  <c r="R43" i="44"/>
  <c r="T43" i="44"/>
  <c r="U43" i="44"/>
  <c r="X43" i="44"/>
  <c r="T49" i="44"/>
  <c r="U49" i="44"/>
  <c r="X49" i="44"/>
  <c r="R49" i="44"/>
  <c r="F71" i="17"/>
  <c r="G71" i="17"/>
  <c r="R15" i="44"/>
  <c r="T15" i="44"/>
  <c r="U15" i="44"/>
  <c r="X15" i="44"/>
  <c r="R6" i="17"/>
  <c r="T6" i="17"/>
  <c r="U6" i="17"/>
  <c r="X6" i="17"/>
  <c r="R42" i="17"/>
  <c r="T42" i="17"/>
  <c r="U42" i="17"/>
  <c r="X42" i="17"/>
  <c r="R25" i="17"/>
  <c r="T25" i="17"/>
  <c r="U25" i="17"/>
  <c r="X25" i="17"/>
  <c r="R40" i="60"/>
  <c r="T40" i="60"/>
  <c r="U40" i="60"/>
  <c r="X40" i="60"/>
  <c r="T13" i="17"/>
  <c r="U13" i="17"/>
  <c r="X13" i="17"/>
  <c r="R13" i="17"/>
  <c r="T27" i="44"/>
  <c r="U27" i="44"/>
  <c r="X27" i="44"/>
  <c r="R27" i="44"/>
  <c r="R38" i="17"/>
  <c r="T38" i="17"/>
  <c r="U38" i="17"/>
  <c r="X38" i="17"/>
  <c r="R44" i="60"/>
  <c r="T44" i="60"/>
  <c r="U44" i="60"/>
  <c r="X44" i="60"/>
  <c r="R13" i="60"/>
  <c r="T13" i="60"/>
  <c r="U13" i="60"/>
  <c r="X13" i="60"/>
  <c r="R48" i="44"/>
  <c r="T48" i="44"/>
  <c r="U48" i="44"/>
  <c r="X48" i="44"/>
  <c r="K3" i="17"/>
  <c r="L3" i="17"/>
  <c r="H65" i="17"/>
  <c r="K65" i="17"/>
  <c r="L65" i="17"/>
  <c r="R9" i="17"/>
  <c r="T9" i="17"/>
  <c r="U9" i="17"/>
  <c r="X9" i="17"/>
  <c r="T48" i="17"/>
  <c r="U48" i="17"/>
  <c r="X48" i="17"/>
  <c r="R48" i="17"/>
  <c r="T49" i="17"/>
  <c r="U49" i="17"/>
  <c r="X49" i="17"/>
  <c r="R49" i="17"/>
  <c r="R5" i="44"/>
  <c r="T5" i="44"/>
  <c r="U5" i="44"/>
  <c r="X5" i="44"/>
  <c r="R33" i="44"/>
  <c r="T33" i="44"/>
  <c r="U33" i="44"/>
  <c r="X33" i="44"/>
  <c r="T21" i="17"/>
  <c r="U21" i="17"/>
  <c r="X21" i="17"/>
  <c r="R21" i="17"/>
  <c r="R9" i="44"/>
  <c r="T9" i="44"/>
  <c r="U9" i="44"/>
  <c r="X9" i="44"/>
  <c r="R6" i="41"/>
  <c r="T6" i="41"/>
  <c r="U6" i="41"/>
  <c r="X6" i="41"/>
  <c r="Z6" i="41"/>
  <c r="AB6" i="41"/>
  <c r="AD6" i="41"/>
  <c r="Q54" i="17"/>
  <c r="O54" i="17"/>
  <c r="R22" i="48"/>
  <c r="T22" i="48"/>
  <c r="U22" i="48"/>
  <c r="X22" i="48"/>
  <c r="Z22" i="48"/>
  <c r="AB22" i="48"/>
  <c r="AD22" i="48"/>
  <c r="R43" i="48"/>
  <c r="T43" i="48"/>
  <c r="U43" i="48"/>
  <c r="X43" i="48"/>
  <c r="Z43" i="48"/>
  <c r="AB43" i="48"/>
  <c r="AD43" i="48"/>
  <c r="T15" i="40"/>
  <c r="U15" i="40"/>
  <c r="X15" i="40"/>
  <c r="Z15" i="40"/>
  <c r="AB15" i="40"/>
  <c r="AD15" i="40"/>
  <c r="R15" i="40"/>
  <c r="T46" i="48"/>
  <c r="U46" i="48"/>
  <c r="X46" i="48"/>
  <c r="Z46" i="48"/>
  <c r="AB46" i="48"/>
  <c r="AD46" i="48"/>
  <c r="R46" i="48"/>
  <c r="Q10" i="48"/>
  <c r="O10" i="48"/>
  <c r="T31" i="48"/>
  <c r="U31" i="48"/>
  <c r="X31" i="48"/>
  <c r="Z31" i="48"/>
  <c r="AB31" i="48"/>
  <c r="AD31" i="48"/>
  <c r="R31" i="48"/>
  <c r="T9" i="40"/>
  <c r="U9" i="40"/>
  <c r="X9" i="40"/>
  <c r="Z9" i="40"/>
  <c r="R9" i="40"/>
  <c r="R18" i="48"/>
  <c r="T18" i="48"/>
  <c r="U18" i="48"/>
  <c r="X18" i="48"/>
  <c r="Z18" i="48"/>
  <c r="AB18" i="48"/>
  <c r="AD18" i="48"/>
  <c r="Q53" i="44"/>
  <c r="O53" i="44"/>
  <c r="R13" i="48"/>
  <c r="T13" i="48"/>
  <c r="U13" i="48"/>
  <c r="X13" i="48"/>
  <c r="Z13" i="48"/>
  <c r="AB13" i="48"/>
  <c r="AD13" i="48"/>
  <c r="H65" i="40"/>
  <c r="K65" i="40"/>
  <c r="L65" i="40"/>
  <c r="K3" i="40"/>
  <c r="L3" i="40"/>
  <c r="R25" i="48"/>
  <c r="T25" i="48"/>
  <c r="U25" i="48"/>
  <c r="X25" i="48"/>
  <c r="Z25" i="48"/>
  <c r="AB25" i="48"/>
  <c r="AD25" i="48"/>
  <c r="R20" i="48"/>
  <c r="T20" i="48"/>
  <c r="U20" i="48"/>
  <c r="X20" i="48"/>
  <c r="Z20" i="48"/>
  <c r="AB20" i="48"/>
  <c r="AD20" i="48"/>
  <c r="Q10" i="60"/>
  <c r="O10" i="60"/>
  <c r="R5" i="40"/>
  <c r="T5" i="40"/>
  <c r="U5" i="40"/>
  <c r="X5" i="40"/>
  <c r="Z5" i="40"/>
  <c r="AB5" i="40"/>
  <c r="AD5" i="40"/>
  <c r="T32" i="48"/>
  <c r="U32" i="48"/>
  <c r="X32" i="48"/>
  <c r="Z32" i="48"/>
  <c r="AB32" i="48"/>
  <c r="AD32" i="48"/>
  <c r="R32" i="48"/>
  <c r="R21" i="48"/>
  <c r="T21" i="48"/>
  <c r="U21" i="48"/>
  <c r="X21" i="48"/>
  <c r="Z21" i="48"/>
  <c r="AB21" i="48"/>
  <c r="AD21" i="48"/>
  <c r="K20" i="38"/>
  <c r="L20" i="38"/>
  <c r="L13" i="38"/>
  <c r="D68" i="41"/>
  <c r="H4" i="41"/>
  <c r="O50" i="41"/>
  <c r="Q50" i="41"/>
  <c r="T18" i="40"/>
  <c r="U18" i="40"/>
  <c r="X18" i="40"/>
  <c r="Z18" i="40"/>
  <c r="AB18" i="40"/>
  <c r="AD18" i="40"/>
  <c r="R18" i="40"/>
  <c r="T35" i="48"/>
  <c r="U35" i="48"/>
  <c r="X35" i="48"/>
  <c r="Z35" i="48"/>
  <c r="AB35" i="48"/>
  <c r="AD35" i="48"/>
  <c r="R35" i="48"/>
  <c r="D61" i="40"/>
  <c r="G76" i="40"/>
  <c r="D61" i="44"/>
  <c r="G4" i="44"/>
  <c r="D68" i="44"/>
  <c r="F74" i="44"/>
  <c r="O53" i="17"/>
  <c r="Q53" i="17"/>
  <c r="O51" i="17"/>
  <c r="Q51" i="17"/>
  <c r="R26" i="40"/>
  <c r="T26" i="40"/>
  <c r="U26" i="40"/>
  <c r="X26" i="40"/>
  <c r="Z26" i="40"/>
  <c r="AB26" i="40"/>
  <c r="AD26" i="40"/>
  <c r="O54" i="40"/>
  <c r="Q54" i="40"/>
  <c r="R43" i="41"/>
  <c r="T43" i="41"/>
  <c r="U43" i="41"/>
  <c r="X43" i="41"/>
  <c r="Z43" i="41"/>
  <c r="AB43" i="41"/>
  <c r="AD43" i="41"/>
  <c r="T7" i="41"/>
  <c r="U7" i="41"/>
  <c r="X7" i="41"/>
  <c r="Z7" i="41"/>
  <c r="AB7" i="41"/>
  <c r="AD7" i="41"/>
  <c r="R7" i="41"/>
  <c r="R29" i="40"/>
  <c r="T29" i="40"/>
  <c r="U29" i="40"/>
  <c r="X29" i="40"/>
  <c r="Z29" i="40"/>
  <c r="AB29" i="40"/>
  <c r="AD29" i="40"/>
  <c r="R8" i="40"/>
  <c r="T8" i="40"/>
  <c r="U8" i="40"/>
  <c r="X8" i="40"/>
  <c r="Z8" i="40"/>
  <c r="AB8" i="40"/>
  <c r="AD8" i="40"/>
  <c r="D61" i="60"/>
  <c r="D68" i="60"/>
  <c r="H4" i="60"/>
  <c r="D68" i="17"/>
  <c r="H4" i="17"/>
  <c r="D61" i="17"/>
  <c r="G76" i="17"/>
  <c r="R19" i="41"/>
  <c r="T19" i="41"/>
  <c r="U19" i="41"/>
  <c r="X19" i="41"/>
  <c r="Z19" i="41"/>
  <c r="AB19" i="41"/>
  <c r="AD19" i="41"/>
  <c r="T21" i="41"/>
  <c r="U21" i="41"/>
  <c r="X21" i="41"/>
  <c r="Z21" i="41"/>
  <c r="AB21" i="41"/>
  <c r="AD21" i="41"/>
  <c r="R21" i="41"/>
  <c r="R39" i="48"/>
  <c r="T39" i="48"/>
  <c r="U39" i="48"/>
  <c r="X39" i="48"/>
  <c r="Z39" i="48"/>
  <c r="AB39" i="48"/>
  <c r="AD39" i="48"/>
  <c r="R7" i="40"/>
  <c r="T7" i="40"/>
  <c r="U7" i="40"/>
  <c r="X7" i="40"/>
  <c r="Z7" i="40"/>
  <c r="AB7" i="40"/>
  <c r="AD7" i="40"/>
  <c r="R36" i="48"/>
  <c r="T36" i="48"/>
  <c r="U36" i="48"/>
  <c r="X36" i="48"/>
  <c r="Z36" i="48"/>
  <c r="AB36" i="48"/>
  <c r="AD36" i="48"/>
  <c r="T5" i="48"/>
  <c r="U5" i="48"/>
  <c r="X5" i="48"/>
  <c r="R5" i="48"/>
  <c r="T49" i="41"/>
  <c r="U49" i="41"/>
  <c r="X49" i="41"/>
  <c r="Z49" i="41"/>
  <c r="AB49" i="41"/>
  <c r="AD49" i="41"/>
  <c r="R49" i="41"/>
  <c r="R8" i="41"/>
  <c r="T8" i="41"/>
  <c r="U8" i="41"/>
  <c r="X8" i="41"/>
  <c r="Z8" i="41"/>
  <c r="AB8" i="41"/>
  <c r="AD8" i="41"/>
  <c r="F71" i="40"/>
  <c r="G71" i="40"/>
  <c r="O54" i="44"/>
  <c r="Q54" i="44"/>
  <c r="R19" i="40"/>
  <c r="T19" i="40"/>
  <c r="U19" i="40"/>
  <c r="X19" i="40"/>
  <c r="Z19" i="40"/>
  <c r="AB19" i="40"/>
  <c r="AD19" i="40"/>
  <c r="O52" i="44"/>
  <c r="Q52" i="44"/>
  <c r="R42" i="48"/>
  <c r="T42" i="48"/>
  <c r="U42" i="48"/>
  <c r="X42" i="48"/>
  <c r="Z42" i="48"/>
  <c r="AB42" i="48"/>
  <c r="AD42" i="48"/>
  <c r="T30" i="48"/>
  <c r="U30" i="48"/>
  <c r="X30" i="48"/>
  <c r="Z30" i="48"/>
  <c r="AB30" i="48"/>
  <c r="AD30" i="48"/>
  <c r="R30" i="48"/>
  <c r="Q54" i="60"/>
  <c r="O54" i="60"/>
  <c r="R35" i="40"/>
  <c r="T35" i="40"/>
  <c r="U35" i="40"/>
  <c r="X35" i="40"/>
  <c r="Z35" i="40"/>
  <c r="AB35" i="40"/>
  <c r="AD35" i="40"/>
  <c r="R12" i="48"/>
  <c r="T12" i="48"/>
  <c r="U12" i="48"/>
  <c r="X12" i="48"/>
  <c r="Z12" i="48"/>
  <c r="AB12" i="48"/>
  <c r="AD12" i="48"/>
  <c r="T46" i="40"/>
  <c r="U46" i="40"/>
  <c r="X46" i="40"/>
  <c r="Z46" i="40"/>
  <c r="AB46" i="40"/>
  <c r="AD46" i="40"/>
  <c r="R46" i="40"/>
  <c r="Q53" i="40"/>
  <c r="O53" i="40"/>
  <c r="R33" i="40"/>
  <c r="T33" i="40"/>
  <c r="U33" i="40"/>
  <c r="X33" i="40"/>
  <c r="Z33" i="40"/>
  <c r="AB33" i="40"/>
  <c r="AD33" i="40"/>
  <c r="T29" i="48"/>
  <c r="U29" i="48"/>
  <c r="X29" i="48"/>
  <c r="Z29" i="48"/>
  <c r="AB29" i="48"/>
  <c r="AD29" i="48"/>
  <c r="R29" i="48"/>
  <c r="T16" i="41"/>
  <c r="U16" i="41"/>
  <c r="X16" i="41"/>
  <c r="Z16" i="41"/>
  <c r="AB16" i="41"/>
  <c r="AD16" i="41"/>
  <c r="R16" i="41"/>
  <c r="R48" i="41"/>
  <c r="T48" i="41"/>
  <c r="U48" i="41"/>
  <c r="X48" i="41"/>
  <c r="Z48" i="41"/>
  <c r="AB48" i="41"/>
  <c r="AD48" i="41"/>
  <c r="O52" i="60"/>
  <c r="Q52" i="60"/>
  <c r="T28" i="40"/>
  <c r="U28" i="40"/>
  <c r="X28" i="40"/>
  <c r="Z28" i="40"/>
  <c r="AB28" i="40"/>
  <c r="AD28" i="40"/>
  <c r="R28" i="40"/>
  <c r="T27" i="48"/>
  <c r="U27" i="48"/>
  <c r="X27" i="48"/>
  <c r="R27" i="48"/>
  <c r="T40" i="48"/>
  <c r="U40" i="48"/>
  <c r="X40" i="48"/>
  <c r="Z40" i="48"/>
  <c r="AB40" i="48"/>
  <c r="AD40" i="48"/>
  <c r="R40" i="48"/>
  <c r="T40" i="41"/>
  <c r="U40" i="41"/>
  <c r="X40" i="41"/>
  <c r="Z40" i="41"/>
  <c r="AB40" i="41"/>
  <c r="AD40" i="41"/>
  <c r="R40" i="41"/>
  <c r="R31" i="41"/>
  <c r="T31" i="41"/>
  <c r="U31" i="41"/>
  <c r="X31" i="41"/>
  <c r="Z31" i="41"/>
  <c r="AB31" i="41"/>
  <c r="AD31" i="41"/>
  <c r="R42" i="41"/>
  <c r="T42" i="41"/>
  <c r="U42" i="41"/>
  <c r="X42" i="41"/>
  <c r="Z42" i="41"/>
  <c r="AB42" i="41"/>
  <c r="AD42" i="41"/>
  <c r="Q10" i="41"/>
  <c r="O10" i="41"/>
  <c r="T36" i="41"/>
  <c r="U36" i="41"/>
  <c r="X36" i="41"/>
  <c r="Z36" i="41"/>
  <c r="AB36" i="41"/>
  <c r="AD36" i="41"/>
  <c r="R36" i="41"/>
  <c r="T13" i="41"/>
  <c r="U13" i="41"/>
  <c r="X13" i="41"/>
  <c r="Z13" i="41"/>
  <c r="AB13" i="41"/>
  <c r="AD13" i="41"/>
  <c r="R13" i="41"/>
  <c r="T33" i="48"/>
  <c r="U33" i="48"/>
  <c r="X33" i="48"/>
  <c r="Z33" i="48"/>
  <c r="AB33" i="48"/>
  <c r="AD33" i="48"/>
  <c r="R33" i="48"/>
  <c r="E2" i="82"/>
  <c r="F2" i="82"/>
  <c r="R27" i="40"/>
  <c r="T27" i="40"/>
  <c r="U27" i="40"/>
  <c r="X27" i="40"/>
  <c r="Z27" i="40"/>
  <c r="AB27" i="40"/>
  <c r="AD27" i="40"/>
  <c r="R47" i="41"/>
  <c r="T47" i="41"/>
  <c r="U47" i="41"/>
  <c r="X47" i="41"/>
  <c r="Z47" i="41"/>
  <c r="AB47" i="41"/>
  <c r="AD47" i="41"/>
  <c r="R12" i="40"/>
  <c r="T12" i="40"/>
  <c r="U12" i="40"/>
  <c r="X12" i="40"/>
  <c r="Z12" i="40"/>
  <c r="AB12" i="40"/>
  <c r="AD12" i="40"/>
  <c r="T45" i="40"/>
  <c r="U45" i="40"/>
  <c r="X45" i="40"/>
  <c r="Z45" i="40"/>
  <c r="AB45" i="40"/>
  <c r="AD45" i="40"/>
  <c r="R45" i="40"/>
  <c r="R33" i="41"/>
  <c r="T33" i="41"/>
  <c r="U33" i="41"/>
  <c r="X33" i="41"/>
  <c r="Z33" i="41"/>
  <c r="AB33" i="41"/>
  <c r="AD33" i="41"/>
  <c r="O52" i="48"/>
  <c r="Q52" i="48"/>
  <c r="R16" i="48"/>
  <c r="T16" i="48"/>
  <c r="U16" i="48"/>
  <c r="X16" i="48"/>
  <c r="Z16" i="48"/>
  <c r="AB16" i="48"/>
  <c r="AD16" i="48"/>
  <c r="R27" i="41"/>
  <c r="T27" i="41"/>
  <c r="U27" i="41"/>
  <c r="X27" i="41"/>
  <c r="Z27" i="41"/>
  <c r="AB27" i="41"/>
  <c r="AD27" i="41"/>
  <c r="T20" i="41"/>
  <c r="U20" i="41"/>
  <c r="X20" i="41"/>
  <c r="Z20" i="41"/>
  <c r="AB20" i="41"/>
  <c r="AD20" i="41"/>
  <c r="R20" i="41"/>
  <c r="T25" i="41"/>
  <c r="U25" i="41"/>
  <c r="X25" i="41"/>
  <c r="R25" i="41"/>
  <c r="T48" i="40"/>
  <c r="U48" i="40"/>
  <c r="X48" i="40"/>
  <c r="Z48" i="40"/>
  <c r="AB48" i="40"/>
  <c r="AD48" i="40"/>
  <c r="R48" i="40"/>
  <c r="O52" i="17"/>
  <c r="Q52" i="17"/>
  <c r="T34" i="48"/>
  <c r="U34" i="48"/>
  <c r="X34" i="48"/>
  <c r="Z34" i="48"/>
  <c r="AB34" i="48"/>
  <c r="AD34" i="48"/>
  <c r="R34" i="48"/>
  <c r="R45" i="48"/>
  <c r="T45" i="48"/>
  <c r="U45" i="48"/>
  <c r="X45" i="48"/>
  <c r="Z45" i="48"/>
  <c r="AB45" i="48"/>
  <c r="AD45" i="48"/>
  <c r="Q52" i="40"/>
  <c r="O52" i="40"/>
  <c r="O54" i="48"/>
  <c r="Q54" i="48"/>
  <c r="R38" i="40"/>
  <c r="T38" i="40"/>
  <c r="U38" i="40"/>
  <c r="X38" i="40"/>
  <c r="Z38" i="40"/>
  <c r="AB38" i="40"/>
  <c r="AD38" i="40"/>
  <c r="F71" i="41"/>
  <c r="G71" i="41"/>
  <c r="T13" i="40"/>
  <c r="U13" i="40"/>
  <c r="X13" i="40"/>
  <c r="Z13" i="40"/>
  <c r="AB13" i="40"/>
  <c r="AD13" i="40"/>
  <c r="R13" i="40"/>
  <c r="T20" i="40"/>
  <c r="U20" i="40"/>
  <c r="X20" i="40"/>
  <c r="Z20" i="40"/>
  <c r="AB20" i="40"/>
  <c r="AD20" i="40"/>
  <c r="R20" i="40"/>
  <c r="Q50" i="44"/>
  <c r="O50" i="44"/>
  <c r="Q51" i="60"/>
  <c r="O51" i="60"/>
  <c r="T15" i="48"/>
  <c r="U15" i="48"/>
  <c r="X15" i="48"/>
  <c r="Z15" i="48"/>
  <c r="AB15" i="48"/>
  <c r="AD15" i="48"/>
  <c r="R15" i="48"/>
  <c r="T24" i="40"/>
  <c r="U24" i="40"/>
  <c r="X24" i="40"/>
  <c r="Z24" i="40"/>
  <c r="AB24" i="40"/>
  <c r="AD24" i="40"/>
  <c r="R24" i="40"/>
  <c r="T22" i="41"/>
  <c r="U22" i="41"/>
  <c r="X22" i="41"/>
  <c r="Z22" i="41"/>
  <c r="AB22" i="41"/>
  <c r="AD22" i="41"/>
  <c r="R22" i="41"/>
  <c r="T30" i="40"/>
  <c r="U30" i="40"/>
  <c r="X30" i="40"/>
  <c r="Z30" i="40"/>
  <c r="AB30" i="40"/>
  <c r="AD30" i="40"/>
  <c r="R30" i="40"/>
  <c r="T7" i="48"/>
  <c r="U7" i="48"/>
  <c r="X7" i="48"/>
  <c r="Z7" i="48"/>
  <c r="AB7" i="48"/>
  <c r="AD7" i="48"/>
  <c r="R7" i="48"/>
  <c r="T6" i="48"/>
  <c r="U6" i="48"/>
  <c r="X6" i="48"/>
  <c r="Z6" i="48"/>
  <c r="AB6" i="48"/>
  <c r="AD6" i="48"/>
  <c r="R6" i="48"/>
  <c r="O51" i="40"/>
  <c r="Q51" i="40"/>
  <c r="D68" i="48"/>
  <c r="H4" i="48"/>
  <c r="T49" i="48"/>
  <c r="U49" i="48"/>
  <c r="X49" i="48"/>
  <c r="Z49" i="48"/>
  <c r="AB49" i="48"/>
  <c r="AD49" i="48"/>
  <c r="R49" i="48"/>
  <c r="O10" i="44"/>
  <c r="Q10" i="44"/>
  <c r="T32" i="41"/>
  <c r="U32" i="41"/>
  <c r="X32" i="41"/>
  <c r="Z32" i="41"/>
  <c r="AB32" i="41"/>
  <c r="AD32" i="41"/>
  <c r="R32" i="41"/>
  <c r="R12" i="41"/>
  <c r="T12" i="41"/>
  <c r="U12" i="41"/>
  <c r="X12" i="41"/>
  <c r="Z12" i="41"/>
  <c r="AB12" i="41"/>
  <c r="AD12" i="41"/>
  <c r="T35" i="41"/>
  <c r="U35" i="41"/>
  <c r="X35" i="41"/>
  <c r="Z35" i="41"/>
  <c r="AB35" i="41"/>
  <c r="AD35" i="41"/>
  <c r="R35" i="41"/>
  <c r="T47" i="48"/>
  <c r="U47" i="48"/>
  <c r="X47" i="48"/>
  <c r="Z47" i="48"/>
  <c r="AB47" i="48"/>
  <c r="AD47" i="48"/>
  <c r="R47" i="48"/>
  <c r="T31" i="40"/>
  <c r="U31" i="40"/>
  <c r="X31" i="40"/>
  <c r="Z31" i="40"/>
  <c r="AB31" i="40"/>
  <c r="AD31" i="40"/>
  <c r="R31" i="40"/>
  <c r="Q50" i="40"/>
  <c r="O50" i="40"/>
  <c r="Q54" i="41"/>
  <c r="O54" i="41"/>
  <c r="T44" i="40"/>
  <c r="U44" i="40"/>
  <c r="X44" i="40"/>
  <c r="Z44" i="40"/>
  <c r="AB44" i="40"/>
  <c r="AD44" i="40"/>
  <c r="R44" i="40"/>
  <c r="T26" i="48"/>
  <c r="U26" i="48"/>
  <c r="X26" i="48"/>
  <c r="Z26" i="48"/>
  <c r="AB26" i="48"/>
  <c r="AD26" i="48"/>
  <c r="R26" i="48"/>
  <c r="H65" i="41"/>
  <c r="K65" i="41"/>
  <c r="L65" i="41"/>
  <c r="K3" i="41"/>
  <c r="L3" i="41"/>
  <c r="R42" i="40"/>
  <c r="T42" i="40"/>
  <c r="U42" i="40"/>
  <c r="X42" i="40"/>
  <c r="Z42" i="40"/>
  <c r="AB42" i="40"/>
  <c r="AD42" i="40"/>
  <c r="O51" i="44"/>
  <c r="Q51" i="44"/>
  <c r="Q10" i="17"/>
  <c r="O10" i="17"/>
  <c r="T15" i="41"/>
  <c r="U15" i="41"/>
  <c r="X15" i="41"/>
  <c r="Z15" i="41"/>
  <c r="AB15" i="41"/>
  <c r="AD15" i="41"/>
  <c r="R15" i="41"/>
  <c r="T5" i="41"/>
  <c r="U5" i="41"/>
  <c r="X5" i="41"/>
  <c r="Z5" i="41"/>
  <c r="AB5" i="41"/>
  <c r="AD5" i="41"/>
  <c r="R5" i="41"/>
  <c r="R28" i="41"/>
  <c r="T28" i="41"/>
  <c r="U28" i="41"/>
  <c r="X28" i="41"/>
  <c r="Z28" i="41"/>
  <c r="AB28" i="41"/>
  <c r="AD28" i="41"/>
  <c r="T28" i="48"/>
  <c r="U28" i="48"/>
  <c r="X28" i="48"/>
  <c r="Z28" i="48"/>
  <c r="AB28" i="48"/>
  <c r="AD28" i="48"/>
  <c r="R28" i="48"/>
  <c r="T39" i="40"/>
  <c r="U39" i="40"/>
  <c r="X39" i="40"/>
  <c r="Z39" i="40"/>
  <c r="AB39" i="40"/>
  <c r="AD39" i="40"/>
  <c r="R39" i="40"/>
  <c r="R39" i="41"/>
  <c r="T39" i="41"/>
  <c r="U39" i="41"/>
  <c r="X39" i="41"/>
  <c r="Z39" i="41"/>
  <c r="AB39" i="41"/>
  <c r="AD39" i="41"/>
  <c r="R21" i="40"/>
  <c r="T21" i="40"/>
  <c r="U21" i="40"/>
  <c r="X21" i="40"/>
  <c r="Z21" i="40"/>
  <c r="AB21" i="40"/>
  <c r="AD21" i="40"/>
  <c r="K19" i="38"/>
  <c r="L19" i="38"/>
  <c r="L12" i="38"/>
  <c r="T16" i="40"/>
  <c r="U16" i="40"/>
  <c r="X16" i="40"/>
  <c r="R16" i="40"/>
  <c r="T44" i="48"/>
  <c r="U44" i="48"/>
  <c r="X44" i="48"/>
  <c r="Z44" i="48"/>
  <c r="AB44" i="48"/>
  <c r="AD44" i="48"/>
  <c r="R44" i="48"/>
  <c r="T9" i="41"/>
  <c r="U9" i="41"/>
  <c r="X9" i="41"/>
  <c r="Z9" i="41"/>
  <c r="R9" i="41"/>
  <c r="R24" i="48"/>
  <c r="T24" i="48"/>
  <c r="U24" i="48"/>
  <c r="X24" i="48"/>
  <c r="Z24" i="48"/>
  <c r="AB24" i="48"/>
  <c r="AD24" i="48"/>
  <c r="H65" i="48"/>
  <c r="K65" i="48"/>
  <c r="L65" i="48"/>
  <c r="K3" i="48"/>
  <c r="L3" i="48"/>
  <c r="H61" i="48"/>
  <c r="T44" i="41"/>
  <c r="U44" i="41"/>
  <c r="X44" i="41"/>
  <c r="Z44" i="41"/>
  <c r="AB44" i="41"/>
  <c r="AD44" i="41"/>
  <c r="R44" i="41"/>
  <c r="O53" i="48"/>
  <c r="Q53" i="48"/>
  <c r="Q10" i="40"/>
  <c r="O10" i="40"/>
  <c r="R24" i="41"/>
  <c r="T24" i="41"/>
  <c r="U24" i="41"/>
  <c r="X24" i="41"/>
  <c r="Z24" i="41"/>
  <c r="AB24" i="41"/>
  <c r="AD24" i="41"/>
  <c r="T48" i="48"/>
  <c r="U48" i="48"/>
  <c r="X48" i="48"/>
  <c r="Z48" i="48"/>
  <c r="AB48" i="48"/>
  <c r="AD48" i="48"/>
  <c r="R48" i="48"/>
  <c r="N20" i="38"/>
  <c r="O20" i="38"/>
  <c r="N13" i="38"/>
  <c r="O13" i="38"/>
  <c r="O6" i="38"/>
  <c r="Q50" i="17"/>
  <c r="O50" i="17"/>
  <c r="R17" i="40"/>
  <c r="T17" i="40"/>
  <c r="U17" i="40"/>
  <c r="X17" i="40"/>
  <c r="Z17" i="40"/>
  <c r="AB17" i="40"/>
  <c r="AD17" i="40"/>
  <c r="R45" i="41"/>
  <c r="T45" i="41"/>
  <c r="U45" i="41"/>
  <c r="X45" i="41"/>
  <c r="D61" i="48"/>
  <c r="R30" i="41"/>
  <c r="T30" i="41"/>
  <c r="U30" i="41"/>
  <c r="X30" i="41"/>
  <c r="Z30" i="41"/>
  <c r="AB30" i="41"/>
  <c r="AD30" i="41"/>
  <c r="O52" i="41"/>
  <c r="Q52" i="41"/>
  <c r="R8" i="48"/>
  <c r="T8" i="48"/>
  <c r="U8" i="48"/>
  <c r="X8" i="48"/>
  <c r="Z8" i="48"/>
  <c r="AB8" i="48"/>
  <c r="AD8" i="48"/>
  <c r="T23" i="40"/>
  <c r="U23" i="40"/>
  <c r="X23" i="40"/>
  <c r="Z23" i="40"/>
  <c r="AB23" i="40"/>
  <c r="AD23" i="40"/>
  <c r="R23" i="40"/>
  <c r="Q50" i="60"/>
  <c r="O50" i="60"/>
  <c r="T9" i="48"/>
  <c r="U9" i="48"/>
  <c r="X9" i="48"/>
  <c r="Z9" i="48"/>
  <c r="U18" i="38"/>
  <c r="R9" i="48"/>
  <c r="T36" i="40"/>
  <c r="U36" i="40"/>
  <c r="X36" i="40"/>
  <c r="Z36" i="40"/>
  <c r="AB36" i="40"/>
  <c r="AD36" i="40"/>
  <c r="R36" i="40"/>
  <c r="T38" i="41"/>
  <c r="U38" i="41"/>
  <c r="X38" i="41"/>
  <c r="R38" i="41"/>
  <c r="T34" i="40"/>
  <c r="U34" i="40"/>
  <c r="X34" i="40"/>
  <c r="R34" i="40"/>
  <c r="R22" i="40"/>
  <c r="T22" i="40"/>
  <c r="U22" i="40"/>
  <c r="X22" i="40"/>
  <c r="Z22" i="40"/>
  <c r="AB22" i="40"/>
  <c r="AD22" i="40"/>
  <c r="D68" i="40"/>
  <c r="H4" i="40"/>
  <c r="Q50" i="48"/>
  <c r="O50" i="48"/>
  <c r="T26" i="41"/>
  <c r="U26" i="41"/>
  <c r="X26" i="41"/>
  <c r="Z26" i="41"/>
  <c r="AB26" i="41"/>
  <c r="AD26" i="41"/>
  <c r="R26" i="41"/>
  <c r="T19" i="48"/>
  <c r="U19" i="48"/>
  <c r="X19" i="48"/>
  <c r="R19" i="48"/>
  <c r="R23" i="41"/>
  <c r="T23" i="41"/>
  <c r="U23" i="41"/>
  <c r="X23" i="41"/>
  <c r="Z23" i="41"/>
  <c r="AB23" i="41"/>
  <c r="AD23" i="41"/>
  <c r="R40" i="40"/>
  <c r="T40" i="40"/>
  <c r="U40" i="40"/>
  <c r="X40" i="40"/>
  <c r="Z40" i="40"/>
  <c r="AB40" i="40"/>
  <c r="AD40" i="40"/>
  <c r="T47" i="40"/>
  <c r="U47" i="40"/>
  <c r="X47" i="40"/>
  <c r="Z47" i="40"/>
  <c r="AB47" i="40"/>
  <c r="AD47" i="40"/>
  <c r="R47" i="40"/>
  <c r="R18" i="41"/>
  <c r="T18" i="41"/>
  <c r="U18" i="41"/>
  <c r="X18" i="41"/>
  <c r="Z18" i="41"/>
  <c r="AB18" i="41"/>
  <c r="AD18" i="41"/>
  <c r="T17" i="48"/>
  <c r="U17" i="48"/>
  <c r="X17" i="48"/>
  <c r="Z17" i="48"/>
  <c r="AB17" i="48"/>
  <c r="AD17" i="48"/>
  <c r="R17" i="48"/>
  <c r="R29" i="41"/>
  <c r="T29" i="41"/>
  <c r="U29" i="41"/>
  <c r="X29" i="41"/>
  <c r="Z29" i="41"/>
  <c r="AB29" i="41"/>
  <c r="AD29" i="41"/>
  <c r="T25" i="40"/>
  <c r="U25" i="40"/>
  <c r="X25" i="40"/>
  <c r="Z25" i="40"/>
  <c r="AB25" i="40"/>
  <c r="AD25" i="40"/>
  <c r="R25" i="40"/>
  <c r="O51" i="41"/>
  <c r="Q51" i="41"/>
  <c r="T34" i="41"/>
  <c r="U34" i="41"/>
  <c r="X34" i="41"/>
  <c r="Z34" i="41"/>
  <c r="AB34" i="41"/>
  <c r="AD34" i="41"/>
  <c r="R34" i="41"/>
  <c r="T43" i="40"/>
  <c r="U43" i="40"/>
  <c r="X43" i="40"/>
  <c r="Z43" i="40"/>
  <c r="AB43" i="40"/>
  <c r="AD43" i="40"/>
  <c r="R43" i="40"/>
  <c r="O53" i="60"/>
  <c r="Q53" i="60"/>
  <c r="R23" i="48"/>
  <c r="T23" i="48"/>
  <c r="U23" i="48"/>
  <c r="X23" i="48"/>
  <c r="Z23" i="48"/>
  <c r="AB23" i="48"/>
  <c r="AD23" i="48"/>
  <c r="T17" i="41"/>
  <c r="U17" i="41"/>
  <c r="X17" i="41"/>
  <c r="Z17" i="41"/>
  <c r="AB17" i="41"/>
  <c r="AD17" i="41"/>
  <c r="R17" i="41"/>
  <c r="R38" i="48"/>
  <c r="T38" i="48"/>
  <c r="U38" i="48"/>
  <c r="X38" i="48"/>
  <c r="Z38" i="48"/>
  <c r="AB38" i="48"/>
  <c r="AD38" i="48"/>
  <c r="T32" i="40"/>
  <c r="U32" i="40"/>
  <c r="X32" i="40"/>
  <c r="Z32" i="40"/>
  <c r="AB32" i="40"/>
  <c r="AD32" i="40"/>
  <c r="R32" i="40"/>
  <c r="T46" i="41"/>
  <c r="U46" i="41"/>
  <c r="X46" i="41"/>
  <c r="R46" i="41"/>
  <c r="Q51" i="48"/>
  <c r="O51" i="48"/>
  <c r="Q53" i="41"/>
  <c r="O53" i="41"/>
  <c r="Z12" i="17"/>
  <c r="Z23" i="44"/>
  <c r="Z8" i="17"/>
  <c r="N3" i="17"/>
  <c r="Z23" i="17"/>
  <c r="Z48" i="44"/>
  <c r="Z25" i="17"/>
  <c r="Z43" i="44"/>
  <c r="Z47" i="17"/>
  <c r="Z39" i="44"/>
  <c r="Z30" i="44"/>
  <c r="Z7" i="60"/>
  <c r="Z18" i="60"/>
  <c r="Z48" i="60"/>
  <c r="Z47" i="44"/>
  <c r="Z36" i="44"/>
  <c r="Z26" i="44"/>
  <c r="Z36" i="17"/>
  <c r="Z33" i="44"/>
  <c r="Z15" i="17"/>
  <c r="Z18" i="17"/>
  <c r="Z44" i="60"/>
  <c r="N3" i="60"/>
  <c r="Z22" i="60"/>
  <c r="Z22" i="17"/>
  <c r="Z34" i="44"/>
  <c r="Z13" i="44"/>
  <c r="Z20" i="44"/>
  <c r="Z33" i="17"/>
  <c r="Z46" i="60"/>
  <c r="Z9" i="44"/>
  <c r="AB9" i="41"/>
  <c r="AD9" i="41"/>
  <c r="U11" i="38"/>
  <c r="Z6" i="44"/>
  <c r="AB6" i="44"/>
  <c r="AD6" i="44"/>
  <c r="Z20" i="17"/>
  <c r="Z19" i="17"/>
  <c r="Z26" i="17"/>
  <c r="Z44" i="17"/>
  <c r="Z49" i="60"/>
  <c r="Z28" i="44"/>
  <c r="Z5" i="44"/>
  <c r="Z24" i="60"/>
  <c r="Z38" i="17"/>
  <c r="Z21" i="17"/>
  <c r="Z34" i="60"/>
  <c r="Z48" i="17"/>
  <c r="Z13" i="60"/>
  <c r="Z42" i="17"/>
  <c r="Z26" i="60"/>
  <c r="Z25" i="60"/>
  <c r="Z33" i="60"/>
  <c r="Z25" i="44"/>
  <c r="Z40" i="44"/>
  <c r="Z29" i="60"/>
  <c r="Z6" i="17"/>
  <c r="Z35" i="60"/>
  <c r="Z43" i="17"/>
  <c r="Z27" i="44"/>
  <c r="Z28" i="60"/>
  <c r="Z15" i="60"/>
  <c r="Z17" i="17"/>
  <c r="Z32" i="60"/>
  <c r="Z15" i="44"/>
  <c r="Z40" i="17"/>
  <c r="Z44" i="44"/>
  <c r="Z20" i="60"/>
  <c r="Z38" i="60"/>
  <c r="Z42" i="44"/>
  <c r="Z45" i="17"/>
  <c r="Z45" i="60"/>
  <c r="Z30" i="60"/>
  <c r="Z47" i="60"/>
  <c r="Z27" i="17"/>
  <c r="Z16" i="44"/>
  <c r="Z34" i="17"/>
  <c r="Z39" i="60"/>
  <c r="Z19" i="60"/>
  <c r="Z19" i="44"/>
  <c r="N3" i="44"/>
  <c r="Z17" i="60"/>
  <c r="Z5" i="17"/>
  <c r="Z46" i="17"/>
  <c r="Z40" i="60"/>
  <c r="Z7" i="17"/>
  <c r="Z16" i="60"/>
  <c r="Z9" i="60"/>
  <c r="Z21" i="60"/>
  <c r="Z29" i="17"/>
  <c r="Z24" i="17"/>
  <c r="Z12" i="44"/>
  <c r="Z13" i="17"/>
  <c r="Z9" i="17"/>
  <c r="Z28" i="17"/>
  <c r="Z22" i="44"/>
  <c r="Z6" i="60"/>
  <c r="Z43" i="60"/>
  <c r="Z32" i="44"/>
  <c r="Z8" i="60"/>
  <c r="Z17" i="44"/>
  <c r="Z7" i="44"/>
  <c r="Z38" i="44"/>
  <c r="Z35" i="17"/>
  <c r="Z23" i="60"/>
  <c r="Z42" i="60"/>
  <c r="Z36" i="60"/>
  <c r="Z32" i="17"/>
  <c r="Z30" i="17"/>
  <c r="R31" i="17"/>
  <c r="T31" i="17"/>
  <c r="U31" i="17"/>
  <c r="X31" i="17"/>
  <c r="Z45" i="44"/>
  <c r="Z16" i="17"/>
  <c r="Z39" i="17"/>
  <c r="Z21" i="44"/>
  <c r="Z5" i="60"/>
  <c r="Z49" i="17"/>
  <c r="Z27" i="60"/>
  <c r="AB9" i="40"/>
  <c r="AD9" i="40"/>
  <c r="U4" i="38"/>
  <c r="Z49" i="44"/>
  <c r="AB49" i="44"/>
  <c r="AD49" i="44"/>
  <c r="Z18" i="44"/>
  <c r="Z31" i="44"/>
  <c r="Z24" i="44"/>
  <c r="Z12" i="60"/>
  <c r="Z8" i="44"/>
  <c r="Z46" i="44"/>
  <c r="Z29" i="44"/>
  <c r="Z31" i="60"/>
  <c r="Z35" i="44"/>
  <c r="K4" i="40"/>
  <c r="L4" i="40"/>
  <c r="N4" i="40"/>
  <c r="H68" i="40"/>
  <c r="K68" i="40"/>
  <c r="L68" i="40"/>
  <c r="R10" i="44"/>
  <c r="T10" i="44"/>
  <c r="U10" i="44"/>
  <c r="X10" i="44"/>
  <c r="Z10" i="44"/>
  <c r="AB9" i="48"/>
  <c r="AD9" i="48"/>
  <c r="F74" i="40"/>
  <c r="G74" i="40"/>
  <c r="D32" i="82"/>
  <c r="D9" i="82"/>
  <c r="D42" i="82"/>
  <c r="D12" i="82"/>
  <c r="D19" i="82"/>
  <c r="D35" i="82"/>
  <c r="D11" i="82"/>
  <c r="D27" i="82"/>
  <c r="D25" i="82"/>
  <c r="D14" i="82"/>
  <c r="D31" i="82"/>
  <c r="D33" i="82"/>
  <c r="G12" i="82"/>
  <c r="G17" i="82"/>
  <c r="G22" i="82"/>
  <c r="D40" i="82"/>
  <c r="G38" i="82"/>
  <c r="D4" i="82"/>
  <c r="D8" i="82"/>
  <c r="D16" i="82"/>
  <c r="D13" i="82"/>
  <c r="G31" i="82"/>
  <c r="G5" i="82"/>
  <c r="D34" i="82"/>
  <c r="D3" i="82"/>
  <c r="G23" i="82"/>
  <c r="D20" i="82"/>
  <c r="D15" i="82"/>
  <c r="G7" i="82"/>
  <c r="G2" i="82"/>
  <c r="G20" i="82"/>
  <c r="G37" i="82"/>
  <c r="G3" i="82"/>
  <c r="D30" i="82"/>
  <c r="G39" i="82"/>
  <c r="D26" i="82"/>
  <c r="D28" i="82"/>
  <c r="D38" i="82"/>
  <c r="D37" i="82"/>
  <c r="G14" i="82"/>
  <c r="G29" i="82"/>
  <c r="G41" i="82"/>
  <c r="G8" i="82"/>
  <c r="G32" i="82"/>
  <c r="G15" i="82"/>
  <c r="D39" i="82"/>
  <c r="D29" i="82"/>
  <c r="D2" i="82"/>
  <c r="G21" i="82"/>
  <c r="D21" i="82"/>
  <c r="D18" i="82"/>
  <c r="G27" i="82"/>
  <c r="G6" i="82"/>
  <c r="G33" i="82"/>
  <c r="D6" i="82"/>
  <c r="G26" i="82"/>
  <c r="G34" i="82"/>
  <c r="D24" i="82"/>
  <c r="D22" i="82"/>
  <c r="G30" i="82"/>
  <c r="D41" i="82"/>
  <c r="G13" i="82"/>
  <c r="D23" i="82"/>
  <c r="D17" i="82"/>
  <c r="G16" i="82"/>
  <c r="G19" i="82"/>
  <c r="G35" i="82"/>
  <c r="G18" i="82"/>
  <c r="G9" i="82"/>
  <c r="G42" i="82"/>
  <c r="G40" i="82"/>
  <c r="D7" i="82"/>
  <c r="G11" i="82"/>
  <c r="G25" i="82"/>
  <c r="G36" i="82"/>
  <c r="D10" i="82"/>
  <c r="G4" i="82"/>
  <c r="G24" i="82"/>
  <c r="D36" i="82"/>
  <c r="G28" i="82"/>
  <c r="G10" i="82"/>
  <c r="D5" i="82"/>
  <c r="T53" i="40"/>
  <c r="U53" i="40"/>
  <c r="X53" i="40"/>
  <c r="Z53" i="40"/>
  <c r="AB53" i="40"/>
  <c r="AD53" i="40"/>
  <c r="R53" i="40"/>
  <c r="T10" i="60"/>
  <c r="U10" i="60"/>
  <c r="X10" i="60"/>
  <c r="Z10" i="60"/>
  <c r="AI10" i="60"/>
  <c r="R10" i="60"/>
  <c r="T52" i="41"/>
  <c r="U52" i="41"/>
  <c r="X52" i="41"/>
  <c r="Z52" i="41"/>
  <c r="AB52" i="41"/>
  <c r="AD52" i="41"/>
  <c r="R52" i="41"/>
  <c r="R54" i="44"/>
  <c r="T54" i="44"/>
  <c r="U54" i="44"/>
  <c r="X54" i="44"/>
  <c r="Z54" i="44"/>
  <c r="AB54" i="44"/>
  <c r="AD54" i="44"/>
  <c r="R54" i="41"/>
  <c r="T54" i="41"/>
  <c r="U54" i="41"/>
  <c r="X54" i="41"/>
  <c r="Z54" i="41"/>
  <c r="AB54" i="41"/>
  <c r="AD54" i="41"/>
  <c r="R52" i="40"/>
  <c r="T52" i="40"/>
  <c r="U52" i="40"/>
  <c r="X52" i="40"/>
  <c r="Z52" i="40"/>
  <c r="AB52" i="40"/>
  <c r="AD52" i="40"/>
  <c r="Z27" i="48"/>
  <c r="AB27" i="48"/>
  <c r="AD27" i="48"/>
  <c r="T53" i="60"/>
  <c r="U53" i="60"/>
  <c r="X53" i="60"/>
  <c r="Z53" i="60"/>
  <c r="R53" i="60"/>
  <c r="Z16" i="40"/>
  <c r="AB16" i="40"/>
  <c r="AD16" i="40"/>
  <c r="H68" i="48"/>
  <c r="K68" i="48"/>
  <c r="L68" i="48"/>
  <c r="K4" i="48"/>
  <c r="L4" i="48"/>
  <c r="N4" i="48"/>
  <c r="R52" i="48"/>
  <c r="T52" i="48"/>
  <c r="U52" i="48"/>
  <c r="X52" i="48"/>
  <c r="Z52" i="48"/>
  <c r="AB52" i="48"/>
  <c r="AD52" i="48"/>
  <c r="T54" i="40"/>
  <c r="U54" i="40"/>
  <c r="X54" i="40"/>
  <c r="Z54" i="40"/>
  <c r="AB54" i="40"/>
  <c r="AD54" i="40"/>
  <c r="R54" i="40"/>
  <c r="T50" i="41"/>
  <c r="U50" i="41"/>
  <c r="X50" i="41"/>
  <c r="Z50" i="41"/>
  <c r="AB50" i="41"/>
  <c r="AD50" i="41"/>
  <c r="R50" i="41"/>
  <c r="R10" i="48"/>
  <c r="T10" i="48"/>
  <c r="U10" i="48"/>
  <c r="X10" i="48"/>
  <c r="Z10" i="48"/>
  <c r="AB10" i="48"/>
  <c r="AD10" i="48"/>
  <c r="Z19" i="48"/>
  <c r="AB19" i="48"/>
  <c r="AD19" i="48"/>
  <c r="Z34" i="40"/>
  <c r="AB34" i="40"/>
  <c r="AD34" i="40"/>
  <c r="T10" i="40"/>
  <c r="U10" i="40"/>
  <c r="X10" i="40"/>
  <c r="R10" i="40"/>
  <c r="T50" i="40"/>
  <c r="U50" i="40"/>
  <c r="X50" i="40"/>
  <c r="Z50" i="40"/>
  <c r="AB50" i="40"/>
  <c r="AD50" i="40"/>
  <c r="R50" i="40"/>
  <c r="R51" i="60"/>
  <c r="T51" i="60"/>
  <c r="U51" i="60"/>
  <c r="X51" i="60"/>
  <c r="Z51" i="60"/>
  <c r="H68" i="41"/>
  <c r="K68" i="41"/>
  <c r="L68" i="41"/>
  <c r="K4" i="41"/>
  <c r="L4" i="41"/>
  <c r="N4" i="41"/>
  <c r="N3" i="40"/>
  <c r="L61" i="40"/>
  <c r="Z46" i="41"/>
  <c r="AB46" i="41"/>
  <c r="AD46" i="41"/>
  <c r="R10" i="17"/>
  <c r="T10" i="17"/>
  <c r="U10" i="17"/>
  <c r="X10" i="17"/>
  <c r="Z10" i="17"/>
  <c r="R51" i="40"/>
  <c r="T51" i="40"/>
  <c r="U51" i="40"/>
  <c r="X51" i="40"/>
  <c r="Z51" i="40"/>
  <c r="AB51" i="40"/>
  <c r="AD51" i="40"/>
  <c r="R53" i="41"/>
  <c r="T53" i="41"/>
  <c r="U53" i="41"/>
  <c r="X53" i="41"/>
  <c r="Z53" i="41"/>
  <c r="AB53" i="41"/>
  <c r="AD53" i="41"/>
  <c r="AD38" i="41"/>
  <c r="Z38" i="41"/>
  <c r="AB38" i="41"/>
  <c r="Z45" i="41"/>
  <c r="AB45" i="41"/>
  <c r="AD45" i="41"/>
  <c r="R51" i="44"/>
  <c r="T51" i="44"/>
  <c r="U51" i="44"/>
  <c r="X51" i="44"/>
  <c r="Z51" i="44"/>
  <c r="AB51" i="44"/>
  <c r="AD51" i="44"/>
  <c r="T50" i="44"/>
  <c r="U50" i="44"/>
  <c r="X50" i="44"/>
  <c r="Z50" i="44"/>
  <c r="AB50" i="44"/>
  <c r="AD50" i="44"/>
  <c r="R50" i="44"/>
  <c r="K4" i="17"/>
  <c r="L4" i="17"/>
  <c r="H68" i="17"/>
  <c r="K68" i="17"/>
  <c r="L68" i="17"/>
  <c r="H61" i="17"/>
  <c r="G74" i="41"/>
  <c r="F74" i="41"/>
  <c r="R53" i="48"/>
  <c r="T53" i="48"/>
  <c r="U53" i="48"/>
  <c r="X53" i="48"/>
  <c r="Z53" i="48"/>
  <c r="AB53" i="48"/>
  <c r="AD53" i="48"/>
  <c r="R52" i="60"/>
  <c r="T52" i="60"/>
  <c r="U52" i="60"/>
  <c r="X52" i="60"/>
  <c r="Z52" i="60"/>
  <c r="AI52" i="60"/>
  <c r="T52" i="17"/>
  <c r="U52" i="17"/>
  <c r="X52" i="17"/>
  <c r="Z52" i="17"/>
  <c r="R52" i="17"/>
  <c r="G74" i="17"/>
  <c r="F74" i="17"/>
  <c r="T51" i="17"/>
  <c r="U51" i="17"/>
  <c r="X51" i="17"/>
  <c r="Z51" i="17"/>
  <c r="R51" i="17"/>
  <c r="H61" i="40"/>
  <c r="T51" i="48"/>
  <c r="U51" i="48"/>
  <c r="X51" i="48"/>
  <c r="Z51" i="48"/>
  <c r="AB51" i="48"/>
  <c r="AD51" i="48"/>
  <c r="R51" i="48"/>
  <c r="T10" i="41"/>
  <c r="U10" i="41"/>
  <c r="X10" i="41"/>
  <c r="R10" i="41"/>
  <c r="R54" i="60"/>
  <c r="T54" i="60"/>
  <c r="U54" i="60"/>
  <c r="X54" i="60"/>
  <c r="Z54" i="60"/>
  <c r="AG54" i="60"/>
  <c r="H61" i="60"/>
  <c r="H68" i="60"/>
  <c r="K68" i="60"/>
  <c r="L68" i="60"/>
  <c r="K4" i="60"/>
  <c r="L4" i="60"/>
  <c r="T51" i="41"/>
  <c r="U51" i="41"/>
  <c r="X51" i="41"/>
  <c r="Z51" i="41"/>
  <c r="AB51" i="41"/>
  <c r="AD51" i="41"/>
  <c r="R51" i="41"/>
  <c r="R53" i="17"/>
  <c r="T53" i="17"/>
  <c r="U53" i="17"/>
  <c r="X53" i="17"/>
  <c r="Z53" i="17"/>
  <c r="N3" i="48"/>
  <c r="N3" i="41"/>
  <c r="L61" i="41"/>
  <c r="Z5" i="48"/>
  <c r="AB5" i="48"/>
  <c r="AD5" i="48"/>
  <c r="R50" i="17"/>
  <c r="T50" i="17"/>
  <c r="U50" i="17"/>
  <c r="X50" i="17"/>
  <c r="Z50" i="17"/>
  <c r="R53" i="44"/>
  <c r="T53" i="44"/>
  <c r="U53" i="44"/>
  <c r="X53" i="44"/>
  <c r="Z53" i="44"/>
  <c r="AB53" i="44"/>
  <c r="AD53" i="44"/>
  <c r="R50" i="60"/>
  <c r="T50" i="60"/>
  <c r="U50" i="60"/>
  <c r="X50" i="60"/>
  <c r="Z50" i="60"/>
  <c r="AG50" i="60"/>
  <c r="H61" i="41"/>
  <c r="Z25" i="41"/>
  <c r="AB25" i="41"/>
  <c r="AD25" i="41"/>
  <c r="K4" i="44"/>
  <c r="L4" i="44"/>
  <c r="G61" i="44"/>
  <c r="G68" i="44"/>
  <c r="K68" i="44"/>
  <c r="L68" i="44"/>
  <c r="R52" i="44"/>
  <c r="T52" i="44"/>
  <c r="U52" i="44"/>
  <c r="X52" i="44"/>
  <c r="Z52" i="44"/>
  <c r="AB52" i="44"/>
  <c r="AD52" i="44"/>
  <c r="T54" i="17"/>
  <c r="U54" i="17"/>
  <c r="X54" i="17"/>
  <c r="Z54" i="17"/>
  <c r="AI54" i="17"/>
  <c r="R54" i="17"/>
  <c r="R50" i="48"/>
  <c r="T50" i="48"/>
  <c r="U50" i="48"/>
  <c r="X50" i="48"/>
  <c r="Z50" i="48"/>
  <c r="AB50" i="48"/>
  <c r="AD50" i="48"/>
  <c r="R54" i="48"/>
  <c r="T54" i="48"/>
  <c r="U54" i="48"/>
  <c r="X54" i="48"/>
  <c r="AI42" i="60"/>
  <c r="AG42" i="60"/>
  <c r="AB42" i="60"/>
  <c r="AD42" i="60"/>
  <c r="AB13" i="17"/>
  <c r="AD13" i="17"/>
  <c r="AI13" i="17"/>
  <c r="AG13" i="17"/>
  <c r="C11" i="63"/>
  <c r="C40" i="81"/>
  <c r="C15" i="63"/>
  <c r="AG18" i="17"/>
  <c r="AI18" i="17"/>
  <c r="AB18" i="17"/>
  <c r="AD18" i="17"/>
  <c r="C26" i="81"/>
  <c r="AG25" i="17"/>
  <c r="AI25" i="17"/>
  <c r="C35" i="81"/>
  <c r="C22" i="63"/>
  <c r="AB25" i="17"/>
  <c r="AD25" i="17"/>
  <c r="AB19" i="44"/>
  <c r="AD19" i="44"/>
  <c r="C29" i="50"/>
  <c r="AI54" i="60"/>
  <c r="AB54" i="60"/>
  <c r="AD54" i="60"/>
  <c r="AG32" i="60"/>
  <c r="AB32" i="60"/>
  <c r="AD32" i="60"/>
  <c r="AI32" i="60"/>
  <c r="AB33" i="60"/>
  <c r="AD33" i="60"/>
  <c r="AI33" i="60"/>
  <c r="AG33" i="60"/>
  <c r="C34" i="63"/>
  <c r="AI38" i="17"/>
  <c r="AB38" i="17"/>
  <c r="AD38" i="17"/>
  <c r="C10" i="81"/>
  <c r="AG38" i="17"/>
  <c r="C16" i="63"/>
  <c r="AG19" i="17"/>
  <c r="AB19" i="17"/>
  <c r="AD19" i="17"/>
  <c r="AI19" i="17"/>
  <c r="C5" i="81"/>
  <c r="C12" i="63"/>
  <c r="C7" i="81"/>
  <c r="AB15" i="17"/>
  <c r="AD15" i="17"/>
  <c r="AI15" i="17"/>
  <c r="AG15" i="17"/>
  <c r="C24" i="50"/>
  <c r="AB48" i="44"/>
  <c r="AD48" i="44"/>
  <c r="AB32" i="44"/>
  <c r="AD32" i="44"/>
  <c r="C6" i="50"/>
  <c r="AB27" i="60"/>
  <c r="AD27" i="60"/>
  <c r="AG27" i="60"/>
  <c r="AI27" i="60"/>
  <c r="C14" i="81"/>
  <c r="AB35" i="17"/>
  <c r="AD35" i="17"/>
  <c r="AG35" i="17"/>
  <c r="AI35" i="17"/>
  <c r="C32" i="63"/>
  <c r="AB12" i="44"/>
  <c r="AD12" i="44"/>
  <c r="C21" i="50"/>
  <c r="C2" i="81"/>
  <c r="AI17" i="17"/>
  <c r="AG17" i="17"/>
  <c r="AB17" i="17"/>
  <c r="AD17" i="17"/>
  <c r="C14" i="63"/>
  <c r="AB35" i="60"/>
  <c r="AD35" i="60"/>
  <c r="AG35" i="60"/>
  <c r="AI35" i="60"/>
  <c r="C39" i="50"/>
  <c r="AB20" i="44"/>
  <c r="AD20" i="44"/>
  <c r="AB18" i="60"/>
  <c r="AD18" i="60"/>
  <c r="AG18" i="60"/>
  <c r="AI18" i="60"/>
  <c r="AB12" i="60"/>
  <c r="AD12" i="60"/>
  <c r="AI12" i="60"/>
  <c r="AG12" i="60"/>
  <c r="AB38" i="44"/>
  <c r="AD38" i="44"/>
  <c r="C32" i="50"/>
  <c r="AI50" i="60"/>
  <c r="AB53" i="17"/>
  <c r="AD53" i="17"/>
  <c r="AG53" i="17"/>
  <c r="AI53" i="17"/>
  <c r="AG6" i="17"/>
  <c r="AB6" i="17"/>
  <c r="AD6" i="17"/>
  <c r="AI6" i="17"/>
  <c r="AG25" i="60"/>
  <c r="AB25" i="60"/>
  <c r="AD25" i="60"/>
  <c r="AI25" i="60"/>
  <c r="AG24" i="60"/>
  <c r="AI24" i="60"/>
  <c r="AB24" i="60"/>
  <c r="AD24" i="60"/>
  <c r="AI23" i="17"/>
  <c r="C12" i="81"/>
  <c r="AB23" i="17"/>
  <c r="AD23" i="17"/>
  <c r="AG23" i="17"/>
  <c r="C20" i="63"/>
  <c r="C41" i="50"/>
  <c r="AB46" i="44"/>
  <c r="AD46" i="44"/>
  <c r="AB23" i="60"/>
  <c r="AD23" i="60"/>
  <c r="AI23" i="60"/>
  <c r="AG23" i="60"/>
  <c r="AG20" i="17"/>
  <c r="C17" i="63"/>
  <c r="C31" i="81"/>
  <c r="AB20" i="17"/>
  <c r="AD20" i="17"/>
  <c r="AI20" i="17"/>
  <c r="C12" i="50"/>
  <c r="AB13" i="44"/>
  <c r="AD13" i="44"/>
  <c r="C8" i="50"/>
  <c r="AB33" i="44"/>
  <c r="AD33" i="44"/>
  <c r="AG7" i="60"/>
  <c r="AI7" i="60"/>
  <c r="AB7" i="60"/>
  <c r="AD7" i="60"/>
  <c r="C15" i="50"/>
  <c r="AB8" i="44"/>
  <c r="AD8" i="44"/>
  <c r="AG16" i="60"/>
  <c r="AI16" i="60"/>
  <c r="AB16" i="60"/>
  <c r="AD16" i="60"/>
  <c r="C21" i="81"/>
  <c r="AG7" i="17"/>
  <c r="AB7" i="17"/>
  <c r="AD7" i="17"/>
  <c r="C6" i="63"/>
  <c r="AI7" i="17"/>
  <c r="Z31" i="17"/>
  <c r="AI6" i="60"/>
  <c r="AB6" i="60"/>
  <c r="AD6" i="60"/>
  <c r="AG6" i="60"/>
  <c r="AB26" i="60"/>
  <c r="AD26" i="60"/>
  <c r="AG26" i="60"/>
  <c r="AI26" i="60"/>
  <c r="AI9" i="60"/>
  <c r="AB9" i="60"/>
  <c r="AD9" i="60"/>
  <c r="AG9" i="60"/>
  <c r="O3" i="44"/>
  <c r="N65" i="44"/>
  <c r="O65" i="44"/>
  <c r="Q3" i="44"/>
  <c r="AB15" i="44"/>
  <c r="AD15" i="44"/>
  <c r="C19" i="50"/>
  <c r="C33" i="50"/>
  <c r="AB45" i="44"/>
  <c r="AD45" i="44"/>
  <c r="AI43" i="60"/>
  <c r="AG43" i="60"/>
  <c r="AB43" i="60"/>
  <c r="AD43" i="60"/>
  <c r="AB10" i="60"/>
  <c r="AD10" i="60"/>
  <c r="AG10" i="60"/>
  <c r="C37" i="63"/>
  <c r="C15" i="81"/>
  <c r="AI42" i="17"/>
  <c r="AG42" i="17"/>
  <c r="AB42" i="17"/>
  <c r="AD42" i="17"/>
  <c r="C9" i="50"/>
  <c r="AB34" i="44"/>
  <c r="AD34" i="44"/>
  <c r="C11" i="81"/>
  <c r="AB36" i="17"/>
  <c r="AD36" i="17"/>
  <c r="AG36" i="17"/>
  <c r="AI36" i="17"/>
  <c r="C33" i="63"/>
  <c r="AB53" i="60"/>
  <c r="AD53" i="60"/>
  <c r="AG53" i="60"/>
  <c r="AI53" i="60"/>
  <c r="O3" i="17"/>
  <c r="N65" i="17"/>
  <c r="O65" i="17"/>
  <c r="Q3" i="17"/>
  <c r="AB52" i="60"/>
  <c r="AD52" i="60"/>
  <c r="AG52" i="60"/>
  <c r="C17" i="81"/>
  <c r="AI40" i="17"/>
  <c r="C36" i="63"/>
  <c r="AG40" i="17"/>
  <c r="AB40" i="17"/>
  <c r="AD40" i="17"/>
  <c r="C29" i="81"/>
  <c r="C24" i="63"/>
  <c r="AB27" i="17"/>
  <c r="AD27" i="17"/>
  <c r="AI27" i="17"/>
  <c r="AG27" i="17"/>
  <c r="AG49" i="17"/>
  <c r="AI49" i="17"/>
  <c r="AB49" i="17"/>
  <c r="AD49" i="17"/>
  <c r="AB24" i="44"/>
  <c r="AD24" i="44"/>
  <c r="C28" i="50"/>
  <c r="AG10" i="17"/>
  <c r="AB10" i="17"/>
  <c r="AD10" i="17"/>
  <c r="C9" i="63"/>
  <c r="C19" i="81"/>
  <c r="AI10" i="17"/>
  <c r="AB47" i="60"/>
  <c r="AD47" i="60"/>
  <c r="AI47" i="60"/>
  <c r="AG47" i="60"/>
  <c r="AB20" i="60"/>
  <c r="AD20" i="60"/>
  <c r="AG20" i="60"/>
  <c r="AI20" i="60"/>
  <c r="AG15" i="60"/>
  <c r="AI15" i="60"/>
  <c r="AB15" i="60"/>
  <c r="AD15" i="60"/>
  <c r="AG29" i="60"/>
  <c r="AB29" i="60"/>
  <c r="AD29" i="60"/>
  <c r="AI29" i="60"/>
  <c r="C18" i="50"/>
  <c r="AB5" i="44"/>
  <c r="AD5" i="44"/>
  <c r="AB31" i="44"/>
  <c r="AD31" i="44"/>
  <c r="C10" i="50"/>
  <c r="AB5" i="60"/>
  <c r="AD5" i="60"/>
  <c r="AI5" i="60"/>
  <c r="AG5" i="60"/>
  <c r="C23" i="50"/>
  <c r="AB7" i="44"/>
  <c r="AD7" i="44"/>
  <c r="C21" i="63"/>
  <c r="AB24" i="17"/>
  <c r="AD24" i="17"/>
  <c r="AG24" i="17"/>
  <c r="AI24" i="17"/>
  <c r="C4" i="81"/>
  <c r="AG40" i="60"/>
  <c r="AI40" i="60"/>
  <c r="AB40" i="60"/>
  <c r="AD40" i="60"/>
  <c r="AB19" i="60"/>
  <c r="AD19" i="60"/>
  <c r="AG19" i="60"/>
  <c r="AI19" i="60"/>
  <c r="AB30" i="60"/>
  <c r="AD30" i="60"/>
  <c r="AI30" i="60"/>
  <c r="AG30" i="60"/>
  <c r="AB10" i="44"/>
  <c r="AD10" i="44"/>
  <c r="C36" i="50"/>
  <c r="AB22" i="44"/>
  <c r="AD22" i="44"/>
  <c r="C38" i="50"/>
  <c r="C11" i="50"/>
  <c r="AB16" i="44"/>
  <c r="AD16" i="44"/>
  <c r="AB28" i="60"/>
  <c r="AD28" i="60"/>
  <c r="AG28" i="60"/>
  <c r="AI28" i="60"/>
  <c r="C2" i="50"/>
  <c r="AB26" i="44"/>
  <c r="AD26" i="44"/>
  <c r="AB30" i="44"/>
  <c r="AD30" i="44"/>
  <c r="C22" i="50"/>
  <c r="C7" i="63"/>
  <c r="AB8" i="17"/>
  <c r="AD8" i="17"/>
  <c r="C25" i="81"/>
  <c r="AG8" i="17"/>
  <c r="AI8" i="17"/>
  <c r="C23" i="81"/>
  <c r="W4" i="38"/>
  <c r="AA3" i="38"/>
  <c r="AB9" i="17"/>
  <c r="AD9" i="17"/>
  <c r="C8" i="63"/>
  <c r="AI9" i="17"/>
  <c r="AG9" i="17"/>
  <c r="C37" i="50"/>
  <c r="AB21" i="44"/>
  <c r="AD21" i="44"/>
  <c r="C8" i="81"/>
  <c r="AB30" i="17"/>
  <c r="AD30" i="17"/>
  <c r="AG30" i="17"/>
  <c r="AI30" i="17"/>
  <c r="C27" i="63"/>
  <c r="AB45" i="60"/>
  <c r="AD45" i="60"/>
  <c r="AI45" i="60"/>
  <c r="AG45" i="60"/>
  <c r="AB27" i="44"/>
  <c r="AD27" i="44"/>
  <c r="C5" i="50"/>
  <c r="AB40" i="44"/>
  <c r="AD40" i="44"/>
  <c r="C14" i="50"/>
  <c r="AI13" i="60"/>
  <c r="AG13" i="60"/>
  <c r="AB13" i="60"/>
  <c r="AD13" i="60"/>
  <c r="C19" i="63"/>
  <c r="C18" i="81"/>
  <c r="AG22" i="17"/>
  <c r="AB22" i="17"/>
  <c r="AD22" i="17"/>
  <c r="AI22" i="17"/>
  <c r="C37" i="81"/>
  <c r="AI32" i="17"/>
  <c r="AG32" i="17"/>
  <c r="AB32" i="17"/>
  <c r="AD32" i="17"/>
  <c r="C29" i="63"/>
  <c r="C40" i="50"/>
  <c r="AB17" i="44"/>
  <c r="AD17" i="44"/>
  <c r="AB29" i="44"/>
  <c r="AD29" i="44"/>
  <c r="C35" i="50"/>
  <c r="AI36" i="60"/>
  <c r="AG36" i="60"/>
  <c r="AB36" i="60"/>
  <c r="AD36" i="60"/>
  <c r="AI21" i="60"/>
  <c r="AB21" i="60"/>
  <c r="AD21" i="60"/>
  <c r="AG21" i="60"/>
  <c r="AB39" i="17"/>
  <c r="AD39" i="17"/>
  <c r="C35" i="63"/>
  <c r="AI39" i="17"/>
  <c r="C13" i="81"/>
  <c r="AG39" i="17"/>
  <c r="AI8" i="60"/>
  <c r="AB8" i="60"/>
  <c r="AD8" i="60"/>
  <c r="AG8" i="60"/>
  <c r="C27" i="81"/>
  <c r="AB28" i="17"/>
  <c r="AD28" i="17"/>
  <c r="AI28" i="17"/>
  <c r="AG28" i="17"/>
  <c r="C25" i="63"/>
  <c r="AB17" i="60"/>
  <c r="AD17" i="60"/>
  <c r="AG17" i="60"/>
  <c r="AI17" i="60"/>
  <c r="AI34" i="17"/>
  <c r="C34" i="81"/>
  <c r="AG34" i="17"/>
  <c r="AB34" i="17"/>
  <c r="AD34" i="17"/>
  <c r="C31" i="63"/>
  <c r="AB42" i="44"/>
  <c r="AD42" i="44"/>
  <c r="C16" i="50"/>
  <c r="C30" i="50"/>
  <c r="AB35" i="44"/>
  <c r="AD35" i="44"/>
  <c r="C7" i="50"/>
  <c r="AB18" i="44"/>
  <c r="AD18" i="44"/>
  <c r="AB52" i="17"/>
  <c r="AD52" i="17"/>
  <c r="AI52" i="17"/>
  <c r="AG52" i="17"/>
  <c r="AI29" i="17"/>
  <c r="AB29" i="17"/>
  <c r="AD29" i="17"/>
  <c r="C9" i="81"/>
  <c r="C26" i="63"/>
  <c r="AG29" i="17"/>
  <c r="AB46" i="17"/>
  <c r="AD46" i="17"/>
  <c r="C6" i="81"/>
  <c r="AG46" i="17"/>
  <c r="AI46" i="17"/>
  <c r="C41" i="63"/>
  <c r="AG22" i="60"/>
  <c r="AB22" i="60"/>
  <c r="AD22" i="60"/>
  <c r="AI22" i="60"/>
  <c r="AB39" i="44"/>
  <c r="AD39" i="44"/>
  <c r="C25" i="50"/>
  <c r="C20" i="50"/>
  <c r="AB23" i="44"/>
  <c r="AD23" i="44"/>
  <c r="AG5" i="17"/>
  <c r="C5" i="63"/>
  <c r="C39" i="81"/>
  <c r="AI5" i="17"/>
  <c r="AB5" i="17"/>
  <c r="AD5" i="17"/>
  <c r="AG48" i="17"/>
  <c r="C43" i="63"/>
  <c r="AB48" i="17"/>
  <c r="AD48" i="17"/>
  <c r="C36" i="81"/>
  <c r="AI48" i="17"/>
  <c r="AB28" i="44"/>
  <c r="AD28" i="44"/>
  <c r="C13" i="50"/>
  <c r="AG31" i="60"/>
  <c r="AI31" i="60"/>
  <c r="AB31" i="60"/>
  <c r="AD31" i="60"/>
  <c r="AB50" i="17"/>
  <c r="AD50" i="17"/>
  <c r="AI50" i="17"/>
  <c r="AG50" i="17"/>
  <c r="AI39" i="60"/>
  <c r="AG39" i="60"/>
  <c r="AB39" i="60"/>
  <c r="AD39" i="60"/>
  <c r="C40" i="63"/>
  <c r="AB45" i="17"/>
  <c r="AD45" i="17"/>
  <c r="AI45" i="17"/>
  <c r="C32" i="81"/>
  <c r="AG45" i="17"/>
  <c r="AB44" i="44"/>
  <c r="AD44" i="44"/>
  <c r="C4" i="50"/>
  <c r="AB51" i="17"/>
  <c r="AD51" i="17"/>
  <c r="AG51" i="17"/>
  <c r="AI51" i="17"/>
  <c r="AG49" i="60"/>
  <c r="AB49" i="60"/>
  <c r="AD49" i="60"/>
  <c r="AI49" i="60"/>
  <c r="N65" i="60"/>
  <c r="O65" i="60"/>
  <c r="O3" i="60"/>
  <c r="Q3" i="60"/>
  <c r="AB36" i="44"/>
  <c r="AD36" i="44"/>
  <c r="C31" i="50"/>
  <c r="W11" i="38"/>
  <c r="AB9" i="44"/>
  <c r="AD9" i="44"/>
  <c r="C42" i="50"/>
  <c r="C28" i="81"/>
  <c r="AG47" i="17"/>
  <c r="C42" i="63"/>
  <c r="AB47" i="17"/>
  <c r="AD47" i="17"/>
  <c r="AI47" i="17"/>
  <c r="AB25" i="44"/>
  <c r="AD25" i="44"/>
  <c r="C34" i="50"/>
  <c r="AI34" i="60"/>
  <c r="AB34" i="60"/>
  <c r="AD34" i="60"/>
  <c r="AG34" i="60"/>
  <c r="AI44" i="17"/>
  <c r="AG44" i="17"/>
  <c r="C39" i="63"/>
  <c r="C41" i="81"/>
  <c r="AB44" i="17"/>
  <c r="AD44" i="17"/>
  <c r="C18" i="63"/>
  <c r="AG21" i="17"/>
  <c r="AB21" i="17"/>
  <c r="AD21" i="17"/>
  <c r="C16" i="81"/>
  <c r="AI21" i="17"/>
  <c r="AG46" i="60"/>
  <c r="AB46" i="60"/>
  <c r="AD46" i="60"/>
  <c r="AI46" i="60"/>
  <c r="AG44" i="60"/>
  <c r="AB44" i="60"/>
  <c r="AD44" i="60"/>
  <c r="AI44" i="60"/>
  <c r="C3" i="50"/>
  <c r="AB47" i="44"/>
  <c r="AD47" i="44"/>
  <c r="AB43" i="44"/>
  <c r="AD43" i="44"/>
  <c r="C17" i="50"/>
  <c r="AG51" i="60"/>
  <c r="AB51" i="60"/>
  <c r="AD51" i="60"/>
  <c r="AI51" i="60"/>
  <c r="AB16" i="17"/>
  <c r="AD16" i="17"/>
  <c r="AG16" i="17"/>
  <c r="C13" i="63"/>
  <c r="AI16" i="17"/>
  <c r="C24" i="81"/>
  <c r="AG38" i="60"/>
  <c r="AI38" i="60"/>
  <c r="AB38" i="60"/>
  <c r="AD38" i="60"/>
  <c r="C30" i="81"/>
  <c r="AB43" i="17"/>
  <c r="AD43" i="17"/>
  <c r="AG43" i="17"/>
  <c r="C38" i="63"/>
  <c r="AI43" i="17"/>
  <c r="C42" i="81"/>
  <c r="AB26" i="17"/>
  <c r="AD26" i="17"/>
  <c r="AI26" i="17"/>
  <c r="C23" i="63"/>
  <c r="AG26" i="17"/>
  <c r="C22" i="81"/>
  <c r="C30" i="63"/>
  <c r="AG33" i="17"/>
  <c r="AB33" i="17"/>
  <c r="AD33" i="17"/>
  <c r="AI33" i="17"/>
  <c r="AB48" i="60"/>
  <c r="AD48" i="60"/>
  <c r="AG48" i="60"/>
  <c r="AI48" i="60"/>
  <c r="C33" i="81"/>
  <c r="C10" i="63"/>
  <c r="AI12" i="17"/>
  <c r="AG12" i="17"/>
  <c r="AB12" i="17"/>
  <c r="AD12" i="17"/>
  <c r="AB50" i="60"/>
  <c r="AD50" i="60"/>
  <c r="AB54" i="17"/>
  <c r="AD54" i="17"/>
  <c r="N4" i="44"/>
  <c r="L61" i="44"/>
  <c r="AG54" i="17"/>
  <c r="Q4" i="48"/>
  <c r="N68" i="48"/>
  <c r="O68" i="48"/>
  <c r="O4" i="48"/>
  <c r="N4" i="60"/>
  <c r="L61" i="60"/>
  <c r="Z54" i="48"/>
  <c r="AB54" i="48"/>
  <c r="AD54" i="48"/>
  <c r="AD10" i="40"/>
  <c r="Z10" i="40"/>
  <c r="AB10" i="40"/>
  <c r="Z10" i="41"/>
  <c r="AB10" i="41"/>
  <c r="AD10" i="41"/>
  <c r="I2" i="82"/>
  <c r="H2" i="82"/>
  <c r="J2" i="82"/>
  <c r="N4" i="17"/>
  <c r="L61" i="17"/>
  <c r="N61" i="41"/>
  <c r="O61" i="41"/>
  <c r="Q3" i="41"/>
  <c r="O3" i="41"/>
  <c r="N65" i="41"/>
  <c r="O65" i="41"/>
  <c r="N61" i="48"/>
  <c r="O61" i="48"/>
  <c r="Q3" i="48"/>
  <c r="N65" i="48"/>
  <c r="O65" i="48"/>
  <c r="O3" i="48"/>
  <c r="Q3" i="40"/>
  <c r="N61" i="40"/>
  <c r="O61" i="40"/>
  <c r="O3" i="40"/>
  <c r="N65" i="40"/>
  <c r="O65" i="40"/>
  <c r="L61" i="48"/>
  <c r="N68" i="41"/>
  <c r="O68" i="41"/>
  <c r="O4" i="41"/>
  <c r="Q4" i="41"/>
  <c r="N68" i="40"/>
  <c r="O68" i="40"/>
  <c r="Q4" i="40"/>
  <c r="O4" i="40"/>
  <c r="C28" i="63"/>
  <c r="C38" i="81"/>
  <c r="AG31" i="17"/>
  <c r="AI31" i="17"/>
  <c r="AB31" i="17"/>
  <c r="AD31" i="17"/>
  <c r="T3" i="44"/>
  <c r="Q65" i="44"/>
  <c r="R65" i="44"/>
  <c r="R3" i="44"/>
  <c r="R3" i="17"/>
  <c r="T3" i="17"/>
  <c r="Q65" i="17"/>
  <c r="R65" i="17"/>
  <c r="Q65" i="60"/>
  <c r="R65" i="60"/>
  <c r="T3" i="60"/>
  <c r="R3" i="60"/>
  <c r="R4" i="40"/>
  <c r="T4" i="40"/>
  <c r="Q68" i="40"/>
  <c r="R68" i="40"/>
  <c r="T3" i="40"/>
  <c r="Q62" i="40"/>
  <c r="R62" i="40"/>
  <c r="R3" i="40"/>
  <c r="Q65" i="40"/>
  <c r="R65" i="40"/>
  <c r="Q61" i="40"/>
  <c r="R61" i="40"/>
  <c r="Q61" i="48"/>
  <c r="R61" i="48"/>
  <c r="Q62" i="48"/>
  <c r="R62" i="48"/>
  <c r="Q65" i="48"/>
  <c r="R65" i="48"/>
  <c r="T3" i="48"/>
  <c r="R3" i="48"/>
  <c r="R3" i="41"/>
  <c r="Q65" i="41"/>
  <c r="R65" i="41"/>
  <c r="Q62" i="41"/>
  <c r="R62" i="41"/>
  <c r="T3" i="41"/>
  <c r="Q61" i="41"/>
  <c r="R61" i="41"/>
  <c r="O4" i="60"/>
  <c r="Q4" i="60"/>
  <c r="N68" i="60"/>
  <c r="O68" i="60"/>
  <c r="N61" i="60"/>
  <c r="O61" i="60"/>
  <c r="T4" i="48"/>
  <c r="R4" i="48"/>
  <c r="Q68" i="48"/>
  <c r="R68" i="48"/>
  <c r="T4" i="41"/>
  <c r="Q68" i="41"/>
  <c r="R68" i="41"/>
  <c r="R4" i="41"/>
  <c r="Q4" i="17"/>
  <c r="O4" i="17"/>
  <c r="N68" i="17"/>
  <c r="O68" i="17"/>
  <c r="N61" i="17"/>
  <c r="O61" i="17"/>
  <c r="Q4" i="44"/>
  <c r="O4" i="44"/>
  <c r="N68" i="44"/>
  <c r="O68" i="44"/>
  <c r="N61" i="44"/>
  <c r="O61" i="44"/>
  <c r="U3" i="44"/>
  <c r="T65" i="44"/>
  <c r="U3" i="17"/>
  <c r="T65" i="17"/>
  <c r="U3" i="60"/>
  <c r="T65" i="60"/>
  <c r="T68" i="48"/>
  <c r="U4" i="48"/>
  <c r="R4" i="17"/>
  <c r="T4" i="17"/>
  <c r="Q68" i="17"/>
  <c r="R68" i="17"/>
  <c r="Q62" i="17"/>
  <c r="R62" i="17"/>
  <c r="Q61" i="17"/>
  <c r="R61" i="17"/>
  <c r="T62" i="48"/>
  <c r="T61" i="48"/>
  <c r="T65" i="48"/>
  <c r="U3" i="48"/>
  <c r="U4" i="41"/>
  <c r="T68" i="41"/>
  <c r="U3" i="40"/>
  <c r="T61" i="40"/>
  <c r="T62" i="40"/>
  <c r="T65" i="40"/>
  <c r="R4" i="60"/>
  <c r="Q68" i="60"/>
  <c r="R68" i="60"/>
  <c r="T4" i="60"/>
  <c r="Q62" i="60"/>
  <c r="R62" i="60"/>
  <c r="Q61" i="60"/>
  <c r="R61" i="60"/>
  <c r="T68" i="40"/>
  <c r="U4" i="40"/>
  <c r="R4" i="44"/>
  <c r="Q68" i="44"/>
  <c r="R68" i="44"/>
  <c r="T4" i="44"/>
  <c r="Q61" i="44"/>
  <c r="R61" i="44"/>
  <c r="Q62" i="44"/>
  <c r="R62" i="44"/>
  <c r="T65" i="41"/>
  <c r="T61" i="41"/>
  <c r="U3" i="41"/>
  <c r="T62" i="41"/>
  <c r="U65" i="60"/>
  <c r="X3" i="60"/>
  <c r="X3" i="17"/>
  <c r="U65" i="17"/>
  <c r="U65" i="44"/>
  <c r="X3" i="44"/>
  <c r="X4" i="40"/>
  <c r="U68" i="40"/>
  <c r="U62" i="40"/>
  <c r="U65" i="40"/>
  <c r="U61" i="40"/>
  <c r="X3" i="40"/>
  <c r="U61" i="41"/>
  <c r="U62" i="41"/>
  <c r="U65" i="41"/>
  <c r="X3" i="41"/>
  <c r="X4" i="41"/>
  <c r="U68" i="41"/>
  <c r="T68" i="44"/>
  <c r="U4" i="44"/>
  <c r="T61" i="44"/>
  <c r="T62" i="44"/>
  <c r="U65" i="48"/>
  <c r="U61" i="48"/>
  <c r="U62" i="48"/>
  <c r="X3" i="48"/>
  <c r="U4" i="17"/>
  <c r="T68" i="17"/>
  <c r="T62" i="17"/>
  <c r="T61" i="17"/>
  <c r="T68" i="60"/>
  <c r="U4" i="60"/>
  <c r="T61" i="60"/>
  <c r="T62" i="60"/>
  <c r="X4" i="48"/>
  <c r="U68" i="48"/>
  <c r="Z3" i="17"/>
  <c r="X65" i="17"/>
  <c r="Z65" i="17"/>
  <c r="W5" i="38"/>
  <c r="Z3" i="60"/>
  <c r="X65" i="60"/>
  <c r="Z65" i="60"/>
  <c r="Z3" i="44"/>
  <c r="X65" i="44"/>
  <c r="Z65" i="44"/>
  <c r="W12" i="38"/>
  <c r="U68" i="44"/>
  <c r="X4" i="44"/>
  <c r="U61" i="44"/>
  <c r="U62" i="44"/>
  <c r="Z4" i="48"/>
  <c r="AB4" i="48"/>
  <c r="AD4" i="48"/>
  <c r="X68" i="48"/>
  <c r="Z68" i="48"/>
  <c r="Z4" i="41"/>
  <c r="AB4" i="41"/>
  <c r="AD4" i="41"/>
  <c r="X68" i="41"/>
  <c r="Z68" i="41"/>
  <c r="X4" i="60"/>
  <c r="U68" i="60"/>
  <c r="U61" i="60"/>
  <c r="U62" i="60"/>
  <c r="Z3" i="41"/>
  <c r="X65" i="41"/>
  <c r="Z65" i="41"/>
  <c r="U12" i="38"/>
  <c r="X61" i="41"/>
  <c r="Z61" i="41"/>
  <c r="X62" i="41"/>
  <c r="Z62" i="41"/>
  <c r="U13" i="38"/>
  <c r="X65" i="40"/>
  <c r="Z65" i="40"/>
  <c r="U5" i="38"/>
  <c r="X62" i="40"/>
  <c r="Z62" i="40"/>
  <c r="U6" i="38"/>
  <c r="X61" i="40"/>
  <c r="Z61" i="40"/>
  <c r="Z3" i="40"/>
  <c r="U68" i="17"/>
  <c r="X4" i="17"/>
  <c r="U62" i="17"/>
  <c r="U61" i="17"/>
  <c r="Z3" i="48"/>
  <c r="X61" i="48"/>
  <c r="Z61" i="48"/>
  <c r="X62" i="48"/>
  <c r="Z62" i="48"/>
  <c r="U20" i="38"/>
  <c r="X65" i="48"/>
  <c r="Z65" i="48"/>
  <c r="U19" i="38"/>
  <c r="X68" i="40"/>
  <c r="Z68" i="40"/>
  <c r="Z4" i="40"/>
  <c r="AB4" i="40"/>
  <c r="AD4" i="40"/>
  <c r="AI3" i="60"/>
  <c r="AG3" i="60"/>
  <c r="AB3" i="60"/>
  <c r="AD3" i="60"/>
  <c r="C3" i="63"/>
  <c r="AG3" i="17"/>
  <c r="AB3" i="17"/>
  <c r="AD3" i="17"/>
  <c r="AI3" i="17"/>
  <c r="C3" i="81"/>
  <c r="X5" i="38"/>
  <c r="AB3" i="44"/>
  <c r="AD3" i="44"/>
  <c r="C27" i="50"/>
  <c r="X12" i="38"/>
  <c r="Z4" i="44"/>
  <c r="X68" i="44"/>
  <c r="Z68" i="44"/>
  <c r="X61" i="44"/>
  <c r="Z61" i="44"/>
  <c r="X62" i="44"/>
  <c r="Z62" i="44"/>
  <c r="W13" i="38"/>
  <c r="V13" i="38"/>
  <c r="V12" i="38"/>
  <c r="AB3" i="41"/>
  <c r="AD3" i="41"/>
  <c r="AB3" i="48"/>
  <c r="AD3" i="48"/>
  <c r="V19" i="38"/>
  <c r="V20" i="38"/>
  <c r="V5" i="38"/>
  <c r="V10" i="38"/>
  <c r="AB3" i="40"/>
  <c r="AD3" i="40"/>
  <c r="V6" i="38"/>
  <c r="Z4" i="60"/>
  <c r="X68" i="60"/>
  <c r="Z68" i="60"/>
  <c r="X62" i="60"/>
  <c r="Z62" i="60"/>
  <c r="X61" i="60"/>
  <c r="Z61" i="60"/>
  <c r="X68" i="17"/>
  <c r="Z68" i="17"/>
  <c r="Z4" i="17"/>
  <c r="X61" i="17"/>
  <c r="Z61" i="17"/>
  <c r="X62" i="17"/>
  <c r="Z62" i="17"/>
  <c r="W6" i="38"/>
  <c r="C26" i="50"/>
  <c r="AB4" i="44"/>
  <c r="AD4" i="44"/>
  <c r="X13" i="38"/>
  <c r="AG4" i="60"/>
  <c r="AB4" i="60"/>
  <c r="AD4" i="60"/>
  <c r="AI4" i="60"/>
  <c r="AG4" i="17"/>
  <c r="AI4" i="17"/>
  <c r="AB4" i="17"/>
  <c r="AD4" i="17"/>
  <c r="C20" i="81"/>
  <c r="C4" i="63"/>
  <c r="X6" i="38"/>
  <c r="F2" i="50"/>
  <c r="E2" i="50"/>
  <c r="O45" i="63"/>
  <c r="O46" i="63"/>
  <c r="G45" i="63"/>
  <c r="G46" i="63"/>
  <c r="AM45" i="63"/>
  <c r="AM46" i="63"/>
  <c r="AE45" i="63"/>
  <c r="AE46" i="63"/>
  <c r="V45" i="63"/>
  <c r="V46" i="63"/>
  <c r="Q45" i="63"/>
  <c r="Q46" i="63"/>
  <c r="AN45" i="63"/>
  <c r="AN46" i="63"/>
  <c r="M45" i="63"/>
  <c r="M46" i="63"/>
  <c r="AC45" i="63"/>
  <c r="AC46" i="63"/>
  <c r="AA45" i="63"/>
  <c r="AA46" i="63"/>
  <c r="Y45" i="63"/>
  <c r="Y46" i="63"/>
  <c r="AI45" i="63"/>
  <c r="AI46" i="63"/>
  <c r="R45" i="63"/>
  <c r="R46" i="63"/>
  <c r="AL45" i="63"/>
  <c r="AL46" i="63"/>
  <c r="AG45" i="63"/>
  <c r="AG46" i="63"/>
  <c r="AF45" i="63"/>
  <c r="AF46" i="63"/>
  <c r="H45" i="63"/>
  <c r="H46" i="63"/>
  <c r="I45" i="63"/>
  <c r="I46" i="63"/>
  <c r="U45" i="63"/>
  <c r="U46" i="63"/>
  <c r="Z45" i="63"/>
  <c r="Z46" i="63"/>
  <c r="N45" i="63"/>
  <c r="N46" i="63"/>
  <c r="K45" i="63"/>
  <c r="K46" i="63"/>
  <c r="AQ45" i="63"/>
  <c r="AQ46" i="63"/>
  <c r="L45" i="63"/>
  <c r="L46" i="63"/>
  <c r="AP45" i="63"/>
  <c r="AP46" i="63"/>
  <c r="W45" i="63"/>
  <c r="W46" i="63"/>
  <c r="P45" i="63"/>
  <c r="P46" i="63"/>
  <c r="D45" i="63"/>
  <c r="D46" i="63"/>
  <c r="AB45" i="63"/>
  <c r="AB46" i="63"/>
  <c r="AH45" i="63"/>
  <c r="AH46" i="63"/>
  <c r="T45" i="63"/>
  <c r="T46" i="63"/>
  <c r="S45" i="63"/>
  <c r="S46" i="63"/>
  <c r="E45" i="63"/>
  <c r="E46" i="63"/>
  <c r="AK45" i="63"/>
  <c r="AK46" i="63"/>
  <c r="J45" i="63"/>
  <c r="J46" i="63"/>
  <c r="F45" i="63"/>
  <c r="F46" i="63"/>
  <c r="AD45" i="63"/>
  <c r="AD46" i="63"/>
  <c r="AJ45" i="63"/>
  <c r="AJ46" i="63"/>
  <c r="AO45" i="63"/>
  <c r="AO46" i="63"/>
  <c r="F2" i="81"/>
  <c r="E2" i="81"/>
  <c r="D3" i="50"/>
  <c r="G38" i="50"/>
  <c r="D11" i="50"/>
  <c r="G9" i="50"/>
  <c r="D27" i="50"/>
  <c r="G17" i="50"/>
  <c r="D2" i="50"/>
  <c r="G29" i="50"/>
  <c r="D18" i="50"/>
  <c r="G19" i="50"/>
  <c r="D38" i="50"/>
  <c r="G36" i="50"/>
  <c r="D31" i="50"/>
  <c r="G18" i="50"/>
  <c r="G30" i="50"/>
  <c r="D28" i="50"/>
  <c r="G25" i="50"/>
  <c r="G27" i="50"/>
  <c r="G23" i="50"/>
  <c r="D34" i="50"/>
  <c r="D14" i="50"/>
  <c r="G16" i="50"/>
  <c r="D5" i="50"/>
  <c r="D37" i="50"/>
  <c r="D30" i="50"/>
  <c r="D7" i="50"/>
  <c r="G35" i="50"/>
  <c r="D29" i="50"/>
  <c r="D35" i="50"/>
  <c r="D8" i="50"/>
  <c r="D4" i="50"/>
  <c r="D9" i="50"/>
  <c r="G3" i="50"/>
  <c r="D32" i="50"/>
  <c r="G24" i="50"/>
  <c r="G21" i="50"/>
  <c r="G11" i="50"/>
  <c r="D17" i="50"/>
  <c r="G10" i="50"/>
  <c r="D20" i="50"/>
  <c r="G14" i="50"/>
  <c r="G28" i="50"/>
  <c r="G31" i="50"/>
  <c r="G32" i="50"/>
  <c r="G39" i="50"/>
  <c r="D10" i="50"/>
  <c r="D13" i="50"/>
  <c r="G2" i="50"/>
  <c r="D33" i="50"/>
  <c r="D39" i="50"/>
  <c r="D6" i="50"/>
  <c r="G20" i="50"/>
  <c r="D21" i="50"/>
  <c r="G42" i="50"/>
  <c r="D40" i="50"/>
  <c r="G4" i="50"/>
  <c r="G41" i="50"/>
  <c r="D12" i="50"/>
  <c r="G22" i="50"/>
  <c r="G40" i="50"/>
  <c r="D19" i="50"/>
  <c r="D16" i="50"/>
  <c r="D23" i="50"/>
  <c r="G13" i="50"/>
  <c r="D42" i="50"/>
  <c r="G12" i="50"/>
  <c r="G6" i="50"/>
  <c r="G5" i="50"/>
  <c r="D36" i="50"/>
  <c r="D25" i="50"/>
  <c r="D15" i="50"/>
  <c r="G7" i="50"/>
  <c r="G34" i="50"/>
  <c r="G37" i="50"/>
  <c r="G26" i="50"/>
  <c r="G33" i="50"/>
  <c r="D41" i="50"/>
  <c r="D24" i="50"/>
  <c r="D22" i="50"/>
  <c r="G15" i="50"/>
  <c r="D26" i="50"/>
  <c r="G8" i="50"/>
  <c r="G14" i="81"/>
  <c r="G34" i="81"/>
  <c r="G40" i="81"/>
  <c r="D11" i="81"/>
  <c r="D6" i="81"/>
  <c r="G17" i="81"/>
  <c r="G19" i="81"/>
  <c r="G23" i="81"/>
  <c r="D41" i="81"/>
  <c r="D19" i="81"/>
  <c r="G4" i="81"/>
  <c r="G27" i="81"/>
  <c r="D8" i="81"/>
  <c r="D22" i="81"/>
  <c r="D26" i="81"/>
  <c r="G30" i="81"/>
  <c r="G38" i="81"/>
  <c r="D42" i="81"/>
  <c r="D15" i="81"/>
  <c r="D4" i="81"/>
  <c r="G26" i="81"/>
  <c r="G39" i="81"/>
  <c r="D13" i="81"/>
  <c r="D35" i="81"/>
  <c r="D30" i="81"/>
  <c r="G3" i="81"/>
  <c r="G7" i="81"/>
  <c r="D23" i="81"/>
  <c r="D12" i="81"/>
  <c r="D24" i="81"/>
  <c r="D34" i="81"/>
  <c r="D3" i="81"/>
  <c r="G42" i="81"/>
  <c r="G8" i="81"/>
  <c r="D33" i="81"/>
  <c r="G16" i="81"/>
  <c r="D37" i="81"/>
  <c r="G36" i="81"/>
  <c r="G15" i="81"/>
  <c r="D9" i="81"/>
  <c r="D29" i="81"/>
  <c r="G12" i="81"/>
  <c r="G28" i="81"/>
  <c r="D25" i="81"/>
  <c r="D2" i="81"/>
  <c r="G22" i="81"/>
  <c r="G41" i="81"/>
  <c r="G33" i="81"/>
  <c r="G24" i="81"/>
  <c r="D14" i="81"/>
  <c r="D16" i="81"/>
  <c r="D39" i="81"/>
  <c r="G32" i="81"/>
  <c r="G5" i="81"/>
  <c r="D18" i="81"/>
  <c r="D31" i="81"/>
  <c r="D32" i="81"/>
  <c r="G35" i="81"/>
  <c r="G31" i="81"/>
  <c r="D27" i="81"/>
  <c r="D21" i="81"/>
  <c r="D38" i="81"/>
  <c r="G29" i="81"/>
  <c r="G10" i="81"/>
  <c r="G13" i="81"/>
  <c r="D28" i="81"/>
  <c r="D40" i="81"/>
  <c r="D20" i="81"/>
  <c r="G20" i="81"/>
  <c r="G9" i="81"/>
  <c r="G2" i="81"/>
  <c r="D17" i="81"/>
  <c r="G11" i="81"/>
  <c r="D7" i="81"/>
  <c r="G21" i="81"/>
  <c r="G6" i="81"/>
  <c r="D36" i="81"/>
  <c r="G37" i="81"/>
  <c r="D5" i="81"/>
  <c r="G18" i="81"/>
  <c r="D10" i="81"/>
  <c r="G25" i="81"/>
  <c r="I2" i="50"/>
  <c r="H2" i="50"/>
  <c r="J2" i="50"/>
  <c r="I2" i="81"/>
  <c r="J2" i="81"/>
  <c r="H2" i="81"/>
</calcChain>
</file>

<file path=xl/comments1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10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11.xml><?xml version="1.0" encoding="utf-8"?>
<comments xmlns="http://schemas.openxmlformats.org/spreadsheetml/2006/main">
  <authors>
    <author>Allan Pack</author>
  </authors>
  <commentList>
    <comment ref="E6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May need to rework formula if number of hospitals changes
</t>
        </r>
      </text>
    </comment>
  </commentList>
</comments>
</file>

<file path=xl/comments12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13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14.xml><?xml version="1.0" encoding="utf-8"?>
<comments xmlns="http://schemas.openxmlformats.org/spreadsheetml/2006/main">
  <authors>
    <author>Allan Pack</author>
  </authors>
  <commentList>
    <comment ref="E58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May need to rework formula if number of hospitals changes
</t>
        </r>
      </text>
    </comment>
  </commentList>
</comments>
</file>

<file path=xl/comments15.xml><?xml version="1.0" encoding="utf-8"?>
<comments xmlns="http://schemas.openxmlformats.org/spreadsheetml/2006/main">
  <authors>
    <author>Allan Pack</author>
  </authors>
  <commentList>
    <comment ref="W49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Value from Holy Cross</t>
        </r>
      </text>
    </comment>
  </commentList>
</comments>
</file>

<file path=xl/comments16.xml><?xml version="1.0" encoding="utf-8"?>
<comments xmlns="http://schemas.openxmlformats.org/spreadsheetml/2006/main">
  <authors>
    <author>Allan Pack</author>
  </authors>
  <commentList>
    <comment ref="D14" authorId="0" shapeId="0">
      <text>
        <r>
          <rPr>
            <b/>
            <sz val="8"/>
            <color indexed="81"/>
            <rFont val="Tahoma"/>
            <family val="2"/>
          </rPr>
          <t>Allan Pack:Listed GBR is not actual GBR that Bon Secours can charge to</t>
        </r>
      </text>
    </comment>
    <comment ref="J14" authorId="0" shapeId="0">
      <text>
        <r>
          <rPr>
            <b/>
            <sz val="8"/>
            <color indexed="81"/>
            <rFont val="Tahoma"/>
            <family val="2"/>
          </rPr>
          <t>Allan Pack:Listed GBR is not actual GBR that Bon Secours can charge to</t>
        </r>
      </text>
    </comment>
  </commentList>
</comments>
</file>

<file path=xl/comments2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3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4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5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6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7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8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comments9.xml><?xml version="1.0" encoding="utf-8"?>
<comments xmlns="http://schemas.openxmlformats.org/spreadsheetml/2006/main">
  <authors>
    <author>Allan Pack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Allan Pack:</t>
        </r>
        <r>
          <rPr>
            <sz val="9"/>
            <color indexed="81"/>
            <rFont val="Tahoma"/>
            <family val="2"/>
          </rPr>
          <t xml:space="preserve">
Only column that needs to be populated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">
    <s v="ThisWorkbookDataModel"/>
    <s v="{[prodtrends_June2019_Final].[type].[All]}"/>
    <s v="{[prodtrends_June2019_Final].[PROD_CAT].[All]}"/>
    <s v="{[prodtrends_June2019_Final].[PROD_CAT].&amp;[Onc &amp; Inf Drugs]}"/>
    <s v="{[prodtrends_June2019_Final].[PROD_CAT].&amp;[ED],[prodtrends_June2019_Final].[PROD_CAT].&amp;[Lab],[prodtrends_June2019_Final].[PROD_CAT].&amp;[Other],[prodtrends_June2019_Final].[PROD_CAT].&amp;[Clinic],[prodtrends_June2019_Final].[PROD_CAT].&amp;[OB/GYN],[prodtrends_June2019_Final].[PROD_CAT].&amp;[Trauma],[prodtrends_June2019_Final].[PROD_CAT].&amp;[Invalid],[prodtrends_June2019_Final].[PROD_CAT].&amp;[Urology],[prodtrends_June2019_Final].[PROD_CAT].&amp;[Neurology],[prodtrends_June2019_Final].[PROD_CAT].&amp;[Pulmonary],[prodtrends_June2019_Final].[PROD_CAT].&amp;[Radiology],[prodtrends_June2019_Final].[PROD_CAT].&amp;[CT/MRI/PET],[prodtrends_June2019_Final].[PROD_CAT].&amp;[Cardiology],[prodtrends_June2019_Final].[PROD_CAT].&amp;[Hematology],[prodtrends_June2019_Final].[PROD_CAT].&amp;[Psychiatry],[prodtrends_June2019_Final].[PROD_CAT].&amp;[ENT Surgery],[prodtrends_June2019_Final].[PROD_CAT].&amp;[Neonatology],[prodtrends_June2019_Final].[PROD_CAT].&amp;[Oncology_IP],[prodtrends_June2019_Final].[PROD_CAT].&amp;[Ungroupable],[prodtrends_June2019_Final].[PROD_CAT].&amp;[Major Surgery],[prodtrends_June2019_Final].[PROD_CAT].&amp;[Minor Surgery],[prodtrends_June2019_Final].[PROD_CAT].&amp;[Ophthalmology],[prodtrends_June2019_Final].[PROD_CAT].&amp;[Psychiatry_IP],[prodtrends_June2019_Final].[PROD_CAT].&amp;[Psychiatry_OP],[prodtrends_June2019_Final].[PROD_CAT].&amp;[Unassigned_IP],[prodtrends_June2019_Final].[PROD_CAT].&amp;[Unassigned_OP],[prodtrends_June2019_Final].[PROD_CAT].&amp;[Cardiovascular],[prodtrends_June2019_Final].[PROD_CAT].&amp;[Rehabilitation],[prodtrends_June2019_Final].[PROD_CAT].&amp;[Spinal Surgery],[prodtrends_June2019_Final].[PROD_CAT].&amp;[General Surgery],[prodtrends_June2019_Final].[PROD_CAT].&amp;[Rehab &amp; Therapy],[prodtrends_June2019_Final].[PROD_CAT].&amp;[Gastroenterology],[prodtrends_June2019_Final].[PROD_CAT].&amp;[General Medicine],[prodtrends_June2019_Final].[PROD_CAT].&amp;[Thoracic Surgery],[prodtrends_June2019_Final].[PROD_CAT].&amp;[Vascular Surgery],[prodtrends_June2019_Final].[PROD_CAT].&amp;[Gynecological Surg],[prodtrends_June2019_Final].[PROD_CAT].&amp;[Infectious Disease],[prodtrends_June2019_Final].[PROD_CAT].&amp;[Orthopedic Surgery],[prodtrends_June2019_Final].[PROD_CAT].&amp;[Transplant Surgery],[prodtrends_June2019_Final].[PROD_CAT].&amp;[Urological Surgery],[prodtrends_June2019_Final].[PROD_CAT].&amp;[Ventilator Support],[prodtrends_June2019_Final].[PROD_CAT].&amp;[Invasive Cardiology],[prodtrends_June2019_Final].[PROD_CAT].&amp;[Ophthalmologic Surg],[prodtrends_June2019_Final].[PROD_CAT].&amp;[Neurological Surgery],[prodtrends_June2019_Final].[PROD_CAT].&amp;[Endocrinology Surgery],[prodtrends_June2019_Final].[PROD_CAT].&amp;[Cardiothoracic Surgery],[prodtrends_June2019_Final].[PROD_CAT].&amp;[Oncology Related Services],[prodtrends_June2019_Final].[PROD_CAT].&amp;[Injuries/complic. of prior care]}"/>
    <s v="{[prodtrends_June2019_Final].[type].&amp;[CR]}"/>
    <s v="{[prodtrends_June2019_Final].[PROD_CAT].&amp;[Categorical Exclusions_IP],[prodtrends_June2019_Final].[PROD_CAT].&amp;[Categorical Exclusions_OP]}"/>
    <s v="{[ipop_zip_prod_icc].[PROD_CAT].[All]}"/>
    <s v="{[ipop_zip_prod_icc].[FYEAR].&amp;[2022]}"/>
    <s v="{[ipop_zip_prod_icc].[INNOVATION_FLAG].&amp;[N]}"/>
    <s v="{[ipop_zip_prod_icc].[categorical].&amp;[],[ipop_zip_prod_icc].[categorical].&amp;[N]}"/>
    <s v="{[ipop_zip_prod_icc].[lab_covid].&amp;[Y]}"/>
    <s v="{[ipop_zip_prod_icc].[type].&amp;[]}"/>
  </metadataStrings>
  <mdxMetadata count="12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</mdxMetadata>
  <valueMetadata count="1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</valueMetadata>
</metadata>
</file>

<file path=xl/sharedStrings.xml><?xml version="1.0" encoding="utf-8"?>
<sst xmlns="http://schemas.openxmlformats.org/spreadsheetml/2006/main" count="2493" uniqueCount="652">
  <si>
    <t>Row Labels</t>
  </si>
  <si>
    <t>Grand Total</t>
  </si>
  <si>
    <t>type</t>
  </si>
  <si>
    <t>Column Labels</t>
  </si>
  <si>
    <t>Anne Arundel</t>
  </si>
  <si>
    <t>Atlantic General</t>
  </si>
  <si>
    <t>Bon Secours</t>
  </si>
  <si>
    <t>Calvert</t>
  </si>
  <si>
    <t>Carroll</t>
  </si>
  <si>
    <t>Doctors</t>
  </si>
  <si>
    <t>Frederick</t>
  </si>
  <si>
    <t>Ft. Washington</t>
  </si>
  <si>
    <t>Garrett</t>
  </si>
  <si>
    <t>GBMC</t>
  </si>
  <si>
    <t>HC-Germantown</t>
  </si>
  <si>
    <t>Holy Cross</t>
  </si>
  <si>
    <t>Howard County</t>
  </si>
  <si>
    <t>JH Bayview</t>
  </si>
  <si>
    <t>Johns Hopkins</t>
  </si>
  <si>
    <t>McCready</t>
  </si>
  <si>
    <t>MedStar Fr Square</t>
  </si>
  <si>
    <t>MedStar Good Sam</t>
  </si>
  <si>
    <t>MedStar Harbor</t>
  </si>
  <si>
    <t>MedStar Montgomery</t>
  </si>
  <si>
    <t>MedStar Southern MD</t>
  </si>
  <si>
    <t>MedStar St. Mary's</t>
  </si>
  <si>
    <t>MedStar Union Mem</t>
  </si>
  <si>
    <t>Mercy</t>
  </si>
  <si>
    <t>Meritus</t>
  </si>
  <si>
    <t>Northwest</t>
  </si>
  <si>
    <t>Peninsula</t>
  </si>
  <si>
    <t>Shady Grove</t>
  </si>
  <si>
    <t>Sinai</t>
  </si>
  <si>
    <t>St. Agnes</t>
  </si>
  <si>
    <t>Suburban</t>
  </si>
  <si>
    <t>UM-BWMC</t>
  </si>
  <si>
    <t>UM-Charles Regional</t>
  </si>
  <si>
    <t>UM-Chestertown</t>
  </si>
  <si>
    <t>UM-Dorchester</t>
  </si>
  <si>
    <t>UM-Easton</t>
  </si>
  <si>
    <t>UM-Harford</t>
  </si>
  <si>
    <t>UM-Laurel</t>
  </si>
  <si>
    <t>UMMC</t>
  </si>
  <si>
    <t>UMMC Midtown</t>
  </si>
  <si>
    <t>UM-PGHC</t>
  </si>
  <si>
    <t>UMROI</t>
  </si>
  <si>
    <t>UM-St. Joe</t>
  </si>
  <si>
    <t>UM-Upper Chesapeake</t>
  </si>
  <si>
    <t>Union of Cecil</t>
  </si>
  <si>
    <t>Washington Adventist</t>
  </si>
  <si>
    <t>Western Maryland</t>
  </si>
  <si>
    <t>(Multiple Items)</t>
  </si>
  <si>
    <t>Allegany</t>
  </si>
  <si>
    <t>Baltimore</t>
  </si>
  <si>
    <t>Cecil</t>
  </si>
  <si>
    <t>Charles</t>
  </si>
  <si>
    <t>Dorchester</t>
  </si>
  <si>
    <t>Harford</t>
  </si>
  <si>
    <t>Howard</t>
  </si>
  <si>
    <t>Kent</t>
  </si>
  <si>
    <t>Montgomery</t>
  </si>
  <si>
    <t>Prince Georges</t>
  </si>
  <si>
    <t>Somerset</t>
  </si>
  <si>
    <t>Talbot</t>
  </si>
  <si>
    <t>Washington</t>
  </si>
  <si>
    <t>Wicomico</t>
  </si>
  <si>
    <t>Worcester</t>
  </si>
  <si>
    <t>FY18 GBR &amp; FY17 Case Mix Reconciliation</t>
  </si>
  <si>
    <t>Master Variable Input Tab</t>
  </si>
  <si>
    <t>Intermediate Calculations for Variable Inputs</t>
  </si>
  <si>
    <t>Pivot Table  Summaries of Master Calculation Sheets</t>
  </si>
  <si>
    <t>Master Calculation Sheets</t>
  </si>
  <si>
    <t>$ PEER GROUP 5 TOTAL</t>
  </si>
  <si>
    <t>$ PEER GROUP 4 TOTAL</t>
  </si>
  <si>
    <t>$ PEER GROUP 3 TOTAL</t>
  </si>
  <si>
    <t>$ PEER GROUP 1 TOTAL</t>
  </si>
  <si>
    <t>$ STATE TOTAL</t>
  </si>
  <si>
    <t>$ SUBTOTAL</t>
  </si>
  <si>
    <t>Queries only</t>
  </si>
  <si>
    <t>Holy Cross Hospitals</t>
  </si>
  <si>
    <t>NA</t>
  </si>
  <si>
    <t>Holy Cross Germantown</t>
  </si>
  <si>
    <t>STATE-WIDE POSITION</t>
  </si>
  <si>
    <t>PEER GROUP REM POSITION</t>
  </si>
  <si>
    <t>REM STANDARD EFFICIENCY CHARGE</t>
  </si>
  <si>
    <t>TOTAL PERMANENT REVENUE ADJUSTED FOR IME</t>
  </si>
  <si>
    <t>IME ADJUSTMENT</t>
  </si>
  <si>
    <t>IME AMOUNT PER ECMAD</t>
  </si>
  <si>
    <t>IME AMOUNT</t>
  </si>
  <si>
    <t>RESIDENTS PER CASEMIX ADJUSTED DISCHARGE</t>
  </si>
  <si>
    <t>TOTAL PERMANENT REVENUE ADJUSTED FOR ECMAD</t>
  </si>
  <si>
    <t>AVERAGE CHARGE PER ECMAD</t>
  </si>
  <si>
    <t>ECMAD</t>
  </si>
  <si>
    <t>TOTAL PERMANENT REVENUE ADJUSTED FOR LMA</t>
  </si>
  <si>
    <t>LMA</t>
  </si>
  <si>
    <t>TOTAL PERMANENT REVENUE ADJUSTED FOR DIRECT STRIPE</t>
  </si>
  <si>
    <t>DIRECT STRIP</t>
  </si>
  <si>
    <t>TOTAL PERMANENT REVENUE ADJUSTED FOR MARK UP</t>
  </si>
  <si>
    <t>MARK UP</t>
  </si>
  <si>
    <t>ADJUSTED AVG CHARGE</t>
  </si>
  <si>
    <t>TOTAL PERMANENT REVENUE ADJUSTED FOR OUTPATIENT DRUG OVERHEAD</t>
  </si>
  <si>
    <t>OUTPATIENT DRUG OVERHEAD</t>
  </si>
  <si>
    <t>UNADJUSTED AVG CHARGE</t>
  </si>
  <si>
    <t>TOTAL PERMANENT REVENUE</t>
  </si>
  <si>
    <t>PEER GROUP</t>
  </si>
  <si>
    <t>HOSPITAL NAME</t>
  </si>
  <si>
    <t>HOSPID</t>
  </si>
  <si>
    <t>REM PEER STANDARD EFFICIENCY CHARGE Less Profit</t>
  </si>
  <si>
    <t>TOTAL PERMANENT REVENUE ADJUSTED FOR DSH/IME</t>
  </si>
  <si>
    <t>ADJUSTED FOR PROFIT</t>
  </si>
  <si>
    <t>University Medical Center</t>
  </si>
  <si>
    <t>Johns Hopkins Hospital</t>
  </si>
  <si>
    <t>Union Memorial Hospital</t>
  </si>
  <si>
    <t>Sinai Hospital</t>
  </si>
  <si>
    <t>Prince Georges Hospital</t>
  </si>
  <si>
    <t>Mercy Medical Center</t>
  </si>
  <si>
    <t>Johns Hopkins Bayview Medical Center</t>
  </si>
  <si>
    <t>Harbor Hospital Center</t>
  </si>
  <si>
    <t>Bon Secours Hospital</t>
  </si>
  <si>
    <t>Western Maryland Regional Medical Center</t>
  </si>
  <si>
    <t>Washington Adventist Hospital</t>
  </si>
  <si>
    <t>Upper Chesapeake Medical Center</t>
  </si>
  <si>
    <t>St. Mary's Hospital</t>
  </si>
  <si>
    <t>St. Joseph Medical Center</t>
  </si>
  <si>
    <t>Southern Maryland Hospital Center</t>
  </si>
  <si>
    <t>Shore Medical Easton</t>
  </si>
  <si>
    <t>Shore Medical Dorchester</t>
  </si>
  <si>
    <t>Shady Grove Adventist Hospital</t>
  </si>
  <si>
    <t>Peninsula Regional Medical Center</t>
  </si>
  <si>
    <t>Northwest Hospital Center</t>
  </si>
  <si>
    <t>Montgomery General Hospital</t>
  </si>
  <si>
    <t>McCready Memorial Hospital</t>
  </si>
  <si>
    <t>Laurel Regional Hospital</t>
  </si>
  <si>
    <t>Howard County General Hospital</t>
  </si>
  <si>
    <t>Harford Memorial Hospital</t>
  </si>
  <si>
    <t>Garrett County Memorial Hospital</t>
  </si>
  <si>
    <t>Frederick Memorial Hospital</t>
  </si>
  <si>
    <t>Fort Washington Medical Center</t>
  </si>
  <si>
    <t>Doctors Community Hospital</t>
  </si>
  <si>
    <t>Chester River Hospital Center</t>
  </si>
  <si>
    <t xml:space="preserve">Charles Regional </t>
  </si>
  <si>
    <t>Carroll Hospital Center</t>
  </si>
  <si>
    <t>Calvert Memorial Hospital</t>
  </si>
  <si>
    <t>Atlantic General Hospital</t>
  </si>
  <si>
    <t>Anne Arundel Medical Center</t>
  </si>
  <si>
    <t>Suburban Hospital</t>
  </si>
  <si>
    <t>St. Agnes Hospital</t>
  </si>
  <si>
    <t>Rehab &amp; Ortho Institue</t>
  </si>
  <si>
    <t>Greater Baltimore Medical Center</t>
  </si>
  <si>
    <t>Good Samaritan Hospital</t>
  </si>
  <si>
    <t>Franklin Square Hospital Center</t>
  </si>
  <si>
    <t>Baltimore Washington Medical Center</t>
  </si>
  <si>
    <t>TOTAL ICC Approved Rate Application REVENUE without Drugs</t>
  </si>
  <si>
    <t>TOTAL Rate Application REVENUE without Drugs</t>
  </si>
  <si>
    <t>Non-ECMAD Revenue to be added back to the ICC with ICC Result</t>
  </si>
  <si>
    <t>Non-ECMAD Revenue to be added back to the ICC</t>
  </si>
  <si>
    <t>% OVER/UNDER  TOTAL PERMANENT REVENUE</t>
  </si>
  <si>
    <t>TOTAL PERMANENT ICC REVENUE</t>
  </si>
  <si>
    <t xml:space="preserve">TOTAL ECMAD APPROVED ICC  REVENUE </t>
  </si>
  <si>
    <t>ECMADS ADJUSTED FOR PAU &amp; General Volume</t>
  </si>
  <si>
    <t>PAU &amp; Genreal Volume ECMADS</t>
  </si>
  <si>
    <t>ICC Standard Adjusted for Markup</t>
  </si>
  <si>
    <t>TOTAL ICC PERMANENT REVENUE ADJUSTED FOR MARKUP</t>
  </si>
  <si>
    <t>MARKUP</t>
  </si>
  <si>
    <t>ICC Standard Adjusted for Direct Strip</t>
  </si>
  <si>
    <t>TOTAL ICC PERMANENT REVENUE ADJUSTED FOR DIRECT STRIP</t>
  </si>
  <si>
    <t>ICC Standard Adjusted for LMA</t>
  </si>
  <si>
    <t>TOTAL ICC PERMANENT REVENUE ADJUSTED FOR LMA</t>
  </si>
  <si>
    <t>TOTAL ICC PERMANENT REVENUE ADJUSTED FOR IME/DSH</t>
  </si>
  <si>
    <t>ICC Standard Adjusted for IME</t>
  </si>
  <si>
    <t>IME Adjustment Per ECMAD</t>
  </si>
  <si>
    <t>ICC Standard Adjusted for Excess Capacity</t>
  </si>
  <si>
    <t xml:space="preserve"> Excess Capacity per Peer Group</t>
  </si>
  <si>
    <t>Weighted Excess Capacity</t>
  </si>
  <si>
    <t xml:space="preserve"> Excess Capacity per Hospital</t>
  </si>
  <si>
    <t>REM PEER STANDARD EFFICIENCY CHARGE Less Profit (ICC Standard)</t>
  </si>
  <si>
    <t>Sum of % OVER/UNDER  TOTAL PERMANENT REVENUE</t>
  </si>
  <si>
    <t xml:space="preserve">Sum of TOTAL ECMAD APPROVED ICC  REVENUE </t>
  </si>
  <si>
    <t>Sum of TOTAL PERMANENT ICC REVENUE</t>
  </si>
  <si>
    <t>MedStar Union Memorial Hospital</t>
  </si>
  <si>
    <t>Holy Cross Hospital - Germantown</t>
  </si>
  <si>
    <t>University of Maryland St. Joseph Medical Center</t>
  </si>
  <si>
    <t>MedStar Southern Maryland Hospital Center</t>
  </si>
  <si>
    <t>University of Maryland Rehabilitation &amp; Orthopaedic Institute</t>
  </si>
  <si>
    <t>MedStar Good Samaritan Hospital</t>
  </si>
  <si>
    <t>University of Maryland Baltimore Washington Medical Center</t>
  </si>
  <si>
    <t>University of Maryland Medical Center Midtown Campus</t>
  </si>
  <si>
    <t>University of Maryland Shore Medical Center at Easton</t>
  </si>
  <si>
    <t>University of Maryland Charles Regional Medical Center</t>
  </si>
  <si>
    <t>MedStar Harbor Hospital Center</t>
  </si>
  <si>
    <t>Union Hospital of Cecil County</t>
  </si>
  <si>
    <t>University of Maryland Shore Medical Center at Chestertown</t>
  </si>
  <si>
    <t>MedStar St. Mary's Hospital</t>
  </si>
  <si>
    <t>MedStar Montgomery Medical Center</t>
  </si>
  <si>
    <t>MedStar Franklin Square Hospital Center</t>
  </si>
  <si>
    <t>University of Maryland Shore Medical Center at Dorchester</t>
  </si>
  <si>
    <t>Holy Cross Hospital</t>
  </si>
  <si>
    <t>Prince Georges Hospital Center</t>
  </si>
  <si>
    <t>University of Maryland Medical Center</t>
  </si>
  <si>
    <t>Meritus Medical Center</t>
  </si>
  <si>
    <t>Markup</t>
  </si>
  <si>
    <t>Cost  to Charge Ratio</t>
  </si>
  <si>
    <t>Total OP Rx Cost</t>
  </si>
  <si>
    <t>Total OP Rx Rev</t>
  </si>
  <si>
    <t>OP 340B Rx Cost</t>
  </si>
  <si>
    <t>OP 340B Rx Rev</t>
  </si>
  <si>
    <t>OP Non-340B Rx Cost</t>
  </si>
  <si>
    <t>OP Non-340B Rx Rev</t>
  </si>
  <si>
    <t>Hosp Name</t>
  </si>
  <si>
    <t>Hosp ID</t>
  </si>
  <si>
    <t>Statewide Average</t>
  </si>
  <si>
    <t>Average</t>
  </si>
  <si>
    <t>Everywhere else</t>
  </si>
  <si>
    <t>PG/Mont</t>
  </si>
  <si>
    <t>HSCRC only</t>
  </si>
  <si>
    <t>Laurel Regional</t>
  </si>
  <si>
    <t>PG Hospital</t>
  </si>
  <si>
    <t>Adjustment</t>
  </si>
  <si>
    <t>W/ SW% Salaries</t>
  </si>
  <si>
    <t>LMA W/ SW% Salaries</t>
  </si>
  <si>
    <t>ADJ W/ SW % Salaries</t>
  </si>
  <si>
    <t>ADJ</t>
  </si>
  <si>
    <t>SALARIES</t>
  </si>
  <si>
    <t>Regions</t>
  </si>
  <si>
    <t>% of Everwhere Else</t>
  </si>
  <si>
    <t>% of PG/Mary</t>
  </si>
  <si>
    <t>Total Cost</t>
  </si>
  <si>
    <t>Contractual</t>
  </si>
  <si>
    <t xml:space="preserve">Fringe </t>
  </si>
  <si>
    <t>Salaries</t>
  </si>
  <si>
    <t>Final LMA</t>
  </si>
  <si>
    <t>Weighted Avg.</t>
  </si>
  <si>
    <t>MARKET</t>
  </si>
  <si>
    <t>ADJUSTOR</t>
  </si>
  <si>
    <t>PERCENT</t>
  </si>
  <si>
    <t>Everywhere Else</t>
  </si>
  <si>
    <t>PG/Mont County</t>
  </si>
  <si>
    <t>LABOR</t>
  </si>
  <si>
    <t>FINAL</t>
  </si>
  <si>
    <t>RAW</t>
  </si>
  <si>
    <t xml:space="preserve"> </t>
  </si>
  <si>
    <t>NEW AVERAGE</t>
  </si>
  <si>
    <t>AVERAGE</t>
  </si>
  <si>
    <t xml:space="preserve">ZIP CODE BASED LABOR MARKET ADJUSTOR DATA </t>
  </si>
  <si>
    <t>Maryland Health Services Cost Review Commission</t>
  </si>
  <si>
    <t>Inflation (Global Insights)</t>
  </si>
  <si>
    <t>Non-Academic Coefficient</t>
  </si>
  <si>
    <t>Academic Coefficient</t>
  </si>
  <si>
    <t>IME Coefficient</t>
  </si>
  <si>
    <t>2011 Actual</t>
  </si>
  <si>
    <t>$ Peer Group 5 Total</t>
  </si>
  <si>
    <t>$ Peer Group 4 Total</t>
  </si>
  <si>
    <t>$ Peer Group 3 Total</t>
  </si>
  <si>
    <t>$ Peer Group 1 Total</t>
  </si>
  <si>
    <t>$ State Total</t>
  </si>
  <si>
    <t>$ Subtotal</t>
  </si>
  <si>
    <t>RESCMAD</t>
  </si>
  <si>
    <t>RESIDENT</t>
  </si>
  <si>
    <t>EIPC</t>
  </si>
  <si>
    <t>AMC_PEER</t>
  </si>
  <si>
    <t>PEER</t>
  </si>
  <si>
    <t>HOSPNAME</t>
  </si>
  <si>
    <t>HOSPITAL RESIDENT PER CASEMIX ADJUSTED DISCHARGE CALCULATION</t>
  </si>
  <si>
    <t>Percent of Residents wo Shock Trauma (based on charges)</t>
  </si>
  <si>
    <t>TOTAL DME</t>
  </si>
  <si>
    <t>Hospital Name</t>
  </si>
  <si>
    <t>DME Amounts without Shock Trauma, Categoricals, &amp; Chronic Services</t>
  </si>
  <si>
    <t>Below  Capped Resident  Count</t>
  </si>
  <si>
    <t>Excess DME Removed From ICC</t>
  </si>
  <si>
    <t>Excess  Resident Removed from the ICC</t>
  </si>
  <si>
    <t>Excess Cost Per Resident Removed from the ICC</t>
  </si>
  <si>
    <t>Capped Resident Count</t>
  </si>
  <si>
    <t>Excess Cost Per Resident</t>
  </si>
  <si>
    <t>Sum of P4_ADJWSF</t>
  </si>
  <si>
    <t>HOSPNUMB</t>
  </si>
  <si>
    <t>PERCENT PROFIT</t>
  </si>
  <si>
    <t>REVENUE</t>
  </si>
  <si>
    <t>PROFIT</t>
  </si>
  <si>
    <t>% Change</t>
  </si>
  <si>
    <t>LEVINDALE</t>
  </si>
  <si>
    <t>WESTERN MARYLAND HEALTH SYSTEM</t>
  </si>
  <si>
    <t>HOSPITALNAME</t>
  </si>
  <si>
    <t>Compounded Percentage Change</t>
  </si>
  <si>
    <t>Hospital ID</t>
  </si>
  <si>
    <t>Sum of pauweight</t>
  </si>
  <si>
    <t>ADJUSTED DIRECT STRIP</t>
  </si>
  <si>
    <t>PRORATED DME</t>
  </si>
  <si>
    <t>PRORATED RESIDENTS</t>
  </si>
  <si>
    <t>PER_SAL</t>
  </si>
  <si>
    <t>D_STRIP</t>
  </si>
  <si>
    <t>MIEMSS</t>
  </si>
  <si>
    <t>STANDBY</t>
  </si>
  <si>
    <t>NURSE</t>
  </si>
  <si>
    <t>DME</t>
  </si>
  <si>
    <t>TOT_ACS (No Longer in Use)</t>
  </si>
  <si>
    <t>LEASES (No Longer in Use)</t>
  </si>
  <si>
    <t>INTEREST (No Longer in Use)</t>
  </si>
  <si>
    <t>DEPRECI (No Longer in Use)</t>
  </si>
  <si>
    <t>NO LONGER IN USE</t>
  </si>
  <si>
    <t>MARK_UP</t>
  </si>
  <si>
    <t>EIPC (No Longer in Use)</t>
  </si>
  <si>
    <t>AMC PEER</t>
  </si>
  <si>
    <t>Total</t>
  </si>
  <si>
    <t>Chronic Revenue %</t>
  </si>
  <si>
    <t>Chronic Revenue</t>
  </si>
  <si>
    <t>% ECMAD Excluded</t>
  </si>
  <si>
    <t>Oncology Drugs</t>
  </si>
  <si>
    <t>Hospital  Name</t>
  </si>
  <si>
    <t>UMMC Shockn Trauma %</t>
  </si>
  <si>
    <t>TOT_CHG18</t>
  </si>
  <si>
    <t>ECMAD18</t>
  </si>
  <si>
    <t>UMMC All Programs</t>
  </si>
  <si>
    <t>Shock Trauma (8994)</t>
  </si>
  <si>
    <t>St. Joseph</t>
  </si>
  <si>
    <t>Southern Maryland</t>
  </si>
  <si>
    <t>Fort Washington</t>
  </si>
  <si>
    <t>Good Samaritan</t>
  </si>
  <si>
    <t>Doctors Community</t>
  </si>
  <si>
    <t>Upper Chesapeake</t>
  </si>
  <si>
    <t>Baltimore Washington</t>
  </si>
  <si>
    <t>Harbor Hospital</t>
  </si>
  <si>
    <t>Carroll County</t>
  </si>
  <si>
    <t>Shore Medical Chestertown</t>
  </si>
  <si>
    <t>JH Bayview Medical Center</t>
  </si>
  <si>
    <t>St. Mary's</t>
  </si>
  <si>
    <t>Western Maryland Health System</t>
  </si>
  <si>
    <t>Union Memorial</t>
  </si>
  <si>
    <t>Peninsula Regional</t>
  </si>
  <si>
    <t>Montgomery General</t>
  </si>
  <si>
    <t>Garrett County</t>
  </si>
  <si>
    <t>Franklin Square</t>
  </si>
  <si>
    <t>Harford Memorial</t>
  </si>
  <si>
    <t>Frederick Memorial</t>
  </si>
  <si>
    <t>Variance</t>
  </si>
  <si>
    <t>ECMAD &amp; Chronic Charges</t>
  </si>
  <si>
    <t>Chronic Charges</t>
  </si>
  <si>
    <t>ECMAD &amp; Non  ECMAD Revenue</t>
  </si>
  <si>
    <t>Price Variance</t>
  </si>
  <si>
    <t>Staff Adjustments</t>
  </si>
  <si>
    <t>R=Q/I-1</t>
  </si>
  <si>
    <t>S=Q+R</t>
  </si>
  <si>
    <t>R</t>
  </si>
  <si>
    <t>Q</t>
  </si>
  <si>
    <t>O=H/N-1</t>
  </si>
  <si>
    <t>N=K-L-M</t>
  </si>
  <si>
    <t>M</t>
  </si>
  <si>
    <t>L</t>
  </si>
  <si>
    <t>K</t>
  </si>
  <si>
    <t>J</t>
  </si>
  <si>
    <t>I</t>
  </si>
  <si>
    <t>H=E-F-G</t>
  </si>
  <si>
    <t>G</t>
  </si>
  <si>
    <t xml:space="preserve">F  </t>
  </si>
  <si>
    <t>E</t>
  </si>
  <si>
    <t>D</t>
  </si>
  <si>
    <t>C</t>
  </si>
  <si>
    <t>B</t>
  </si>
  <si>
    <t>A</t>
  </si>
  <si>
    <t>ECMADS</t>
  </si>
  <si>
    <t>Charges</t>
  </si>
  <si>
    <t>University Shock Trauma</t>
  </si>
  <si>
    <t>Total Charges</t>
  </si>
  <si>
    <t>No</t>
  </si>
  <si>
    <t>UMMS</t>
  </si>
  <si>
    <t>Yes</t>
  </si>
  <si>
    <t>GBR</t>
  </si>
  <si>
    <t>ACUTE</t>
  </si>
  <si>
    <t>ADVENTIST HEALTHCARE</t>
  </si>
  <si>
    <t>Baltimore Co.</t>
  </si>
  <si>
    <t>DIMENSIONS</t>
  </si>
  <si>
    <t>LIFEBRIDGE</t>
  </si>
  <si>
    <t>JOHNS HOPKINS HEALTH SYSTEM</t>
  </si>
  <si>
    <t>Montgomerry Co.</t>
  </si>
  <si>
    <t>HOLY CROSS HOSPITAL-GERMANTOWN</t>
  </si>
  <si>
    <t>HOLY CROSS HEALTH</t>
  </si>
  <si>
    <t>OTH</t>
  </si>
  <si>
    <t>Levindale</t>
  </si>
  <si>
    <t>UM-ST. JOSEPH MEDICAL CENTER</t>
  </si>
  <si>
    <t>MEDSTAR SOUTHERN MARYLAND HOSPITAL CENTER</t>
  </si>
  <si>
    <t>MEDSTAR</t>
  </si>
  <si>
    <t>ATLANTIC GENERAL HOSPITAL</t>
  </si>
  <si>
    <t>FORT WASHINGTON MEDICAL CENTER</t>
  </si>
  <si>
    <t>UM-REHABILITATION &amp; ORTHOPAEDIC INSTITUTE</t>
  </si>
  <si>
    <t>SHADY GROVE ADVENTIST HOSPITAL</t>
  </si>
  <si>
    <t>MEDSTAR GOOD SAMARITAN</t>
  </si>
  <si>
    <t>LAUREL REGIONAL HOSPITAL</t>
  </si>
  <si>
    <t>DOCTORS COMMUNITY HOSPITAL</t>
  </si>
  <si>
    <t>UM-UPPER CHESAPEAKE MEDICAL CENTER</t>
  </si>
  <si>
    <t>HOWARD COUNTY GENERAL HOSPITAL</t>
  </si>
  <si>
    <t>MCCREADY MEMORIAL HOSPITAL</t>
  </si>
  <si>
    <t>TPR</t>
  </si>
  <si>
    <t>GREATER BALTIMORE MEDICAL CENTER</t>
  </si>
  <si>
    <t>UM-BALTIMORE WASHINGTON MEDICAL CENTER</t>
  </si>
  <si>
    <t>NORTHWEST HOSPITAL CENTER</t>
  </si>
  <si>
    <t>CALVERT MEMORIAL HOSPITAL</t>
  </si>
  <si>
    <t>UMMC MIDTOWN CAMPUS</t>
  </si>
  <si>
    <t>UM-SHORE REGIONAL HEALTH AT EASTON</t>
  </si>
  <si>
    <t>UM-CHARLES REGIONAL MEDICAL CENTER</t>
  </si>
  <si>
    <t>MEDSTAR HARBOR HOSPITAL CENTER</t>
  </si>
  <si>
    <t>CARROLL HOSPITAL CENTER</t>
  </si>
  <si>
    <t>UNION HOSPITAL OF CECIL COUNTY</t>
  </si>
  <si>
    <t>UM-SHORE REGIONAL HEALTH AT CHESTERTOWN</t>
  </si>
  <si>
    <t>JOHNS HOPKINS BAYVIEW MEDICAL CENTER</t>
  </si>
  <si>
    <t xml:space="preserve">MEDSTAR ST. MARY'S HOSPITAL </t>
  </si>
  <si>
    <t>St. Marys</t>
  </si>
  <si>
    <t>WESTERN MARYLAND REGIONAL MEDICAL CENTER</t>
  </si>
  <si>
    <t>MEDSTAR UNION MEMORIAL HOSPITAL</t>
  </si>
  <si>
    <t>ANNE ARUNDEL MEDICAL CENTER</t>
  </si>
  <si>
    <t>SUBURBAN HOSPITAL</t>
  </si>
  <si>
    <t>PENINSULA REGIONAL MEDICAL CENTER</t>
  </si>
  <si>
    <t>MEDSTAR MONTGOMERY MEDICAL CENTER</t>
  </si>
  <si>
    <t>GARRETT COUNTY MEMORIAL HOSPITAL</t>
  </si>
  <si>
    <t>WASHINGTON ADVENTIST HOSPITAL</t>
  </si>
  <si>
    <t>MEDSTAR FRANKLIN SQUARE</t>
  </si>
  <si>
    <t>BON SECOURS HOSPITAL</t>
  </si>
  <si>
    <t>SINAI HOSPITAL</t>
  </si>
  <si>
    <t>ST. AGNES HOSPITAL</t>
  </si>
  <si>
    <t>UM-SHORE REGIONAL HEALTH AT DORCHESTER</t>
  </si>
  <si>
    <t>JOHNS HOPKINS HOSPITAL</t>
  </si>
  <si>
    <t>MERCY MEDICAL CENTER</t>
  </si>
  <si>
    <t>UM-HARFORD MEMORIAL HOSPITAL</t>
  </si>
  <si>
    <t>FREDERICK MEMORIAL HOSPITAL</t>
  </si>
  <si>
    <t>HOLY CROSS HOSPITAL</t>
  </si>
  <si>
    <t>PRINCE GEORGES HOSPITAL CENTER</t>
  </si>
  <si>
    <t>UNIVERSITY OF MARYLAND MEDICAL CENTER</t>
  </si>
  <si>
    <t>MERITUS MEDICAL CENTER</t>
  </si>
  <si>
    <t>FORMALNAME</t>
  </si>
  <si>
    <t>SYSTEM</t>
  </si>
  <si>
    <t>TEACHING</t>
  </si>
  <si>
    <t>LOCATION</t>
  </si>
  <si>
    <t>PAYMENT_TYPE</t>
  </si>
  <si>
    <t>HOSPITAL_TYPE</t>
  </si>
  <si>
    <t>STPAULID</t>
  </si>
  <si>
    <t>FINHOSPID</t>
  </si>
  <si>
    <t>CASEMIX_ID</t>
  </si>
  <si>
    <t>PROD_CAT</t>
  </si>
  <si>
    <t>Volume for ICC</t>
  </si>
  <si>
    <t>Pro Rata for  Selected Volume</t>
  </si>
  <si>
    <t>NET OPERATING REVENUE</t>
  </si>
  <si>
    <t>NET OPERATING PROFIT</t>
  </si>
  <si>
    <t>PAU ECMAD Differential in ICC</t>
  </si>
  <si>
    <t>IP</t>
  </si>
  <si>
    <t>OP</t>
  </si>
  <si>
    <t>Pro Rata for  Selected IP Volume</t>
  </si>
  <si>
    <t>REM</t>
  </si>
  <si>
    <t>ICC</t>
  </si>
  <si>
    <t>REM and ICC</t>
  </si>
  <si>
    <t>Unadjusted Cost Per Case</t>
  </si>
  <si>
    <t>Adjusted Charge Per Case</t>
  </si>
  <si>
    <t>Adjusted Cost per Case</t>
  </si>
  <si>
    <t>Productivity Adjustment</t>
  </si>
  <si>
    <t>REM Result</t>
  </si>
  <si>
    <t>ICC Result</t>
  </si>
  <si>
    <t>$ Value</t>
  </si>
  <si>
    <t>% of Comparison</t>
  </si>
  <si>
    <t>Rank Relative to Comparison</t>
  </si>
  <si>
    <t>% Value</t>
  </si>
  <si>
    <t>Rate Application Methodology</t>
  </si>
  <si>
    <t>Peer Group Average</t>
  </si>
  <si>
    <t>Integrated Efficiency Methodology</t>
  </si>
  <si>
    <t>Capital Methodology</t>
  </si>
  <si>
    <t>RY 2019 Profits</t>
  </si>
  <si>
    <t>Unadjusted Charge Per Case w/ Drug Overhead</t>
  </si>
  <si>
    <t>UNADJSUTED COST PER CASE</t>
  </si>
  <si>
    <t>Number of Peers</t>
  </si>
  <si>
    <t>PAU (Used for Integrated Efficiency)</t>
  </si>
  <si>
    <t>Volume for Efficiency Analyses</t>
  </si>
  <si>
    <t>Hospital Summary for All 3 Applications of ICC</t>
  </si>
  <si>
    <t>PART OF STATEWIDE TOTAL</t>
  </si>
  <si>
    <t>Included in Statewide Total</t>
  </si>
  <si>
    <t xml:space="preserve">REM PEER STANDARD EFFICIENCY CHARGE </t>
  </si>
  <si>
    <t>Included in Statewide Value</t>
  </si>
  <si>
    <t>PAU Credit Included</t>
  </si>
  <si>
    <t>Productivity Adjustment Removed</t>
  </si>
  <si>
    <t>a</t>
  </si>
  <si>
    <t>All</t>
  </si>
  <si>
    <t xml:space="preserve"> tot_chg</t>
  </si>
  <si>
    <t xml:space="preserve"> ecmad</t>
  </si>
  <si>
    <t>Onc &amp; Inf Drugs</t>
  </si>
  <si>
    <t>Total  ecmad</t>
  </si>
  <si>
    <t>Total  tot_chg</t>
  </si>
  <si>
    <t>Chronic</t>
  </si>
  <si>
    <t>CR</t>
  </si>
  <si>
    <t>Shock Trauma</t>
  </si>
  <si>
    <t>ICD9 / ICD10 CODING FLAG</t>
  </si>
  <si>
    <t>Year</t>
  </si>
  <si>
    <t>Hospital</t>
  </si>
  <si>
    <t>CY14 Instate ECMADs (MSA File)</t>
  </si>
  <si>
    <t>CY15 Instate ECMADs (MSA File)</t>
  </si>
  <si>
    <t>CY16 Instate ECMADs (MSA File)</t>
  </si>
  <si>
    <t>Distribution</t>
  </si>
  <si>
    <t>Standard Deviation</t>
  </si>
  <si>
    <t>Integrated Efficiency Result</t>
  </si>
  <si>
    <t>% of Cases beyond 1 Std Deviation</t>
  </si>
  <si>
    <t>Z Scores</t>
  </si>
  <si>
    <t>% of Cases beyond 3 Std Deviation</t>
  </si>
  <si>
    <t>Rate Application - REM Cycle II</t>
  </si>
  <si>
    <t>Rate Application - REM Cycle I</t>
  </si>
  <si>
    <t>Rate Appplication - ICC Cycle I</t>
  </si>
  <si>
    <t>Rate Application - ICC Cycle II</t>
  </si>
  <si>
    <t>Integrated Efficiency - REM Cycle II</t>
  </si>
  <si>
    <t>Integrated Efficiency - ICC Cycle II</t>
  </si>
  <si>
    <t>Capital Methodology - REM Cycle II</t>
  </si>
  <si>
    <t>% of Cases beyond 2 Std Deviation</t>
  </si>
  <si>
    <t>Correlation</t>
  </si>
  <si>
    <t>RY19 Poor Share</t>
  </si>
  <si>
    <t>ICC Calculated Costs</t>
  </si>
  <si>
    <t>CAH Calculated Costs</t>
  </si>
  <si>
    <t xml:space="preserve">DSH AMOUNT </t>
  </si>
  <si>
    <t>DSH Adjustment Per ECMAD</t>
  </si>
  <si>
    <t>ICC Standard Adjusted for IME/DSH</t>
  </si>
  <si>
    <t>DSH CE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</si>
  <si>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</si>
  <si>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</si>
  <si>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</si>
  <si>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</si>
  <si>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</si>
  <si>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</si>
  <si>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</si>
  <si>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</si>
  <si>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</si>
  <si>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</si>
  <si>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</si>
  <si>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</si>
  <si>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</si>
  <si>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</si>
  <si>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</si>
  <si>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</si>
  <si>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</si>
  <si>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</si>
  <si>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</si>
  <si>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</si>
  <si>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</si>
  <si>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</si>
  <si>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</si>
  <si>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</si>
  <si>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Poor Share</t>
  </si>
  <si>
    <t>Duals</t>
  </si>
  <si>
    <t>R2</t>
  </si>
  <si>
    <t>Change in PAU ECMADS</t>
  </si>
  <si>
    <t>PAU ECMADS as Share of Services</t>
  </si>
  <si>
    <t>In Regression</t>
  </si>
  <si>
    <t>Metropolitan Status</t>
  </si>
  <si>
    <t>X Variable 2</t>
  </si>
  <si>
    <t>SCPC (prior to DSH Regression)</t>
  </si>
  <si>
    <t>RY19 Charges</t>
  </si>
  <si>
    <t>Trauma Center Designation</t>
  </si>
  <si>
    <t>DLLR 2019 LMA</t>
  </si>
  <si>
    <t>RY 19 % of Charges Attributable to Trauma Service Line Charges</t>
  </si>
  <si>
    <t>RY 19 % of Charges Attributable to Neurological Surgery Service Line Charges</t>
  </si>
  <si>
    <t>RY 19 % of Charges Attributable to Trauma &amp; Neurological Surgery Service Line Charges</t>
  </si>
  <si>
    <t>RY 19 % of Charges Attributable to ED Service Line Charges</t>
  </si>
  <si>
    <t>RY 19 % of Charges Attributable to Cardiothoracic Surgery Service Line Charges</t>
  </si>
  <si>
    <t>RY 19 % of Charges Attributable to Invasive Caridology Service Line Charges</t>
  </si>
  <si>
    <t>RY 19 % of Services Attributable to Cardiothoracic Surgery and Invasive Cardiology Service Lines</t>
  </si>
  <si>
    <t>RY 19 % of Services Attributable to Cardiology Service Lines</t>
  </si>
  <si>
    <t>RY 19 % of Services Attributable to Cardiothoracic Surgery, Invasive Cardiology, &amp; Cardiology Service Lines</t>
  </si>
  <si>
    <t>RY 19 % of Services Attributable to OB/GYN  Service Lines</t>
  </si>
  <si>
    <t>RY 19 % of Services Attributable to Neonatology  Service Lines</t>
  </si>
  <si>
    <t>RY 19 % of Services Attributable to OB/GYN &amp; Neonatology  Service Lines</t>
  </si>
  <si>
    <t>RY 19 % of Services Attributable to" High Tech"  Service Lines (Trauma, Neurological Surgery, Cardiothoaric Surgery, Invasive Cardiology, Neonatology)</t>
  </si>
  <si>
    <t xml:space="preserve">RY 19 % of Services Attributable to Surgical  Service Lines </t>
  </si>
  <si>
    <t>RY 19 % of Services Attributable to Oncology Drugs</t>
  </si>
  <si>
    <t>RY 19 IP Casemix Index</t>
  </si>
  <si>
    <t>RY 19 OP Casemix Index (excluding oncology drugs)</t>
  </si>
  <si>
    <t>RY 19 % of Services Attributable to Maryland Residents</t>
  </si>
  <si>
    <t>RY 19 % of Services Attributable to Commercial Payers</t>
  </si>
  <si>
    <t>RY 19 % of Services Attributable to Medicaid</t>
  </si>
  <si>
    <t>RY 19 % of Services Attributable to Charity</t>
  </si>
  <si>
    <t>Avg of RY15 &amp; RY 16 Hospital LMA</t>
  </si>
  <si>
    <t>% of Chares Attributable to Maryland Residents</t>
  </si>
  <si>
    <t>Cost Per Case Performance</t>
  </si>
  <si>
    <t>Regulated Profit</t>
  </si>
  <si>
    <t>CAPPED RESIDENT COUNT</t>
  </si>
  <si>
    <t>Sum of P4_RESINTR_FTE</t>
  </si>
  <si>
    <t>Sum of Cost per Resident</t>
  </si>
  <si>
    <t>COST_CENTER_DESCRIPTION</t>
  </si>
  <si>
    <t>RY21 Charges</t>
  </si>
  <si>
    <t>RY20 Charges</t>
  </si>
  <si>
    <t>RY20 Poor Share</t>
  </si>
  <si>
    <t>RY 21 Poor Share</t>
  </si>
  <si>
    <t>RY21 ICC ECMADS</t>
  </si>
  <si>
    <t>FY21 ICC Discharge/Visits</t>
  </si>
  <si>
    <t>Categorical Exclusions &amp; Innovation</t>
  </si>
  <si>
    <t>Total for Casemix Reconciliation</t>
  </si>
  <si>
    <t>Charge Variance through RY 2022</t>
  </si>
  <si>
    <t>RY 2021 Discharge Visits</t>
  </si>
  <si>
    <t>RY 2021 Admissions</t>
  </si>
  <si>
    <t>2013 - 2021 Change in PAU</t>
  </si>
  <si>
    <t>RY 21 Resident Count</t>
  </si>
  <si>
    <t>Beds Per Service Area</t>
  </si>
  <si>
    <t>RY 19 % of Services Attributable to Medicare FFS &amp; MA</t>
  </si>
  <si>
    <t>Unadjusted Charge Per Case (with drug overhead)</t>
  </si>
  <si>
    <t>ICC FRA Performance</t>
  </si>
  <si>
    <t>RY18 Charges</t>
  </si>
  <si>
    <t>RY18 Poor Share</t>
  </si>
  <si>
    <t>RY21, RY19, and RY18 (21,19, and 18 SCPC)</t>
  </si>
  <si>
    <t>DSH CE from Inflation</t>
  </si>
  <si>
    <t>Total FY23 GBR Revenue</t>
  </si>
  <si>
    <t>Total FY23 GBR Revenue w Staff Adjustments</t>
  </si>
  <si>
    <t>FY23 One Time Adjustments</t>
  </si>
  <si>
    <t>FY23 Permanent Adjustments</t>
  </si>
  <si>
    <t>FY23 Permanent Revenue w/o FY23 Update Factor</t>
  </si>
  <si>
    <t>Total RY22 Case Mix Charges</t>
  </si>
  <si>
    <t>Total RY22 Case Mix Charges w Staff Adjustments</t>
  </si>
  <si>
    <t>RY22 One Time Adjustments</t>
  </si>
  <si>
    <t>RY22 Case Mix Permanent Revenue</t>
  </si>
  <si>
    <t>HOSPITAL PROFIT PERCENTAGE CALCULATION - 2022 RE Schedule</t>
  </si>
  <si>
    <t>RY22 Charges</t>
  </si>
  <si>
    <t>RY22 Poor Share</t>
  </si>
  <si>
    <t>RY18,19,22 Charges</t>
  </si>
  <si>
    <t>Weighted Poor Share (RY18,19,22)</t>
  </si>
  <si>
    <t>Eligble Hospitals</t>
  </si>
  <si>
    <t>Percent of Residents wo categorical exclusions, innovation, &amp; chronic (based on charges)</t>
  </si>
  <si>
    <t>TOTAL DME wo categorical exclusions, innovation and shock trauma (based on charges)</t>
  </si>
  <si>
    <t>Categorical Exclusions &amp; Innovation Revenue</t>
  </si>
  <si>
    <t>Categorical Exclusions &amp; Innovaiton Revenue %</t>
  </si>
  <si>
    <t>FY22 Total OP Drug Revenue &amp; Drug Charges Not Accounted for in Efficiency Analyses</t>
  </si>
  <si>
    <t>DRUG CHARGES NOT ACCOUNTED FOR IN THE ICC</t>
  </si>
  <si>
    <t>Drug Costs not accounted for in the ICC</t>
  </si>
  <si>
    <t>Drug Overhead Accounted for in the ICC</t>
  </si>
  <si>
    <t>CY22 vs 19 MS</t>
  </si>
  <si>
    <t>CY22 vs CY21 MS (Clinic &amp; OP Psych)</t>
  </si>
  <si>
    <t>FYEAR</t>
  </si>
  <si>
    <t>2022</t>
  </si>
  <si>
    <t>INNOVATION_FLAG</t>
  </si>
  <si>
    <t>N</t>
  </si>
  <si>
    <t>categorical</t>
  </si>
  <si>
    <t>lab_covid</t>
  </si>
  <si>
    <t>Y</t>
  </si>
  <si>
    <t/>
  </si>
  <si>
    <t>Sum of count</t>
  </si>
  <si>
    <t>Ecmad</t>
  </si>
  <si>
    <t>Total Charge</t>
  </si>
  <si>
    <t>FY23  Permanent GBR</t>
  </si>
  <si>
    <t>FY22 Permanent Case Mix</t>
  </si>
  <si>
    <t>FY23 ICC Revenue</t>
  </si>
  <si>
    <t>Oncology Related Services</t>
  </si>
  <si>
    <t>Charge Per ECMAD</t>
  </si>
  <si>
    <t>Surge Funding</t>
  </si>
  <si>
    <t>FRA</t>
  </si>
  <si>
    <t>IE Rank</t>
  </si>
  <si>
    <t>FRA Rank</t>
  </si>
  <si>
    <t>Change in Rank</t>
  </si>
  <si>
    <t>FRA Result</t>
  </si>
  <si>
    <t>FRA CPC Result</t>
  </si>
  <si>
    <t>Excluded Revenue</t>
  </si>
  <si>
    <t>Approximated ICC</t>
  </si>
  <si>
    <t>ECMADS Used in CAH Calc</t>
  </si>
  <si>
    <t>Added Profit</t>
  </si>
  <si>
    <t>RY 24 DA</t>
  </si>
  <si>
    <t>Collection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</si>
</sst>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0000"/>
    <numFmt numFmtId="167" formatCode="0.00000"/>
    <numFmt numFmtId="168" formatCode="#,##0.000000"/>
    <numFmt numFmtId="169" formatCode="#,##0.00000"/>
    <numFmt numFmtId="170" formatCode="0.0%"/>
    <numFmt numFmtId="171" formatCode="_(* #,##0_);_(* \(#,##0\);_(* &quot;-&quot;??_);_(@_)"/>
    <numFmt numFmtId="172" formatCode="0.0000"/>
    <numFmt numFmtId="173" formatCode="_(* #,##0.0000_);_(* \(#,##0.0000\);_(* &quot;-&quot;??_);_(@_)"/>
    <numFmt numFmtId="174" formatCode="_(* #,##0.000_);_(* \(#,##0.000\);_(* &quot;-&quot;??_);_(@_)"/>
    <numFmt numFmtId="175" formatCode="0.0%_);\(0.0%\)"/>
    <numFmt numFmtId="176" formatCode="0.00%_);\(0.00%\)"/>
    <numFmt numFmtId="177" formatCode="0.000"/>
    <numFmt numFmtId="178" formatCode="0.00000000"/>
    <numFmt numFmtId="179" formatCode="_(* #,##0.00000_);_(* \(#,##0.00000\);_(* &quot;-&quot;??_);_(@_)"/>
    <numFmt numFmtId="180" formatCode="0_);\(0\)"/>
    <numFmt numFmtId="181" formatCode="#,##0.0000000"/>
    <numFmt numFmtId="182" formatCode="_(* #,##0.000000_);_(* \(#,##0.000000\);_(* &quot;-&quot;??_);_(@_)"/>
    <numFmt numFmtId="183" formatCode="0.0000000000000000%"/>
    <numFmt numFmtId="184" formatCode="_(&quot;$&quot;* #,##0_);_(&quot;$&quot;* \(#,##0\);_(&quot;$&quot;* &quot;-&quot;??_);_(@_)"/>
    <numFmt numFmtId="185" formatCode="0.0000%"/>
  </numFmts>
  <fonts count="41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4"/>
      <name val="Times New Roman"/>
      <family val="1"/>
    </font>
    <font>
      <b/>
      <i/>
      <sz val="14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sz val="24"/>
      <name val="Times New Roman"/>
      <family val="1"/>
    </font>
    <font>
      <b/>
      <sz val="37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4"/>
      <name val="Times New Roman"/>
      <family val="1"/>
    </font>
    <font>
      <b/>
      <u/>
      <sz val="12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name val="Calibri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b/>
      <i/>
      <sz val="12"/>
      <name val="Times New Roman"/>
      <family val="1"/>
    </font>
    <font>
      <b/>
      <sz val="18"/>
      <name val="Times New Roman"/>
      <family val="1"/>
    </font>
    <font>
      <b/>
      <sz val="21"/>
      <name val="Times New Roman"/>
      <family val="1"/>
    </font>
    <font>
      <b/>
      <sz val="16"/>
      <name val="Arial"/>
      <family val="2"/>
    </font>
    <font>
      <b/>
      <sz val="8"/>
      <color indexed="8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8">
    <xf numFmtId="0" fontId="0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9" fontId="28" fillId="0" borderId="0" applyFont="0" applyFill="0" applyBorder="0" applyAlignment="0" applyProtection="0"/>
  </cellStyleXfs>
  <cellXfs count="453">
    <xf numFmtId="0" fontId="0" fillId="0" borderId="0" xfId="0"/>
    <xf numFmtId="0" fontId="0" fillId="0" borderId="0" xfId="0" pivotButton="1"/>
    <xf numFmtId="164" fontId="0" fillId="0" borderId="0" xfId="0" applyNumberFormat="1"/>
    <xf numFmtId="0" fontId="2" fillId="0" borderId="0" xfId="4" applyFont="1"/>
    <xf numFmtId="0" fontId="2" fillId="2" borderId="0" xfId="4" applyFont="1" applyFill="1"/>
    <xf numFmtId="0" fontId="2" fillId="3" borderId="0" xfId="4" applyFont="1" applyFill="1"/>
    <xf numFmtId="0" fontId="2" fillId="4" borderId="0" xfId="4" applyFont="1" applyFill="1"/>
    <xf numFmtId="0" fontId="2" fillId="5" borderId="0" xfId="4" applyFont="1" applyFill="1"/>
    <xf numFmtId="0" fontId="2" fillId="6" borderId="0" xfId="4" applyFont="1" applyFill="1"/>
    <xf numFmtId="0" fontId="2" fillId="7" borderId="0" xfId="4" applyFont="1" applyFill="1"/>
    <xf numFmtId="0" fontId="1" fillId="0" borderId="0" xfId="4"/>
    <xf numFmtId="164" fontId="1" fillId="0" borderId="0" xfId="4" applyNumberFormat="1"/>
    <xf numFmtId="164" fontId="1" fillId="0" borderId="0" xfId="1" applyNumberFormat="1" applyFont="1" applyAlignment="1"/>
    <xf numFmtId="164" fontId="1" fillId="0" borderId="0" xfId="1" applyNumberFormat="1" applyFont="1" applyFill="1" applyAlignment="1"/>
    <xf numFmtId="10" fontId="3" fillId="0" borderId="0" xfId="4" applyNumberFormat="1" applyFont="1"/>
    <xf numFmtId="164" fontId="3" fillId="0" borderId="0" xfId="4" applyNumberFormat="1" applyFont="1"/>
    <xf numFmtId="3" fontId="3" fillId="0" borderId="0" xfId="4" applyNumberFormat="1" applyFont="1"/>
    <xf numFmtId="10" fontId="3" fillId="0" borderId="0" xfId="4" applyNumberFormat="1" applyFont="1" applyAlignment="1">
      <alignment horizontal="right"/>
    </xf>
    <xf numFmtId="164" fontId="3" fillId="0" borderId="0" xfId="1" applyNumberFormat="1" applyFont="1" applyAlignment="1"/>
    <xf numFmtId="164" fontId="3" fillId="0" borderId="0" xfId="4" applyNumberFormat="1" applyFont="1" applyAlignment="1">
      <alignment horizontal="right"/>
    </xf>
    <xf numFmtId="166" fontId="3" fillId="0" borderId="0" xfId="4" applyNumberFormat="1" applyFont="1" applyAlignment="1">
      <alignment horizontal="right"/>
    </xf>
    <xf numFmtId="167" fontId="3" fillId="0" borderId="0" xfId="4" applyNumberFormat="1" applyFont="1" applyAlignment="1">
      <alignment horizontal="right"/>
    </xf>
    <xf numFmtId="164" fontId="3" fillId="0" borderId="0" xfId="1" applyNumberFormat="1" applyFont="1" applyAlignment="1">
      <alignment horizontal="right"/>
    </xf>
    <xf numFmtId="164" fontId="3" fillId="0" borderId="0" xfId="1" applyNumberFormat="1" applyFont="1" applyFill="1" applyAlignment="1"/>
    <xf numFmtId="49" fontId="3" fillId="0" borderId="0" xfId="4" applyNumberFormat="1" applyFont="1" applyAlignment="1">
      <alignment horizontal="center"/>
    </xf>
    <xf numFmtId="0" fontId="3" fillId="0" borderId="0" xfId="4" applyFont="1"/>
    <xf numFmtId="1" fontId="3" fillId="0" borderId="0" xfId="4" applyNumberFormat="1" applyFont="1" applyAlignment="1">
      <alignment horizontal="left"/>
    </xf>
    <xf numFmtId="3" fontId="3" fillId="0" borderId="0" xfId="4" applyNumberFormat="1" applyFont="1" applyAlignment="1">
      <alignment horizontal="right"/>
    </xf>
    <xf numFmtId="164" fontId="3" fillId="0" borderId="0" xfId="1" applyNumberFormat="1" applyFont="1" applyFill="1" applyAlignment="1">
      <alignment horizontal="right"/>
    </xf>
    <xf numFmtId="0" fontId="3" fillId="0" borderId="0" xfId="4" applyFont="1" applyAlignment="1">
      <alignment horizontal="center"/>
    </xf>
    <xf numFmtId="168" fontId="3" fillId="0" borderId="0" xfId="4" applyNumberFormat="1" applyFont="1" applyAlignment="1">
      <alignment horizontal="right"/>
    </xf>
    <xf numFmtId="1" fontId="3" fillId="0" borderId="0" xfId="4" applyNumberFormat="1" applyFont="1" applyAlignment="1">
      <alignment horizontal="center"/>
    </xf>
    <xf numFmtId="1" fontId="4" fillId="0" borderId="0" xfId="4" applyNumberFormat="1" applyFont="1" applyAlignment="1">
      <alignment horizontal="left"/>
    </xf>
    <xf numFmtId="1" fontId="3" fillId="6" borderId="0" xfId="4" applyNumberFormat="1" applyFont="1" applyFill="1" applyAlignment="1">
      <alignment horizontal="center"/>
    </xf>
    <xf numFmtId="165" fontId="3" fillId="0" borderId="0" xfId="4" applyNumberFormat="1" applyFont="1" applyAlignment="1">
      <alignment horizontal="right"/>
    </xf>
    <xf numFmtId="3" fontId="3" fillId="4" borderId="0" xfId="4" applyNumberFormat="1" applyFont="1" applyFill="1" applyAlignment="1">
      <alignment horizontal="right"/>
    </xf>
    <xf numFmtId="169" fontId="3" fillId="0" borderId="0" xfId="4" applyNumberFormat="1" applyFont="1" applyAlignment="1">
      <alignment horizontal="right"/>
    </xf>
    <xf numFmtId="1" fontId="3" fillId="0" borderId="0" xfId="4" applyNumberFormat="1" applyFont="1" applyAlignment="1">
      <alignment horizontal="right"/>
    </xf>
    <xf numFmtId="165" fontId="3" fillId="0" borderId="0" xfId="4" applyNumberFormat="1" applyFont="1"/>
    <xf numFmtId="10" fontId="5" fillId="0" borderId="0" xfId="4" applyNumberFormat="1" applyFont="1" applyAlignment="1">
      <alignment horizontal="center" wrapText="1"/>
    </xf>
    <xf numFmtId="164" fontId="5" fillId="0" borderId="0" xfId="4" applyNumberFormat="1" applyFont="1" applyAlignment="1">
      <alignment horizontal="center" wrapText="1"/>
    </xf>
    <xf numFmtId="3" fontId="5" fillId="0" borderId="0" xfId="4" applyNumberFormat="1" applyFont="1" applyAlignment="1">
      <alignment horizontal="center" wrapText="1"/>
    </xf>
    <xf numFmtId="164" fontId="5" fillId="0" borderId="0" xfId="1" applyNumberFormat="1" applyFont="1" applyBorder="1" applyAlignment="1">
      <alignment horizontal="center" wrapText="1"/>
    </xf>
    <xf numFmtId="166" fontId="5" fillId="0" borderId="0" xfId="4" applyNumberFormat="1" applyFont="1" applyAlignment="1">
      <alignment horizontal="center" wrapText="1"/>
    </xf>
    <xf numFmtId="167" fontId="5" fillId="0" borderId="0" xfId="4" applyNumberFormat="1" applyFont="1" applyAlignment="1">
      <alignment horizontal="center" wrapText="1"/>
    </xf>
    <xf numFmtId="164" fontId="6" fillId="0" borderId="0" xfId="1" applyNumberFormat="1" applyFont="1" applyFill="1" applyBorder="1" applyAlignment="1">
      <alignment horizontal="center" wrapText="1"/>
    </xf>
    <xf numFmtId="164" fontId="6" fillId="0" borderId="0" xfId="1" applyNumberFormat="1" applyFont="1" applyBorder="1" applyAlignment="1">
      <alignment horizontal="center" wrapText="1"/>
    </xf>
    <xf numFmtId="0" fontId="5" fillId="0" borderId="0" xfId="4" applyFont="1" applyAlignment="1">
      <alignment horizontal="center" wrapText="1"/>
    </xf>
    <xf numFmtId="1" fontId="5" fillId="0" borderId="0" xfId="4" applyNumberFormat="1" applyFont="1" applyAlignment="1">
      <alignment horizontal="center" wrapText="1"/>
    </xf>
    <xf numFmtId="3" fontId="7" fillId="0" borderId="0" xfId="4" applyNumberFormat="1" applyFont="1" applyAlignment="1">
      <alignment horizontal="centerContinuous" wrapText="1"/>
    </xf>
    <xf numFmtId="164" fontId="7" fillId="0" borderId="0" xfId="4" applyNumberFormat="1" applyFont="1" applyAlignment="1">
      <alignment horizontal="centerContinuous" wrapText="1"/>
    </xf>
    <xf numFmtId="167" fontId="7" fillId="0" borderId="0" xfId="4" applyNumberFormat="1" applyFont="1" applyAlignment="1">
      <alignment horizontal="centerContinuous" wrapText="1"/>
    </xf>
    <xf numFmtId="166" fontId="7" fillId="0" borderId="0" xfId="4" applyNumberFormat="1" applyFont="1" applyAlignment="1">
      <alignment horizontal="centerContinuous" wrapText="1"/>
    </xf>
    <xf numFmtId="164" fontId="7" fillId="0" borderId="0" xfId="1" applyNumberFormat="1" applyFont="1" applyAlignment="1">
      <alignment horizontal="centerContinuous" wrapText="1"/>
    </xf>
    <xf numFmtId="164" fontId="7" fillId="0" borderId="0" xfId="1" applyNumberFormat="1" applyFont="1" applyFill="1" applyAlignment="1">
      <alignment horizontal="centerContinuous" wrapText="1"/>
    </xf>
    <xf numFmtId="0" fontId="7" fillId="0" borderId="0" xfId="4" applyFont="1" applyAlignment="1">
      <alignment horizontal="centerContinuous" wrapText="1"/>
    </xf>
    <xf numFmtId="0" fontId="8" fillId="0" borderId="0" xfId="4" applyFont="1" applyAlignment="1">
      <alignment horizontal="centerContinuous" wrapText="1"/>
    </xf>
    <xf numFmtId="164" fontId="2" fillId="8" borderId="0" xfId="4" applyNumberFormat="1" applyFont="1" applyFill="1"/>
    <xf numFmtId="1" fontId="1" fillId="0" borderId="0" xfId="4" applyNumberFormat="1"/>
    <xf numFmtId="170" fontId="1" fillId="0" borderId="0" xfId="7" applyNumberFormat="1" applyFont="1" applyAlignment="1"/>
    <xf numFmtId="165" fontId="2" fillId="8" borderId="0" xfId="4" applyNumberFormat="1" applyFont="1" applyFill="1"/>
    <xf numFmtId="164" fontId="2" fillId="8" borderId="0" xfId="1" applyNumberFormat="1" applyFont="1" applyFill="1" applyAlignment="1"/>
    <xf numFmtId="164" fontId="5" fillId="8" borderId="0" xfId="4" applyNumberFormat="1" applyFont="1" applyFill="1"/>
    <xf numFmtId="164" fontId="5" fillId="8" borderId="0" xfId="4" applyNumberFormat="1" applyFont="1" applyFill="1" applyAlignment="1">
      <alignment horizontal="right"/>
    </xf>
    <xf numFmtId="9" fontId="3" fillId="0" borderId="0" xfId="7" applyFont="1" applyAlignment="1">
      <alignment horizontal="right"/>
    </xf>
    <xf numFmtId="171" fontId="3" fillId="0" borderId="0" xfId="1" applyNumberFormat="1" applyFont="1" applyAlignment="1">
      <alignment horizontal="right"/>
    </xf>
    <xf numFmtId="170" fontId="3" fillId="0" borderId="0" xfId="7" applyNumberFormat="1" applyFont="1" applyFill="1" applyAlignment="1">
      <alignment horizontal="right"/>
    </xf>
    <xf numFmtId="170" fontId="3" fillId="0" borderId="0" xfId="7" applyNumberFormat="1" applyFont="1" applyAlignment="1">
      <alignment horizontal="right"/>
    </xf>
    <xf numFmtId="164" fontId="5" fillId="8" borderId="0" xfId="4" applyNumberFormat="1" applyFont="1" applyFill="1" applyAlignment="1">
      <alignment horizontal="center" wrapText="1"/>
    </xf>
    <xf numFmtId="164" fontId="11" fillId="8" borderId="0" xfId="4" applyNumberFormat="1" applyFont="1" applyFill="1" applyAlignment="1">
      <alignment horizontal="centerContinuous" wrapText="1"/>
    </xf>
    <xf numFmtId="1" fontId="7" fillId="0" borderId="0" xfId="4" applyNumberFormat="1" applyFont="1" applyAlignment="1">
      <alignment horizontal="centerContinuous" wrapText="1"/>
    </xf>
    <xf numFmtId="43" fontId="1" fillId="0" borderId="0" xfId="1" applyFont="1" applyAlignment="1"/>
    <xf numFmtId="10" fontId="1" fillId="0" borderId="0" xfId="7" applyNumberFormat="1" applyFont="1" applyAlignment="1"/>
    <xf numFmtId="10" fontId="1" fillId="0" borderId="0" xfId="7" applyNumberFormat="1" applyFont="1" applyFill="1" applyAlignment="1"/>
    <xf numFmtId="164" fontId="1" fillId="0" borderId="0" xfId="7" applyNumberFormat="1" applyFont="1" applyFill="1" applyAlignment="1"/>
    <xf numFmtId="171" fontId="1" fillId="0" borderId="0" xfId="1" applyNumberFormat="1" applyFont="1" applyFill="1" applyAlignment="1"/>
    <xf numFmtId="170" fontId="1" fillId="0" borderId="0" xfId="7" applyNumberFormat="1" applyFont="1" applyFill="1" applyAlignment="1"/>
    <xf numFmtId="3" fontId="1" fillId="0" borderId="0" xfId="4" applyNumberFormat="1"/>
    <xf numFmtId="10" fontId="3" fillId="0" borderId="0" xfId="7" applyNumberFormat="1" applyFont="1" applyAlignment="1"/>
    <xf numFmtId="171" fontId="3" fillId="0" borderId="0" xfId="4" applyNumberFormat="1" applyFont="1"/>
    <xf numFmtId="171" fontId="3" fillId="0" borderId="0" xfId="1" applyNumberFormat="1" applyFont="1" applyAlignment="1"/>
    <xf numFmtId="172" fontId="3" fillId="0" borderId="0" xfId="1" applyNumberFormat="1" applyFont="1" applyAlignment="1">
      <alignment horizontal="right"/>
    </xf>
    <xf numFmtId="171" fontId="1" fillId="0" borderId="0" xfId="1" applyNumberFormat="1" applyFont="1" applyAlignment="1"/>
    <xf numFmtId="9" fontId="1" fillId="0" borderId="0" xfId="7" applyFont="1" applyAlignment="1"/>
    <xf numFmtId="10" fontId="3" fillId="0" borderId="0" xfId="7" applyNumberFormat="1" applyFont="1" applyFill="1" applyAlignment="1"/>
    <xf numFmtId="9" fontId="3" fillId="0" borderId="0" xfId="7" applyFont="1" applyFill="1" applyAlignment="1">
      <alignment horizontal="right"/>
    </xf>
    <xf numFmtId="171" fontId="1" fillId="6" borderId="0" xfId="1" applyNumberFormat="1" applyFont="1" applyFill="1" applyAlignment="1"/>
    <xf numFmtId="164" fontId="13" fillId="0" borderId="0" xfId="4" applyNumberFormat="1" applyFont="1" applyAlignment="1">
      <alignment horizontal="right"/>
    </xf>
    <xf numFmtId="171" fontId="3" fillId="0" borderId="0" xfId="1" applyNumberFormat="1" applyFont="1" applyFill="1" applyAlignment="1"/>
    <xf numFmtId="43" fontId="2" fillId="0" borderId="0" xfId="1" applyFont="1" applyBorder="1" applyAlignment="1">
      <alignment wrapText="1"/>
    </xf>
    <xf numFmtId="10" fontId="5" fillId="0" borderId="0" xfId="7" applyNumberFormat="1" applyFont="1" applyBorder="1" applyAlignment="1">
      <alignment horizontal="center" wrapText="1"/>
    </xf>
    <xf numFmtId="10" fontId="7" fillId="0" borderId="0" xfId="7" applyNumberFormat="1" applyFont="1" applyAlignment="1">
      <alignment horizontal="centerContinuous" wrapText="1"/>
    </xf>
    <xf numFmtId="171" fontId="28" fillId="0" borderId="0" xfId="1" applyNumberFormat="1" applyFont="1"/>
    <xf numFmtId="10" fontId="28" fillId="0" borderId="0" xfId="7" applyNumberFormat="1" applyFont="1"/>
    <xf numFmtId="10" fontId="28" fillId="0" borderId="0" xfId="7" applyNumberFormat="1" applyFont="1" applyFill="1"/>
    <xf numFmtId="43" fontId="28" fillId="0" borderId="0" xfId="1" applyFont="1"/>
    <xf numFmtId="164" fontId="1" fillId="0" borderId="0" xfId="1" applyNumberFormat="1" applyFont="1" applyBorder="1"/>
    <xf numFmtId="0" fontId="1" fillId="0" borderId="0" xfId="1" applyNumberFormat="1" applyFont="1" applyBorder="1" applyAlignment="1">
      <alignment horizontal="right"/>
    </xf>
    <xf numFmtId="170" fontId="1" fillId="0" borderId="0" xfId="7" applyNumberFormat="1" applyFont="1" applyBorder="1"/>
    <xf numFmtId="6" fontId="1" fillId="0" borderId="0" xfId="4" applyNumberFormat="1"/>
    <xf numFmtId="0" fontId="15" fillId="0" borderId="1" xfId="4" applyFont="1" applyBorder="1" applyAlignment="1">
      <alignment vertical="center" wrapText="1"/>
    </xf>
    <xf numFmtId="164" fontId="15" fillId="0" borderId="1" xfId="1" applyNumberFormat="1" applyFont="1" applyBorder="1" applyAlignment="1">
      <alignment vertical="center" wrapText="1"/>
    </xf>
    <xf numFmtId="0" fontId="16" fillId="0" borderId="1" xfId="4" applyFont="1" applyBorder="1" applyAlignment="1">
      <alignment horizontal="center" vertical="center" wrapText="1"/>
    </xf>
    <xf numFmtId="0" fontId="16" fillId="0" borderId="1" xfId="1" applyNumberFormat="1" applyFont="1" applyBorder="1" applyAlignment="1">
      <alignment horizontal="right" vertical="center" wrapText="1"/>
    </xf>
    <xf numFmtId="0" fontId="17" fillId="0" borderId="0" xfId="4" applyFont="1" applyAlignment="1">
      <alignment horizontal="centerContinuous"/>
    </xf>
    <xf numFmtId="0" fontId="18" fillId="0" borderId="0" xfId="4" applyFont="1" applyAlignment="1">
      <alignment horizontal="centerContinuous"/>
    </xf>
    <xf numFmtId="14" fontId="16" fillId="0" borderId="0" xfId="4" applyNumberFormat="1" applyFont="1"/>
    <xf numFmtId="0" fontId="14" fillId="0" borderId="0" xfId="5"/>
    <xf numFmtId="0" fontId="1" fillId="6" borderId="0" xfId="5" applyFont="1" applyFill="1"/>
    <xf numFmtId="172" fontId="14" fillId="0" borderId="0" xfId="5" applyNumberFormat="1"/>
    <xf numFmtId="0" fontId="1" fillId="0" borderId="0" xfId="5" applyFont="1"/>
    <xf numFmtId="172" fontId="1" fillId="0" borderId="0" xfId="5" applyNumberFormat="1" applyFont="1"/>
    <xf numFmtId="174" fontId="28" fillId="0" borderId="0" xfId="1" applyNumberFormat="1" applyFont="1" applyFill="1"/>
    <xf numFmtId="172" fontId="14" fillId="0" borderId="0" xfId="5" applyNumberFormat="1" applyAlignment="1">
      <alignment horizontal="right"/>
    </xf>
    <xf numFmtId="164" fontId="14" fillId="0" borderId="0" xfId="5" applyNumberFormat="1"/>
    <xf numFmtId="173" fontId="28" fillId="0" borderId="0" xfId="1" applyNumberFormat="1" applyFont="1" applyFill="1"/>
    <xf numFmtId="175" fontId="14" fillId="0" borderId="0" xfId="5" applyNumberFormat="1"/>
    <xf numFmtId="176" fontId="14" fillId="4" borderId="0" xfId="5" applyNumberFormat="1" applyFill="1"/>
    <xf numFmtId="49" fontId="14" fillId="0" borderId="0" xfId="5" applyNumberFormat="1"/>
    <xf numFmtId="170" fontId="14" fillId="0" borderId="0" xfId="5" applyNumberFormat="1"/>
    <xf numFmtId="43" fontId="28" fillId="0" borderId="0" xfId="1" applyFont="1" applyFill="1"/>
    <xf numFmtId="177" fontId="14" fillId="0" borderId="0" xfId="5" applyNumberFormat="1"/>
    <xf numFmtId="174" fontId="28" fillId="0" borderId="0" xfId="1" applyNumberFormat="1" applyFont="1"/>
    <xf numFmtId="170" fontId="28" fillId="0" borderId="0" xfId="7" applyNumberFormat="1" applyFont="1" applyFill="1"/>
    <xf numFmtId="49" fontId="14" fillId="6" borderId="0" xfId="5" applyNumberFormat="1" applyFill="1"/>
    <xf numFmtId="177" fontId="14" fillId="6" borderId="0" xfId="5" applyNumberFormat="1" applyFill="1"/>
    <xf numFmtId="49" fontId="1" fillId="0" borderId="0" xfId="5" applyNumberFormat="1" applyFont="1"/>
    <xf numFmtId="9" fontId="28" fillId="0" borderId="0" xfId="7" applyFont="1"/>
    <xf numFmtId="167" fontId="19" fillId="0" borderId="0" xfId="5" applyNumberFormat="1" applyFont="1" applyAlignment="1">
      <alignment horizontal="center"/>
    </xf>
    <xf numFmtId="9" fontId="19" fillId="0" borderId="2" xfId="7" applyFont="1" applyBorder="1" applyAlignment="1">
      <alignment horizontal="center"/>
    </xf>
    <xf numFmtId="9" fontId="19" fillId="0" borderId="3" xfId="7" applyFont="1" applyBorder="1" applyAlignment="1">
      <alignment horizontal="center"/>
    </xf>
    <xf numFmtId="0" fontId="19" fillId="0" borderId="3" xfId="7" applyNumberFormat="1" applyFont="1" applyFill="1" applyBorder="1" applyAlignment="1">
      <alignment horizontal="center"/>
    </xf>
    <xf numFmtId="9" fontId="19" fillId="0" borderId="3" xfId="7" applyFont="1" applyFill="1" applyBorder="1" applyAlignment="1">
      <alignment horizontal="center"/>
    </xf>
    <xf numFmtId="9" fontId="19" fillId="0" borderId="4" xfId="7" applyFont="1" applyBorder="1" applyAlignment="1">
      <alignment horizontal="center"/>
    </xf>
    <xf numFmtId="0" fontId="19" fillId="0" borderId="5" xfId="5" applyFont="1" applyBorder="1" applyAlignment="1">
      <alignment horizontal="center"/>
    </xf>
    <xf numFmtId="167" fontId="19" fillId="0" borderId="5" xfId="5" applyNumberFormat="1" applyFont="1" applyBorder="1" applyAlignment="1">
      <alignment horizontal="center"/>
    </xf>
    <xf numFmtId="10" fontId="19" fillId="0" borderId="5" xfId="5" applyNumberFormat="1" applyFont="1" applyBorder="1" applyAlignment="1">
      <alignment horizontal="center"/>
    </xf>
    <xf numFmtId="0" fontId="19" fillId="0" borderId="5" xfId="5" applyFont="1" applyBorder="1"/>
    <xf numFmtId="0" fontId="19" fillId="0" borderId="6" xfId="5" applyFont="1" applyBorder="1" applyAlignment="1">
      <alignment horizontal="center"/>
    </xf>
    <xf numFmtId="0" fontId="19" fillId="0" borderId="0" xfId="5" applyFont="1"/>
    <xf numFmtId="0" fontId="19" fillId="0" borderId="7" xfId="5" applyFont="1" applyBorder="1"/>
    <xf numFmtId="167" fontId="19" fillId="0" borderId="7" xfId="5" applyNumberFormat="1" applyFont="1" applyBorder="1" applyAlignment="1">
      <alignment horizontal="center"/>
    </xf>
    <xf numFmtId="10" fontId="19" fillId="0" borderId="7" xfId="5" applyNumberFormat="1" applyFont="1" applyBorder="1" applyAlignment="1">
      <alignment horizontal="center"/>
    </xf>
    <xf numFmtId="0" fontId="19" fillId="0" borderId="8" xfId="5" applyFont="1" applyBorder="1" applyAlignment="1">
      <alignment horizontal="center"/>
    </xf>
    <xf numFmtId="0" fontId="19" fillId="0" borderId="0" xfId="5" applyFont="1" applyAlignment="1">
      <alignment horizontal="center"/>
    </xf>
    <xf numFmtId="10" fontId="19" fillId="0" borderId="0" xfId="5" applyNumberFormat="1" applyFont="1" applyAlignment="1">
      <alignment horizontal="center"/>
    </xf>
    <xf numFmtId="0" fontId="20" fillId="0" borderId="0" xfId="5" applyFont="1" applyAlignment="1">
      <alignment horizontal="centerContinuous"/>
    </xf>
    <xf numFmtId="167" fontId="21" fillId="0" borderId="0" xfId="5" applyNumberFormat="1" applyFont="1" applyAlignment="1">
      <alignment horizontal="center"/>
    </xf>
    <xf numFmtId="167" fontId="20" fillId="0" borderId="0" xfId="5" applyNumberFormat="1" applyFont="1" applyAlignment="1">
      <alignment horizontal="centerContinuous"/>
    </xf>
    <xf numFmtId="10" fontId="20" fillId="0" borderId="0" xfId="5" applyNumberFormat="1" applyFont="1" applyAlignment="1">
      <alignment horizontal="centerContinuous"/>
    </xf>
    <xf numFmtId="0" fontId="22" fillId="0" borderId="0" xfId="5" applyFont="1" applyAlignment="1">
      <alignment horizontal="centerContinuous"/>
    </xf>
    <xf numFmtId="167" fontId="21" fillId="4" borderId="0" xfId="5" applyNumberFormat="1" applyFont="1" applyFill="1" applyAlignment="1">
      <alignment horizontal="center"/>
    </xf>
    <xf numFmtId="167" fontId="22" fillId="0" borderId="0" xfId="5" applyNumberFormat="1" applyFont="1" applyAlignment="1">
      <alignment horizontal="centerContinuous"/>
    </xf>
    <xf numFmtId="10" fontId="22" fillId="0" borderId="0" xfId="5" applyNumberFormat="1" applyFont="1" applyAlignment="1">
      <alignment horizontal="centerContinuous"/>
    </xf>
    <xf numFmtId="10" fontId="14" fillId="0" borderId="0" xfId="5" applyNumberFormat="1"/>
    <xf numFmtId="10" fontId="1" fillId="0" borderId="0" xfId="5" applyNumberFormat="1" applyFont="1"/>
    <xf numFmtId="3" fontId="14" fillId="0" borderId="0" xfId="5" applyNumberFormat="1"/>
    <xf numFmtId="0" fontId="12" fillId="0" borderId="0" xfId="5" applyFont="1" applyAlignment="1">
      <alignment horizontal="center"/>
    </xf>
    <xf numFmtId="0" fontId="13" fillId="0" borderId="0" xfId="5" applyFont="1"/>
    <xf numFmtId="178" fontId="13" fillId="0" borderId="0" xfId="5" applyNumberFormat="1" applyFont="1"/>
    <xf numFmtId="171" fontId="13" fillId="0" borderId="0" xfId="1" applyNumberFormat="1" applyFont="1" applyAlignment="1"/>
    <xf numFmtId="10" fontId="13" fillId="0" borderId="0" xfId="5" applyNumberFormat="1" applyFont="1"/>
    <xf numFmtId="3" fontId="13" fillId="0" borderId="0" xfId="5" applyNumberFormat="1" applyFont="1"/>
    <xf numFmtId="0" fontId="13" fillId="0" borderId="0" xfId="5" applyFont="1" applyAlignment="1">
      <alignment horizontal="right"/>
    </xf>
    <xf numFmtId="0" fontId="13" fillId="0" borderId="0" xfId="5" applyFont="1" applyAlignment="1">
      <alignment horizontal="left"/>
    </xf>
    <xf numFmtId="3" fontId="1" fillId="0" borderId="0" xfId="5" applyNumberFormat="1" applyFont="1"/>
    <xf numFmtId="0" fontId="1" fillId="0" borderId="0" xfId="5" applyFont="1" applyAlignment="1">
      <alignment horizontal="right"/>
    </xf>
    <xf numFmtId="1" fontId="13" fillId="0" borderId="0" xfId="5" applyNumberFormat="1" applyFont="1" applyAlignment="1">
      <alignment horizontal="right"/>
    </xf>
    <xf numFmtId="1" fontId="13" fillId="6" borderId="0" xfId="5" applyNumberFormat="1" applyFont="1" applyFill="1" applyAlignment="1">
      <alignment horizontal="right"/>
    </xf>
    <xf numFmtId="1" fontId="13" fillId="0" borderId="0" xfId="5" applyNumberFormat="1" applyFont="1"/>
    <xf numFmtId="178" fontId="13" fillId="0" borderId="0" xfId="5" applyNumberFormat="1" applyFont="1" applyAlignment="1">
      <alignment horizontal="right"/>
    </xf>
    <xf numFmtId="3" fontId="13" fillId="0" borderId="0" xfId="5" applyNumberFormat="1" applyFont="1" applyAlignment="1">
      <alignment horizontal="right"/>
    </xf>
    <xf numFmtId="171" fontId="13" fillId="0" borderId="0" xfId="1" applyNumberFormat="1" applyFont="1" applyAlignment="1">
      <alignment horizontal="right"/>
    </xf>
    <xf numFmtId="0" fontId="23" fillId="0" borderId="0" xfId="5" applyFont="1" applyAlignment="1">
      <alignment horizontal="centerContinuous" wrapText="1"/>
    </xf>
    <xf numFmtId="171" fontId="23" fillId="0" borderId="0" xfId="1" applyNumberFormat="1" applyFont="1" applyAlignment="1">
      <alignment horizontal="centerContinuous" wrapText="1"/>
    </xf>
    <xf numFmtId="0" fontId="24" fillId="0" borderId="0" xfId="5" applyFont="1" applyAlignment="1">
      <alignment horizontal="centerContinuous" wrapText="1"/>
    </xf>
    <xf numFmtId="1" fontId="14" fillId="0" borderId="0" xfId="5" applyNumberFormat="1"/>
    <xf numFmtId="171" fontId="30" fillId="0" borderId="9" xfId="1" applyNumberFormat="1" applyFont="1" applyFill="1" applyBorder="1"/>
    <xf numFmtId="10" fontId="30" fillId="0" borderId="9" xfId="7" applyNumberFormat="1" applyFont="1" applyFill="1" applyBorder="1"/>
    <xf numFmtId="10" fontId="30" fillId="0" borderId="1" xfId="7" applyNumberFormat="1" applyFont="1" applyFill="1" applyBorder="1"/>
    <xf numFmtId="1" fontId="13" fillId="0" borderId="1" xfId="5" applyNumberFormat="1" applyFont="1" applyBorder="1" applyAlignment="1">
      <alignment horizontal="left"/>
    </xf>
    <xf numFmtId="1" fontId="13" fillId="0" borderId="1" xfId="5" applyNumberFormat="1" applyFont="1" applyBorder="1" applyAlignment="1">
      <alignment horizontal="right"/>
    </xf>
    <xf numFmtId="171" fontId="30" fillId="0" borderId="10" xfId="1" applyNumberFormat="1" applyFont="1" applyFill="1" applyBorder="1" applyAlignment="1">
      <alignment horizontal="center" wrapText="1"/>
    </xf>
    <xf numFmtId="0" fontId="30" fillId="0" borderId="11" xfId="5" applyFont="1" applyBorder="1" applyAlignment="1">
      <alignment horizontal="center" wrapText="1"/>
    </xf>
    <xf numFmtId="1" fontId="30" fillId="0" borderId="12" xfId="5" applyNumberFormat="1" applyFont="1" applyBorder="1" applyAlignment="1">
      <alignment horizontal="center" wrapText="1"/>
    </xf>
    <xf numFmtId="171" fontId="1" fillId="0" borderId="0" xfId="1" applyNumberFormat="1" applyFont="1" applyFill="1"/>
    <xf numFmtId="0" fontId="31" fillId="0" borderId="0" xfId="5" applyFont="1"/>
    <xf numFmtId="0" fontId="31" fillId="0" borderId="13" xfId="5" applyFont="1" applyBorder="1"/>
    <xf numFmtId="171" fontId="14" fillId="0" borderId="0" xfId="5" applyNumberFormat="1"/>
    <xf numFmtId="171" fontId="32" fillId="0" borderId="0" xfId="1" applyNumberFormat="1" applyFont="1" applyAlignment="1">
      <alignment horizontal="center"/>
    </xf>
    <xf numFmtId="171" fontId="13" fillId="0" borderId="0" xfId="1" applyNumberFormat="1" applyFont="1" applyFill="1" applyAlignment="1"/>
    <xf numFmtId="10" fontId="13" fillId="0" borderId="0" xfId="7" applyNumberFormat="1" applyFont="1" applyFill="1" applyAlignment="1"/>
    <xf numFmtId="43" fontId="13" fillId="0" borderId="0" xfId="5" applyNumberFormat="1" applyFont="1"/>
    <xf numFmtId="0" fontId="13" fillId="0" borderId="0" xfId="5" applyFont="1" applyAlignment="1">
      <alignment horizontal="center" wrapText="1"/>
    </xf>
    <xf numFmtId="171" fontId="28" fillId="0" borderId="0" xfId="1" applyNumberFormat="1" applyFont="1" applyFill="1"/>
    <xf numFmtId="0" fontId="14" fillId="6" borderId="0" xfId="5" applyFill="1"/>
    <xf numFmtId="0" fontId="12" fillId="0" borderId="0" xfId="5" applyFont="1" applyAlignment="1">
      <alignment horizontal="center" wrapText="1"/>
    </xf>
    <xf numFmtId="171" fontId="28" fillId="0" borderId="0" xfId="1" applyNumberFormat="1" applyFont="1" applyFill="1" applyBorder="1"/>
    <xf numFmtId="0" fontId="33" fillId="6" borderId="20" xfId="5" applyFont="1" applyFill="1" applyBorder="1"/>
    <xf numFmtId="0" fontId="34" fillId="0" borderId="0" xfId="5" applyFont="1"/>
    <xf numFmtId="0" fontId="1" fillId="8" borderId="0" xfId="5" applyFont="1" applyFill="1"/>
    <xf numFmtId="179" fontId="1" fillId="0" borderId="0" xfId="1" applyNumberFormat="1" applyFont="1" applyFill="1" applyAlignment="1"/>
    <xf numFmtId="179" fontId="1" fillId="0" borderId="0" xfId="1" applyNumberFormat="1" applyFont="1" applyAlignment="1"/>
    <xf numFmtId="1" fontId="1" fillId="0" borderId="0" xfId="5" applyNumberFormat="1" applyFont="1"/>
    <xf numFmtId="0" fontId="13" fillId="8" borderId="0" xfId="5" applyFont="1" applyFill="1"/>
    <xf numFmtId="179" fontId="13" fillId="0" borderId="0" xfId="1" applyNumberFormat="1" applyFont="1" applyFill="1" applyAlignment="1"/>
    <xf numFmtId="179" fontId="13" fillId="0" borderId="0" xfId="1" applyNumberFormat="1" applyFont="1" applyAlignment="1"/>
    <xf numFmtId="169" fontId="13" fillId="0" borderId="1" xfId="5" applyNumberFormat="1" applyFont="1" applyBorder="1" applyAlignment="1">
      <alignment horizontal="right"/>
    </xf>
    <xf numFmtId="1" fontId="13" fillId="0" borderId="1" xfId="5" applyNumberFormat="1" applyFont="1" applyBorder="1"/>
    <xf numFmtId="171" fontId="13" fillId="8" borderId="1" xfId="1" applyNumberFormat="1" applyFont="1" applyFill="1" applyBorder="1" applyAlignment="1">
      <alignment horizontal="right" wrapText="1"/>
    </xf>
    <xf numFmtId="171" fontId="13" fillId="0" borderId="1" xfId="1" applyNumberFormat="1" applyFont="1" applyBorder="1" applyAlignment="1">
      <alignment horizontal="right" wrapText="1"/>
    </xf>
    <xf numFmtId="3" fontId="13" fillId="0" borderId="1" xfId="5" applyNumberFormat="1" applyFont="1" applyBorder="1" applyAlignment="1">
      <alignment horizontal="right" wrapText="1"/>
    </xf>
    <xf numFmtId="179" fontId="13" fillId="0" borderId="1" xfId="1" applyNumberFormat="1" applyFont="1" applyBorder="1" applyAlignment="1">
      <alignment horizontal="right"/>
    </xf>
    <xf numFmtId="179" fontId="13" fillId="0" borderId="1" xfId="1" applyNumberFormat="1" applyFont="1" applyFill="1" applyBorder="1" applyAlignment="1">
      <alignment horizontal="right" wrapText="1"/>
    </xf>
    <xf numFmtId="171" fontId="13" fillId="0" borderId="0" xfId="5" applyNumberFormat="1" applyFont="1"/>
    <xf numFmtId="0" fontId="1" fillId="0" borderId="0" xfId="5" applyFont="1" applyAlignment="1">
      <alignment vertical="center"/>
    </xf>
    <xf numFmtId="0" fontId="13" fillId="0" borderId="0" xfId="5" applyFont="1" applyAlignment="1">
      <alignment vertical="center"/>
    </xf>
    <xf numFmtId="3" fontId="6" fillId="8" borderId="1" xfId="5" applyNumberFormat="1" applyFont="1" applyFill="1" applyBorder="1" applyAlignment="1">
      <alignment horizontal="center" vertical="center" wrapText="1"/>
    </xf>
    <xf numFmtId="179" fontId="6" fillId="0" borderId="1" xfId="1" applyNumberFormat="1" applyFont="1" applyFill="1" applyBorder="1" applyAlignment="1">
      <alignment horizontal="center" vertical="center"/>
    </xf>
    <xf numFmtId="171" fontId="6" fillId="0" borderId="1" xfId="1" applyNumberFormat="1" applyFont="1" applyBorder="1" applyAlignment="1">
      <alignment horizontal="center" vertical="center"/>
    </xf>
    <xf numFmtId="3" fontId="6" fillId="0" borderId="1" xfId="5" applyNumberFormat="1" applyFont="1" applyBorder="1" applyAlignment="1">
      <alignment horizontal="center" vertical="center"/>
    </xf>
    <xf numFmtId="3" fontId="6" fillId="0" borderId="1" xfId="5" applyNumberFormat="1" applyFont="1" applyBorder="1" applyAlignment="1">
      <alignment horizontal="center" vertical="center" wrapText="1"/>
    </xf>
    <xf numFmtId="179" fontId="6" fillId="0" borderId="1" xfId="1" applyNumberFormat="1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 wrapText="1"/>
    </xf>
    <xf numFmtId="1" fontId="6" fillId="0" borderId="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center"/>
    </xf>
    <xf numFmtId="0" fontId="25" fillId="8" borderId="0" xfId="5" applyFont="1" applyFill="1" applyAlignment="1">
      <alignment horizontal="center"/>
    </xf>
    <xf numFmtId="171" fontId="25" fillId="0" borderId="0" xfId="1" applyNumberFormat="1" applyFont="1" applyAlignment="1">
      <alignment horizontal="center"/>
    </xf>
    <xf numFmtId="1" fontId="25" fillId="0" borderId="0" xfId="5" applyNumberFormat="1" applyFont="1" applyAlignment="1">
      <alignment horizontal="center"/>
    </xf>
    <xf numFmtId="170" fontId="28" fillId="0" borderId="0" xfId="7" applyNumberFormat="1" applyFont="1"/>
    <xf numFmtId="164" fontId="1" fillId="0" borderId="0" xfId="5" applyNumberFormat="1" applyFont="1" applyAlignment="1">
      <alignment horizontal="right"/>
    </xf>
    <xf numFmtId="0" fontId="29" fillId="6" borderId="0" xfId="5" applyFont="1" applyFill="1"/>
    <xf numFmtId="171" fontId="29" fillId="6" borderId="0" xfId="1" applyNumberFormat="1" applyFont="1" applyFill="1" applyBorder="1"/>
    <xf numFmtId="10" fontId="29" fillId="6" borderId="0" xfId="7" applyNumberFormat="1" applyFont="1" applyFill="1" applyBorder="1"/>
    <xf numFmtId="10" fontId="29" fillId="6" borderId="0" xfId="7" applyNumberFormat="1" applyFont="1" applyFill="1"/>
    <xf numFmtId="171" fontId="28" fillId="0" borderId="0" xfId="7" applyNumberFormat="1" applyFont="1"/>
    <xf numFmtId="164" fontId="12" fillId="0" borderId="0" xfId="5" applyNumberFormat="1" applyFont="1" applyAlignment="1">
      <alignment horizontal="center" wrapText="1"/>
    </xf>
    <xf numFmtId="164" fontId="12" fillId="0" borderId="0" xfId="5" applyNumberFormat="1" applyFont="1" applyAlignment="1">
      <alignment horizontal="center"/>
    </xf>
    <xf numFmtId="171" fontId="12" fillId="0" borderId="0" xfId="1" applyNumberFormat="1" applyFont="1" applyAlignment="1">
      <alignment horizontal="center"/>
    </xf>
    <xf numFmtId="170" fontId="12" fillId="0" borderId="0" xfId="7" applyNumberFormat="1" applyFont="1" applyAlignment="1">
      <alignment horizontal="center"/>
    </xf>
    <xf numFmtId="0" fontId="14" fillId="9" borderId="0" xfId="5" applyFill="1"/>
    <xf numFmtId="0" fontId="14" fillId="9" borderId="14" xfId="5" applyFill="1" applyBorder="1"/>
    <xf numFmtId="171" fontId="1" fillId="9" borderId="14" xfId="1" applyNumberFormat="1" applyFont="1" applyFill="1" applyBorder="1"/>
    <xf numFmtId="171" fontId="14" fillId="10" borderId="0" xfId="5" applyNumberFormat="1" applyFill="1"/>
    <xf numFmtId="171" fontId="1" fillId="10" borderId="0" xfId="1" applyNumberFormat="1" applyFont="1" applyFill="1"/>
    <xf numFmtId="171" fontId="1" fillId="10" borderId="0" xfId="1" applyNumberFormat="1" applyFont="1" applyFill="1" applyBorder="1"/>
    <xf numFmtId="9" fontId="28" fillId="0" borderId="0" xfId="7" applyFont="1" applyFill="1"/>
    <xf numFmtId="171" fontId="1" fillId="4" borderId="0" xfId="1" applyNumberFormat="1" applyFont="1" applyFill="1"/>
    <xf numFmtId="0" fontId="14" fillId="4" borderId="0" xfId="5" applyFill="1"/>
    <xf numFmtId="180" fontId="1" fillId="4" borderId="0" xfId="1" applyNumberFormat="1" applyFont="1" applyFill="1"/>
    <xf numFmtId="0" fontId="35" fillId="4" borderId="0" xfId="5" applyFont="1" applyFill="1"/>
    <xf numFmtId="171" fontId="1" fillId="4" borderId="0" xfId="1" applyNumberFormat="1" applyFont="1" applyFill="1" applyBorder="1"/>
    <xf numFmtId="171" fontId="1" fillId="9" borderId="0" xfId="1" applyNumberFormat="1" applyFont="1" applyFill="1"/>
    <xf numFmtId="171" fontId="14" fillId="9" borderId="14" xfId="5" applyNumberFormat="1" applyFill="1" applyBorder="1"/>
    <xf numFmtId="171" fontId="29" fillId="6" borderId="0" xfId="1" applyNumberFormat="1" applyFont="1" applyFill="1"/>
    <xf numFmtId="170" fontId="1" fillId="4" borderId="0" xfId="7" applyNumberFormat="1" applyFont="1" applyFill="1"/>
    <xf numFmtId="0" fontId="29" fillId="0" borderId="0" xfId="5" applyFont="1" applyAlignment="1">
      <alignment horizontal="center" wrapText="1"/>
    </xf>
    <xf numFmtId="0" fontId="29" fillId="9" borderId="0" xfId="5" applyFont="1" applyFill="1" applyAlignment="1">
      <alignment horizontal="center" wrapText="1"/>
    </xf>
    <xf numFmtId="0" fontId="29" fillId="9" borderId="14" xfId="5" applyFont="1" applyFill="1" applyBorder="1" applyAlignment="1">
      <alignment horizontal="center" wrapText="1"/>
    </xf>
    <xf numFmtId="171" fontId="29" fillId="0" borderId="0" xfId="1" applyNumberFormat="1" applyFont="1" applyFill="1" applyAlignment="1">
      <alignment horizontal="center" wrapText="1"/>
    </xf>
    <xf numFmtId="0" fontId="36" fillId="0" borderId="0" xfId="5" applyFont="1" applyAlignment="1">
      <alignment horizontal="center" wrapText="1"/>
    </xf>
    <xf numFmtId="0" fontId="36" fillId="9" borderId="0" xfId="5" applyFont="1" applyFill="1" applyAlignment="1">
      <alignment horizontal="center" wrapText="1"/>
    </xf>
    <xf numFmtId="14" fontId="36" fillId="0" borderId="0" xfId="5" applyNumberFormat="1" applyFont="1" applyAlignment="1">
      <alignment horizontal="center" wrapText="1"/>
    </xf>
    <xf numFmtId="14" fontId="36" fillId="9" borderId="15" xfId="5" applyNumberFormat="1" applyFont="1" applyFill="1" applyBorder="1" applyAlignment="1">
      <alignment horizontal="center" wrapText="1"/>
    </xf>
    <xf numFmtId="0" fontId="36" fillId="9" borderId="15" xfId="5" applyFont="1" applyFill="1" applyBorder="1" applyAlignment="1">
      <alignment horizontal="center" wrapText="1"/>
    </xf>
    <xf numFmtId="0" fontId="2" fillId="0" borderId="0" xfId="5" applyFont="1" applyAlignment="1">
      <alignment horizontal="center"/>
    </xf>
    <xf numFmtId="171" fontId="2" fillId="0" borderId="0" xfId="1" applyNumberFormat="1" applyFont="1" applyAlignment="1">
      <alignment horizontal="center"/>
    </xf>
    <xf numFmtId="0" fontId="31" fillId="0" borderId="0" xfId="5" applyFont="1" applyAlignment="1">
      <alignment horizontal="center"/>
    </xf>
    <xf numFmtId="171" fontId="37" fillId="0" borderId="1" xfId="1" applyNumberFormat="1" applyFont="1" applyBorder="1"/>
    <xf numFmtId="0" fontId="12" fillId="0" borderId="0" xfId="5" applyFont="1"/>
    <xf numFmtId="171" fontId="12" fillId="0" borderId="0" xfId="1" applyNumberFormat="1" applyFont="1" applyFill="1" applyAlignment="1"/>
    <xf numFmtId="0" fontId="0" fillId="0" borderId="0" xfId="0" applyAlignment="1">
      <alignment horizontal="left" indent="2"/>
    </xf>
    <xf numFmtId="169" fontId="3" fillId="4" borderId="0" xfId="4" applyNumberFormat="1" applyFont="1" applyFill="1" applyAlignment="1">
      <alignment horizontal="right"/>
    </xf>
    <xf numFmtId="168" fontId="3" fillId="4" borderId="0" xfId="4" applyNumberFormat="1" applyFont="1" applyFill="1" applyAlignment="1">
      <alignment horizontal="right"/>
    </xf>
    <xf numFmtId="181" fontId="3" fillId="4" borderId="0" xfId="4" applyNumberFormat="1" applyFont="1" applyFill="1" applyAlignment="1">
      <alignment horizontal="right"/>
    </xf>
    <xf numFmtId="182" fontId="3" fillId="0" borderId="0" xfId="1" applyNumberFormat="1" applyFont="1" applyAlignment="1">
      <alignment horizontal="right"/>
    </xf>
    <xf numFmtId="170" fontId="13" fillId="0" borderId="0" xfId="7" applyNumberFormat="1" applyFont="1" applyAlignment="1"/>
    <xf numFmtId="173" fontId="28" fillId="0" borderId="0" xfId="1" applyNumberFormat="1" applyFont="1"/>
    <xf numFmtId="171" fontId="28" fillId="4" borderId="0" xfId="1" applyNumberFormat="1" applyFont="1" applyFill="1"/>
    <xf numFmtId="9" fontId="1" fillId="0" borderId="0" xfId="7" applyFont="1" applyFill="1"/>
    <xf numFmtId="10" fontId="2" fillId="0" borderId="0" xfId="7" applyNumberFormat="1" applyFont="1" applyFill="1"/>
    <xf numFmtId="171" fontId="0" fillId="0" borderId="0" xfId="0" applyNumberFormat="1"/>
    <xf numFmtId="167" fontId="6" fillId="0" borderId="1" xfId="5" applyNumberFormat="1" applyFont="1" applyBorder="1" applyAlignment="1">
      <alignment horizontal="center" vertical="center"/>
    </xf>
    <xf numFmtId="172" fontId="13" fillId="0" borderId="1" xfId="5" applyNumberFormat="1" applyFont="1" applyBorder="1" applyAlignment="1">
      <alignment horizontal="right" wrapText="1"/>
    </xf>
    <xf numFmtId="167" fontId="13" fillId="0" borderId="0" xfId="5" applyNumberFormat="1" applyFont="1"/>
    <xf numFmtId="167" fontId="1" fillId="0" borderId="0" xfId="5" applyNumberFormat="1" applyFont="1"/>
    <xf numFmtId="164" fontId="5" fillId="5" borderId="0" xfId="1" applyNumberFormat="1" applyFont="1" applyFill="1" applyBorder="1" applyAlignment="1">
      <alignment horizontal="center" wrapText="1"/>
    </xf>
    <xf numFmtId="164" fontId="5" fillId="5" borderId="0" xfId="4" applyNumberFormat="1" applyFont="1" applyFill="1" applyAlignment="1">
      <alignment horizontal="center" wrapText="1"/>
    </xf>
    <xf numFmtId="0" fontId="3" fillId="0" borderId="0" xfId="1" applyNumberFormat="1" applyFont="1" applyAlignment="1">
      <alignment horizontal="right"/>
    </xf>
    <xf numFmtId="0" fontId="1" fillId="4" borderId="0" xfId="1" applyNumberFormat="1" applyFont="1" applyFill="1" applyBorder="1" applyAlignment="1">
      <alignment horizontal="right"/>
    </xf>
    <xf numFmtId="0" fontId="1" fillId="4" borderId="0" xfId="4" applyFill="1"/>
    <xf numFmtId="6" fontId="1" fillId="4" borderId="0" xfId="4" applyNumberFormat="1" applyFill="1"/>
    <xf numFmtId="170" fontId="1" fillId="4" borderId="0" xfId="7" applyNumberFormat="1" applyFont="1" applyFill="1" applyBorder="1"/>
    <xf numFmtId="164" fontId="1" fillId="4" borderId="0" xfId="1" applyNumberFormat="1" applyFont="1" applyFill="1" applyBorder="1"/>
    <xf numFmtId="172" fontId="1" fillId="4" borderId="0" xfId="4" applyNumberFormat="1" applyFill="1"/>
    <xf numFmtId="3" fontId="13" fillId="4" borderId="1" xfId="5" applyNumberFormat="1" applyFont="1" applyFill="1" applyBorder="1" applyAlignment="1">
      <alignment horizontal="right"/>
    </xf>
    <xf numFmtId="169" fontId="13" fillId="4" borderId="1" xfId="5" applyNumberFormat="1" applyFont="1" applyFill="1" applyBorder="1" applyAlignment="1">
      <alignment horizontal="right"/>
    </xf>
    <xf numFmtId="173" fontId="13" fillId="4" borderId="1" xfId="1" applyNumberFormat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 wrapText="1"/>
    </xf>
    <xf numFmtId="171" fontId="28" fillId="6" borderId="0" xfId="1" applyNumberFormat="1" applyFont="1" applyFill="1"/>
    <xf numFmtId="10" fontId="28" fillId="6" borderId="0" xfId="7" applyNumberFormat="1" applyFont="1" applyFill="1"/>
    <xf numFmtId="0" fontId="34" fillId="6" borderId="0" xfId="5" applyFont="1" applyFill="1"/>
    <xf numFmtId="171" fontId="34" fillId="6" borderId="0" xfId="1" applyNumberFormat="1" applyFont="1" applyFill="1"/>
    <xf numFmtId="164" fontId="28" fillId="0" borderId="0" xfId="2" applyNumberFormat="1" applyFont="1"/>
    <xf numFmtId="164" fontId="28" fillId="0" borderId="0" xfId="7" applyNumberFormat="1" applyFont="1"/>
    <xf numFmtId="0" fontId="34" fillId="0" borderId="0" xfId="0" applyFont="1" applyAlignment="1">
      <alignment horizontal="center" wrapText="1"/>
    </xf>
    <xf numFmtId="164" fontId="34" fillId="0" borderId="0" xfId="2" applyNumberFormat="1" applyFont="1" applyAlignment="1">
      <alignment horizontal="center" wrapText="1"/>
    </xf>
    <xf numFmtId="9" fontId="28" fillId="6" borderId="0" xfId="7" applyFont="1" applyFill="1"/>
    <xf numFmtId="10" fontId="28" fillId="0" borderId="0" xfId="7" applyNumberFormat="1" applyFont="1" applyFill="1" applyAlignment="1">
      <alignment horizontal="right"/>
    </xf>
    <xf numFmtId="10" fontId="0" fillId="0" borderId="0" xfId="0" applyNumberFormat="1"/>
    <xf numFmtId="9" fontId="0" fillId="0" borderId="0" xfId="0" applyNumberFormat="1"/>
    <xf numFmtId="183" fontId="0" fillId="0" borderId="0" xfId="0" applyNumberFormat="1"/>
    <xf numFmtId="0" fontId="0" fillId="0" borderId="0" xfId="0" applyAlignment="1">
      <alignment horizontal="left" indent="1"/>
    </xf>
    <xf numFmtId="0" fontId="2" fillId="11" borderId="0" xfId="4" applyFont="1" applyFill="1"/>
    <xf numFmtId="0" fontId="2" fillId="12" borderId="0" xfId="4" applyFont="1" applyFill="1"/>
    <xf numFmtId="1" fontId="28" fillId="0" borderId="0" xfId="7" applyNumberFormat="1" applyFont="1"/>
    <xf numFmtId="0" fontId="2" fillId="0" borderId="0" xfId="4" applyFont="1" applyAlignment="1">
      <alignment horizontal="center" wrapText="1"/>
    </xf>
    <xf numFmtId="1" fontId="28" fillId="0" borderId="0" xfId="7" applyNumberFormat="1" applyFont="1" applyFill="1"/>
    <xf numFmtId="0" fontId="0" fillId="0" borderId="0" xfId="0" applyAlignment="1">
      <alignment horizontal="left"/>
    </xf>
    <xf numFmtId="184" fontId="28" fillId="0" borderId="0" xfId="2" applyNumberFormat="1" applyFont="1"/>
    <xf numFmtId="184" fontId="0" fillId="0" borderId="0" xfId="0" applyNumberFormat="1"/>
    <xf numFmtId="0" fontId="33" fillId="0" borderId="0" xfId="5" applyFont="1"/>
    <xf numFmtId="171" fontId="33" fillId="0" borderId="0" xfId="1" applyNumberFormat="1" applyFont="1" applyBorder="1"/>
    <xf numFmtId="0" fontId="37" fillId="0" borderId="0" xfId="5" applyFont="1"/>
    <xf numFmtId="171" fontId="37" fillId="0" borderId="0" xfId="1" applyNumberFormat="1" applyFont="1" applyBorder="1"/>
    <xf numFmtId="0" fontId="37" fillId="0" borderId="0" xfId="5" applyFont="1" applyAlignment="1">
      <alignment horizontal="center"/>
    </xf>
    <xf numFmtId="10" fontId="30" fillId="6" borderId="1" xfId="7" applyNumberFormat="1" applyFont="1" applyFill="1" applyBorder="1"/>
    <xf numFmtId="10" fontId="30" fillId="0" borderId="11" xfId="5" applyNumberFormat="1" applyFont="1" applyBorder="1" applyAlignment="1">
      <alignment horizontal="center" wrapText="1"/>
    </xf>
    <xf numFmtId="0" fontId="29" fillId="13" borderId="20" xfId="0" applyFont="1" applyFill="1" applyBorder="1" applyAlignment="1">
      <alignment wrapText="1"/>
    </xf>
    <xf numFmtId="0" fontId="34" fillId="0" borderId="0" xfId="0" applyFont="1"/>
    <xf numFmtId="171" fontId="28" fillId="0" borderId="0" xfId="1" applyNumberFormat="1" applyFont="1" applyAlignment="1">
      <alignment horizontal="left"/>
    </xf>
    <xf numFmtId="0" fontId="0" fillId="14" borderId="0" xfId="0" applyFill="1" applyAlignment="1">
      <alignment horizontal="left"/>
    </xf>
    <xf numFmtId="171" fontId="1" fillId="14" borderId="0" xfId="1" applyNumberFormat="1" applyFont="1" applyFill="1" applyAlignment="1">
      <alignment horizontal="left"/>
    </xf>
    <xf numFmtId="0" fontId="28" fillId="0" borderId="0" xfId="7" applyNumberFormat="1" applyFont="1"/>
    <xf numFmtId="0" fontId="12" fillId="0" borderId="0" xfId="0" applyFont="1" applyAlignment="1">
      <alignment horizontal="center"/>
    </xf>
    <xf numFmtId="43" fontId="0" fillId="0" borderId="0" xfId="0" applyNumberFormat="1"/>
    <xf numFmtId="185" fontId="1" fillId="0" borderId="0" xfId="7" applyNumberFormat="1" applyFont="1" applyAlignment="1"/>
    <xf numFmtId="0" fontId="29" fillId="0" borderId="0" xfId="0" applyFont="1"/>
    <xf numFmtId="3" fontId="0" fillId="0" borderId="0" xfId="0" applyNumberFormat="1"/>
    <xf numFmtId="0" fontId="1" fillId="0" borderId="8" xfId="4" applyBorder="1"/>
    <xf numFmtId="0" fontId="1" fillId="0" borderId="16" xfId="4" applyBorder="1"/>
    <xf numFmtId="0" fontId="1" fillId="0" borderId="6" xfId="4" applyBorder="1"/>
    <xf numFmtId="0" fontId="1" fillId="0" borderId="17" xfId="4" applyBorder="1"/>
    <xf numFmtId="10" fontId="1" fillId="0" borderId="6" xfId="7" applyNumberFormat="1" applyFont="1" applyBorder="1" applyAlignment="1"/>
    <xf numFmtId="10" fontId="1" fillId="0" borderId="17" xfId="4" applyNumberFormat="1" applyBorder="1"/>
    <xf numFmtId="10" fontId="1" fillId="6" borderId="17" xfId="4" applyNumberFormat="1" applyFill="1" applyBorder="1"/>
    <xf numFmtId="0" fontId="0" fillId="0" borderId="13" xfId="0" applyBorder="1"/>
    <xf numFmtId="0" fontId="38" fillId="0" borderId="18" xfId="0" applyFont="1" applyBorder="1" applyAlignment="1">
      <alignment horizontal="center"/>
    </xf>
    <xf numFmtId="0" fontId="38" fillId="0" borderId="18" xfId="0" applyFont="1" applyBorder="1" applyAlignment="1">
      <alignment horizontal="centerContinuous"/>
    </xf>
    <xf numFmtId="173" fontId="28" fillId="0" borderId="0" xfId="1" applyNumberFormat="1" applyFont="1" applyFill="1" applyBorder="1" applyAlignment="1"/>
    <xf numFmtId="173" fontId="28" fillId="0" borderId="13" xfId="1" applyNumberFormat="1" applyFont="1" applyFill="1" applyBorder="1" applyAlignment="1"/>
    <xf numFmtId="173" fontId="28" fillId="6" borderId="13" xfId="1" applyNumberFormat="1" applyFont="1" applyFill="1" applyBorder="1" applyAlignment="1"/>
    <xf numFmtId="0" fontId="0" fillId="6" borderId="13" xfId="0" applyFill="1" applyBorder="1"/>
    <xf numFmtId="0" fontId="0" fillId="4" borderId="13" xfId="0" applyFill="1" applyBorder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3" fontId="0" fillId="6" borderId="0" xfId="0" applyNumberFormat="1" applyFill="1"/>
    <xf numFmtId="10" fontId="29" fillId="0" borderId="0" xfId="7" applyNumberFormat="1" applyFont="1" applyAlignment="1">
      <alignment horizontal="center" wrapText="1"/>
    </xf>
    <xf numFmtId="10" fontId="29" fillId="0" borderId="0" xfId="7" applyNumberFormat="1" applyFont="1"/>
    <xf numFmtId="10" fontId="2" fillId="0" borderId="0" xfId="7" applyNumberFormat="1" applyFont="1" applyFill="1" applyBorder="1" applyAlignment="1">
      <alignment horizontal="center" wrapText="1"/>
    </xf>
    <xf numFmtId="171" fontId="2" fillId="0" borderId="0" xfId="1" applyNumberFormat="1" applyFont="1" applyBorder="1" applyAlignment="1">
      <alignment horizontal="center" wrapText="1"/>
    </xf>
    <xf numFmtId="179" fontId="13" fillId="4" borderId="1" xfId="1" applyNumberFormat="1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3" fontId="13" fillId="6" borderId="1" xfId="5" applyNumberFormat="1" applyFont="1" applyFill="1" applyBorder="1" applyAlignment="1">
      <alignment horizontal="right" wrapText="1"/>
    </xf>
    <xf numFmtId="1" fontId="13" fillId="4" borderId="0" xfId="5" applyNumberFormat="1" applyFont="1" applyFill="1" applyAlignment="1">
      <alignment horizontal="right"/>
    </xf>
    <xf numFmtId="171" fontId="13" fillId="0" borderId="0" xfId="1" applyNumberFormat="1" applyFont="1" applyFill="1" applyAlignment="1">
      <alignment wrapText="1"/>
    </xf>
    <xf numFmtId="9" fontId="13" fillId="0" borderId="0" xfId="7" applyFont="1" applyFill="1" applyAlignment="1"/>
    <xf numFmtId="164" fontId="1" fillId="0" borderId="0" xfId="1" applyNumberFormat="1" applyFont="1" applyFill="1" applyBorder="1"/>
    <xf numFmtId="164" fontId="16" fillId="0" borderId="1" xfId="4" applyNumberFormat="1" applyFont="1" applyBorder="1" applyAlignment="1">
      <alignment horizontal="center" vertical="center" wrapText="1"/>
    </xf>
    <xf numFmtId="3" fontId="28" fillId="0" borderId="0" xfId="1" applyNumberFormat="1" applyFont="1"/>
    <xf numFmtId="3" fontId="28" fillId="0" borderId="0" xfId="2" applyNumberFormat="1" applyFont="1"/>
    <xf numFmtId="0" fontId="28" fillId="0" borderId="0" xfId="1" applyNumberFormat="1" applyFont="1"/>
    <xf numFmtId="171" fontId="14" fillId="0" borderId="0" xfId="1" applyNumberFormat="1" applyFont="1"/>
    <xf numFmtId="171" fontId="6" fillId="0" borderId="1" xfId="1" applyNumberFormat="1" applyFont="1" applyFill="1" applyBorder="1" applyAlignment="1">
      <alignment horizontal="center" vertical="center" wrapText="1"/>
    </xf>
    <xf numFmtId="171" fontId="6" fillId="0" borderId="1" xfId="1" applyNumberFormat="1" applyFont="1" applyFill="1" applyBorder="1" applyAlignment="1">
      <alignment horizontal="center" vertical="center"/>
    </xf>
    <xf numFmtId="171" fontId="13" fillId="0" borderId="1" xfId="1" applyNumberFormat="1" applyFont="1" applyFill="1" applyBorder="1" applyAlignment="1">
      <alignment horizontal="right"/>
    </xf>
    <xf numFmtId="43" fontId="13" fillId="0" borderId="0" xfId="1" applyFont="1" applyFill="1" applyAlignment="1"/>
    <xf numFmtId="2" fontId="28" fillId="0" borderId="0" xfId="7" applyNumberFormat="1" applyFont="1"/>
    <xf numFmtId="10" fontId="1" fillId="6" borderId="0" xfId="7" applyNumberFormat="1" applyFont="1" applyFill="1" applyAlignment="1"/>
    <xf numFmtId="0" fontId="2" fillId="6" borderId="0" xfId="4" applyFont="1" applyFill="1" applyAlignment="1">
      <alignment horizontal="center" wrapText="1"/>
    </xf>
    <xf numFmtId="43" fontId="1" fillId="6" borderId="0" xfId="1" applyFont="1" applyFill="1" applyAlignment="1"/>
    <xf numFmtId="9" fontId="1" fillId="0" borderId="0" xfId="7" applyFont="1"/>
    <xf numFmtId="43" fontId="29" fillId="0" borderId="0" xfId="1" applyFont="1" applyAlignment="1">
      <alignment horizontal="center"/>
    </xf>
    <xf numFmtId="171" fontId="28" fillId="15" borderId="0" xfId="1" applyNumberFormat="1" applyFont="1" applyFill="1"/>
    <xf numFmtId="10" fontId="1" fillId="0" borderId="0" xfId="7" applyNumberFormat="1" applyFont="1"/>
    <xf numFmtId="171" fontId="1" fillId="0" borderId="0" xfId="1" applyNumberFormat="1" applyFont="1"/>
    <xf numFmtId="171" fontId="13" fillId="6" borderId="1" xfId="1" applyNumberFormat="1" applyFont="1" applyFill="1" applyBorder="1" applyAlignment="1">
      <alignment horizontal="right"/>
    </xf>
    <xf numFmtId="10" fontId="14" fillId="0" borderId="0" xfId="7" applyNumberFormat="1" applyFont="1"/>
    <xf numFmtId="0" fontId="24" fillId="0" borderId="0" xfId="6" applyFont="1" applyAlignment="1">
      <alignment horizontal="centerContinuous" wrapText="1"/>
    </xf>
    <xf numFmtId="0" fontId="13" fillId="0" borderId="0" xfId="6" applyFont="1"/>
    <xf numFmtId="0" fontId="1" fillId="0" borderId="0" xfId="6"/>
    <xf numFmtId="1" fontId="13" fillId="0" borderId="0" xfId="6" applyNumberFormat="1" applyFont="1" applyAlignment="1">
      <alignment horizontal="right"/>
    </xf>
    <xf numFmtId="3" fontId="13" fillId="0" borderId="0" xfId="6" applyNumberFormat="1" applyFont="1" applyAlignment="1">
      <alignment horizontal="right"/>
    </xf>
    <xf numFmtId="0" fontId="13" fillId="0" borderId="0" xfId="6" applyFont="1" applyAlignment="1">
      <alignment horizontal="center" wrapText="1"/>
    </xf>
    <xf numFmtId="1" fontId="13" fillId="0" borderId="0" xfId="6" applyNumberFormat="1" applyFont="1"/>
    <xf numFmtId="3" fontId="13" fillId="0" borderId="0" xfId="6" applyNumberFormat="1" applyFont="1"/>
    <xf numFmtId="10" fontId="13" fillId="0" borderId="0" xfId="6" applyNumberFormat="1" applyFont="1"/>
    <xf numFmtId="1" fontId="13" fillId="6" borderId="0" xfId="6" applyNumberFormat="1" applyFont="1" applyFill="1" applyAlignment="1">
      <alignment horizontal="right"/>
    </xf>
    <xf numFmtId="43" fontId="13" fillId="0" borderId="0" xfId="6" applyNumberFormat="1" applyFont="1"/>
    <xf numFmtId="0" fontId="1" fillId="0" borderId="0" xfId="6" applyAlignment="1">
      <alignment horizontal="right"/>
    </xf>
    <xf numFmtId="0" fontId="13" fillId="0" borderId="0" xfId="6" applyFont="1" applyAlignment="1">
      <alignment horizontal="right"/>
    </xf>
    <xf numFmtId="3" fontId="1" fillId="0" borderId="0" xfId="6" applyNumberFormat="1"/>
    <xf numFmtId="3" fontId="13" fillId="0" borderId="1" xfId="5" applyNumberFormat="1" applyFont="1" applyBorder="1" applyAlignment="1">
      <alignment horizontal="right"/>
    </xf>
    <xf numFmtId="0" fontId="25" fillId="0" borderId="0" xfId="5" applyFont="1" applyAlignment="1">
      <alignment horizontal="right"/>
    </xf>
    <xf numFmtId="43" fontId="13" fillId="0" borderId="0" xfId="5" applyNumberFormat="1" applyFont="1" applyAlignment="1">
      <alignment horizontal="right"/>
    </xf>
    <xf numFmtId="0" fontId="29" fillId="16" borderId="0" xfId="5" applyFont="1" applyFill="1"/>
    <xf numFmtId="1" fontId="13" fillId="4" borderId="1" xfId="5" applyNumberFormat="1" applyFont="1" applyFill="1" applyBorder="1"/>
    <xf numFmtId="1" fontId="13" fillId="4" borderId="1" xfId="5" applyNumberFormat="1" applyFont="1" applyFill="1" applyBorder="1" applyAlignment="1">
      <alignment horizontal="left"/>
    </xf>
    <xf numFmtId="1" fontId="13" fillId="4" borderId="1" xfId="5" applyNumberFormat="1" applyFont="1" applyFill="1" applyBorder="1" applyAlignment="1">
      <alignment horizontal="right"/>
    </xf>
    <xf numFmtId="0" fontId="13" fillId="4" borderId="0" xfId="5" applyFont="1" applyFill="1"/>
    <xf numFmtId="0" fontId="1" fillId="4" borderId="0" xfId="5" applyFont="1" applyFill="1"/>
    <xf numFmtId="0" fontId="32" fillId="0" borderId="0" xfId="6" applyFont="1" applyAlignment="1">
      <alignment horizontal="center"/>
    </xf>
    <xf numFmtId="0" fontId="39" fillId="0" borderId="0" xfId="6" applyFont="1" applyAlignment="1">
      <alignment horizontal="center"/>
    </xf>
    <xf numFmtId="171" fontId="40" fillId="0" borderId="0" xfId="6" applyNumberFormat="1" applyFont="1"/>
    <xf numFmtId="171" fontId="40" fillId="6" borderId="0" xfId="6" applyNumberFormat="1" applyFont="1" applyFill="1"/>
    <xf numFmtId="3" fontId="2" fillId="0" borderId="0" xfId="5" applyNumberFormat="1" applyFont="1"/>
    <xf numFmtId="0" fontId="34" fillId="0" borderId="0" xfId="1" applyNumberFormat="1" applyFont="1"/>
    <xf numFmtId="164" fontId="1" fillId="4" borderId="0" xfId="6" applyNumberFormat="1" applyFill="1" applyAlignment="1">
      <alignment horizontal="right"/>
    </xf>
    <xf numFmtId="43" fontId="37" fillId="0" borderId="1" xfId="1" applyFont="1" applyBorder="1"/>
    <xf numFmtId="10" fontId="3" fillId="0" borderId="0" xfId="7" applyNumberFormat="1" applyFont="1" applyAlignment="1">
      <alignment horizontal="right"/>
    </xf>
    <xf numFmtId="171" fontId="14" fillId="0" borderId="0" xfId="1" applyNumberFormat="1" applyFont="1" applyFill="1"/>
    <xf numFmtId="165" fontId="1" fillId="0" borderId="0" xfId="4" applyNumberFormat="1"/>
    <xf numFmtId="43" fontId="28" fillId="0" borderId="0" xfId="1" applyFont="1" applyFill="1" applyBorder="1" applyAlignment="1"/>
    <xf numFmtId="43" fontId="28" fillId="0" borderId="13" xfId="1" applyFont="1" applyFill="1" applyBorder="1" applyAlignment="1"/>
    <xf numFmtId="10" fontId="3" fillId="0" borderId="0" xfId="7" applyNumberFormat="1" applyFont="1"/>
    <xf numFmtId="0" fontId="0" fillId="6" borderId="0" xfId="0" applyFill="1"/>
    <xf numFmtId="170" fontId="2" fillId="6" borderId="0" xfId="5" applyNumberFormat="1" applyFont="1" applyFill="1"/>
    <xf numFmtId="164" fontId="14" fillId="6" borderId="0" xfId="5" applyNumberFormat="1" applyFill="1"/>
    <xf numFmtId="164" fontId="1" fillId="6" borderId="0" xfId="4" applyNumberFormat="1" applyFill="1"/>
    <xf numFmtId="171" fontId="1" fillId="6" borderId="0" xfId="1" applyNumberFormat="1" applyFont="1" applyFill="1"/>
    <xf numFmtId="171" fontId="14" fillId="6" borderId="0" xfId="1" applyNumberFormat="1" applyFont="1" applyFill="1"/>
    <xf numFmtId="0" fontId="2" fillId="2" borderId="0" xfId="4" applyFont="1" applyFill="1" applyAlignment="1">
      <alignment horizontal="left"/>
    </xf>
    <xf numFmtId="0" fontId="2" fillId="11" borderId="0" xfId="4" applyFont="1" applyFill="1" applyAlignment="1">
      <alignment horizontal="left"/>
    </xf>
    <xf numFmtId="0" fontId="2" fillId="7" borderId="0" xfId="4" applyFont="1" applyFill="1" applyAlignment="1">
      <alignment horizontal="left"/>
    </xf>
    <xf numFmtId="0" fontId="2" fillId="6" borderId="0" xfId="4" applyFont="1" applyFill="1" applyAlignment="1">
      <alignment horizontal="left"/>
    </xf>
    <xf numFmtId="0" fontId="2" fillId="5" borderId="0" xfId="4" applyFont="1" applyFill="1" applyAlignment="1">
      <alignment horizontal="left"/>
    </xf>
    <xf numFmtId="0" fontId="2" fillId="4" borderId="0" xfId="4" applyFont="1" applyFill="1" applyAlignment="1">
      <alignment horizontal="left"/>
    </xf>
    <xf numFmtId="0" fontId="2" fillId="3" borderId="0" xfId="4" applyFont="1" applyFill="1" applyAlignment="1">
      <alignment horizontal="left"/>
    </xf>
    <xf numFmtId="0" fontId="34" fillId="0" borderId="0" xfId="0" applyFont="1" applyAlignment="1">
      <alignment horizontal="center" wrapText="1"/>
    </xf>
    <xf numFmtId="10" fontId="28" fillId="19" borderId="0" xfId="7" applyNumberFormat="1" applyFont="1" applyFill="1" applyAlignment="1">
      <alignment horizontal="center"/>
    </xf>
    <xf numFmtId="164" fontId="28" fillId="4" borderId="0" xfId="7" applyNumberFormat="1" applyFont="1" applyFill="1" applyAlignment="1">
      <alignment horizontal="center" wrapText="1"/>
    </xf>
    <xf numFmtId="164" fontId="28" fillId="5" borderId="0" xfId="7" applyNumberFormat="1" applyFont="1" applyFill="1" applyAlignment="1">
      <alignment horizontal="center" wrapText="1"/>
    </xf>
    <xf numFmtId="164" fontId="28" fillId="18" borderId="0" xfId="7" applyNumberFormat="1" applyFont="1" applyFill="1" applyAlignment="1">
      <alignment horizontal="center" wrapText="1"/>
    </xf>
    <xf numFmtId="0" fontId="34" fillId="0" borderId="19" xfId="0" applyFont="1" applyBorder="1" applyAlignment="1">
      <alignment horizontal="center" wrapText="1"/>
    </xf>
    <xf numFmtId="0" fontId="34" fillId="8" borderId="0" xfId="0" applyFont="1" applyFill="1" applyAlignment="1">
      <alignment horizontal="center" vertical="center" wrapText="1"/>
    </xf>
    <xf numFmtId="164" fontId="34" fillId="0" borderId="0" xfId="2" applyNumberFormat="1" applyFont="1" applyAlignment="1">
      <alignment horizontal="center" wrapText="1"/>
    </xf>
    <xf numFmtId="10" fontId="34" fillId="0" borderId="0" xfId="7" applyNumberFormat="1" applyFont="1" applyAlignment="1">
      <alignment horizontal="center" wrapText="1"/>
    </xf>
    <xf numFmtId="0" fontId="34" fillId="20" borderId="0" xfId="0" applyFont="1" applyFill="1" applyAlignment="1">
      <alignment horizontal="center" vertical="center" wrapText="1"/>
    </xf>
    <xf numFmtId="0" fontId="34" fillId="1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31" fillId="6" borderId="0" xfId="5" applyFont="1" applyFill="1" applyAlignment="1">
      <alignment horizontal="center"/>
    </xf>
    <xf numFmtId="0" fontId="31" fillId="6" borderId="17" xfId="5" applyFont="1" applyFill="1" applyBorder="1" applyAlignment="1">
      <alignment horizontal="center"/>
    </xf>
    <xf numFmtId="0" fontId="31" fillId="0" borderId="0" xfId="5" applyFont="1" applyAlignment="1">
      <alignment horizontal="center"/>
    </xf>
  </cellXfs>
  <cellStyles count="8">
    <cellStyle name="Comma" xfId="1" builtinId="3"/>
    <cellStyle name="Currency" xfId="2" builtinId="4"/>
    <cellStyle name="Currency 2" xfId="3"/>
    <cellStyle name="Normal" xfId="0" builtinId="0"/>
    <cellStyle name="Normal 2" xfId="4"/>
    <cellStyle name="Normal 3" xfId="5"/>
    <cellStyle name="Normal 3 2" xfId="6"/>
    <cellStyle name="Percent" xfId="7" builtinId="5"/>
  </cellStyles>
  <dxfs count="8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0" formatCode="General"/>
    </dxf>
    <dxf>
      <numFmt numFmtId="171" formatCode="_(* #,##0_);_(* \(#,##0\);_(* &quot;-&quot;??_);_(@_)"/>
    </dxf>
    <dxf>
      <numFmt numFmtId="0" formatCode="General"/>
    </dxf>
    <dxf>
      <numFmt numFmtId="171" formatCode="_(* #,##0_);_(* \(#,##0\);_(* &quot;-&quot;??_);_(@_)"/>
    </dxf>
    <dxf>
      <numFmt numFmtId="0" formatCode="General"/>
    </dxf>
    <dxf>
      <numFmt numFmtId="171" formatCode="_(* #,##0_);_(* \(#,##0\);_(* &quot;-&quot;??_);_(@_)"/>
    </dxf>
    <dxf>
      <numFmt numFmtId="0" formatCode="General"/>
    </dxf>
    <dxf>
      <numFmt numFmtId="171" formatCode="_(* #,##0_);_(* \(#,##0\);_(* &quot;-&quot;??_);_(@_)"/>
    </dxf>
    <dxf>
      <numFmt numFmtId="171" formatCode="_(* #,##0_);_(* \(#,##0\);_(* &quot;-&quot;??_);_(@_)"/>
    </dxf>
    <dxf>
      <numFmt numFmtId="171" formatCode="_(* #,##0_);_(* \(#,##0\);_(* &quot;-&quot;??_);_(@_)"/>
    </dxf>
    <dxf>
      <numFmt numFmtId="35" formatCode="_(* #,##0.00_);_(* \(#,##0.00\);_(* &quot;-&quot;??_);_(@_)"/>
    </dxf>
    <dxf>
      <numFmt numFmtId="171" formatCode="_(* #,##0_);_(* \(#,##0\);_(* &quot;-&quot;??_);_(@_)"/>
    </dxf>
    <dxf>
      <font>
        <color rgb="FF9C0006"/>
      </font>
      <fill>
        <patternFill>
          <bgColor rgb="FFFFC7CE"/>
        </patternFill>
      </fill>
    </dxf>
    <dxf>
      <numFmt numFmtId="14" formatCode="0.00%"/>
    </dxf>
    <dxf>
      <numFmt numFmtId="14" formatCode="0.00%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4" formatCode="0.00%"/>
    </dxf>
    <dxf>
      <numFmt numFmtId="14" formatCode="0.00%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4" formatCode="0.00%"/>
    </dxf>
    <dxf>
      <numFmt numFmtId="14" formatCode="0.00%"/>
    </dxf>
    <dxf>
      <numFmt numFmtId="164" formatCode="&quot;$&quot;#,##0"/>
    </dxf>
    <dxf>
      <numFmt numFmtId="164" formatCode="&quot;$&quot;#,##0"/>
    </dxf>
    <dxf>
      <numFmt numFmtId="14" formatCode="0.00%"/>
    </dxf>
    <dxf>
      <numFmt numFmtId="14" formatCode="0.00%"/>
    </dxf>
    <dxf>
      <numFmt numFmtId="171" formatCode="_(* #,##0_);_(* \(#,##0\);_(* &quot;-&quot;??_);_(@_)"/>
    </dxf>
    <dxf>
      <numFmt numFmtId="171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3.xml"/><Relationship Id="rId68" Type="http://schemas.openxmlformats.org/officeDocument/2006/relationships/pivotCacheDefinition" Target="pivotCache/pivotCacheDefinition5.xml"/><Relationship Id="rId84" Type="http://schemas.openxmlformats.org/officeDocument/2006/relationships/customXml" Target="../customXml/item9.xml"/><Relationship Id="rId89" Type="http://schemas.openxmlformats.org/officeDocument/2006/relationships/customXml" Target="../customXml/item1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74" Type="http://schemas.openxmlformats.org/officeDocument/2006/relationships/sheetMetadata" Target="metadata.xml"/><Relationship Id="rId79" Type="http://schemas.openxmlformats.org/officeDocument/2006/relationships/customXml" Target="../customXml/item4.xml"/><Relationship Id="rId102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5.xml"/><Relationship Id="rId95" Type="http://schemas.openxmlformats.org/officeDocument/2006/relationships/customXml" Target="../customXml/item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64" Type="http://schemas.openxmlformats.org/officeDocument/2006/relationships/pivotCacheDefinition" Target="pivotCache/pivotCacheDefinition1.xml"/><Relationship Id="rId69" Type="http://schemas.openxmlformats.org/officeDocument/2006/relationships/pivotCacheDefinition" Target="pivotCache/pivotCacheDefinition6.xml"/><Relationship Id="rId80" Type="http://schemas.openxmlformats.org/officeDocument/2006/relationships/customXml" Target="../customXml/item5.xml"/><Relationship Id="rId85" Type="http://schemas.openxmlformats.org/officeDocument/2006/relationships/customXml" Target="../customXml/item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pivotCacheDefinition" Target="pivotCache/pivotCacheDefinition4.xml"/><Relationship Id="rId103" Type="http://schemas.openxmlformats.org/officeDocument/2006/relationships/customXml" Target="../customXml/item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Relationship Id="rId70" Type="http://schemas.openxmlformats.org/officeDocument/2006/relationships/pivotCacheDefinition" Target="pivotCache/pivotCacheDefinition7.xml"/><Relationship Id="rId75" Type="http://schemas.openxmlformats.org/officeDocument/2006/relationships/calcChain" Target="calcChain.xml"/><Relationship Id="rId83" Type="http://schemas.openxmlformats.org/officeDocument/2006/relationships/customXml" Target="../customXml/item8.xml"/><Relationship Id="rId88" Type="http://schemas.openxmlformats.org/officeDocument/2006/relationships/customXml" Target="../customXml/item13.xml"/><Relationship Id="rId91" Type="http://schemas.openxmlformats.org/officeDocument/2006/relationships/customXml" Target="../customXml/item16.xml"/><Relationship Id="rId96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pivotCacheDefinition" Target="pivotCache/pivotCacheDefinition2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3.xml"/><Relationship Id="rId81" Type="http://schemas.openxmlformats.org/officeDocument/2006/relationships/customXml" Target="../customXml/item6.xml"/><Relationship Id="rId86" Type="http://schemas.openxmlformats.org/officeDocument/2006/relationships/customXml" Target="../customXml/item11.xml"/><Relationship Id="rId94" Type="http://schemas.openxmlformats.org/officeDocument/2006/relationships/customXml" Target="../customXml/item19.xml"/><Relationship Id="rId99" Type="http://schemas.openxmlformats.org/officeDocument/2006/relationships/customXml" Target="../customXml/item24.xml"/><Relationship Id="rId101" Type="http://schemas.openxmlformats.org/officeDocument/2006/relationships/customXml" Target="../customXml/item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76" Type="http://schemas.openxmlformats.org/officeDocument/2006/relationships/customXml" Target="../customXml/item1.xml"/><Relationship Id="rId97" Type="http://schemas.openxmlformats.org/officeDocument/2006/relationships/customXml" Target="../customXml/item22.xml"/><Relationship Id="rId104" Type="http://schemas.openxmlformats.org/officeDocument/2006/relationships/customXml" Target="../customXml/item29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92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66" Type="http://schemas.openxmlformats.org/officeDocument/2006/relationships/pivotCacheDefinition" Target="pivotCache/pivotCacheDefinition3.xml"/><Relationship Id="rId87" Type="http://schemas.openxmlformats.org/officeDocument/2006/relationships/customXml" Target="../customXml/item12.xml"/><Relationship Id="rId61" Type="http://schemas.openxmlformats.org/officeDocument/2006/relationships/externalLink" Target="externalLinks/externalLink21.xml"/><Relationship Id="rId82" Type="http://schemas.openxmlformats.org/officeDocument/2006/relationships/customXml" Target="../customXml/item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6.xml"/><Relationship Id="rId77" Type="http://schemas.openxmlformats.org/officeDocument/2006/relationships/customXml" Target="../customXml/item2.xml"/><Relationship Id="rId100" Type="http://schemas.openxmlformats.org/officeDocument/2006/relationships/customXml" Target="../customXml/item2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styles" Target="styles.xml"/><Relationship Id="rId93" Type="http://schemas.openxmlformats.org/officeDocument/2006/relationships/customXml" Target="../customXml/item18.xml"/><Relationship Id="rId98" Type="http://schemas.openxmlformats.org/officeDocument/2006/relationships/customXml" Target="../customXml/item23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FRA Cost per</a:t>
            </a:r>
            <a:r>
              <a:rPr lang="en-US" baseline="0"/>
              <a:t> Case</a:t>
            </a:r>
            <a:r>
              <a:rPr lang="en-US"/>
              <a:t> Distribution</a:t>
            </a:r>
            <a:r>
              <a:rPr lang="en-US" baseline="0"/>
              <a:t> Curve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'FRA CPC Bell Curve'!$C$2:$C$42</c:f>
              <c:numCache>
                <c:formatCode>0.00%</c:formatCode>
                <c:ptCount val="41"/>
                <c:pt idx="0">
                  <c:v>-0.2696666844586354</c:v>
                </c:pt>
                <c:pt idx="1">
                  <c:v>-0.24657149347230134</c:v>
                </c:pt>
                <c:pt idx="2">
                  <c:v>-0.25749340731996062</c:v>
                </c:pt>
                <c:pt idx="3">
                  <c:v>-0.23185250700329063</c:v>
                </c:pt>
                <c:pt idx="4">
                  <c:v>-0.19990899362330017</c:v>
                </c:pt>
                <c:pt idx="5">
                  <c:v>-0.19327666344029604</c:v>
                </c:pt>
                <c:pt idx="6">
                  <c:v>-0.16031039235374867</c:v>
                </c:pt>
                <c:pt idx="7">
                  <c:v>-0.13954191106450331</c:v>
                </c:pt>
                <c:pt idx="8">
                  <c:v>-8.2761576984464291E-2</c:v>
                </c:pt>
                <c:pt idx="9">
                  <c:v>-0.10227403858306061</c:v>
                </c:pt>
                <c:pt idx="10">
                  <c:v>-0.10347063092159614</c:v>
                </c:pt>
                <c:pt idx="11">
                  <c:v>-8.2844330294622903E-2</c:v>
                </c:pt>
                <c:pt idx="12">
                  <c:v>-7.7095352642335246E-2</c:v>
                </c:pt>
                <c:pt idx="13">
                  <c:v>-4.8736156653949037E-2</c:v>
                </c:pt>
                <c:pt idx="14">
                  <c:v>-7.0309668514313417E-3</c:v>
                </c:pt>
                <c:pt idx="15">
                  <c:v>-1.3822270340733023E-2</c:v>
                </c:pt>
                <c:pt idx="16">
                  <c:v>1.4411588685245835E-2</c:v>
                </c:pt>
                <c:pt idx="17">
                  <c:v>-5.6469003197059386E-3</c:v>
                </c:pt>
                <c:pt idx="18">
                  <c:v>5.7731530255368702E-2</c:v>
                </c:pt>
                <c:pt idx="19">
                  <c:v>2.4664240858466302E-2</c:v>
                </c:pt>
                <c:pt idx="20">
                  <c:v>2.8986184719643093E-2</c:v>
                </c:pt>
                <c:pt idx="21">
                  <c:v>3.1687038950211521E-2</c:v>
                </c:pt>
                <c:pt idx="22">
                  <c:v>3.6279021455449589E-2</c:v>
                </c:pt>
                <c:pt idx="23">
                  <c:v>7.3188811187011149E-2</c:v>
                </c:pt>
                <c:pt idx="24">
                  <c:v>5.9111086891123099E-2</c:v>
                </c:pt>
                <c:pt idx="25">
                  <c:v>6.4547526406610434E-2</c:v>
                </c:pt>
                <c:pt idx="26">
                  <c:v>7.5181268689543446E-2</c:v>
                </c:pt>
                <c:pt idx="27">
                  <c:v>6.9431272399088861E-2</c:v>
                </c:pt>
                <c:pt idx="28">
                  <c:v>7.3948859412954704E-2</c:v>
                </c:pt>
                <c:pt idx="29">
                  <c:v>9.7555388672437404E-2</c:v>
                </c:pt>
                <c:pt idx="30">
                  <c:v>0.1290965314888517</c:v>
                </c:pt>
                <c:pt idx="31">
                  <c:v>0.15380335730706918</c:v>
                </c:pt>
                <c:pt idx="32">
                  <c:v>0.14096084570734524</c:v>
                </c:pt>
                <c:pt idx="33">
                  <c:v>0.14262685516908458</c:v>
                </c:pt>
                <c:pt idx="34">
                  <c:v>0.17211771777276152</c:v>
                </c:pt>
                <c:pt idx="35">
                  <c:v>0.29864666626171954</c:v>
                </c:pt>
                <c:pt idx="36">
                  <c:v>0.26000419025537314</c:v>
                </c:pt>
                <c:pt idx="37">
                  <c:v>0.30509061946089244</c:v>
                </c:pt>
                <c:pt idx="38">
                  <c:v>0.2599292629219685</c:v>
                </c:pt>
                <c:pt idx="39">
                  <c:v>0.30888528512912017</c:v>
                </c:pt>
                <c:pt idx="40">
                  <c:v>0.3809728339684344</c:v>
                </c:pt>
              </c:numCache>
            </c:numRef>
          </c:xVal>
          <c:yVal>
            <c:numRef>
              <c:f>'FRA CPC Bell Curve'!$D$2:$D$42</c:f>
              <c:numCache>
                <c:formatCode>_(* #,##0.00_);_(* \(#,##0.00\);_(* "-"??_);_(@_)</c:formatCode>
                <c:ptCount val="41"/>
                <c:pt idx="0">
                  <c:v>0.48494027954211799</c:v>
                </c:pt>
                <c:pt idx="1">
                  <c:v>0.61793514862590015</c:v>
                </c:pt>
                <c:pt idx="2">
                  <c:v>0.55237767648302716</c:v>
                </c:pt>
                <c:pt idx="3">
                  <c:v>0.71375360109420194</c:v>
                </c:pt>
                <c:pt idx="4">
                  <c:v>0.94936041366455004</c:v>
                </c:pt>
                <c:pt idx="5">
                  <c:v>1.0025253026789074</c:v>
                </c:pt>
                <c:pt idx="6">
                  <c:v>1.2829891938749491</c:v>
                </c:pt>
                <c:pt idx="7">
                  <c:v>1.4680448453762074</c:v>
                </c:pt>
                <c:pt idx="8">
                  <c:v>1.9557630715119598</c:v>
                </c:pt>
                <c:pt idx="9">
                  <c:v>1.7961914754674508</c:v>
                </c:pt>
                <c:pt idx="10">
                  <c:v>1.7860211883590291</c:v>
                </c:pt>
                <c:pt idx="11">
                  <c:v>1.9551154395020711</c:v>
                </c:pt>
                <c:pt idx="12">
                  <c:v>1.9994151040653434</c:v>
                </c:pt>
                <c:pt idx="13">
                  <c:v>2.1934384746026172</c:v>
                </c:pt>
                <c:pt idx="14">
                  <c:v>2.3811230820789731</c:v>
                </c:pt>
                <c:pt idx="15">
                  <c:v>2.3598372167054484</c:v>
                </c:pt>
                <c:pt idx="16">
                  <c:v>2.4222951845320613</c:v>
                </c:pt>
                <c:pt idx="17">
                  <c:v>2.384984944929049</c:v>
                </c:pt>
                <c:pt idx="18">
                  <c:v>2.3807320676625547</c:v>
                </c:pt>
                <c:pt idx="19">
                  <c:v>2.4275830043507001</c:v>
                </c:pt>
                <c:pt idx="20">
                  <c:v>2.4269834666726418</c:v>
                </c:pt>
                <c:pt idx="21">
                  <c:v>2.4257568819253597</c:v>
                </c:pt>
                <c:pt idx="22">
                  <c:v>2.4221706265182115</c:v>
                </c:pt>
                <c:pt idx="23">
                  <c:v>2.3266085377609116</c:v>
                </c:pt>
                <c:pt idx="24">
                  <c:v>2.3767052424347166</c:v>
                </c:pt>
                <c:pt idx="25">
                  <c:v>2.3592837543119942</c:v>
                </c:pt>
                <c:pt idx="26">
                  <c:v>2.3182293679110497</c:v>
                </c:pt>
                <c:pt idx="27">
                  <c:v>2.3415563199986504</c:v>
                </c:pt>
                <c:pt idx="28">
                  <c:v>2.3234489229095514</c:v>
                </c:pt>
                <c:pt idx="29">
                  <c:v>2.2038260019252616</c:v>
                </c:pt>
                <c:pt idx="30">
                  <c:v>1.9884725019680654</c:v>
                </c:pt>
                <c:pt idx="31">
                  <c:v>1.7879863184899787</c:v>
                </c:pt>
                <c:pt idx="32">
                  <c:v>1.8948756463898941</c:v>
                </c:pt>
                <c:pt idx="33">
                  <c:v>1.8813049110242885</c:v>
                </c:pt>
                <c:pt idx="34">
                  <c:v>1.6286039102039414</c:v>
                </c:pt>
                <c:pt idx="35">
                  <c:v>0.6085781044932087</c:v>
                </c:pt>
                <c:pt idx="36">
                  <c:v>0.87535348451764339</c:v>
                </c:pt>
                <c:pt idx="37">
                  <c:v>0.56971098576878776</c:v>
                </c:pt>
                <c:pt idx="38">
                  <c:v>0.87592362846258665</c:v>
                </c:pt>
                <c:pt idx="39">
                  <c:v>0.54760083367015244</c:v>
                </c:pt>
                <c:pt idx="40">
                  <c:v>0.23329831936817519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E-47DA-85BD-F0C09A729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7359599"/>
        <c:axId val="1"/>
      </c:scatterChart>
      <c:valAx>
        <c:axId val="1757359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359599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FRA Distribution</a:t>
            </a:r>
            <a:r>
              <a:rPr lang="en-US" baseline="0"/>
              <a:t> Curve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'FRA Bell Curve'!$C$2:$C$42</c:f>
              <c:numCache>
                <c:formatCode>0.00%</c:formatCode>
                <c:ptCount val="41"/>
                <c:pt idx="0">
                  <c:v>0.13021050436894588</c:v>
                </c:pt>
                <c:pt idx="1">
                  <c:v>9.5707556204945421E-2</c:v>
                </c:pt>
                <c:pt idx="2">
                  <c:v>3.0032151122201034E-2</c:v>
                </c:pt>
                <c:pt idx="3">
                  <c:v>5.6143337882033073E-2</c:v>
                </c:pt>
                <c:pt idx="4">
                  <c:v>1.7456339400856669E-2</c:v>
                </c:pt>
                <c:pt idx="5">
                  <c:v>4.1853326663534585E-3</c:v>
                </c:pt>
                <c:pt idx="6">
                  <c:v>-3.6680935983368634E-3</c:v>
                </c:pt>
                <c:pt idx="7">
                  <c:v>-4.4684475415338598E-3</c:v>
                </c:pt>
                <c:pt idx="8">
                  <c:v>-1.8177667344131732E-2</c:v>
                </c:pt>
                <c:pt idx="9">
                  <c:v>-0.10326001430781895</c:v>
                </c:pt>
                <c:pt idx="10">
                  <c:v>-4.0566240234661599E-2</c:v>
                </c:pt>
                <c:pt idx="11">
                  <c:v>-6.3052073714990442E-2</c:v>
                </c:pt>
                <c:pt idx="12">
                  <c:v>-7.4586716961966837E-2</c:v>
                </c:pt>
                <c:pt idx="13">
                  <c:v>-6.5262273931644965E-2</c:v>
                </c:pt>
                <c:pt idx="14">
                  <c:v>-7.5388832520385196E-2</c:v>
                </c:pt>
                <c:pt idx="15">
                  <c:v>-0.12315288236018107</c:v>
                </c:pt>
                <c:pt idx="16">
                  <c:v>-8.5261319520897216E-2</c:v>
                </c:pt>
                <c:pt idx="17">
                  <c:v>-8.9020284340636913E-2</c:v>
                </c:pt>
                <c:pt idx="18">
                  <c:v>-0.10016201626631427</c:v>
                </c:pt>
                <c:pt idx="19">
                  <c:v>-0.13591887458545815</c:v>
                </c:pt>
                <c:pt idx="20">
                  <c:v>-0.11925058820268597</c:v>
                </c:pt>
                <c:pt idx="21">
                  <c:v>-0.11013606889217908</c:v>
                </c:pt>
                <c:pt idx="22">
                  <c:v>-0.11074933468667925</c:v>
                </c:pt>
                <c:pt idx="23">
                  <c:v>-0.13639095488370456</c:v>
                </c:pt>
                <c:pt idx="24">
                  <c:v>-0.11171278891610625</c:v>
                </c:pt>
                <c:pt idx="25">
                  <c:v>-0.14481894170005216</c:v>
                </c:pt>
                <c:pt idx="26">
                  <c:v>-0.12659459247718929</c:v>
                </c:pt>
                <c:pt idx="27">
                  <c:v>-0.13679423406328239</c:v>
                </c:pt>
                <c:pt idx="28">
                  <c:v>-0.13058186730303945</c:v>
                </c:pt>
                <c:pt idx="29">
                  <c:v>-0.13688065050238352</c:v>
                </c:pt>
                <c:pt idx="30">
                  <c:v>-0.14606517645444084</c:v>
                </c:pt>
                <c:pt idx="31">
                  <c:v>-0.14480186680619889</c:v>
                </c:pt>
                <c:pt idx="32">
                  <c:v>-0.14769648498013377</c:v>
                </c:pt>
                <c:pt idx="33">
                  <c:v>-0.16651886319257059</c:v>
                </c:pt>
                <c:pt idx="34">
                  <c:v>-5.285512893618971E-2</c:v>
                </c:pt>
                <c:pt idx="35">
                  <c:v>-0.18370201056667745</c:v>
                </c:pt>
                <c:pt idx="36">
                  <c:v>-0.18631182965245874</c:v>
                </c:pt>
                <c:pt idx="37">
                  <c:v>-0.22165164829391748</c:v>
                </c:pt>
                <c:pt idx="38">
                  <c:v>-0.22057426581868567</c:v>
                </c:pt>
                <c:pt idx="39">
                  <c:v>-0.28362736423557922</c:v>
                </c:pt>
                <c:pt idx="40">
                  <c:v>-0.38565374811999731</c:v>
                </c:pt>
              </c:numCache>
            </c:numRef>
          </c:xVal>
          <c:yVal>
            <c:numRef>
              <c:f>'FRA Bell Curve'!$D$2:$D$42</c:f>
              <c:numCache>
                <c:formatCode>_(* #,##0.00_);_(* \(#,##0.00\);_(* "-"??_);_(@_)</c:formatCode>
                <c:ptCount val="41"/>
                <c:pt idx="0">
                  <c:v>0.2331997839353615</c:v>
                </c:pt>
                <c:pt idx="1">
                  <c:v>0.5213339257613937</c:v>
                </c:pt>
                <c:pt idx="2">
                  <c:v>1.6783022767397897</c:v>
                </c:pt>
                <c:pt idx="3">
                  <c:v>1.1160818525682652</c:v>
                </c:pt>
                <c:pt idx="4">
                  <c:v>1.9887037536470538</c:v>
                </c:pt>
                <c:pt idx="5">
                  <c:v>2.3342289163181396</c:v>
                </c:pt>
                <c:pt idx="6">
                  <c:v>2.5430142635951669</c:v>
                </c:pt>
                <c:pt idx="7">
                  <c:v>2.5643355843769258</c:v>
                </c:pt>
                <c:pt idx="8">
                  <c:v>2.9263742374577255</c:v>
                </c:pt>
                <c:pt idx="9">
                  <c:v>4.1814963924618693</c:v>
                </c:pt>
                <c:pt idx="10">
                  <c:v>3.4727595170078258</c:v>
                </c:pt>
                <c:pt idx="11">
                  <c:v>3.9013829014920987</c:v>
                </c:pt>
                <c:pt idx="12">
                  <c:v>4.0528868093333195</c:v>
                </c:pt>
                <c:pt idx="13">
                  <c:v>3.9344290493142298</c:v>
                </c:pt>
                <c:pt idx="14">
                  <c:v>4.0614254986949501</c:v>
                </c:pt>
                <c:pt idx="15">
                  <c:v>4.0517860248910322</c:v>
                </c:pt>
                <c:pt idx="16">
                  <c:v>4.1438949096079831</c:v>
                </c:pt>
                <c:pt idx="17">
                  <c:v>4.163971458615749</c:v>
                </c:pt>
                <c:pt idx="18">
                  <c:v>4.1856232009854608</c:v>
                </c:pt>
                <c:pt idx="19">
                  <c:v>3.8805783373529277</c:v>
                </c:pt>
                <c:pt idx="20">
                  <c:v>4.0909382054495689</c:v>
                </c:pt>
                <c:pt idx="21">
                  <c:v>4.1566286532561936</c:v>
                </c:pt>
                <c:pt idx="22">
                  <c:v>4.1533676558284123</c:v>
                </c:pt>
                <c:pt idx="23">
                  <c:v>3.8730551097621344</c:v>
                </c:pt>
                <c:pt idx="24">
                  <c:v>4.1479028345788489</c:v>
                </c:pt>
                <c:pt idx="25">
                  <c:v>3.7257554585509829</c:v>
                </c:pt>
                <c:pt idx="26">
                  <c:v>4.0119797284824168</c:v>
                </c:pt>
                <c:pt idx="27">
                  <c:v>3.866564731025067</c:v>
                </c:pt>
                <c:pt idx="28">
                  <c:v>3.9598897505873003</c:v>
                </c:pt>
                <c:pt idx="29">
                  <c:v>3.8651663554830975</c:v>
                </c:pt>
                <c:pt idx="30">
                  <c:v>3.701997289086604</c:v>
                </c:pt>
                <c:pt idx="31">
                  <c:v>3.7260776056272156</c:v>
                </c:pt>
                <c:pt idx="32">
                  <c:v>3.6701783433867488</c:v>
                </c:pt>
                <c:pt idx="33">
                  <c:v>3.2525728861700762</c:v>
                </c:pt>
                <c:pt idx="34">
                  <c:v>3.7264359546343151</c:v>
                </c:pt>
                <c:pt idx="35">
                  <c:v>2.815426017083245</c:v>
                </c:pt>
                <c:pt idx="36">
                  <c:v>2.7465575063398688</c:v>
                </c:pt>
                <c:pt idx="37">
                  <c:v>1.8242519621146325</c:v>
                </c:pt>
                <c:pt idx="38">
                  <c:v>1.8509082672132462</c:v>
                </c:pt>
                <c:pt idx="39">
                  <c:v>0.63863258120886068</c:v>
                </c:pt>
                <c:pt idx="40">
                  <c:v>4.5165195525935745E-2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2-44B9-9641-1E96FF853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7358607"/>
        <c:axId val="1"/>
      </c:scatterChart>
      <c:valAx>
        <c:axId val="17573586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358607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Integrated Efficiency Distribution</a:t>
            </a:r>
            <a:r>
              <a:rPr lang="en-US" baseline="0"/>
              <a:t> Curve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'Integrated Effic Bell Curve'!$C$2:$C$42</c:f>
              <c:numCache>
                <c:formatCode>0.00%</c:formatCode>
                <c:ptCount val="41"/>
                <c:pt idx="0">
                  <c:v>-0.31260817260613238</c:v>
                </c:pt>
                <c:pt idx="1">
                  <c:v>-9.9412348241460502E-2</c:v>
                </c:pt>
                <c:pt idx="2">
                  <c:v>-0.28254832196747925</c:v>
                </c:pt>
                <c:pt idx="3">
                  <c:v>-0.17654827145951513</c:v>
                </c:pt>
                <c:pt idx="4">
                  <c:v>-0.16912721406323361</c:v>
                </c:pt>
                <c:pt idx="5">
                  <c:v>-8.245244045377953E-2</c:v>
                </c:pt>
                <c:pt idx="6">
                  <c:v>-0.16454749450248174</c:v>
                </c:pt>
                <c:pt idx="7">
                  <c:v>-0.10283721975991689</c:v>
                </c:pt>
                <c:pt idx="8">
                  <c:v>-0.17735081836559374</c:v>
                </c:pt>
                <c:pt idx="9">
                  <c:v>-0.13644910588189541</c:v>
                </c:pt>
                <c:pt idx="10">
                  <c:v>-0.20510701991609182</c:v>
                </c:pt>
                <c:pt idx="11">
                  <c:v>-0.13213597107514274</c:v>
                </c:pt>
                <c:pt idx="12">
                  <c:v>-0.1316986295924526</c:v>
                </c:pt>
                <c:pt idx="13">
                  <c:v>-9.2380717469245144E-2</c:v>
                </c:pt>
                <c:pt idx="14">
                  <c:v>-4.0966821821489918E-2</c:v>
                </c:pt>
                <c:pt idx="15">
                  <c:v>-0.12111058926304696</c:v>
                </c:pt>
                <c:pt idx="16">
                  <c:v>-0.19939040952470133</c:v>
                </c:pt>
                <c:pt idx="17">
                  <c:v>3.5368971779132563E-2</c:v>
                </c:pt>
                <c:pt idx="18">
                  <c:v>-3.2875128202649151E-2</c:v>
                </c:pt>
                <c:pt idx="19">
                  <c:v>-8.6423883218378572E-2</c:v>
                </c:pt>
                <c:pt idx="20">
                  <c:v>5.8392628170269578E-3</c:v>
                </c:pt>
                <c:pt idx="21">
                  <c:v>-0.12685963277681767</c:v>
                </c:pt>
                <c:pt idx="22">
                  <c:v>-6.2351979084889098E-2</c:v>
                </c:pt>
                <c:pt idx="23">
                  <c:v>-3.7161562291851191E-2</c:v>
                </c:pt>
                <c:pt idx="24">
                  <c:v>-7.4924113955088245E-2</c:v>
                </c:pt>
                <c:pt idx="25">
                  <c:v>9.7668832130572536E-2</c:v>
                </c:pt>
                <c:pt idx="26">
                  <c:v>6.0750383104417383E-2</c:v>
                </c:pt>
                <c:pt idx="27">
                  <c:v>8.2734144660188358E-2</c:v>
                </c:pt>
                <c:pt idx="28">
                  <c:v>-7.5866310433195361E-2</c:v>
                </c:pt>
                <c:pt idx="29">
                  <c:v>-8.0098052079727866E-2</c:v>
                </c:pt>
                <c:pt idx="30">
                  <c:v>6.6230105006908069E-3</c:v>
                </c:pt>
                <c:pt idx="31">
                  <c:v>-0.10456945205869728</c:v>
                </c:pt>
                <c:pt idx="32">
                  <c:v>-0.15039457226924302</c:v>
                </c:pt>
                <c:pt idx="33">
                  <c:v>3.3735628356375669E-2</c:v>
                </c:pt>
                <c:pt idx="34">
                  <c:v>-8.3985794295912797E-2</c:v>
                </c:pt>
                <c:pt idx="35">
                  <c:v>-0.10076150374021298</c:v>
                </c:pt>
                <c:pt idx="36">
                  <c:v>-6.7646010390729261E-2</c:v>
                </c:pt>
                <c:pt idx="37">
                  <c:v>-0.11856269254836183</c:v>
                </c:pt>
                <c:pt idx="38">
                  <c:v>0.14374672794864929</c:v>
                </c:pt>
                <c:pt idx="39">
                  <c:v>3.1715793496384093E-2</c:v>
                </c:pt>
                <c:pt idx="40">
                  <c:v>-0.10148129697256991</c:v>
                </c:pt>
              </c:numCache>
            </c:numRef>
          </c:xVal>
          <c:yVal>
            <c:numRef>
              <c:f>'Integrated Effic Bell Curve'!$D$2:$D$42</c:f>
              <c:numCache>
                <c:formatCode>_(* #,##0.00_);_(* \(#,##0.00\);_(* "-"??_);_(@_)</c:formatCode>
                <c:ptCount val="41"/>
                <c:pt idx="0">
                  <c:v>0.22668342053007573</c:v>
                </c:pt>
                <c:pt idx="1">
                  <c:v>4.1563765195314044</c:v>
                </c:pt>
                <c:pt idx="2">
                  <c:v>0.46441907147798528</c:v>
                </c:pt>
                <c:pt idx="3">
                  <c:v>2.6056070371775868</c:v>
                </c:pt>
                <c:pt idx="4">
                  <c:v>2.8051389240309401</c:v>
                </c:pt>
                <c:pt idx="5">
                  <c:v>4.2135021426334482</c:v>
                </c:pt>
                <c:pt idx="6">
                  <c:v>2.9268395032975336</c:v>
                </c:pt>
                <c:pt idx="7">
                  <c:v>4.128823424822798</c:v>
                </c:pt>
                <c:pt idx="8">
                  <c:v>2.5839462984223704</c:v>
                </c:pt>
                <c:pt idx="9">
                  <c:v>3.6084292412624777</c:v>
                </c:pt>
                <c:pt idx="10">
                  <c:v>1.852221981329617</c:v>
                </c:pt>
                <c:pt idx="11">
                  <c:v>3.6973247551455248</c:v>
                </c:pt>
                <c:pt idx="12">
                  <c:v>3.706030399746826</c:v>
                </c:pt>
                <c:pt idx="13">
                  <c:v>4.1962767132236323</c:v>
                </c:pt>
                <c:pt idx="14">
                  <c:v>3.8054212358301496</c:v>
                </c:pt>
                <c:pt idx="15">
                  <c:v>3.8976997690546509</c:v>
                </c:pt>
                <c:pt idx="16">
                  <c:v>1.9976756650646499</c:v>
                </c:pt>
                <c:pt idx="17">
                  <c:v>1.910297972814462</c:v>
                </c:pt>
                <c:pt idx="18">
                  <c:v>3.6479991889045316</c:v>
                </c:pt>
                <c:pt idx="19">
                  <c:v>4.2121584248117019</c:v>
                </c:pt>
                <c:pt idx="20">
                  <c:v>2.693819964103751</c:v>
                </c:pt>
                <c:pt idx="21">
                  <c:v>3.7983198402845768</c:v>
                </c:pt>
                <c:pt idx="22">
                  <c:v>4.1079198505119825</c:v>
                </c:pt>
                <c:pt idx="23">
                  <c:v>3.7339580525258236</c:v>
                </c:pt>
                <c:pt idx="24">
                  <c:v>4.1957381936916773</c:v>
                </c:pt>
                <c:pt idx="25">
                  <c:v>0.67233367016042844</c:v>
                </c:pt>
                <c:pt idx="26">
                  <c:v>1.3153368375196686</c:v>
                </c:pt>
                <c:pt idx="27">
                  <c:v>0.89833995799191224</c:v>
                </c:pt>
                <c:pt idx="28">
                  <c:v>4.1994107538326411</c:v>
                </c:pt>
                <c:pt idx="29">
                  <c:v>4.2107990489507365</c:v>
                </c:pt>
                <c:pt idx="30">
                  <c:v>2.6727152014759112</c:v>
                </c:pt>
                <c:pt idx="31">
                  <c:v>4.1129071060652214</c:v>
                </c:pt>
                <c:pt idx="32">
                  <c:v>3.2883333284166443</c:v>
                </c:pt>
                <c:pt idx="33">
                  <c:v>1.9519166139772561</c:v>
                </c:pt>
                <c:pt idx="34">
                  <c:v>4.2138619897892848</c:v>
                </c:pt>
                <c:pt idx="35">
                  <c:v>4.1461483519957847</c:v>
                </c:pt>
                <c:pt idx="36">
                  <c:v>4.1535913783423295</c:v>
                </c:pt>
                <c:pt idx="37">
                  <c:v>3.9379245056656327</c:v>
                </c:pt>
                <c:pt idx="38">
                  <c:v>0.23505672437789943</c:v>
                </c:pt>
                <c:pt idx="39">
                  <c:v>2.0038144025797631</c:v>
                </c:pt>
                <c:pt idx="40">
                  <c:v>4.1403578072267351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7E-4FDC-965D-6681E9A4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7361087"/>
        <c:axId val="1"/>
      </c:scatterChart>
      <c:valAx>
        <c:axId val="175736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361087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144780</xdr:colOff>
      <xdr:row>3</xdr:row>
      <xdr:rowOff>11430</xdr:rowOff>
    </xdr:from>
    <xdr:to>
      <xdr:col>8</xdr:col>
      <xdr:colOff>57150</xdr:colOff>
      <xdr:row>22</xdr:row>
      <xdr:rowOff>30480</xdr:rowOff>
    </xdr:to>
    <xdr:graphicFrame macro="">
      <xdr:nvGraphicFramePr>
        <xdr:cNvPr id="261130" name="Chart 1">
          <a:extLst>
            <a:ext uri="{FF2B5EF4-FFF2-40B4-BE49-F238E27FC236}">
              <a16:creationId xmlns:a16="http://schemas.microsoft.com/office/drawing/2014/main" id="{E6AE2576-A8CB-3216-70B7-119BD310C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434340</xdr:colOff>
      <xdr:row>6</xdr:row>
      <xdr:rowOff>15240</xdr:rowOff>
    </xdr:from>
    <xdr:to>
      <xdr:col>7</xdr:col>
      <xdr:colOff>552450</xdr:colOff>
      <xdr:row>25</xdr:row>
      <xdr:rowOff>34290</xdr:rowOff>
    </xdr:to>
    <xdr:graphicFrame macro="">
      <xdr:nvGraphicFramePr>
        <xdr:cNvPr id="262154" name="Chart 1">
          <a:extLst>
            <a:ext uri="{FF2B5EF4-FFF2-40B4-BE49-F238E27FC236}">
              <a16:creationId xmlns:a16="http://schemas.microsoft.com/office/drawing/2014/main" id="{7B4C2496-7C96-B0A8-C7D1-C37ABB464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434340</xdr:colOff>
      <xdr:row>6</xdr:row>
      <xdr:rowOff>15240</xdr:rowOff>
    </xdr:from>
    <xdr:to>
      <xdr:col>7</xdr:col>
      <xdr:colOff>552450</xdr:colOff>
      <xdr:row>25</xdr:row>
      <xdr:rowOff>34290</xdr:rowOff>
    </xdr:to>
    <xdr:graphicFrame macro="">
      <xdr:nvGraphicFramePr>
        <xdr:cNvPr id="267274" name="Chart 2">
          <a:extLst>
            <a:ext uri="{FF2B5EF4-FFF2-40B4-BE49-F238E27FC236}">
              <a16:creationId xmlns:a16="http://schemas.microsoft.com/office/drawing/2014/main" id="{4C8530BE-071A-19A5-53C7-B7365F31F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curement\Multi-vendor\Peer%20Groups%20and%20Physician%20Supply\Deliverables\Final\icc_by_hosp_summar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Poor%20Share\TOTAL%20DSH%20FOR%20FISCAL%20YEAR%202022%20W%20TOTAL%20CHARGES%20and%20POOR%20SHA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k\Downloads\RY%2022%20ICCs\RY%202020%20ICC%20(with%20various%20regresssion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k\Downloads\RY19%20ICC%20Methodology%20v26%20(PAU%20Adjusted%20only%20with%20no%20Quality%20Adjustments)%20-%20Minimum%202%25%20Productivity%20Adjust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k\Downloads\ICC%20Ecmad%20Utilization%20December%202021%20v3%20(FINAL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ECMADS%20for%20ICC%20v3%20RY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2\Data%20Variables\RY%2021%20Variable%20Inputs%20for%20ICC%20(New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FY23%20Markup%20after%20Apr%20Payer%20Differential%20Chang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ADJUSTED%20EXPENSES%20FOR%20NURSING%20PROGRAMS%20(From%20Schedule%20F02%20for%20FY2022)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RY%202023%20MIEMSS%20AND%20STANDBY%20COS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FY22_ACR_SCH_RE_V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0\Modelling\Chestertown%20Special%20Exemption%20Idea\RY20%20ICC%20v17%20(CAH%20Adjustment)%20v5a_No%20Productivy-Pop%20Health%20Inv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k.HSCRC\Downloads\Demographic%20Adjustments%20_RY2024%20(Reversal%20and%20Census%20Catchup)%20(1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Collection%20Rate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semix%20Utilization%20Reports\Current%20Version\CY2021%20Marketshift_Trends\CY2021Q1234\CY21Q1234%20%20New%20Collapsed%20Marketshift%2008102022%20(innovation%20flag_final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FY23%20Summary%20All%20-%20January%20RO%20(excludes%20Payer%20Diff%20Change)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FY22%20OP%20Drug%20Cost%20and%20Revenue%20By%20Hosp%202023033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k.HSCRC\Downloads\Revised%20ECMADs\FY18_TOTAL_CHARGES_CASEMIX_Compil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2\RY22%20ICC%20v12%20(FINAL%20FINAL)%20fm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2\Data%20Variables\DSH%20Stats\TOTAL%20DSH%20FOR%20FISCAL%20YEAR%202019%20W%20TOT_CHGS%20AND%20OP_DU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2\Data%20Variables\DSH%20Stats\TOTAL%20DSH%20FOR%20FISCAL%20YEAR%202020%20W%20TOT_CHGS%20AND%20OP_DU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2\Data%20Variables\DSH%20Stats\TOTAL%20DSH%20FOR%20FISCAL%20YEAR%202021%20W%20TOT_CHGS%20AND%20OP_DU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justment%20Methodologies\ROC\FY%202023\Data%20Variables\TOTAL%20DSH%20FOR%20FISCAL%20YEAR%202022%20W%20TOTAL%20CHARGES%20and%20POOR%20SHA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c_by_hosp_year"/>
    </sheetNames>
    <sheetDataSet>
      <sheetData sheetId="0">
        <row r="1">
          <cell r="A1" t="str">
            <v>CCN</v>
          </cell>
          <cell r="B1" t="str">
            <v>Hospital</v>
          </cell>
          <cell r="C1" t="str">
            <v>Location</v>
          </cell>
          <cell r="D1" t="str">
            <v>Teaching Status</v>
          </cell>
          <cell r="E1" t="str">
            <v>Peer Group</v>
          </cell>
          <cell r="F1" t="str">
            <v>Metropolitan</v>
          </cell>
          <cell r="G1" t="str">
            <v>FRA ICC with Peer Group (current)</v>
          </cell>
          <cell r="H1" t="str">
            <v>FRA ICC Ranking with Peer Group (current)</v>
          </cell>
          <cell r="I1" t="str">
            <v>FRA ICC (direct adjustment using 3 year aggregate)</v>
          </cell>
          <cell r="J1" t="str">
            <v>FRA ICC Ranking (direct adjustment using 3 year aggregate)</v>
          </cell>
          <cell r="K1" t="str">
            <v>FRA ICC (direct adjustment using RY20)</v>
          </cell>
          <cell r="L1" t="str">
            <v>FRA ICC Ranking (direct adjustment using RY20)</v>
          </cell>
          <cell r="M1" t="str">
            <v>FRA ICC (adj. using 3 yr aggregate) - current  ICC</v>
          </cell>
          <cell r="N1" t="str">
            <v>FRA ICC (adj. using RY20) - current ICC</v>
          </cell>
        </row>
        <row r="2">
          <cell r="A2">
            <v>210001</v>
          </cell>
          <cell r="B2" t="str">
            <v>Meritus Medical Center</v>
          </cell>
          <cell r="C2" t="str">
            <v>Washington</v>
          </cell>
          <cell r="D2" t="str">
            <v>No</v>
          </cell>
          <cell r="E2">
            <v>3</v>
          </cell>
          <cell r="F2">
            <v>0</v>
          </cell>
          <cell r="G2">
            <v>-9.0452261866536807E-2</v>
          </cell>
          <cell r="H2">
            <v>14</v>
          </cell>
          <cell r="I2">
            <v>-2.01151472760598E-2</v>
          </cell>
          <cell r="J2">
            <v>6</v>
          </cell>
          <cell r="K2">
            <v>-3.8785840912731899E-2</v>
          </cell>
          <cell r="L2">
            <v>7</v>
          </cell>
          <cell r="M2">
            <v>7.0337114590477007E-2</v>
          </cell>
          <cell r="N2">
            <v>5.1666420953804908E-2</v>
          </cell>
        </row>
        <row r="3">
          <cell r="A3">
            <v>210003</v>
          </cell>
          <cell r="B3" t="str">
            <v>Prince Georges Hospital Center</v>
          </cell>
          <cell r="C3" t="str">
            <v>Prince Georges</v>
          </cell>
          <cell r="D3" t="str">
            <v>Yes</v>
          </cell>
          <cell r="E3">
            <v>4</v>
          </cell>
          <cell r="F3">
            <v>0</v>
          </cell>
          <cell r="G3">
            <v>-0.147725880414286</v>
          </cell>
          <cell r="H3">
            <v>23</v>
          </cell>
          <cell r="I3">
            <v>-0.16148016603100099</v>
          </cell>
          <cell r="J3">
            <v>35</v>
          </cell>
          <cell r="K3">
            <v>-0.15101654081291099</v>
          </cell>
          <cell r="L3">
            <v>29</v>
          </cell>
          <cell r="M3">
            <v>-1.375428561671499E-2</v>
          </cell>
          <cell r="N3">
            <v>-3.2906603986249949E-3</v>
          </cell>
        </row>
        <row r="4">
          <cell r="A4">
            <v>210004</v>
          </cell>
          <cell r="B4" t="str">
            <v>Holy Cross Hospital</v>
          </cell>
          <cell r="C4" t="str">
            <v>Montgomery</v>
          </cell>
          <cell r="D4" t="str">
            <v>Yes</v>
          </cell>
          <cell r="E4">
            <v>1</v>
          </cell>
          <cell r="F4">
            <v>0</v>
          </cell>
          <cell r="G4">
            <v>-0.13800789226257101</v>
          </cell>
          <cell r="H4">
            <v>22</v>
          </cell>
          <cell r="I4">
            <v>2.1162219068259699E-2</v>
          </cell>
          <cell r="J4">
            <v>3</v>
          </cell>
          <cell r="K4">
            <v>2.4179950687709399E-2</v>
          </cell>
          <cell r="L4">
            <v>3</v>
          </cell>
          <cell r="M4">
            <v>0.1591701113308307</v>
          </cell>
          <cell r="N4">
            <v>0.16218784295028041</v>
          </cell>
        </row>
        <row r="5">
          <cell r="A5">
            <v>210005</v>
          </cell>
          <cell r="B5" t="str">
            <v>Frederick Memorial Hospital</v>
          </cell>
          <cell r="C5" t="str">
            <v>Frederick</v>
          </cell>
          <cell r="D5" t="str">
            <v>No</v>
          </cell>
          <cell r="E5">
            <v>3</v>
          </cell>
          <cell r="F5">
            <v>0</v>
          </cell>
          <cell r="G5">
            <v>-0.115803772996</v>
          </cell>
          <cell r="H5">
            <v>18</v>
          </cell>
          <cell r="I5">
            <v>-0.120872183450958</v>
          </cell>
          <cell r="J5">
            <v>26</v>
          </cell>
          <cell r="K5">
            <v>-0.16050743900344799</v>
          </cell>
          <cell r="L5">
            <v>32</v>
          </cell>
          <cell r="M5">
            <v>-5.0684104549579972E-3</v>
          </cell>
          <cell r="N5">
            <v>-4.470366600744799E-2</v>
          </cell>
        </row>
        <row r="6">
          <cell r="A6">
            <v>210006</v>
          </cell>
          <cell r="B6" t="str">
            <v>Um-Harford Memorial Hospital</v>
          </cell>
          <cell r="C6" t="str">
            <v>Harford</v>
          </cell>
          <cell r="D6" t="str">
            <v>No</v>
          </cell>
          <cell r="E6">
            <v>3</v>
          </cell>
          <cell r="F6">
            <v>0</v>
          </cell>
          <cell r="G6">
            <v>-0.19532297272187199</v>
          </cell>
          <cell r="H6">
            <v>29</v>
          </cell>
          <cell r="I6">
            <v>-0.12422177694521</v>
          </cell>
          <cell r="J6">
            <v>27</v>
          </cell>
          <cell r="K6">
            <v>-0.13856619439302201</v>
          </cell>
          <cell r="L6">
            <v>26</v>
          </cell>
          <cell r="M6">
            <v>7.1101195776661991E-2</v>
          </cell>
          <cell r="N6">
            <v>5.6756778328849983E-2</v>
          </cell>
        </row>
        <row r="7">
          <cell r="A7">
            <v>210008</v>
          </cell>
          <cell r="B7" t="str">
            <v>Mercy Medical Center</v>
          </cell>
          <cell r="C7" t="str">
            <v>Baltimore</v>
          </cell>
          <cell r="D7" t="str">
            <v>Yes</v>
          </cell>
          <cell r="E7">
            <v>4</v>
          </cell>
          <cell r="F7">
            <v>1</v>
          </cell>
          <cell r="G7">
            <v>4.3977801711428503E-2</v>
          </cell>
          <cell r="H7">
            <v>2</v>
          </cell>
          <cell r="I7">
            <v>-8.6383544097598006E-2</v>
          </cell>
          <cell r="J7">
            <v>19</v>
          </cell>
          <cell r="K7">
            <v>-0.105547506960115</v>
          </cell>
          <cell r="L7">
            <v>17</v>
          </cell>
          <cell r="M7">
            <v>-0.1303613458090265</v>
          </cell>
          <cell r="N7">
            <v>-0.14952530867154351</v>
          </cell>
        </row>
        <row r="8">
          <cell r="A8">
            <v>210010</v>
          </cell>
          <cell r="B8" t="str">
            <v>Um-Shore Regional Health At Dorchester</v>
          </cell>
          <cell r="C8" t="str">
            <v>Dorchester</v>
          </cell>
          <cell r="D8" t="str">
            <v>No</v>
          </cell>
          <cell r="E8">
            <v>3</v>
          </cell>
          <cell r="F8">
            <v>0</v>
          </cell>
          <cell r="G8">
            <v>-0.218586898162037</v>
          </cell>
          <cell r="H8">
            <v>33</v>
          </cell>
          <cell r="I8">
            <v>-4.1352631878794802E-2</v>
          </cell>
          <cell r="J8">
            <v>11</v>
          </cell>
          <cell r="K8">
            <v>-2.4037162533093501E-2</v>
          </cell>
          <cell r="L8">
            <v>4</v>
          </cell>
          <cell r="M8">
            <v>0.17723426628324218</v>
          </cell>
          <cell r="N8">
            <v>0.19454973562894351</v>
          </cell>
        </row>
        <row r="9">
          <cell r="A9">
            <v>210011</v>
          </cell>
          <cell r="B9" t="str">
            <v>St. Agnes Hospital</v>
          </cell>
          <cell r="C9" t="str">
            <v>Baltimore</v>
          </cell>
          <cell r="D9" t="str">
            <v>Yes</v>
          </cell>
          <cell r="E9">
            <v>1</v>
          </cell>
          <cell r="F9">
            <v>1</v>
          </cell>
          <cell r="G9">
            <v>-0.17827943441033101</v>
          </cell>
          <cell r="H9">
            <v>25</v>
          </cell>
          <cell r="I9">
            <v>-0.10289119219473</v>
          </cell>
          <cell r="J9">
            <v>22</v>
          </cell>
          <cell r="K9">
            <v>-0.108449115712413</v>
          </cell>
          <cell r="L9">
            <v>18</v>
          </cell>
          <cell r="M9">
            <v>7.5388242215601003E-2</v>
          </cell>
          <cell r="N9">
            <v>6.9830318697918004E-2</v>
          </cell>
        </row>
        <row r="10">
          <cell r="A10">
            <v>210012</v>
          </cell>
          <cell r="B10" t="str">
            <v>Sinai Hospital</v>
          </cell>
          <cell r="C10" t="str">
            <v>Baltimore</v>
          </cell>
          <cell r="D10" t="str">
            <v>Yes</v>
          </cell>
          <cell r="E10">
            <v>4</v>
          </cell>
          <cell r="F10">
            <v>1</v>
          </cell>
          <cell r="G10">
            <v>-0.205683321032639</v>
          </cell>
          <cell r="H10">
            <v>31</v>
          </cell>
          <cell r="I10">
            <v>-0.27876931786785097</v>
          </cell>
          <cell r="J10">
            <v>41</v>
          </cell>
          <cell r="K10">
            <v>-0.28636937279291003</v>
          </cell>
          <cell r="L10">
            <v>41</v>
          </cell>
          <cell r="M10">
            <v>-7.3085996835211969E-2</v>
          </cell>
          <cell r="N10">
            <v>-8.0686051760271021E-2</v>
          </cell>
        </row>
        <row r="11">
          <cell r="A11">
            <v>210015</v>
          </cell>
          <cell r="B11" t="str">
            <v>Medstar Franklin Square</v>
          </cell>
          <cell r="C11" t="str">
            <v>Baltimore Co.</v>
          </cell>
          <cell r="D11" t="str">
            <v>Yes</v>
          </cell>
          <cell r="E11">
            <v>1</v>
          </cell>
          <cell r="F11">
            <v>0</v>
          </cell>
          <cell r="G11">
            <v>-0.168613471437456</v>
          </cell>
          <cell r="H11">
            <v>24</v>
          </cell>
          <cell r="I11">
            <v>-9.1086549735309899E-2</v>
          </cell>
          <cell r="J11">
            <v>20</v>
          </cell>
          <cell r="K11">
            <v>-9.68700250249592E-2</v>
          </cell>
          <cell r="L11">
            <v>16</v>
          </cell>
          <cell r="M11">
            <v>7.7526921702146104E-2</v>
          </cell>
          <cell r="N11">
            <v>7.1743446412496803E-2</v>
          </cell>
        </row>
        <row r="12">
          <cell r="A12">
            <v>210016</v>
          </cell>
          <cell r="B12" t="str">
            <v>Washington Adventist Hospital</v>
          </cell>
          <cell r="C12" t="str">
            <v>Montgomery</v>
          </cell>
          <cell r="D12" t="str">
            <v>No</v>
          </cell>
          <cell r="E12">
            <v>3</v>
          </cell>
          <cell r="F12">
            <v>0</v>
          </cell>
          <cell r="G12">
            <v>-0.198940659040128</v>
          </cell>
          <cell r="H12">
            <v>30</v>
          </cell>
          <cell r="I12">
            <v>-7.28769927352102E-2</v>
          </cell>
          <cell r="J12">
            <v>13</v>
          </cell>
          <cell r="K12">
            <v>-7.1249487125139704E-2</v>
          </cell>
          <cell r="L12">
            <v>13</v>
          </cell>
          <cell r="M12">
            <v>0.1260636663049178</v>
          </cell>
          <cell r="N12">
            <v>0.1276911719149883</v>
          </cell>
        </row>
        <row r="13">
          <cell r="A13">
            <v>210017</v>
          </cell>
          <cell r="B13" t="str">
            <v>Garrett County Memorial Hospital</v>
          </cell>
          <cell r="C13" t="str">
            <v>Garrett</v>
          </cell>
          <cell r="D13" t="str">
            <v>No</v>
          </cell>
          <cell r="E13">
            <v>3</v>
          </cell>
          <cell r="F13">
            <v>0</v>
          </cell>
          <cell r="G13">
            <v>7.1946297339294099E-2</v>
          </cell>
          <cell r="H13">
            <v>1</v>
          </cell>
          <cell r="I13">
            <v>0.120519342801177</v>
          </cell>
          <cell r="J13">
            <v>1</v>
          </cell>
          <cell r="K13">
            <v>8.8132553871294303E-2</v>
          </cell>
          <cell r="L13">
            <v>1</v>
          </cell>
          <cell r="M13">
            <v>4.8573045461882902E-2</v>
          </cell>
          <cell r="N13">
            <v>1.6186256532000204E-2</v>
          </cell>
        </row>
        <row r="14">
          <cell r="A14">
            <v>210018</v>
          </cell>
          <cell r="B14" t="str">
            <v>Medstar Montgomery Medical Center</v>
          </cell>
          <cell r="C14" t="str">
            <v>Montgomery</v>
          </cell>
          <cell r="D14" t="str">
            <v>No</v>
          </cell>
          <cell r="E14">
            <v>3</v>
          </cell>
          <cell r="F14">
            <v>0</v>
          </cell>
          <cell r="G14">
            <v>-0.24249060942867001</v>
          </cell>
          <cell r="H14">
            <v>38</v>
          </cell>
          <cell r="I14">
            <v>-0.210377050673768</v>
          </cell>
          <cell r="J14">
            <v>38</v>
          </cell>
          <cell r="K14">
            <v>-0.23390007245453001</v>
          </cell>
          <cell r="L14">
            <v>39</v>
          </cell>
          <cell r="M14">
            <v>3.2113558754902016E-2</v>
          </cell>
          <cell r="N14">
            <v>8.5905369741400006E-3</v>
          </cell>
        </row>
        <row r="15">
          <cell r="A15">
            <v>210019</v>
          </cell>
          <cell r="B15" t="str">
            <v>Peninsula Regional Medical Center</v>
          </cell>
          <cell r="C15" t="str">
            <v>Wicomico</v>
          </cell>
          <cell r="D15" t="str">
            <v>No</v>
          </cell>
          <cell r="E15">
            <v>3</v>
          </cell>
          <cell r="F15">
            <v>0</v>
          </cell>
          <cell r="G15">
            <v>-6.6445226963215406E-2</v>
          </cell>
          <cell r="H15">
            <v>12</v>
          </cell>
          <cell r="I15">
            <v>-2.3305925260897399E-2</v>
          </cell>
          <cell r="J15">
            <v>8</v>
          </cell>
          <cell r="K15">
            <v>-5.1066176751082902E-2</v>
          </cell>
          <cell r="L15">
            <v>8</v>
          </cell>
          <cell r="M15">
            <v>4.3139301702318007E-2</v>
          </cell>
          <cell r="N15">
            <v>1.5379050212132504E-2</v>
          </cell>
        </row>
        <row r="16">
          <cell r="A16">
            <v>210022</v>
          </cell>
          <cell r="B16" t="str">
            <v>Suburban Hospital</v>
          </cell>
          <cell r="C16" t="str">
            <v>Montgomery</v>
          </cell>
          <cell r="D16" t="str">
            <v>Yes</v>
          </cell>
          <cell r="E16">
            <v>1</v>
          </cell>
          <cell r="F16">
            <v>0</v>
          </cell>
          <cell r="G16">
            <v>-4.8642653843679898E-2</v>
          </cell>
          <cell r="H16">
            <v>9</v>
          </cell>
          <cell r="I16">
            <v>-7.3115410572539202E-2</v>
          </cell>
          <cell r="J16">
            <v>14</v>
          </cell>
          <cell r="K16">
            <v>-0.113069120520191</v>
          </cell>
          <cell r="L16">
            <v>19</v>
          </cell>
          <cell r="M16">
            <v>-2.4472756728859305E-2</v>
          </cell>
          <cell r="N16">
            <v>-6.4426466676511099E-2</v>
          </cell>
        </row>
        <row r="17">
          <cell r="A17">
            <v>210023</v>
          </cell>
          <cell r="B17" t="str">
            <v>Anne Arundel Medical Center</v>
          </cell>
          <cell r="C17" t="str">
            <v>Anne Arundel</v>
          </cell>
          <cell r="D17" t="str">
            <v>No</v>
          </cell>
          <cell r="E17">
            <v>3</v>
          </cell>
          <cell r="F17">
            <v>0</v>
          </cell>
          <cell r="G17">
            <v>-1.42538189760451E-2</v>
          </cell>
          <cell r="H17">
            <v>3</v>
          </cell>
          <cell r="I17">
            <v>-2.04203907014016E-2</v>
          </cell>
          <cell r="J17">
            <v>7</v>
          </cell>
          <cell r="K17">
            <v>-6.4830188608879499E-2</v>
          </cell>
          <cell r="L17">
            <v>11</v>
          </cell>
          <cell r="M17">
            <v>-6.1665717253564997E-3</v>
          </cell>
          <cell r="N17">
            <v>-5.0576369632834399E-2</v>
          </cell>
        </row>
        <row r="18">
          <cell r="A18">
            <v>210024</v>
          </cell>
          <cell r="B18" t="str">
            <v>Medstar Union Memorial Hospital</v>
          </cell>
          <cell r="C18" t="str">
            <v>Baltimore</v>
          </cell>
          <cell r="D18" t="str">
            <v>Yes</v>
          </cell>
          <cell r="E18">
            <v>4</v>
          </cell>
          <cell r="F18">
            <v>1</v>
          </cell>
          <cell r="G18">
            <v>-3.8673088073705501E-2</v>
          </cell>
          <cell r="H18">
            <v>6</v>
          </cell>
          <cell r="I18">
            <v>-0.14305228691390101</v>
          </cell>
          <cell r="J18">
            <v>30</v>
          </cell>
          <cell r="K18">
            <v>-0.15656734869778099</v>
          </cell>
          <cell r="L18">
            <v>31</v>
          </cell>
          <cell r="M18">
            <v>-0.1043791988401955</v>
          </cell>
          <cell r="N18">
            <v>-0.11789426062407549</v>
          </cell>
        </row>
        <row r="19">
          <cell r="A19">
            <v>210027</v>
          </cell>
          <cell r="B19" t="str">
            <v>Western Maryland Regional Medical Center</v>
          </cell>
          <cell r="C19" t="str">
            <v>Allegany</v>
          </cell>
          <cell r="D19" t="str">
            <v>No</v>
          </cell>
          <cell r="E19">
            <v>3</v>
          </cell>
          <cell r="F19">
            <v>0</v>
          </cell>
          <cell r="G19">
            <v>-0.131105594963669</v>
          </cell>
          <cell r="H19">
            <v>19</v>
          </cell>
          <cell r="I19">
            <v>-9.83545761131496E-2</v>
          </cell>
          <cell r="J19">
            <v>21</v>
          </cell>
          <cell r="K19">
            <v>-0.12625229912505301</v>
          </cell>
          <cell r="L19">
            <v>23</v>
          </cell>
          <cell r="M19">
            <v>3.2751018850519398E-2</v>
          </cell>
          <cell r="N19">
            <v>4.8532958386159897E-3</v>
          </cell>
        </row>
        <row r="20">
          <cell r="A20">
            <v>210028</v>
          </cell>
          <cell r="B20" t="str">
            <v>Medstar St. Mary's Hospital</v>
          </cell>
          <cell r="C20" t="str">
            <v>St. Marys</v>
          </cell>
          <cell r="D20" t="str">
            <v>No</v>
          </cell>
          <cell r="E20">
            <v>3</v>
          </cell>
          <cell r="F20">
            <v>0</v>
          </cell>
          <cell r="G20">
            <v>-0.10166116128694801</v>
          </cell>
          <cell r="H20">
            <v>16</v>
          </cell>
          <cell r="I20">
            <v>-3.85784483599457E-2</v>
          </cell>
          <cell r="J20">
            <v>10</v>
          </cell>
          <cell r="K20">
            <v>-5.9281232918014001E-2</v>
          </cell>
          <cell r="L20">
            <v>10</v>
          </cell>
          <cell r="M20">
            <v>6.3082712927002307E-2</v>
          </cell>
          <cell r="N20">
            <v>4.2379928368934006E-2</v>
          </cell>
        </row>
        <row r="21">
          <cell r="A21">
            <v>210029</v>
          </cell>
          <cell r="B21" t="str">
            <v>Johns Hopkins Bayview Medical Center</v>
          </cell>
          <cell r="C21" t="str">
            <v>Baltimore</v>
          </cell>
          <cell r="D21" t="str">
            <v>Yes</v>
          </cell>
          <cell r="E21">
            <v>4</v>
          </cell>
          <cell r="F21">
            <v>1</v>
          </cell>
          <cell r="G21">
            <v>-4.6695984544274302E-2</v>
          </cell>
          <cell r="H21">
            <v>7</v>
          </cell>
          <cell r="I21">
            <v>-0.12616918478747599</v>
          </cell>
          <cell r="J21">
            <v>28</v>
          </cell>
          <cell r="K21">
            <v>-0.13310411714814699</v>
          </cell>
          <cell r="L21">
            <v>25</v>
          </cell>
          <cell r="M21">
            <v>-7.9473200243201689E-2</v>
          </cell>
          <cell r="N21">
            <v>-8.6408132603872687E-2</v>
          </cell>
        </row>
        <row r="22">
          <cell r="A22">
            <v>210030</v>
          </cell>
          <cell r="B22" t="str">
            <v>Um-Shore Regional Health At Chestertown</v>
          </cell>
          <cell r="C22" t="str">
            <v>Kent</v>
          </cell>
          <cell r="D22" t="str">
            <v>No</v>
          </cell>
          <cell r="E22">
            <v>3</v>
          </cell>
          <cell r="F22">
            <v>0</v>
          </cell>
          <cell r="G22">
            <v>-0.34610235186198601</v>
          </cell>
          <cell r="H22">
            <v>41</v>
          </cell>
          <cell r="I22">
            <v>-0.26824643938849402</v>
          </cell>
          <cell r="J22">
            <v>40</v>
          </cell>
          <cell r="K22">
            <v>-0.27412569676638898</v>
          </cell>
          <cell r="L22">
            <v>40</v>
          </cell>
          <cell r="M22">
            <v>7.7855912473491995E-2</v>
          </cell>
          <cell r="N22">
            <v>7.1976655095597031E-2</v>
          </cell>
        </row>
        <row r="23">
          <cell r="A23">
            <v>210032</v>
          </cell>
          <cell r="B23" t="str">
            <v>Union Hospital Of Cecil County</v>
          </cell>
          <cell r="C23" t="str">
            <v>Cecil</v>
          </cell>
          <cell r="D23" t="str">
            <v>No</v>
          </cell>
          <cell r="E23">
            <v>3</v>
          </cell>
          <cell r="F23">
            <v>0</v>
          </cell>
          <cell r="G23">
            <v>-0.24105819425949901</v>
          </cell>
          <cell r="H23">
            <v>37</v>
          </cell>
          <cell r="I23">
            <v>-0.147408261482669</v>
          </cell>
          <cell r="J23">
            <v>31</v>
          </cell>
          <cell r="K23">
            <v>-0.15328614575913399</v>
          </cell>
          <cell r="L23">
            <v>30</v>
          </cell>
          <cell r="M23">
            <v>9.3649932776830008E-2</v>
          </cell>
          <cell r="N23">
            <v>8.7772048500365019E-2</v>
          </cell>
        </row>
        <row r="24">
          <cell r="A24">
            <v>210033</v>
          </cell>
          <cell r="B24" t="str">
            <v>Carroll Hospital Center</v>
          </cell>
          <cell r="C24" t="str">
            <v>Carroll</v>
          </cell>
          <cell r="D24" t="str">
            <v>No</v>
          </cell>
          <cell r="E24">
            <v>3</v>
          </cell>
          <cell r="F24">
            <v>0</v>
          </cell>
          <cell r="G24">
            <v>-0.180987332060907</v>
          </cell>
          <cell r="H24">
            <v>26</v>
          </cell>
          <cell r="I24">
            <v>-0.15090431531885801</v>
          </cell>
          <cell r="J24">
            <v>32</v>
          </cell>
          <cell r="K24">
            <v>-0.17767175741094701</v>
          </cell>
          <cell r="L24">
            <v>35</v>
          </cell>
          <cell r="M24">
            <v>3.0083016742048996E-2</v>
          </cell>
          <cell r="N24">
            <v>3.3155746499599903E-3</v>
          </cell>
        </row>
        <row r="25">
          <cell r="A25">
            <v>210034</v>
          </cell>
          <cell r="B25" t="str">
            <v>Medstar Harbor Hospital Center</v>
          </cell>
          <cell r="C25" t="str">
            <v>Baltimore</v>
          </cell>
          <cell r="D25" t="str">
            <v>Yes</v>
          </cell>
          <cell r="E25">
            <v>4</v>
          </cell>
          <cell r="F25">
            <v>1</v>
          </cell>
          <cell r="G25">
            <v>-4.9706706324616601E-2</v>
          </cell>
          <cell r="H25">
            <v>10</v>
          </cell>
          <cell r="I25">
            <v>-7.5196732312444697E-2</v>
          </cell>
          <cell r="J25">
            <v>16</v>
          </cell>
          <cell r="K25">
            <v>-6.6277501468417502E-2</v>
          </cell>
          <cell r="L25">
            <v>12</v>
          </cell>
          <cell r="M25">
            <v>-2.5490025987828097E-2</v>
          </cell>
          <cell r="N25">
            <v>-1.6570795143800901E-2</v>
          </cell>
        </row>
        <row r="26">
          <cell r="A26">
            <v>210035</v>
          </cell>
          <cell r="B26" t="str">
            <v>Um-Charles Regional Medical Center</v>
          </cell>
          <cell r="C26" t="str">
            <v>Charles</v>
          </cell>
          <cell r="D26" t="str">
            <v>No</v>
          </cell>
          <cell r="E26">
            <v>3</v>
          </cell>
          <cell r="F26">
            <v>0</v>
          </cell>
          <cell r="G26">
            <v>-0.13236799320060799</v>
          </cell>
          <cell r="H26">
            <v>20</v>
          </cell>
          <cell r="I26">
            <v>-7.4006795896712801E-2</v>
          </cell>
          <cell r="J26">
            <v>15</v>
          </cell>
          <cell r="K26">
            <v>-9.4740068676510705E-2</v>
          </cell>
          <cell r="L26">
            <v>15</v>
          </cell>
          <cell r="M26">
            <v>5.836119730389519E-2</v>
          </cell>
          <cell r="N26">
            <v>3.7627924524097286E-2</v>
          </cell>
        </row>
        <row r="27">
          <cell r="A27">
            <v>210037</v>
          </cell>
          <cell r="B27" t="str">
            <v>Um-Shore Regional Health At Easton</v>
          </cell>
          <cell r="C27" t="str">
            <v>Talbot</v>
          </cell>
          <cell r="D27" t="str">
            <v>No</v>
          </cell>
          <cell r="E27">
            <v>3</v>
          </cell>
          <cell r="F27">
            <v>0</v>
          </cell>
          <cell r="G27">
            <v>-0.22501825980784501</v>
          </cell>
          <cell r="H27">
            <v>34</v>
          </cell>
          <cell r="I27">
            <v>-0.154935101200387</v>
          </cell>
          <cell r="J27">
            <v>34</v>
          </cell>
          <cell r="K27">
            <v>-0.168030564089962</v>
          </cell>
          <cell r="L27">
            <v>33</v>
          </cell>
          <cell r="M27">
            <v>7.0083158607458007E-2</v>
          </cell>
          <cell r="N27">
            <v>5.6987695717883008E-2</v>
          </cell>
        </row>
        <row r="28">
          <cell r="A28">
            <v>210038</v>
          </cell>
          <cell r="B28" t="str">
            <v>Ummc Midtown Campus</v>
          </cell>
          <cell r="C28" t="str">
            <v>Baltimore</v>
          </cell>
          <cell r="D28" t="str">
            <v>Yes</v>
          </cell>
          <cell r="E28">
            <v>4</v>
          </cell>
          <cell r="F28">
            <v>1</v>
          </cell>
          <cell r="G28">
            <v>-0.238416463535848</v>
          </cell>
          <cell r="H28">
            <v>36</v>
          </cell>
          <cell r="I28">
            <v>-0.215065587485329</v>
          </cell>
          <cell r="J28">
            <v>39</v>
          </cell>
          <cell r="K28">
            <v>-0.19543855578712399</v>
          </cell>
          <cell r="L28">
            <v>36</v>
          </cell>
          <cell r="M28">
            <v>2.3350876050518998E-2</v>
          </cell>
          <cell r="N28">
            <v>4.2977907748724009E-2</v>
          </cell>
        </row>
        <row r="29">
          <cell r="A29">
            <v>210039</v>
          </cell>
          <cell r="B29" t="str">
            <v>Calvert Memorial Hospital</v>
          </cell>
          <cell r="C29" t="str">
            <v>Calvert</v>
          </cell>
          <cell r="D29" t="str">
            <v>No</v>
          </cell>
          <cell r="E29">
            <v>3</v>
          </cell>
          <cell r="F29">
            <v>0</v>
          </cell>
          <cell r="G29">
            <v>-0.19222450233657201</v>
          </cell>
          <cell r="H29">
            <v>28</v>
          </cell>
          <cell r="I29">
            <v>-0.153786322384623</v>
          </cell>
          <cell r="J29">
            <v>33</v>
          </cell>
          <cell r="K29">
            <v>-0.17766353755178599</v>
          </cell>
          <cell r="L29">
            <v>34</v>
          </cell>
          <cell r="M29">
            <v>3.8438179951949009E-2</v>
          </cell>
          <cell r="N29">
            <v>1.4560964784786024E-2</v>
          </cell>
        </row>
        <row r="30">
          <cell r="A30">
            <v>210040</v>
          </cell>
          <cell r="B30" t="str">
            <v>Northwest Hospital Center</v>
          </cell>
          <cell r="C30" t="str">
            <v>Baltimore Co.</v>
          </cell>
          <cell r="D30" t="str">
            <v>No</v>
          </cell>
          <cell r="E30">
            <v>3</v>
          </cell>
          <cell r="F30">
            <v>0</v>
          </cell>
          <cell r="G30">
            <v>-0.23475229134623399</v>
          </cell>
          <cell r="H30">
            <v>35</v>
          </cell>
          <cell r="I30">
            <v>-0.13841941233885799</v>
          </cell>
          <cell r="J30">
            <v>29</v>
          </cell>
          <cell r="K30">
            <v>-0.14379802091549701</v>
          </cell>
          <cell r="L30">
            <v>27</v>
          </cell>
          <cell r="M30">
            <v>9.6332879007375999E-2</v>
          </cell>
          <cell r="N30">
            <v>9.0954270430736978E-2</v>
          </cell>
        </row>
        <row r="31">
          <cell r="A31">
            <v>210043</v>
          </cell>
          <cell r="B31" t="str">
            <v>Um-Baltimore Washington Medical Center</v>
          </cell>
          <cell r="C31" t="str">
            <v>Anne Arundel</v>
          </cell>
          <cell r="D31" t="str">
            <v>Yes</v>
          </cell>
          <cell r="E31">
            <v>1</v>
          </cell>
          <cell r="F31">
            <v>0</v>
          </cell>
          <cell r="G31">
            <v>-7.6867083931631705E-2</v>
          </cell>
          <cell r="H31">
            <v>13</v>
          </cell>
          <cell r="I31">
            <v>-3.4451788785008902E-2</v>
          </cell>
          <cell r="J31">
            <v>9</v>
          </cell>
          <cell r="K31">
            <v>-5.4555629318986797E-2</v>
          </cell>
          <cell r="L31">
            <v>9</v>
          </cell>
          <cell r="M31">
            <v>4.2415295146622803E-2</v>
          </cell>
          <cell r="N31">
            <v>2.2311454612644908E-2</v>
          </cell>
        </row>
        <row r="32">
          <cell r="A32">
            <v>210044</v>
          </cell>
          <cell r="B32" t="str">
            <v>Greater Baltimore Medical Center</v>
          </cell>
          <cell r="C32" t="str">
            <v>Baltimore Co.</v>
          </cell>
          <cell r="D32" t="str">
            <v>Yes</v>
          </cell>
          <cell r="E32">
            <v>1</v>
          </cell>
          <cell r="F32">
            <v>0</v>
          </cell>
          <cell r="G32">
            <v>-6.1799435157503697E-2</v>
          </cell>
          <cell r="H32">
            <v>11</v>
          </cell>
          <cell r="I32">
            <v>-8.3242845063463203E-2</v>
          </cell>
          <cell r="J32">
            <v>17</v>
          </cell>
          <cell r="K32">
            <v>-0.121137425460189</v>
          </cell>
          <cell r="L32">
            <v>22</v>
          </cell>
          <cell r="M32">
            <v>-2.1443409905959505E-2</v>
          </cell>
          <cell r="N32">
            <v>-5.9337990302685308E-2</v>
          </cell>
        </row>
        <row r="33">
          <cell r="A33">
            <v>210048</v>
          </cell>
          <cell r="B33" t="str">
            <v>Howard County General Hospital</v>
          </cell>
          <cell r="C33" t="str">
            <v>Howard</v>
          </cell>
          <cell r="D33" t="str">
            <v>No</v>
          </cell>
          <cell r="E33">
            <v>3</v>
          </cell>
          <cell r="F33">
            <v>0</v>
          </cell>
          <cell r="G33">
            <v>-4.8449256911173202E-2</v>
          </cell>
          <cell r="H33">
            <v>8</v>
          </cell>
          <cell r="I33">
            <v>-6.9996293275344E-3</v>
          </cell>
          <cell r="J33">
            <v>5</v>
          </cell>
          <cell r="K33">
            <v>-3.6228848808026501E-2</v>
          </cell>
          <cell r="L33">
            <v>6</v>
          </cell>
          <cell r="M33">
            <v>4.14496275836388E-2</v>
          </cell>
          <cell r="N33">
            <v>1.2220408103146702E-2</v>
          </cell>
        </row>
        <row r="34">
          <cell r="A34">
            <v>210049</v>
          </cell>
          <cell r="B34" t="str">
            <v>Um-Upper Chesapeake Medical Center</v>
          </cell>
          <cell r="C34" t="str">
            <v>Harford</v>
          </cell>
          <cell r="D34" t="str">
            <v>No</v>
          </cell>
          <cell r="E34">
            <v>3</v>
          </cell>
          <cell r="F34">
            <v>0</v>
          </cell>
          <cell r="G34">
            <v>-9.8063152060394204E-2</v>
          </cell>
          <cell r="H34">
            <v>15</v>
          </cell>
          <cell r="I34">
            <v>-8.5336044313662901E-2</v>
          </cell>
          <cell r="J34">
            <v>18</v>
          </cell>
          <cell r="K34">
            <v>-0.12068427531607601</v>
          </cell>
          <cell r="L34">
            <v>21</v>
          </cell>
          <cell r="M34">
            <v>1.2727107746731303E-2</v>
          </cell>
          <cell r="N34">
            <v>-2.2621123255681802E-2</v>
          </cell>
        </row>
        <row r="35">
          <cell r="A35">
            <v>210051</v>
          </cell>
          <cell r="B35" t="str">
            <v>Doctors Community Hospital</v>
          </cell>
          <cell r="C35" t="str">
            <v>Prince Georges</v>
          </cell>
          <cell r="D35" t="str">
            <v>No</v>
          </cell>
          <cell r="E35">
            <v>3</v>
          </cell>
          <cell r="F35">
            <v>0</v>
          </cell>
          <cell r="G35">
            <v>-0.13756174503618601</v>
          </cell>
          <cell r="H35">
            <v>21</v>
          </cell>
          <cell r="I35">
            <v>-6.5155656185196906E-2</v>
          </cell>
          <cell r="J35">
            <v>12</v>
          </cell>
          <cell r="K35">
            <v>-8.1622871819225506E-2</v>
          </cell>
          <cell r="L35">
            <v>14</v>
          </cell>
          <cell r="M35">
            <v>7.2406088850989106E-2</v>
          </cell>
          <cell r="N35">
            <v>5.5938873216960505E-2</v>
          </cell>
        </row>
        <row r="36">
          <cell r="A36">
            <v>210056</v>
          </cell>
          <cell r="B36" t="str">
            <v>Medstar Good Samaritan</v>
          </cell>
          <cell r="C36" t="str">
            <v>Baltimore</v>
          </cell>
          <cell r="D36" t="str">
            <v>Yes</v>
          </cell>
          <cell r="E36">
            <v>1</v>
          </cell>
          <cell r="F36">
            <v>1</v>
          </cell>
          <cell r="G36">
            <v>-0.21627167645258599</v>
          </cell>
          <cell r="H36">
            <v>32</v>
          </cell>
          <cell r="I36">
            <v>-0.117527741916664</v>
          </cell>
          <cell r="J36">
            <v>25</v>
          </cell>
          <cell r="K36">
            <v>-0.11540612018443</v>
          </cell>
          <cell r="L36">
            <v>20</v>
          </cell>
          <cell r="M36">
            <v>9.8743934535921993E-2</v>
          </cell>
          <cell r="N36">
            <v>0.10086555626815599</v>
          </cell>
        </row>
        <row r="37">
          <cell r="A37">
            <v>210057</v>
          </cell>
          <cell r="B37" t="str">
            <v>Shady Grove Adventist Hospital</v>
          </cell>
          <cell r="C37" t="str">
            <v>Montgomery</v>
          </cell>
          <cell r="D37" t="str">
            <v>Yes</v>
          </cell>
          <cell r="E37">
            <v>3</v>
          </cell>
          <cell r="F37">
            <v>0</v>
          </cell>
          <cell r="G37">
            <v>-0.18980143381689499</v>
          </cell>
          <cell r="H37">
            <v>27</v>
          </cell>
          <cell r="I37">
            <v>-0.11713344104797301</v>
          </cell>
          <cell r="J37">
            <v>24</v>
          </cell>
          <cell r="K37">
            <v>-0.13126582953758201</v>
          </cell>
          <cell r="L37">
            <v>24</v>
          </cell>
          <cell r="M37">
            <v>7.2667992768921982E-2</v>
          </cell>
          <cell r="N37">
            <v>5.853560427931298E-2</v>
          </cell>
        </row>
        <row r="38">
          <cell r="A38">
            <v>210058</v>
          </cell>
          <cell r="B38" t="str">
            <v>Um-Rehabilitation &amp;Amp; Orthopaedic Institute</v>
          </cell>
          <cell r="C38" t="str">
            <v>Baltimore</v>
          </cell>
          <cell r="D38" t="str">
            <v>Yes</v>
          </cell>
          <cell r="E38">
            <v>1</v>
          </cell>
          <cell r="F38">
            <v>1</v>
          </cell>
          <cell r="G38">
            <v>-0.25730761620988502</v>
          </cell>
          <cell r="H38">
            <v>39</v>
          </cell>
          <cell r="I38">
            <v>-0.19608837346937999</v>
          </cell>
          <cell r="J38">
            <v>37</v>
          </cell>
          <cell r="K38">
            <v>-0.20338927186477099</v>
          </cell>
          <cell r="L38">
            <v>38</v>
          </cell>
          <cell r="M38">
            <v>6.1219242740505025E-2</v>
          </cell>
          <cell r="N38">
            <v>5.3918344345114028E-2</v>
          </cell>
        </row>
        <row r="39">
          <cell r="A39">
            <v>210060</v>
          </cell>
          <cell r="B39" t="str">
            <v>Fort Washington Medical Center</v>
          </cell>
          <cell r="C39" t="str">
            <v>Prince Georges</v>
          </cell>
          <cell r="D39" t="str">
            <v>No</v>
          </cell>
          <cell r="E39">
            <v>3</v>
          </cell>
          <cell r="F39">
            <v>0</v>
          </cell>
          <cell r="G39">
            <v>-3.7374749110922201E-2</v>
          </cell>
          <cell r="H39">
            <v>5</v>
          </cell>
          <cell r="I39">
            <v>7.1465583235375899E-2</v>
          </cell>
          <cell r="J39">
            <v>2</v>
          </cell>
          <cell r="K39">
            <v>6.1149046430477999E-2</v>
          </cell>
          <cell r="L39">
            <v>2</v>
          </cell>
          <cell r="M39">
            <v>0.1088403323462981</v>
          </cell>
          <cell r="N39">
            <v>9.85237955414002E-2</v>
          </cell>
        </row>
        <row r="40">
          <cell r="A40">
            <v>210061</v>
          </cell>
          <cell r="B40" t="str">
            <v>Atlantic General Hospital</v>
          </cell>
          <cell r="C40" t="str">
            <v>Worcester</v>
          </cell>
          <cell r="D40" t="str">
            <v>No</v>
          </cell>
          <cell r="E40">
            <v>3</v>
          </cell>
          <cell r="F40">
            <v>0</v>
          </cell>
          <cell r="G40">
            <v>-2.2733608389422E-2</v>
          </cell>
          <cell r="H40">
            <v>4</v>
          </cell>
          <cell r="I40">
            <v>2.3636505518021E-4</v>
          </cell>
          <cell r="J40">
            <v>4</v>
          </cell>
          <cell r="K40">
            <v>-3.5422624976012701E-2</v>
          </cell>
          <cell r="L40">
            <v>5</v>
          </cell>
          <cell r="M40">
            <v>2.296997344460221E-2</v>
          </cell>
          <cell r="N40">
            <v>-1.2689016586590701E-2</v>
          </cell>
        </row>
        <row r="41">
          <cell r="A41">
            <v>210062</v>
          </cell>
          <cell r="B41" t="str">
            <v>Medstar Southern Maryland Hospital Center</v>
          </cell>
          <cell r="C41" t="str">
            <v>Prince Georges</v>
          </cell>
          <cell r="D41" t="str">
            <v>No</v>
          </cell>
          <cell r="E41">
            <v>3</v>
          </cell>
          <cell r="F41">
            <v>0</v>
          </cell>
          <cell r="G41">
            <v>-0.27183738624735299</v>
          </cell>
          <cell r="H41">
            <v>40</v>
          </cell>
          <cell r="I41">
            <v>-0.193938043479773</v>
          </cell>
          <cell r="J41">
            <v>36</v>
          </cell>
          <cell r="K41">
            <v>-0.20301690251643101</v>
          </cell>
          <cell r="L41">
            <v>37</v>
          </cell>
          <cell r="M41">
            <v>7.7899342767579982E-2</v>
          </cell>
          <cell r="N41">
            <v>6.8820483730921977E-2</v>
          </cell>
        </row>
        <row r="42">
          <cell r="A42">
            <v>210063</v>
          </cell>
          <cell r="B42" t="str">
            <v>Um-St. Joseph Medical Center</v>
          </cell>
          <cell r="C42" t="str">
            <v>Baltimore Co.</v>
          </cell>
          <cell r="D42" t="str">
            <v>No</v>
          </cell>
          <cell r="E42">
            <v>3</v>
          </cell>
          <cell r="F42">
            <v>0</v>
          </cell>
          <cell r="G42">
            <v>-0.112600954938249</v>
          </cell>
          <cell r="H42">
            <v>17</v>
          </cell>
          <cell r="I42">
            <v>-0.108102920543591</v>
          </cell>
          <cell r="J42">
            <v>23</v>
          </cell>
          <cell r="K42">
            <v>-0.14519028029467501</v>
          </cell>
          <cell r="L42">
            <v>28</v>
          </cell>
          <cell r="M42">
            <v>4.4980343946579987E-3</v>
          </cell>
          <cell r="N42">
            <v>-3.2589325356426016E-2</v>
          </cell>
        </row>
        <row r="44">
          <cell r="B44"/>
          <cell r="C44"/>
          <cell r="D44"/>
          <cell r="E44"/>
          <cell r="F44" t="str">
            <v>Average ICC</v>
          </cell>
          <cell r="G44">
            <v>-0.13665275113096723</v>
          </cell>
          <cell r="I44">
            <v>-9.7706944326254416E-2</v>
          </cell>
          <cell r="K44">
            <v>-0.11329169802505157</v>
          </cell>
          <cell r="M44">
            <v>3.8945806804712851E-2</v>
          </cell>
          <cell r="N44">
            <v>2.3361053105915748E-2</v>
          </cell>
        </row>
        <row r="45">
          <cell r="B45"/>
          <cell r="C45"/>
          <cell r="D45"/>
          <cell r="E45"/>
          <cell r="F45" t="str">
            <v>ICC variance</v>
          </cell>
          <cell r="G45">
            <v>8.2253587245711707E-3</v>
          </cell>
          <cell r="I45">
            <v>6.5855880734578274E-3</v>
          </cell>
          <cell r="K45">
            <v>6.072494035528452E-3</v>
          </cell>
          <cell r="M45"/>
          <cell r="N45"/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DSH FOR FISCAL YEAR 2022 "/>
      <sheetName val="Poor Share Comparison"/>
    </sheetNames>
    <sheetDataSet>
      <sheetData sheetId="0">
        <row r="1">
          <cell r="A1" t="str">
            <v>HOSPID</v>
          </cell>
          <cell r="B1" t="str">
            <v>FYEAR</v>
          </cell>
          <cell r="C1" t="str">
            <v>IPCASES</v>
          </cell>
          <cell r="D1" t="str">
            <v>IPTOT_CHG</v>
          </cell>
          <cell r="E1" t="str">
            <v>OPCASES</v>
          </cell>
          <cell r="F1" t="str">
            <v>OPTOT_CHG</v>
          </cell>
          <cell r="G1" t="str">
            <v xml:space="preserve"> Total Cases </v>
          </cell>
          <cell r="H1" t="str">
            <v xml:space="preserve"> Total Charges </v>
          </cell>
          <cell r="I1" t="str">
            <v>MDCHG</v>
          </cell>
          <cell r="J1" t="str">
            <v>MDCHG_OOS</v>
          </cell>
          <cell r="K1" t="str">
            <v>SELFCHG</v>
          </cell>
          <cell r="L1" t="str">
            <v>DUALCHG</v>
          </cell>
          <cell r="M1" t="str">
            <v>OUPT_MDCHG</v>
          </cell>
          <cell r="N1" t="str">
            <v>OUPT_MDCHG_OOS</v>
          </cell>
          <cell r="O1" t="str">
            <v>OP_DUALCHG</v>
          </cell>
          <cell r="P1" t="str">
            <v>OUPT_SELFCHG</v>
          </cell>
          <cell r="Q1" t="str">
            <v>Poor Share</v>
          </cell>
        </row>
        <row r="2">
          <cell r="A2">
            <v>210001</v>
          </cell>
          <cell r="B2">
            <v>2022</v>
          </cell>
          <cell r="C2">
            <v>16099</v>
          </cell>
          <cell r="D2">
            <v>238902769.52000001</v>
          </cell>
          <cell r="E2">
            <v>86844</v>
          </cell>
          <cell r="F2">
            <v>189537698.05000001</v>
          </cell>
          <cell r="G2">
            <v>102943</v>
          </cell>
          <cell r="H2">
            <v>428440467.57000005</v>
          </cell>
          <cell r="I2">
            <v>45616033.579999998</v>
          </cell>
          <cell r="J2">
            <v>2685242.87</v>
          </cell>
          <cell r="K2">
            <v>4223101.3899999997</v>
          </cell>
          <cell r="L2">
            <v>25748482.91</v>
          </cell>
          <cell r="M2">
            <v>34497287.719999999</v>
          </cell>
          <cell r="N2">
            <v>3185326.3</v>
          </cell>
          <cell r="O2">
            <v>10794880.93</v>
          </cell>
          <cell r="P2">
            <v>4417631.8</v>
          </cell>
          <cell r="Q2">
            <v>0.30615219016063022</v>
          </cell>
        </row>
        <row r="3">
          <cell r="A3">
            <v>210002</v>
          </cell>
          <cell r="B3">
            <v>2022</v>
          </cell>
          <cell r="C3">
            <v>21288</v>
          </cell>
          <cell r="D3">
            <v>1161411232.9000001</v>
          </cell>
          <cell r="E3">
            <v>216491</v>
          </cell>
          <cell r="F3">
            <v>602981404.09000003</v>
          </cell>
          <cell r="G3">
            <v>237779</v>
          </cell>
          <cell r="H3">
            <v>1764392636.9900002</v>
          </cell>
          <cell r="I3">
            <v>314376318.73000002</v>
          </cell>
          <cell r="J3">
            <v>9445761.2899999991</v>
          </cell>
          <cell r="K3">
            <v>4921376.46</v>
          </cell>
          <cell r="L3">
            <v>117155663.36</v>
          </cell>
          <cell r="M3">
            <v>139816079.22999999</v>
          </cell>
          <cell r="N3">
            <v>1537783.94</v>
          </cell>
          <cell r="O3">
            <v>46129408.159999996</v>
          </cell>
          <cell r="P3">
            <v>6484676.71</v>
          </cell>
          <cell r="Q3">
            <v>0.36265571192339235</v>
          </cell>
        </row>
        <row r="4">
          <cell r="A4">
            <v>210003</v>
          </cell>
          <cell r="B4">
            <v>2022</v>
          </cell>
          <cell r="C4">
            <v>10820</v>
          </cell>
          <cell r="D4">
            <v>295316883.19999999</v>
          </cell>
          <cell r="E4">
            <v>40073</v>
          </cell>
          <cell r="F4">
            <v>93948606.019999996</v>
          </cell>
          <cell r="G4">
            <v>50893</v>
          </cell>
          <cell r="H4">
            <v>389265489.21999997</v>
          </cell>
          <cell r="I4">
            <v>81515440.239999995</v>
          </cell>
          <cell r="J4">
            <v>12656251.93</v>
          </cell>
          <cell r="K4">
            <v>7081273.5700000003</v>
          </cell>
          <cell r="L4">
            <v>23539141.199999999</v>
          </cell>
          <cell r="M4">
            <v>27355444.199999999</v>
          </cell>
          <cell r="N4">
            <v>3873129.6</v>
          </cell>
          <cell r="O4">
            <v>5133377.1900000004</v>
          </cell>
          <cell r="P4">
            <v>6037454.7000000002</v>
          </cell>
          <cell r="Q4">
            <v>0.42950509937321685</v>
          </cell>
        </row>
        <row r="5">
          <cell r="A5">
            <v>210004</v>
          </cell>
          <cell r="B5">
            <v>2022</v>
          </cell>
          <cell r="C5">
            <v>29739</v>
          </cell>
          <cell r="D5">
            <v>408057087.25</v>
          </cell>
          <cell r="E5">
            <v>91023</v>
          </cell>
          <cell r="F5">
            <v>168234763.47999999</v>
          </cell>
          <cell r="G5">
            <v>120762</v>
          </cell>
          <cell r="H5">
            <v>576291850.73000002</v>
          </cell>
          <cell r="I5">
            <v>102953388.06</v>
          </cell>
          <cell r="J5">
            <v>3858743.87</v>
          </cell>
          <cell r="K5">
            <v>16312295.17</v>
          </cell>
          <cell r="L5">
            <v>24568607.260000002</v>
          </cell>
          <cell r="M5">
            <v>32652381.260000002</v>
          </cell>
          <cell r="N5">
            <v>1523746.89</v>
          </cell>
          <cell r="O5">
            <v>6456819.6799999997</v>
          </cell>
          <cell r="P5">
            <v>22868825.66</v>
          </cell>
          <cell r="Q5">
            <v>0.36647196656082409</v>
          </cell>
        </row>
        <row r="6">
          <cell r="A6">
            <v>210005</v>
          </cell>
          <cell r="B6">
            <v>2022</v>
          </cell>
          <cell r="C6">
            <v>16986</v>
          </cell>
          <cell r="D6">
            <v>254804964.44</v>
          </cell>
          <cell r="E6">
            <v>73837</v>
          </cell>
          <cell r="F6">
            <v>140594513.25</v>
          </cell>
          <cell r="G6">
            <v>90823</v>
          </cell>
          <cell r="H6">
            <v>395399477.69</v>
          </cell>
          <cell r="I6">
            <v>37549790.579999998</v>
          </cell>
          <cell r="J6">
            <v>401413.39</v>
          </cell>
          <cell r="K6">
            <v>4501787.46</v>
          </cell>
          <cell r="L6">
            <v>17263361.559999999</v>
          </cell>
          <cell r="M6">
            <v>21239327.940000001</v>
          </cell>
          <cell r="N6">
            <v>570171.78</v>
          </cell>
          <cell r="O6">
            <v>5840225.6299999999</v>
          </cell>
          <cell r="P6">
            <v>4672055.9400000004</v>
          </cell>
          <cell r="Q6">
            <v>0.23277252367075577</v>
          </cell>
        </row>
        <row r="7">
          <cell r="A7">
            <v>210006</v>
          </cell>
          <cell r="B7">
            <v>2022</v>
          </cell>
          <cell r="C7">
            <v>3837</v>
          </cell>
          <cell r="D7">
            <v>69953549.909999996</v>
          </cell>
          <cell r="E7">
            <v>36939</v>
          </cell>
          <cell r="F7">
            <v>49088576.869999997</v>
          </cell>
          <cell r="G7">
            <v>40776</v>
          </cell>
          <cell r="H7">
            <v>119042126.78</v>
          </cell>
          <cell r="I7">
            <v>15120243.619999999</v>
          </cell>
          <cell r="J7">
            <v>398122.68</v>
          </cell>
          <cell r="K7">
            <v>535189.12</v>
          </cell>
          <cell r="L7">
            <v>9712456.1500000004</v>
          </cell>
          <cell r="M7">
            <v>12328674.050000001</v>
          </cell>
          <cell r="N7">
            <v>271914.96999999997</v>
          </cell>
          <cell r="O7">
            <v>3646408.17</v>
          </cell>
          <cell r="P7">
            <v>594190.06000000006</v>
          </cell>
          <cell r="Q7">
            <v>0.35791698260517257</v>
          </cell>
        </row>
        <row r="8">
          <cell r="A8">
            <v>210008</v>
          </cell>
          <cell r="B8">
            <v>2022</v>
          </cell>
          <cell r="C8">
            <v>11915</v>
          </cell>
          <cell r="D8">
            <v>212484675.31</v>
          </cell>
          <cell r="E8">
            <v>253632</v>
          </cell>
          <cell r="F8">
            <v>415181071.06</v>
          </cell>
          <cell r="G8">
            <v>265547</v>
          </cell>
          <cell r="H8">
            <v>627665746.37</v>
          </cell>
          <cell r="I8">
            <v>55929513.509999998</v>
          </cell>
          <cell r="J8">
            <v>611430.25</v>
          </cell>
          <cell r="K8">
            <v>3463118.48</v>
          </cell>
          <cell r="L8">
            <v>22687835.989999998</v>
          </cell>
          <cell r="M8">
            <v>64742024.850000001</v>
          </cell>
          <cell r="N8">
            <v>407883.67</v>
          </cell>
          <cell r="O8">
            <v>29888233.59</v>
          </cell>
          <cell r="P8">
            <v>7405679.0300000003</v>
          </cell>
          <cell r="Q8">
            <v>0.29495909318088726</v>
          </cell>
        </row>
        <row r="9">
          <cell r="A9">
            <v>210009</v>
          </cell>
          <cell r="B9">
            <v>2022</v>
          </cell>
          <cell r="C9">
            <v>40370</v>
          </cell>
          <cell r="D9">
            <v>1692206314.0999999</v>
          </cell>
          <cell r="E9">
            <v>673485</v>
          </cell>
          <cell r="F9">
            <v>1108995606.4000001</v>
          </cell>
          <cell r="G9">
            <v>713855</v>
          </cell>
          <cell r="H9">
            <v>2801201920.5</v>
          </cell>
          <cell r="I9">
            <v>346113602.32999998</v>
          </cell>
          <cell r="J9">
            <v>21226443.07</v>
          </cell>
          <cell r="K9">
            <v>33630252.549999997</v>
          </cell>
          <cell r="L9">
            <v>117556449.64</v>
          </cell>
          <cell r="M9">
            <v>178225606.03999999</v>
          </cell>
          <cell r="N9">
            <v>7248142.7000000002</v>
          </cell>
          <cell r="O9">
            <v>59825641.950000003</v>
          </cell>
          <cell r="P9">
            <v>26693473.609999999</v>
          </cell>
          <cell r="Q9">
            <v>0.28220729327106003</v>
          </cell>
        </row>
        <row r="10">
          <cell r="A10">
            <v>210010</v>
          </cell>
          <cell r="B10">
            <v>2022</v>
          </cell>
          <cell r="C10">
            <v>106</v>
          </cell>
          <cell r="D10">
            <v>1325603.71</v>
          </cell>
          <cell r="E10">
            <v>18645</v>
          </cell>
          <cell r="F10">
            <v>20536146.469999999</v>
          </cell>
          <cell r="G10">
            <v>18751</v>
          </cell>
          <cell r="H10">
            <v>21861750.18</v>
          </cell>
          <cell r="I10">
            <v>614242.81000000006</v>
          </cell>
          <cell r="K10">
            <v>42846.55</v>
          </cell>
          <cell r="L10">
            <v>243425.45</v>
          </cell>
          <cell r="M10">
            <v>8310331.8899999997</v>
          </cell>
          <cell r="N10">
            <v>114096.33</v>
          </cell>
          <cell r="O10">
            <v>1987001.87</v>
          </cell>
          <cell r="P10">
            <v>758538.13</v>
          </cell>
          <cell r="Q10">
            <v>0.5521279371787241</v>
          </cell>
        </row>
        <row r="11">
          <cell r="A11">
            <v>210011</v>
          </cell>
          <cell r="B11">
            <v>2022</v>
          </cell>
          <cell r="C11">
            <v>11369</v>
          </cell>
          <cell r="D11">
            <v>227138796.83000001</v>
          </cell>
          <cell r="E11">
            <v>103617</v>
          </cell>
          <cell r="F11">
            <v>238441605.93000001</v>
          </cell>
          <cell r="G11">
            <v>114986</v>
          </cell>
          <cell r="H11">
            <v>465580402.75999999</v>
          </cell>
          <cell r="I11">
            <v>60801299.200000003</v>
          </cell>
          <cell r="J11">
            <v>69749.11</v>
          </cell>
          <cell r="K11">
            <v>3672195.98</v>
          </cell>
          <cell r="L11">
            <v>26155058.079999998</v>
          </cell>
          <cell r="M11">
            <v>50365411.880000003</v>
          </cell>
          <cell r="N11">
            <v>74789.960000000006</v>
          </cell>
          <cell r="O11">
            <v>16337685.1</v>
          </cell>
          <cell r="P11">
            <v>13349435.4</v>
          </cell>
          <cell r="Q11">
            <v>0.36690896716728466</v>
          </cell>
        </row>
        <row r="12">
          <cell r="A12">
            <v>210012</v>
          </cell>
          <cell r="B12">
            <v>2022</v>
          </cell>
          <cell r="C12">
            <v>17622</v>
          </cell>
          <cell r="D12">
            <v>522100743.76999998</v>
          </cell>
          <cell r="E12">
            <v>171351</v>
          </cell>
          <cell r="F12">
            <v>413795042.06999999</v>
          </cell>
          <cell r="G12">
            <v>188973</v>
          </cell>
          <cell r="H12">
            <v>935895785.83999991</v>
          </cell>
          <cell r="I12">
            <v>139128120.30000001</v>
          </cell>
          <cell r="J12">
            <v>309110.18</v>
          </cell>
          <cell r="K12">
            <v>3656623.68</v>
          </cell>
          <cell r="L12">
            <v>76313726.560000002</v>
          </cell>
          <cell r="M12">
            <v>98380952.760000005</v>
          </cell>
          <cell r="N12">
            <v>416550.62</v>
          </cell>
          <cell r="O12">
            <v>37388114.43</v>
          </cell>
          <cell r="P12">
            <v>5715252.0800000001</v>
          </cell>
          <cell r="Q12">
            <v>0.38605628540758175</v>
          </cell>
        </row>
        <row r="13">
          <cell r="A13">
            <v>210013</v>
          </cell>
          <cell r="B13">
            <v>2022</v>
          </cell>
          <cell r="E13">
            <v>23797</v>
          </cell>
          <cell r="F13">
            <v>34372650.200000003</v>
          </cell>
          <cell r="G13">
            <v>23797</v>
          </cell>
          <cell r="H13">
            <v>34372650.200000003</v>
          </cell>
          <cell r="M13">
            <v>20006163.280000001</v>
          </cell>
          <cell r="N13">
            <v>85762.94</v>
          </cell>
          <cell r="O13">
            <v>6687438.79</v>
          </cell>
          <cell r="P13">
            <v>717453.78</v>
          </cell>
          <cell r="Q13">
            <v>0.79996213937556671</v>
          </cell>
        </row>
        <row r="14">
          <cell r="A14">
            <v>210015</v>
          </cell>
          <cell r="B14">
            <v>2022</v>
          </cell>
          <cell r="C14">
            <v>19053</v>
          </cell>
          <cell r="D14">
            <v>331071816.82999998</v>
          </cell>
          <cell r="E14">
            <v>130204</v>
          </cell>
          <cell r="F14">
            <v>277241645.81999999</v>
          </cell>
          <cell r="G14">
            <v>149257</v>
          </cell>
          <cell r="H14">
            <v>608313462.64999998</v>
          </cell>
          <cell r="I14">
            <v>89336217.829999998</v>
          </cell>
          <cell r="J14">
            <v>804322.48</v>
          </cell>
          <cell r="K14">
            <v>3009129.8</v>
          </cell>
          <cell r="L14">
            <v>36543986.240000002</v>
          </cell>
          <cell r="M14">
            <v>74891570.510000005</v>
          </cell>
          <cell r="N14">
            <v>264470.55</v>
          </cell>
          <cell r="O14">
            <v>21940595.91</v>
          </cell>
          <cell r="P14">
            <v>3908463.12</v>
          </cell>
          <cell r="Q14">
            <v>0.37924322015660394</v>
          </cell>
        </row>
        <row r="15">
          <cell r="A15">
            <v>210016</v>
          </cell>
          <cell r="B15">
            <v>2022</v>
          </cell>
          <cell r="C15">
            <v>11736</v>
          </cell>
          <cell r="D15">
            <v>261210633.13</v>
          </cell>
          <cell r="E15">
            <v>41363</v>
          </cell>
          <cell r="F15">
            <v>115539519.51000001</v>
          </cell>
          <cell r="G15">
            <v>53099</v>
          </cell>
          <cell r="H15">
            <v>376750152.63999999</v>
          </cell>
          <cell r="I15">
            <v>64367542.880000003</v>
          </cell>
          <cell r="J15">
            <v>2435166.52</v>
          </cell>
          <cell r="K15">
            <v>4369155.37</v>
          </cell>
          <cell r="L15">
            <v>26222846.989999998</v>
          </cell>
          <cell r="M15">
            <v>21008415.350000001</v>
          </cell>
          <cell r="N15">
            <v>817563.42</v>
          </cell>
          <cell r="O15">
            <v>7757735.9400000004</v>
          </cell>
          <cell r="P15">
            <v>7832572.1900000004</v>
          </cell>
          <cell r="Q15">
            <v>0.3578259961285733</v>
          </cell>
        </row>
        <row r="16">
          <cell r="A16">
            <v>210017</v>
          </cell>
          <cell r="B16">
            <v>2022</v>
          </cell>
          <cell r="C16">
            <v>1723</v>
          </cell>
          <cell r="D16">
            <v>23270439.739999998</v>
          </cell>
          <cell r="E16">
            <v>57279</v>
          </cell>
          <cell r="F16">
            <v>47233013.189999998</v>
          </cell>
          <cell r="G16">
            <v>59002</v>
          </cell>
          <cell r="H16">
            <v>70503452.929999992</v>
          </cell>
          <cell r="I16">
            <v>3385192.45</v>
          </cell>
          <cell r="J16">
            <v>1192884.76</v>
          </cell>
          <cell r="K16">
            <v>438891.11</v>
          </cell>
          <cell r="L16">
            <v>2610307.39</v>
          </cell>
          <cell r="M16">
            <v>6285042.4900000002</v>
          </cell>
          <cell r="N16">
            <v>2086188.85</v>
          </cell>
          <cell r="O16">
            <v>2546536.69</v>
          </cell>
          <cell r="P16">
            <v>1062252.44</v>
          </cell>
          <cell r="Q16">
            <v>0.27810405540658112</v>
          </cell>
        </row>
        <row r="17">
          <cell r="A17">
            <v>210018</v>
          </cell>
          <cell r="B17">
            <v>2022</v>
          </cell>
          <cell r="C17">
            <v>5545</v>
          </cell>
          <cell r="D17">
            <v>84145116.370000005</v>
          </cell>
          <cell r="E17">
            <v>39843</v>
          </cell>
          <cell r="F17">
            <v>107637878.62</v>
          </cell>
          <cell r="G17">
            <v>45388</v>
          </cell>
          <cell r="H17">
            <v>191782994.99000001</v>
          </cell>
          <cell r="I17">
            <v>13986139.310000001</v>
          </cell>
          <cell r="J17">
            <v>416504.05</v>
          </cell>
          <cell r="K17">
            <v>786226.17</v>
          </cell>
          <cell r="L17">
            <v>8806306.1899999995</v>
          </cell>
          <cell r="M17">
            <v>16679599.1</v>
          </cell>
          <cell r="N17">
            <v>551797.12</v>
          </cell>
          <cell r="O17">
            <v>6355227.9699999997</v>
          </cell>
          <cell r="P17">
            <v>2594798.83</v>
          </cell>
          <cell r="Q17">
            <v>0.26163215744240681</v>
          </cell>
        </row>
        <row r="18">
          <cell r="A18">
            <v>210019</v>
          </cell>
          <cell r="B18">
            <v>2022</v>
          </cell>
          <cell r="C18">
            <v>16819</v>
          </cell>
          <cell r="D18">
            <v>299993858.89999998</v>
          </cell>
          <cell r="E18">
            <v>124025</v>
          </cell>
          <cell r="F18">
            <v>219457837.69999999</v>
          </cell>
          <cell r="G18">
            <v>140844</v>
          </cell>
          <cell r="H18">
            <v>519451696.59999996</v>
          </cell>
          <cell r="I18">
            <v>51920815.880000003</v>
          </cell>
          <cell r="J18">
            <v>4651369.67</v>
          </cell>
          <cell r="K18">
            <v>1872335.18</v>
          </cell>
          <cell r="L18">
            <v>38379283.210000001</v>
          </cell>
          <cell r="M18">
            <v>41152780.210000001</v>
          </cell>
          <cell r="N18">
            <v>3775135.17</v>
          </cell>
          <cell r="O18">
            <v>17054971.09</v>
          </cell>
          <cell r="P18">
            <v>4334320.1500000004</v>
          </cell>
          <cell r="Q18">
            <v>0.31406387086194382</v>
          </cell>
        </row>
        <row r="19">
          <cell r="A19">
            <v>210022</v>
          </cell>
          <cell r="B19">
            <v>2022</v>
          </cell>
          <cell r="C19">
            <v>10894</v>
          </cell>
          <cell r="D19">
            <v>225339320.90000001</v>
          </cell>
          <cell r="E19">
            <v>59547</v>
          </cell>
          <cell r="F19">
            <v>166089790.16</v>
          </cell>
          <cell r="G19">
            <v>70441</v>
          </cell>
          <cell r="H19">
            <v>391429111.06</v>
          </cell>
          <cell r="I19">
            <v>15444352.039999999</v>
          </cell>
          <cell r="J19">
            <v>1662865.79</v>
          </cell>
          <cell r="K19">
            <v>6690028.5700000003</v>
          </cell>
          <cell r="L19">
            <v>16973417.800000001</v>
          </cell>
          <cell r="M19">
            <v>11492146.060000001</v>
          </cell>
          <cell r="N19">
            <v>1070180.6299999999</v>
          </cell>
          <cell r="O19">
            <v>6352869.6200000001</v>
          </cell>
          <cell r="P19">
            <v>5223691.58</v>
          </cell>
          <cell r="Q19">
            <v>0.16582709424504294</v>
          </cell>
        </row>
        <row r="20">
          <cell r="A20">
            <v>210023</v>
          </cell>
          <cell r="B20">
            <v>2022</v>
          </cell>
          <cell r="C20">
            <v>29002</v>
          </cell>
          <cell r="D20">
            <v>380978794.67000002</v>
          </cell>
          <cell r="E20">
            <v>158280</v>
          </cell>
          <cell r="F20">
            <v>341293044.27999997</v>
          </cell>
          <cell r="G20">
            <v>187282</v>
          </cell>
          <cell r="H20">
            <v>722271838.95000005</v>
          </cell>
          <cell r="I20">
            <v>50886399.170000002</v>
          </cell>
          <cell r="J20">
            <v>534648.75</v>
          </cell>
          <cell r="K20">
            <v>2708844.83</v>
          </cell>
          <cell r="L20">
            <v>20405534.68</v>
          </cell>
          <cell r="M20">
            <v>37681532.350000001</v>
          </cell>
          <cell r="N20">
            <v>1444836.35</v>
          </cell>
          <cell r="O20">
            <v>9055817.7799999993</v>
          </cell>
          <cell r="P20">
            <v>6047614.1200000001</v>
          </cell>
          <cell r="Q20">
            <v>0.1782780680154884</v>
          </cell>
        </row>
        <row r="21">
          <cell r="A21">
            <v>210024</v>
          </cell>
          <cell r="B21">
            <v>2022</v>
          </cell>
          <cell r="C21">
            <v>9207</v>
          </cell>
          <cell r="D21">
            <v>261183836.24000001</v>
          </cell>
          <cell r="E21">
            <v>75846</v>
          </cell>
          <cell r="F21">
            <v>179782495.65000001</v>
          </cell>
          <cell r="G21">
            <v>85053</v>
          </cell>
          <cell r="H21">
            <v>440966331.88999999</v>
          </cell>
          <cell r="I21">
            <v>50647245.090000004</v>
          </cell>
          <cell r="J21">
            <v>489567.59</v>
          </cell>
          <cell r="K21">
            <v>2280020.41</v>
          </cell>
          <cell r="L21">
            <v>40881325.130000003</v>
          </cell>
          <cell r="M21">
            <v>35600498.509999998</v>
          </cell>
          <cell r="N21">
            <v>452552.48</v>
          </cell>
          <cell r="O21">
            <v>13641637.18</v>
          </cell>
          <cell r="P21">
            <v>2996665.8</v>
          </cell>
          <cell r="Q21">
            <v>0.33333499988535825</v>
          </cell>
        </row>
        <row r="22">
          <cell r="A22">
            <v>210027</v>
          </cell>
          <cell r="B22">
            <v>2022</v>
          </cell>
          <cell r="C22">
            <v>9899</v>
          </cell>
          <cell r="D22">
            <v>186982743.75999999</v>
          </cell>
          <cell r="E22">
            <v>80706</v>
          </cell>
          <cell r="F22">
            <v>174933764.06</v>
          </cell>
          <cell r="G22">
            <v>90605</v>
          </cell>
          <cell r="H22">
            <v>361916507.81999999</v>
          </cell>
          <cell r="I22">
            <v>25161664.059999999</v>
          </cell>
          <cell r="J22">
            <v>7066847.3799999999</v>
          </cell>
          <cell r="K22">
            <v>636407.44999999995</v>
          </cell>
          <cell r="L22">
            <v>19346924.32</v>
          </cell>
          <cell r="M22">
            <v>22961072.82</v>
          </cell>
          <cell r="N22">
            <v>6224451.0800000001</v>
          </cell>
          <cell r="O22">
            <v>11206538.699999999</v>
          </cell>
          <cell r="P22">
            <v>1313071.21</v>
          </cell>
          <cell r="Q22">
            <v>0.25949901424974464</v>
          </cell>
        </row>
        <row r="23">
          <cell r="A23">
            <v>210028</v>
          </cell>
          <cell r="B23">
            <v>2022</v>
          </cell>
          <cell r="C23">
            <v>8049</v>
          </cell>
          <cell r="D23">
            <v>94460465.280000001</v>
          </cell>
          <cell r="E23">
            <v>72711</v>
          </cell>
          <cell r="F23">
            <v>110036342.25</v>
          </cell>
          <cell r="G23">
            <v>80760</v>
          </cell>
          <cell r="H23">
            <v>204496807.53</v>
          </cell>
          <cell r="I23">
            <v>17047817.030000001</v>
          </cell>
          <cell r="J23">
            <v>452623.6</v>
          </cell>
          <cell r="K23">
            <v>1156150.25</v>
          </cell>
          <cell r="L23">
            <v>10050921.109999999</v>
          </cell>
          <cell r="M23">
            <v>20191245.309999999</v>
          </cell>
          <cell r="N23">
            <v>316776.40999999997</v>
          </cell>
          <cell r="O23">
            <v>6162187.5199999996</v>
          </cell>
          <cell r="P23">
            <v>1697138.58</v>
          </cell>
          <cell r="Q23">
            <v>0.27909902604042863</v>
          </cell>
        </row>
        <row r="24">
          <cell r="A24">
            <v>210029</v>
          </cell>
          <cell r="B24">
            <v>2022</v>
          </cell>
          <cell r="C24">
            <v>17002</v>
          </cell>
          <cell r="D24">
            <v>455968948.89999998</v>
          </cell>
          <cell r="E24">
            <v>322193</v>
          </cell>
          <cell r="F24">
            <v>313833283.81</v>
          </cell>
          <cell r="G24">
            <v>339195</v>
          </cell>
          <cell r="H24">
            <v>769802232.71000004</v>
          </cell>
          <cell r="I24">
            <v>96253453.319999993</v>
          </cell>
          <cell r="J24">
            <v>2339966.13</v>
          </cell>
          <cell r="K24">
            <v>19511365.059999999</v>
          </cell>
          <cell r="L24">
            <v>54693110.780000001</v>
          </cell>
          <cell r="M24">
            <v>45848674.689999998</v>
          </cell>
          <cell r="N24">
            <v>1053540.6100000001</v>
          </cell>
          <cell r="O24">
            <v>24178367.23</v>
          </cell>
          <cell r="P24">
            <v>17587600.530000001</v>
          </cell>
          <cell r="Q24">
            <v>0.33965357235914839</v>
          </cell>
        </row>
        <row r="25">
          <cell r="A25">
            <v>210030</v>
          </cell>
          <cell r="B25">
            <v>2022</v>
          </cell>
          <cell r="C25">
            <v>270</v>
          </cell>
          <cell r="D25">
            <v>6750582.6900000004</v>
          </cell>
          <cell r="E25">
            <v>32607</v>
          </cell>
          <cell r="F25">
            <v>45601617.890000001</v>
          </cell>
          <cell r="G25">
            <v>32877</v>
          </cell>
          <cell r="H25">
            <v>52352200.579999998</v>
          </cell>
          <cell r="I25">
            <v>379502.88</v>
          </cell>
          <cell r="K25">
            <v>132210.26999999999</v>
          </cell>
          <cell r="L25">
            <v>1352258.32</v>
          </cell>
          <cell r="M25">
            <v>9083950.0500000007</v>
          </cell>
          <cell r="N25">
            <v>124356.93</v>
          </cell>
          <cell r="O25">
            <v>4550606.7300000004</v>
          </cell>
          <cell r="P25">
            <v>703554.98</v>
          </cell>
          <cell r="Q25">
            <v>0.31185776298078211</v>
          </cell>
        </row>
        <row r="26">
          <cell r="A26">
            <v>210032</v>
          </cell>
          <cell r="B26">
            <v>2022</v>
          </cell>
          <cell r="C26">
            <v>6379</v>
          </cell>
          <cell r="D26">
            <v>97108695.980000004</v>
          </cell>
          <cell r="E26">
            <v>75220</v>
          </cell>
          <cell r="F26">
            <v>81165928.709999993</v>
          </cell>
          <cell r="G26">
            <v>81599</v>
          </cell>
          <cell r="H26">
            <v>178274624.69</v>
          </cell>
          <cell r="I26">
            <v>17602492.379999999</v>
          </cell>
          <cell r="J26">
            <v>1415080.29</v>
          </cell>
          <cell r="K26">
            <v>957769.35</v>
          </cell>
          <cell r="L26">
            <v>9840500.6999999993</v>
          </cell>
          <cell r="M26">
            <v>14854066.18</v>
          </cell>
          <cell r="N26">
            <v>919522.82</v>
          </cell>
          <cell r="O26">
            <v>5963980.6900000004</v>
          </cell>
          <cell r="P26">
            <v>1507891.8</v>
          </cell>
          <cell r="Q26">
            <v>0.29763800822617226</v>
          </cell>
        </row>
        <row r="27">
          <cell r="A27">
            <v>210033</v>
          </cell>
          <cell r="B27">
            <v>2022</v>
          </cell>
          <cell r="C27">
            <v>9839</v>
          </cell>
          <cell r="D27">
            <v>156270715.93000001</v>
          </cell>
          <cell r="E27">
            <v>51492</v>
          </cell>
          <cell r="F27">
            <v>101114946.36</v>
          </cell>
          <cell r="G27">
            <v>61331</v>
          </cell>
          <cell r="H27">
            <v>257385662.29000002</v>
          </cell>
          <cell r="I27">
            <v>22394799.920000002</v>
          </cell>
          <cell r="J27">
            <v>160890.03</v>
          </cell>
          <cell r="K27">
            <v>865678.92</v>
          </cell>
          <cell r="L27">
            <v>12565531.859999999</v>
          </cell>
          <cell r="M27">
            <v>15550976.68</v>
          </cell>
          <cell r="N27">
            <v>180804.27</v>
          </cell>
          <cell r="O27">
            <v>4420511.63</v>
          </cell>
          <cell r="P27">
            <v>1038878.99</v>
          </cell>
          <cell r="Q27">
            <v>0.22214940720193138</v>
          </cell>
        </row>
        <row r="28">
          <cell r="A28">
            <v>210034</v>
          </cell>
          <cell r="B28">
            <v>2022</v>
          </cell>
          <cell r="C28">
            <v>7618</v>
          </cell>
          <cell r="D28">
            <v>126757307.56999999</v>
          </cell>
          <cell r="E28">
            <v>51501</v>
          </cell>
          <cell r="F28">
            <v>74689469.700000003</v>
          </cell>
          <cell r="G28">
            <v>59119</v>
          </cell>
          <cell r="H28">
            <v>201446777.26999998</v>
          </cell>
          <cell r="I28">
            <v>44610561.170000002</v>
          </cell>
          <cell r="J28">
            <v>540951.4</v>
          </cell>
          <cell r="K28">
            <v>1180404.68</v>
          </cell>
          <cell r="L28">
            <v>17453516.699999999</v>
          </cell>
          <cell r="M28">
            <v>30051546.399999999</v>
          </cell>
          <cell r="N28">
            <v>178784.35</v>
          </cell>
          <cell r="O28">
            <v>5269964.97</v>
          </cell>
          <cell r="P28">
            <v>2653604.36</v>
          </cell>
          <cell r="Q28">
            <v>0.50603606278282753</v>
          </cell>
        </row>
        <row r="29">
          <cell r="A29">
            <v>210035</v>
          </cell>
          <cell r="B29">
            <v>2022</v>
          </cell>
          <cell r="C29">
            <v>6083</v>
          </cell>
          <cell r="D29">
            <v>97867760.599999994</v>
          </cell>
          <cell r="E29">
            <v>56652</v>
          </cell>
          <cell r="F29">
            <v>77399149.819999993</v>
          </cell>
          <cell r="G29">
            <v>62735</v>
          </cell>
          <cell r="H29">
            <v>175266910.41999999</v>
          </cell>
          <cell r="I29">
            <v>15116575.890000001</v>
          </cell>
          <cell r="J29">
            <v>523041.54</v>
          </cell>
          <cell r="K29">
            <v>1738989.77</v>
          </cell>
          <cell r="L29">
            <v>9109066.1899999995</v>
          </cell>
          <cell r="M29">
            <v>16263026.800000001</v>
          </cell>
          <cell r="N29">
            <v>438814.41</v>
          </cell>
          <cell r="O29">
            <v>3756787.92</v>
          </cell>
          <cell r="P29">
            <v>2655219.44</v>
          </cell>
          <cell r="Q29">
            <v>0.2830056274806102</v>
          </cell>
        </row>
        <row r="30">
          <cell r="A30">
            <v>210037</v>
          </cell>
          <cell r="B30">
            <v>2022</v>
          </cell>
          <cell r="C30">
            <v>6330</v>
          </cell>
          <cell r="D30">
            <v>126952759.40000001</v>
          </cell>
          <cell r="E30">
            <v>45671</v>
          </cell>
          <cell r="F30">
            <v>160401833.74000001</v>
          </cell>
          <cell r="G30">
            <v>52001</v>
          </cell>
          <cell r="H30">
            <v>287354593.13999999</v>
          </cell>
          <cell r="I30">
            <v>24483095.34</v>
          </cell>
          <cell r="J30">
            <v>291415.67</v>
          </cell>
          <cell r="K30">
            <v>564343.4</v>
          </cell>
          <cell r="L30">
            <v>17052889.870000001</v>
          </cell>
          <cell r="M30">
            <v>27403407.489999998</v>
          </cell>
          <cell r="N30">
            <v>70703.789999999994</v>
          </cell>
          <cell r="O30">
            <v>12915540.039999999</v>
          </cell>
          <cell r="P30">
            <v>1717417.13</v>
          </cell>
          <cell r="Q30">
            <v>0.2940576373137419</v>
          </cell>
        </row>
        <row r="31">
          <cell r="A31">
            <v>210038</v>
          </cell>
          <cell r="B31">
            <v>2022</v>
          </cell>
          <cell r="C31">
            <v>4104</v>
          </cell>
          <cell r="D31">
            <v>109568921.05</v>
          </cell>
          <cell r="E31">
            <v>82733</v>
          </cell>
          <cell r="F31">
            <v>114901879.23999999</v>
          </cell>
          <cell r="G31">
            <v>86837</v>
          </cell>
          <cell r="H31">
            <v>224470800.28999999</v>
          </cell>
          <cell r="I31">
            <v>43848173.799999997</v>
          </cell>
          <cell r="J31">
            <v>461895.18</v>
          </cell>
          <cell r="K31">
            <v>506181.31</v>
          </cell>
          <cell r="L31">
            <v>23129883.329999998</v>
          </cell>
          <cell r="M31">
            <v>42263471.829999998</v>
          </cell>
          <cell r="N31">
            <v>229300.27</v>
          </cell>
          <cell r="O31">
            <v>16592180.59</v>
          </cell>
          <cell r="P31">
            <v>797036.86</v>
          </cell>
          <cell r="Q31">
            <v>0.56946437133406813</v>
          </cell>
        </row>
        <row r="32">
          <cell r="A32">
            <v>210039</v>
          </cell>
          <cell r="B32">
            <v>2022</v>
          </cell>
          <cell r="C32">
            <v>5901</v>
          </cell>
          <cell r="D32">
            <v>80579443.969999999</v>
          </cell>
          <cell r="E32">
            <v>47526</v>
          </cell>
          <cell r="F32">
            <v>89702630.989999995</v>
          </cell>
          <cell r="G32">
            <v>53427</v>
          </cell>
          <cell r="H32">
            <v>170282074.95999998</v>
          </cell>
          <cell r="I32">
            <v>12354846.92</v>
          </cell>
          <cell r="J32">
            <v>198087.3</v>
          </cell>
          <cell r="K32">
            <v>565444.65</v>
          </cell>
          <cell r="L32">
            <v>7164489.96</v>
          </cell>
          <cell r="M32">
            <v>13833598.050000001</v>
          </cell>
          <cell r="N32">
            <v>156037.19</v>
          </cell>
          <cell r="O32">
            <v>3331401.52</v>
          </cell>
          <cell r="P32">
            <v>1265068.73</v>
          </cell>
          <cell r="Q32">
            <v>0.22826227792402987</v>
          </cell>
        </row>
        <row r="33">
          <cell r="A33">
            <v>210040</v>
          </cell>
          <cell r="B33">
            <v>2022</v>
          </cell>
          <cell r="C33">
            <v>7319</v>
          </cell>
          <cell r="D33">
            <v>158961209.63999999</v>
          </cell>
          <cell r="E33">
            <v>63095</v>
          </cell>
          <cell r="F33">
            <v>142322828.96000001</v>
          </cell>
          <cell r="G33">
            <v>70414</v>
          </cell>
          <cell r="H33">
            <v>301284038.60000002</v>
          </cell>
          <cell r="I33">
            <v>36159184.060000002</v>
          </cell>
          <cell r="J33">
            <v>133240.49</v>
          </cell>
          <cell r="K33">
            <v>1852562.25</v>
          </cell>
          <cell r="L33">
            <v>31025583.789999999</v>
          </cell>
          <cell r="M33">
            <v>23715120.309999999</v>
          </cell>
          <cell r="N33">
            <v>236623.56</v>
          </cell>
          <cell r="O33">
            <v>11326894.58</v>
          </cell>
          <cell r="P33">
            <v>5287953.45</v>
          </cell>
          <cell r="Q33">
            <v>0.36423158359109969</v>
          </cell>
        </row>
        <row r="34">
          <cell r="A34">
            <v>210043</v>
          </cell>
          <cell r="B34">
            <v>2022</v>
          </cell>
          <cell r="C34">
            <v>16852</v>
          </cell>
          <cell r="D34">
            <v>335927765.81999999</v>
          </cell>
          <cell r="E34">
            <v>106253</v>
          </cell>
          <cell r="F34">
            <v>175702790.31</v>
          </cell>
          <cell r="G34">
            <v>123105</v>
          </cell>
          <cell r="H34">
            <v>511630556.13</v>
          </cell>
          <cell r="I34">
            <v>65771422.719999999</v>
          </cell>
          <cell r="J34">
            <v>429068.03</v>
          </cell>
          <cell r="K34">
            <v>1910726.32</v>
          </cell>
          <cell r="L34">
            <v>30023666.800000001</v>
          </cell>
          <cell r="M34">
            <v>33598349.689999998</v>
          </cell>
          <cell r="N34">
            <v>347922.87</v>
          </cell>
          <cell r="O34">
            <v>10106199.859999999</v>
          </cell>
          <cell r="P34">
            <v>3979742.79</v>
          </cell>
          <cell r="Q34">
            <v>0.28568875984580649</v>
          </cell>
        </row>
        <row r="35">
          <cell r="A35">
            <v>210044</v>
          </cell>
          <cell r="B35">
            <v>2022</v>
          </cell>
          <cell r="C35">
            <v>18151</v>
          </cell>
          <cell r="D35">
            <v>263487307.99000001</v>
          </cell>
          <cell r="E35">
            <v>124152</v>
          </cell>
          <cell r="F35">
            <v>228733315.78</v>
          </cell>
          <cell r="G35">
            <v>142303</v>
          </cell>
          <cell r="H35">
            <v>492220623.76999998</v>
          </cell>
          <cell r="I35">
            <v>43624793.640000001</v>
          </cell>
          <cell r="J35">
            <v>465348.47</v>
          </cell>
          <cell r="K35">
            <v>750114.38</v>
          </cell>
          <cell r="L35">
            <v>15511740.189999999</v>
          </cell>
          <cell r="M35">
            <v>30188985.210000001</v>
          </cell>
          <cell r="N35">
            <v>232611.18</v>
          </cell>
          <cell r="O35">
            <v>7399695.4900000002</v>
          </cell>
          <cell r="P35">
            <v>2595750.81</v>
          </cell>
          <cell r="Q35">
            <v>0.20472331817019998</v>
          </cell>
        </row>
        <row r="36">
          <cell r="A36">
            <v>210045</v>
          </cell>
          <cell r="B36">
            <v>2022</v>
          </cell>
          <cell r="E36">
            <v>16645</v>
          </cell>
          <cell r="F36">
            <v>5228782.72</v>
          </cell>
          <cell r="G36">
            <v>16645</v>
          </cell>
          <cell r="H36">
            <v>5228782.72</v>
          </cell>
          <cell r="M36">
            <v>1778479.86</v>
          </cell>
          <cell r="N36">
            <v>8978.42</v>
          </cell>
          <cell r="O36">
            <v>573904.39</v>
          </cell>
          <cell r="P36">
            <v>144025.04999999999</v>
          </cell>
          <cell r="Q36">
            <v>0.47915315173012196</v>
          </cell>
        </row>
        <row r="37">
          <cell r="A37">
            <v>210048</v>
          </cell>
          <cell r="B37">
            <v>2022</v>
          </cell>
          <cell r="C37">
            <v>16692</v>
          </cell>
          <cell r="D37">
            <v>215795067.19</v>
          </cell>
          <cell r="E37">
            <v>88107</v>
          </cell>
          <cell r="F37">
            <v>129315455.7</v>
          </cell>
          <cell r="G37">
            <v>104799</v>
          </cell>
          <cell r="H37">
            <v>345110522.88999999</v>
          </cell>
          <cell r="I37">
            <v>24602679.02</v>
          </cell>
          <cell r="J37">
            <v>553394.81999999995</v>
          </cell>
          <cell r="K37">
            <v>3975177.05</v>
          </cell>
          <cell r="L37">
            <v>19762110.23</v>
          </cell>
          <cell r="M37">
            <v>18608100.18</v>
          </cell>
          <cell r="N37">
            <v>429522.35</v>
          </cell>
          <cell r="O37">
            <v>3898099.56</v>
          </cell>
          <cell r="P37">
            <v>5410867.9800000004</v>
          </cell>
          <cell r="Q37">
            <v>0.22381221686079783</v>
          </cell>
        </row>
        <row r="38">
          <cell r="A38">
            <v>210049</v>
          </cell>
          <cell r="B38">
            <v>2022</v>
          </cell>
          <cell r="C38">
            <v>12177</v>
          </cell>
          <cell r="D38">
            <v>205442638.5</v>
          </cell>
          <cell r="E38">
            <v>104811</v>
          </cell>
          <cell r="F38">
            <v>161205665.47999999</v>
          </cell>
          <cell r="G38">
            <v>116988</v>
          </cell>
          <cell r="H38">
            <v>366648303.98000002</v>
          </cell>
          <cell r="I38">
            <v>31077159.780000001</v>
          </cell>
          <cell r="J38">
            <v>489061.28</v>
          </cell>
          <cell r="K38">
            <v>1049319.3500000001</v>
          </cell>
          <cell r="L38">
            <v>15155138.039999999</v>
          </cell>
          <cell r="M38">
            <v>23288059.91</v>
          </cell>
          <cell r="N38">
            <v>428650.56</v>
          </cell>
          <cell r="O38">
            <v>6809072.8099999996</v>
          </cell>
          <cell r="P38">
            <v>1063890.51</v>
          </cell>
          <cell r="Q38">
            <v>0.21644816402676983</v>
          </cell>
        </row>
        <row r="39">
          <cell r="A39">
            <v>210051</v>
          </cell>
          <cell r="B39">
            <v>2022</v>
          </cell>
          <cell r="C39">
            <v>8994</v>
          </cell>
          <cell r="D39">
            <v>161249803.53</v>
          </cell>
          <cell r="E39">
            <v>50636</v>
          </cell>
          <cell r="F39">
            <v>97986634.200000003</v>
          </cell>
          <cell r="G39">
            <v>59630</v>
          </cell>
          <cell r="H39">
            <v>259236437.73000002</v>
          </cell>
          <cell r="I39">
            <v>30135758.48</v>
          </cell>
          <cell r="J39">
            <v>2206421.56</v>
          </cell>
          <cell r="K39">
            <v>4152135.11</v>
          </cell>
          <cell r="L39">
            <v>17616702.27</v>
          </cell>
          <cell r="M39">
            <v>22519531.890000001</v>
          </cell>
          <cell r="N39">
            <v>1441085.61</v>
          </cell>
          <cell r="O39">
            <v>5869947.8099999996</v>
          </cell>
          <cell r="P39">
            <v>6467052.4100000001</v>
          </cell>
          <cell r="Q39">
            <v>0.34874972026178824</v>
          </cell>
        </row>
        <row r="40">
          <cell r="A40">
            <v>210055</v>
          </cell>
          <cell r="B40">
            <v>2022</v>
          </cell>
          <cell r="C40">
            <v>1410</v>
          </cell>
          <cell r="D40">
            <v>51610014.5</v>
          </cell>
          <cell r="E40">
            <v>21192</v>
          </cell>
          <cell r="F40">
            <v>34544178.310000002</v>
          </cell>
          <cell r="G40">
            <v>22602</v>
          </cell>
          <cell r="H40">
            <v>86154192.810000002</v>
          </cell>
          <cell r="I40">
            <v>11187750.82</v>
          </cell>
          <cell r="J40">
            <v>1068240.6200000001</v>
          </cell>
          <cell r="K40">
            <v>836315.9</v>
          </cell>
          <cell r="L40">
            <v>3966610.63</v>
          </cell>
          <cell r="M40">
            <v>10052603.800000001</v>
          </cell>
          <cell r="N40">
            <v>942216.98</v>
          </cell>
          <cell r="O40">
            <v>1921516.36</v>
          </cell>
          <cell r="P40">
            <v>2112538.2999999998</v>
          </cell>
          <cell r="Q40">
            <v>0.37244610347362622</v>
          </cell>
        </row>
        <row r="41">
          <cell r="A41">
            <v>210056</v>
          </cell>
          <cell r="B41">
            <v>2022</v>
          </cell>
          <cell r="C41">
            <v>7973</v>
          </cell>
          <cell r="D41">
            <v>182021730.69</v>
          </cell>
          <cell r="E41">
            <v>79274</v>
          </cell>
          <cell r="F41">
            <v>106993200.23</v>
          </cell>
          <cell r="G41">
            <v>87247</v>
          </cell>
          <cell r="H41">
            <v>289014930.92000002</v>
          </cell>
          <cell r="I41">
            <v>41349693.359999999</v>
          </cell>
          <cell r="J41">
            <v>73459.14</v>
          </cell>
          <cell r="K41">
            <v>2855031.31</v>
          </cell>
          <cell r="L41">
            <v>34549514.579999998</v>
          </cell>
          <cell r="M41">
            <v>29731009.989999998</v>
          </cell>
          <cell r="N41">
            <v>149368.6</v>
          </cell>
          <cell r="O41">
            <v>14832722.01</v>
          </cell>
          <cell r="P41">
            <v>2444829.5299999998</v>
          </cell>
          <cell r="Q41">
            <v>0.4359139097726169</v>
          </cell>
        </row>
        <row r="42">
          <cell r="A42">
            <v>210057</v>
          </cell>
          <cell r="B42">
            <v>2022</v>
          </cell>
          <cell r="C42">
            <v>21011</v>
          </cell>
          <cell r="D42">
            <v>326421820.43000001</v>
          </cell>
          <cell r="E42">
            <v>73311</v>
          </cell>
          <cell r="F42">
            <v>180805947.44</v>
          </cell>
          <cell r="G42">
            <v>94322</v>
          </cell>
          <cell r="H42">
            <v>507227767.87</v>
          </cell>
          <cell r="I42">
            <v>52148448.079999998</v>
          </cell>
          <cell r="J42">
            <v>1511444.99</v>
          </cell>
          <cell r="K42">
            <v>7013823.1600000001</v>
          </cell>
          <cell r="L42">
            <v>26146066.449999999</v>
          </cell>
          <cell r="M42">
            <v>28682650.719999999</v>
          </cell>
          <cell r="N42">
            <v>393618.25</v>
          </cell>
          <cell r="O42">
            <v>9235936.5700000003</v>
          </cell>
          <cell r="P42">
            <v>9568521.8900000006</v>
          </cell>
          <cell r="Q42">
            <v>0.26556217668375581</v>
          </cell>
        </row>
        <row r="43">
          <cell r="A43">
            <v>210058</v>
          </cell>
          <cell r="B43">
            <v>2022</v>
          </cell>
          <cell r="C43">
            <v>1397</v>
          </cell>
          <cell r="D43">
            <v>54355101.57</v>
          </cell>
          <cell r="E43">
            <v>28506</v>
          </cell>
          <cell r="F43">
            <v>60958296.299999997</v>
          </cell>
          <cell r="G43">
            <v>29903</v>
          </cell>
          <cell r="H43">
            <v>115313397.87</v>
          </cell>
          <cell r="I43">
            <v>15347476.26</v>
          </cell>
          <cell r="J43">
            <v>141086.95000000001</v>
          </cell>
          <cell r="K43">
            <v>1001963.2</v>
          </cell>
          <cell r="L43">
            <v>3961715.85</v>
          </cell>
          <cell r="M43">
            <v>16908800.289999999</v>
          </cell>
          <cell r="N43">
            <v>305915.87</v>
          </cell>
          <cell r="O43">
            <v>3067464.46</v>
          </cell>
          <cell r="P43">
            <v>227042.02</v>
          </cell>
          <cell r="Q43">
            <v>0.35521860995006338</v>
          </cell>
        </row>
        <row r="44">
          <cell r="A44">
            <v>210060</v>
          </cell>
          <cell r="B44">
            <v>2022</v>
          </cell>
          <cell r="C44">
            <v>1764</v>
          </cell>
          <cell r="D44">
            <v>33264261.539999999</v>
          </cell>
          <cell r="E44">
            <v>22857</v>
          </cell>
          <cell r="F44">
            <v>34120592.780000001</v>
          </cell>
          <cell r="G44">
            <v>24621</v>
          </cell>
          <cell r="H44">
            <v>67384854.319999993</v>
          </cell>
          <cell r="I44">
            <v>4498745.05</v>
          </cell>
          <cell r="J44">
            <v>632181.41</v>
          </cell>
          <cell r="K44">
            <v>842016.75</v>
          </cell>
          <cell r="L44">
            <v>2839023.15</v>
          </cell>
          <cell r="M44">
            <v>6338104.25</v>
          </cell>
          <cell r="N44">
            <v>1390681.19</v>
          </cell>
          <cell r="O44">
            <v>1648243.54</v>
          </cell>
          <cell r="P44">
            <v>1656829.18</v>
          </cell>
          <cell r="Q44">
            <v>0.29451461638182558</v>
          </cell>
        </row>
        <row r="45">
          <cell r="A45">
            <v>210061</v>
          </cell>
          <cell r="B45">
            <v>2022</v>
          </cell>
          <cell r="C45">
            <v>2576</v>
          </cell>
          <cell r="D45">
            <v>46601172.780000001</v>
          </cell>
          <cell r="E45">
            <v>73938</v>
          </cell>
          <cell r="F45">
            <v>78344536.319999993</v>
          </cell>
          <cell r="G45">
            <v>76514</v>
          </cell>
          <cell r="H45">
            <v>124945709.09999999</v>
          </cell>
          <cell r="I45">
            <v>4976059.4400000004</v>
          </cell>
          <cell r="J45">
            <v>1293334.6399999999</v>
          </cell>
          <cell r="K45">
            <v>506258.18</v>
          </cell>
          <cell r="L45">
            <v>2933878.54</v>
          </cell>
          <cell r="M45">
            <v>10909002.939999999</v>
          </cell>
          <cell r="N45">
            <v>2005529.97</v>
          </cell>
          <cell r="O45">
            <v>2806286.03</v>
          </cell>
          <cell r="P45">
            <v>1793547.15</v>
          </cell>
          <cell r="Q45">
            <v>0.21788580885327899</v>
          </cell>
        </row>
        <row r="46">
          <cell r="A46">
            <v>210062</v>
          </cell>
          <cell r="B46">
            <v>2022</v>
          </cell>
          <cell r="C46">
            <v>10520</v>
          </cell>
          <cell r="D46">
            <v>190114644.69999999</v>
          </cell>
          <cell r="E46">
            <v>50507</v>
          </cell>
          <cell r="F46">
            <v>107902860.03</v>
          </cell>
          <cell r="G46">
            <v>61027</v>
          </cell>
          <cell r="H46">
            <v>298017504.73000002</v>
          </cell>
          <cell r="I46">
            <v>38360204.840000004</v>
          </cell>
          <cell r="J46">
            <v>4318789.79</v>
          </cell>
          <cell r="K46">
            <v>2036681.63</v>
          </cell>
          <cell r="L46">
            <v>19682897.09</v>
          </cell>
          <cell r="M46">
            <v>23417909.350000001</v>
          </cell>
          <cell r="N46">
            <v>3246429.34</v>
          </cell>
          <cell r="O46">
            <v>5669980.7199999997</v>
          </cell>
          <cell r="P46">
            <v>3190962.74</v>
          </cell>
          <cell r="Q46">
            <v>0.33529525586267062</v>
          </cell>
        </row>
        <row r="47">
          <cell r="A47">
            <v>210063</v>
          </cell>
          <cell r="B47">
            <v>2022</v>
          </cell>
          <cell r="C47">
            <v>13443</v>
          </cell>
          <cell r="D47">
            <v>268835389.88999999</v>
          </cell>
          <cell r="E47">
            <v>73834</v>
          </cell>
          <cell r="F47">
            <v>161979978.53999999</v>
          </cell>
          <cell r="G47">
            <v>87277</v>
          </cell>
          <cell r="H47">
            <v>430815368.42999995</v>
          </cell>
          <cell r="I47">
            <v>34081553.829999998</v>
          </cell>
          <cell r="J47">
            <v>280021.96000000002</v>
          </cell>
          <cell r="K47">
            <v>1648720.19</v>
          </cell>
          <cell r="L47">
            <v>16753694.550000001</v>
          </cell>
          <cell r="M47">
            <v>18934906.129999999</v>
          </cell>
          <cell r="N47">
            <v>154069.12</v>
          </cell>
          <cell r="O47">
            <v>4407251.12</v>
          </cell>
          <cell r="P47">
            <v>1554265.01</v>
          </cell>
          <cell r="Q47">
            <v>0.18062141606873414</v>
          </cell>
        </row>
        <row r="48">
          <cell r="A48">
            <v>210064</v>
          </cell>
          <cell r="B48">
            <v>2022</v>
          </cell>
          <cell r="C48">
            <v>967</v>
          </cell>
          <cell r="D48">
            <v>61954113.469999999</v>
          </cell>
          <cell r="E48">
            <v>469</v>
          </cell>
          <cell r="F48">
            <v>4832871.22</v>
          </cell>
          <cell r="G48">
            <v>1436</v>
          </cell>
          <cell r="H48">
            <v>66786984.689999998</v>
          </cell>
          <cell r="I48">
            <v>4375121.1500000004</v>
          </cell>
          <cell r="K48">
            <v>1133926.3600000001</v>
          </cell>
          <cell r="L48">
            <v>13499603.08</v>
          </cell>
          <cell r="O48">
            <v>858677.03</v>
          </cell>
          <cell r="P48">
            <v>8108.6</v>
          </cell>
          <cell r="Q48">
            <v>0.29759445365372134</v>
          </cell>
        </row>
        <row r="49">
          <cell r="A49">
            <v>210065</v>
          </cell>
          <cell r="B49">
            <v>2022</v>
          </cell>
          <cell r="C49">
            <v>7216</v>
          </cell>
          <cell r="D49">
            <v>84282965.549999997</v>
          </cell>
          <cell r="E49">
            <v>33904</v>
          </cell>
          <cell r="F49">
            <v>61292881.880000003</v>
          </cell>
          <cell r="G49">
            <v>41120</v>
          </cell>
          <cell r="H49">
            <v>145575847.43000001</v>
          </cell>
          <cell r="I49">
            <v>20427413.879999999</v>
          </cell>
          <cell r="J49">
            <v>78576.2</v>
          </cell>
          <cell r="K49">
            <v>2281765.5</v>
          </cell>
          <cell r="L49">
            <v>6732596.3099999996</v>
          </cell>
          <cell r="M49">
            <v>12331759.060000001</v>
          </cell>
          <cell r="N49">
            <v>198738.81</v>
          </cell>
          <cell r="O49">
            <v>3257143.94</v>
          </cell>
          <cell r="P49">
            <v>6254816.9800000004</v>
          </cell>
          <cell r="Q49">
            <v>0.35419893883697923</v>
          </cell>
        </row>
        <row r="50">
          <cell r="A50">
            <v>210068</v>
          </cell>
          <cell r="B50">
            <v>2022</v>
          </cell>
          <cell r="E50">
            <v>3142</v>
          </cell>
          <cell r="F50">
            <v>1358522.15</v>
          </cell>
          <cell r="G50">
            <v>3142</v>
          </cell>
          <cell r="H50">
            <v>1358522.15</v>
          </cell>
          <cell r="M50">
            <v>175231.99</v>
          </cell>
          <cell r="N50">
            <v>450</v>
          </cell>
          <cell r="O50">
            <v>21211.02</v>
          </cell>
          <cell r="P50">
            <v>10831.36</v>
          </cell>
          <cell r="Q50">
            <v>0.1529046618783507</v>
          </cell>
        </row>
        <row r="51">
          <cell r="A51">
            <v>210087</v>
          </cell>
          <cell r="B51">
            <v>2022</v>
          </cell>
          <cell r="E51">
            <v>21533</v>
          </cell>
          <cell r="F51">
            <v>16794634.579999998</v>
          </cell>
          <cell r="G51">
            <v>21533</v>
          </cell>
          <cell r="H51">
            <v>16794634.579999998</v>
          </cell>
          <cell r="M51">
            <v>6172000.75</v>
          </cell>
          <cell r="N51">
            <v>80395.81</v>
          </cell>
          <cell r="O51">
            <v>590852.56000000006</v>
          </cell>
          <cell r="P51">
            <v>1761650.31</v>
          </cell>
          <cell r="Q51">
            <v>0.51236002718673024</v>
          </cell>
        </row>
        <row r="52">
          <cell r="A52">
            <v>210088</v>
          </cell>
          <cell r="B52">
            <v>2022</v>
          </cell>
          <cell r="E52">
            <v>17720</v>
          </cell>
          <cell r="F52">
            <v>7676320.6200000001</v>
          </cell>
          <cell r="G52">
            <v>17720</v>
          </cell>
          <cell r="H52">
            <v>7676320.6200000001</v>
          </cell>
          <cell r="M52">
            <v>2079360.11</v>
          </cell>
          <cell r="N52">
            <v>22208.09</v>
          </cell>
          <cell r="O52">
            <v>290343.65000000002</v>
          </cell>
          <cell r="P52">
            <v>343884.04</v>
          </cell>
          <cell r="Q52">
            <v>0.35639416661051349</v>
          </cell>
        </row>
        <row r="53">
          <cell r="A53">
            <v>210089</v>
          </cell>
          <cell r="B53">
            <v>2022</v>
          </cell>
          <cell r="C53">
            <v>883</v>
          </cell>
          <cell r="D53">
            <v>38808399.039999999</v>
          </cell>
          <cell r="G53">
            <v>883</v>
          </cell>
          <cell r="H53">
            <v>38808399.039999999</v>
          </cell>
          <cell r="I53">
            <v>5289905.78</v>
          </cell>
          <cell r="J53">
            <v>93197.95</v>
          </cell>
          <cell r="K53">
            <v>168432.62</v>
          </cell>
          <cell r="L53">
            <v>2915873.71</v>
          </cell>
          <cell r="Q53">
            <v>0.21818498751449658</v>
          </cell>
        </row>
        <row r="54">
          <cell r="A54">
            <v>210333</v>
          </cell>
          <cell r="B54">
            <v>2022</v>
          </cell>
          <cell r="E54">
            <v>22528</v>
          </cell>
          <cell r="F54">
            <v>17493993.379999999</v>
          </cell>
          <cell r="G54">
            <v>22528</v>
          </cell>
          <cell r="H54">
            <v>17493993.379999999</v>
          </cell>
          <cell r="M54">
            <v>4650093.2699999996</v>
          </cell>
          <cell r="N54">
            <v>598110.47</v>
          </cell>
          <cell r="O54">
            <v>544095.61</v>
          </cell>
          <cell r="P54">
            <v>1190544.05</v>
          </cell>
          <cell r="Q54">
            <v>0.3991566275532682</v>
          </cell>
        </row>
        <row r="55">
          <cell r="A55">
            <v>213028</v>
          </cell>
          <cell r="B55">
            <v>2022</v>
          </cell>
          <cell r="C55">
            <v>1637</v>
          </cell>
          <cell r="D55">
            <v>47064935.520000003</v>
          </cell>
          <cell r="E55">
            <v>16</v>
          </cell>
          <cell r="F55">
            <v>243126.43</v>
          </cell>
          <cell r="G55">
            <v>1653</v>
          </cell>
          <cell r="H55">
            <v>47308061.950000003</v>
          </cell>
          <cell r="I55">
            <v>1195620.75</v>
          </cell>
          <cell r="J55">
            <v>15953.71</v>
          </cell>
          <cell r="K55">
            <v>70940.13</v>
          </cell>
          <cell r="L55">
            <v>5944042.5899999999</v>
          </cell>
          <cell r="M55">
            <v>15373</v>
          </cell>
          <cell r="O55">
            <v>5339</v>
          </cell>
          <cell r="Q55">
            <v>0.15319311088371482</v>
          </cell>
        </row>
        <row r="56">
          <cell r="A56">
            <v>213029</v>
          </cell>
          <cell r="B56">
            <v>2022</v>
          </cell>
          <cell r="C56">
            <v>1123</v>
          </cell>
          <cell r="D56">
            <v>43395568.380000003</v>
          </cell>
          <cell r="E56">
            <v>4685</v>
          </cell>
          <cell r="F56">
            <v>7623036.8499999996</v>
          </cell>
          <cell r="G56">
            <v>5808</v>
          </cell>
          <cell r="H56">
            <v>51018605.230000004</v>
          </cell>
          <cell r="I56">
            <v>2574660.89</v>
          </cell>
          <cell r="J56">
            <v>229164.67</v>
          </cell>
          <cell r="K56">
            <v>44543.6</v>
          </cell>
          <cell r="L56">
            <v>2789720.29</v>
          </cell>
          <cell r="M56">
            <v>509459.87</v>
          </cell>
          <cell r="N56">
            <v>2004.97</v>
          </cell>
          <cell r="O56">
            <v>287168.77</v>
          </cell>
          <cell r="P56">
            <v>15945.19</v>
          </cell>
          <cell r="Q56">
            <v>0.1264767670717446</v>
          </cell>
        </row>
        <row r="57">
          <cell r="A57">
            <v>213300</v>
          </cell>
          <cell r="B57">
            <v>2022</v>
          </cell>
          <cell r="C57">
            <v>412</v>
          </cell>
          <cell r="D57">
            <v>41763718.979999997</v>
          </cell>
          <cell r="E57">
            <v>27025</v>
          </cell>
          <cell r="F57">
            <v>17478708.800000001</v>
          </cell>
          <cell r="G57">
            <v>27437</v>
          </cell>
          <cell r="H57">
            <v>59242427.780000001</v>
          </cell>
          <cell r="I57">
            <v>32198306.52</v>
          </cell>
          <cell r="M57">
            <v>9772431.4600000009</v>
          </cell>
          <cell r="N57">
            <v>18115.939999999999</v>
          </cell>
          <cell r="O57">
            <v>17100.93</v>
          </cell>
          <cell r="P57">
            <v>62978.55</v>
          </cell>
          <cell r="Q57">
            <v>0.71011494593410796</v>
          </cell>
        </row>
        <row r="58">
          <cell r="A58">
            <v>218992</v>
          </cell>
          <cell r="B58">
            <v>2022</v>
          </cell>
          <cell r="C58">
            <v>3331</v>
          </cell>
          <cell r="D58">
            <v>265693083.25</v>
          </cell>
          <cell r="E58">
            <v>9437</v>
          </cell>
          <cell r="F58">
            <v>30357927.440000001</v>
          </cell>
          <cell r="G58">
            <v>12768</v>
          </cell>
          <cell r="H58">
            <v>296051010.69</v>
          </cell>
          <cell r="I58">
            <v>109123661.61</v>
          </cell>
          <cell r="J58">
            <v>6017623.5700000003</v>
          </cell>
          <cell r="K58">
            <v>2935797.67</v>
          </cell>
          <cell r="L58">
            <v>13808312.01</v>
          </cell>
          <cell r="M58">
            <v>9925157.7899999991</v>
          </cell>
          <cell r="N58">
            <v>296583.61</v>
          </cell>
          <cell r="O58">
            <v>1332411.02</v>
          </cell>
          <cell r="P58">
            <v>1734927.33</v>
          </cell>
          <cell r="Q58">
            <v>0.49036979901417965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Hospital Summary"/>
      <sheetName val="Rate Application - REM Cycle I"/>
      <sheetName val="Rate Application - REM Cycle II"/>
      <sheetName val="Rate Application - REM Summary"/>
      <sheetName val="Rate Application - ICC Cycle I"/>
      <sheetName val="Rate Application - ICC Cycle II"/>
      <sheetName val="Rate Application - ICC Summary"/>
      <sheetName val="Rate Application - ICC Correl"/>
      <sheetName val="Integrated Effic - REM Cycle II"/>
      <sheetName val="Integrated Effic - REM Summary"/>
      <sheetName val="Integrated Effic - ICC Cycle I"/>
      <sheetName val="Integrated Effic - ICC Cycle II"/>
      <sheetName val="Integrated Effic - ICC Correl"/>
      <sheetName val="Integrated Effic Bell Curve"/>
      <sheetName val="Integrated Effic - ICC Summary"/>
      <sheetName val="Capital Methodol - REM Cycle II"/>
      <sheetName val="Capital Methodol - REM Summary"/>
      <sheetName val="Capital Methodol - ICC Cycle 2"/>
      <sheetName val="Capital Methodol - ICC Summary"/>
      <sheetName val="Drug Overhead"/>
      <sheetName val="LMA"/>
      <sheetName val="IME"/>
      <sheetName val="RESCMAD"/>
      <sheetName val="DSH"/>
      <sheetName val="DSH (Cumulative)"/>
      <sheetName val="DSH (Cumulative) (2)"/>
      <sheetName val="DME"/>
      <sheetName val="Prorated Residents"/>
      <sheetName val="PROFIT"/>
      <sheetName val="Excess Capacity"/>
      <sheetName val="Room &amp; Board Costs Percentage"/>
      <sheetName val="PAU Volume"/>
      <sheetName val="Variable Input"/>
      <sheetName val="Volume"/>
      <sheetName val="Revenue for Reform-ICC Cycle I"/>
      <sheetName val="Revenue for Reform-ICC Cycle II"/>
      <sheetName val="Revenue for Reform-ICC Summary"/>
      <sheetName val="GBR Revenue for ICC"/>
      <sheetName val="GBR Case Mix Reconciliation"/>
      <sheetName val="Oncology Drugs"/>
      <sheetName val="Chronic Revenue"/>
      <sheetName val="Categorical Exclusions"/>
      <sheetName val="vlookup"/>
      <sheetName val="DSH (Cumulative) -no Dorchester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Rate Appplication - ICC Cycle I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</row>
        <row r="2">
          <cell r="A2" t="str">
            <v>HOSPID</v>
          </cell>
          <cell r="B2" t="str">
            <v>HOSPITAL NAME</v>
          </cell>
          <cell r="C2" t="str">
            <v>PEER GROUP</v>
          </cell>
          <cell r="D2" t="str">
            <v>TOTAL PERMANENT REVENUE</v>
          </cell>
          <cell r="E2" t="str">
            <v>UNADJUSTED AVG CHARGE</v>
          </cell>
          <cell r="F2" t="str">
            <v>OUTPATIENT DRUG OVERHEAD</v>
          </cell>
          <cell r="G2" t="str">
            <v>TOTAL PERMANENT REVENUE ADJUSTED FOR OUTPATIENT DRUG OVERHEAD</v>
          </cell>
          <cell r="H2" t="str">
            <v>ADJUSTED AVG CHARGE</v>
          </cell>
          <cell r="I2" t="str">
            <v>MARK UP</v>
          </cell>
          <cell r="J2" t="str">
            <v>TOTAL PERMANENT REVENUE ADJUSTED FOR MARK UP</v>
          </cell>
          <cell r="K2" t="str">
            <v>ADJUSTED FOR PROFIT</v>
          </cell>
          <cell r="L2" t="str">
            <v>DIRECT STRIP</v>
          </cell>
          <cell r="M2" t="str">
            <v>TOTAL PERMANENT REVENUE ADJUSTED FOR DIRECT STRIPE</v>
          </cell>
          <cell r="N2" t="str">
            <v>LMA</v>
          </cell>
          <cell r="O2" t="str">
            <v>TOTAL PERMANENT REVENUE ADJUSTED FOR LMA</v>
          </cell>
          <cell r="P2" t="str">
            <v>ECMAD</v>
          </cell>
          <cell r="Q2" t="str">
            <v>AVERAGE CHARGE PER ECMAD</v>
          </cell>
          <cell r="R2" t="str">
            <v>TOTAL PERMANENT REVENUE ADJUSTED FOR ECMAD</v>
          </cell>
          <cell r="S2" t="str">
            <v>RESIDENTS PER CASEMIX ADJUSTED DISCHARGE</v>
          </cell>
          <cell r="T2" t="str">
            <v>IME AMOUNT</v>
          </cell>
          <cell r="U2" t="str">
            <v xml:space="preserve">DSH AMOUNT </v>
          </cell>
          <cell r="V2" t="str">
            <v>TOTAL PERMANENT REVENUE ADJUSTED FOR IME</v>
          </cell>
          <cell r="W2" t="str">
            <v>IME ADJUSTMENT</v>
          </cell>
          <cell r="X2" t="str">
            <v>TOTAL PERMANENT REVENUE ADJUSTED FOR DSH/IME</v>
          </cell>
          <cell r="Y2" t="str">
            <v>REM PEER STANDARD EFFICIENCY CHARGE Less Profit</v>
          </cell>
          <cell r="Z2" t="str">
            <v>PEER GROUP REM POSITION</v>
          </cell>
          <cell r="AA2" t="str">
            <v>STATE-WIDE POSITION</v>
          </cell>
          <cell r="AB2" t="str">
            <v>Included in Statewide Total</v>
          </cell>
          <cell r="AC2" t="str">
            <v>UNADJSUTED COST PER CASE</v>
          </cell>
        </row>
        <row r="3">
          <cell r="A3">
            <v>210001</v>
          </cell>
          <cell r="B3" t="str">
            <v>MERITUS MEDICAL CENTER</v>
          </cell>
          <cell r="C3">
            <v>1</v>
          </cell>
          <cell r="D3">
            <v>359162501.6690464</v>
          </cell>
          <cell r="E3">
            <v>13492.4580723623</v>
          </cell>
          <cell r="F3">
            <v>9548292.3293992579</v>
          </cell>
          <cell r="G3">
            <v>368710793.99844563</v>
          </cell>
          <cell r="H3">
            <v>13851.153463218523</v>
          </cell>
          <cell r="I3">
            <v>1.1125595900638841</v>
          </cell>
          <cell r="J3">
            <v>331407681.25262755</v>
          </cell>
          <cell r="K3">
            <v>312390351.98187715</v>
          </cell>
          <cell r="L3">
            <v>3290507.2285114108</v>
          </cell>
          <cell r="M3">
            <v>309099844.75336576</v>
          </cell>
          <cell r="N3">
            <v>0.99671861092415948</v>
          </cell>
          <cell r="O3">
            <v>310117460.80146712</v>
          </cell>
          <cell r="P3">
            <v>26619.50103849114</v>
          </cell>
          <cell r="Q3">
            <v>11650.010282050176</v>
          </cell>
          <cell r="R3">
            <v>310117460.80146712</v>
          </cell>
          <cell r="S3">
            <v>0</v>
          </cell>
          <cell r="T3">
            <v>0</v>
          </cell>
          <cell r="U3">
            <v>47654533.718086571</v>
          </cell>
          <cell r="V3">
            <v>310117460.80146712</v>
          </cell>
          <cell r="W3">
            <v>0</v>
          </cell>
          <cell r="X3">
            <v>262462927.08338055</v>
          </cell>
          <cell r="Y3">
            <v>9859.7989009585726</v>
          </cell>
          <cell r="Z3">
            <v>-4.2771699480974701E-2</v>
          </cell>
          <cell r="AA3">
            <v>-9.2890580640006437E-2</v>
          </cell>
          <cell r="AB3">
            <v>1</v>
          </cell>
          <cell r="AC3">
            <v>13056.325940832503</v>
          </cell>
        </row>
        <row r="4">
          <cell r="A4">
            <v>210002</v>
          </cell>
          <cell r="B4" t="str">
            <v>UNIVERSITY OF MARYLAND MEDICAL CENTER</v>
          </cell>
          <cell r="C4">
            <v>5</v>
          </cell>
          <cell r="D4">
            <v>1333410536.1440372</v>
          </cell>
          <cell r="E4">
            <v>22424.860060799107</v>
          </cell>
          <cell r="F4">
            <v>29635942.431155622</v>
          </cell>
          <cell r="G4">
            <v>1363046478.5751929</v>
          </cell>
          <cell r="H4">
            <v>22923.267598293452</v>
          </cell>
          <cell r="I4">
            <v>1.1082787301058081</v>
          </cell>
          <cell r="J4">
            <v>1229876962.8512692</v>
          </cell>
          <cell r="K4">
            <v>1229876962.8512692</v>
          </cell>
          <cell r="L4">
            <v>52767109.29482726</v>
          </cell>
          <cell r="M4">
            <v>1177109853.556442</v>
          </cell>
          <cell r="N4">
            <v>0.99671861092415948</v>
          </cell>
          <cell r="O4">
            <v>1180985125.2451515</v>
          </cell>
          <cell r="P4">
            <v>59461.264530919943</v>
          </cell>
          <cell r="Q4">
            <v>19861.419607567168</v>
          </cell>
          <cell r="R4">
            <v>1180985125.2451515</v>
          </cell>
          <cell r="S4">
            <v>8.1118009784618642E-3</v>
          </cell>
          <cell r="T4">
            <v>159015034.77561578</v>
          </cell>
          <cell r="U4">
            <v>134485043.82351533</v>
          </cell>
          <cell r="V4">
            <v>1021970090.4695357</v>
          </cell>
          <cell r="W4">
            <v>-0.13464609449895237</v>
          </cell>
          <cell r="X4">
            <v>887485046.64602041</v>
          </cell>
          <cell r="Y4">
            <v>14925.43176885394</v>
          </cell>
          <cell r="Z4">
            <v>0.15319906527701699</v>
          </cell>
          <cell r="AA4">
            <v>0.37315171247823664</v>
          </cell>
          <cell r="AB4">
            <v>1</v>
          </cell>
          <cell r="AC4">
            <v>22923.267598293452</v>
          </cell>
        </row>
        <row r="5">
          <cell r="A5">
            <v>210003</v>
          </cell>
          <cell r="B5" t="str">
            <v>PRINCE GEORGES HOSPITAL CENTER</v>
          </cell>
          <cell r="C5">
            <v>1</v>
          </cell>
          <cell r="D5">
            <v>344140625.32537603</v>
          </cell>
          <cell r="E5">
            <v>19558.125170259631</v>
          </cell>
          <cell r="F5">
            <v>301554.58246916742</v>
          </cell>
          <cell r="G5">
            <v>344442179.9078452</v>
          </cell>
          <cell r="H5">
            <v>19575.263054704457</v>
          </cell>
          <cell r="I5">
            <v>1.1124197944130276</v>
          </cell>
          <cell r="J5">
            <v>309633271.2144801</v>
          </cell>
          <cell r="K5">
            <v>263201295.25915185</v>
          </cell>
          <cell r="L5">
            <v>9943457.707362337</v>
          </cell>
          <cell r="M5">
            <v>253257837.55178952</v>
          </cell>
          <cell r="N5">
            <v>1.0181752931904677</v>
          </cell>
          <cell r="O5">
            <v>248736970.19125482</v>
          </cell>
          <cell r="P5">
            <v>17595.788058902563</v>
          </cell>
          <cell r="Q5">
            <v>14136.165391319699</v>
          </cell>
          <cell r="R5">
            <v>248736970.19125482</v>
          </cell>
          <cell r="S5">
            <v>2.7279255603283124E-3</v>
          </cell>
          <cell r="T5">
            <v>5754417.366559769</v>
          </cell>
          <cell r="U5">
            <v>57791139.796268597</v>
          </cell>
          <cell r="V5">
            <v>242982552.82469505</v>
          </cell>
          <cell r="W5">
            <v>-2.3134547960985352E-2</v>
          </cell>
          <cell r="X5">
            <v>185191413.02842647</v>
          </cell>
          <cell r="Y5">
            <v>10524.758107365878</v>
          </cell>
          <cell r="Z5">
            <v>2.1785172059464397E-2</v>
          </cell>
          <cell r="AA5">
            <v>-3.1713799482373406E-2</v>
          </cell>
          <cell r="AB5">
            <v>1</v>
          </cell>
          <cell r="AC5">
            <v>16639.79639793919</v>
          </cell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515898333.12569696</v>
          </cell>
          <cell r="E6">
            <v>13547.288639330825</v>
          </cell>
          <cell r="F6">
            <v>1604132.1889189167</v>
          </cell>
          <cell r="G6">
            <v>517502465.31461585</v>
          </cell>
          <cell r="H6">
            <v>13589.412523793215</v>
          </cell>
          <cell r="I6">
            <v>1.103417335211333</v>
          </cell>
          <cell r="J6">
            <v>468999759.92809713</v>
          </cell>
          <cell r="K6">
            <v>407066084.34061307</v>
          </cell>
          <cell r="L6">
            <v>1403028.2238295362</v>
          </cell>
          <cell r="M6">
            <v>405663056.11678356</v>
          </cell>
          <cell r="N6">
            <v>1.0181752931904677</v>
          </cell>
          <cell r="O6">
            <v>398421626.24633348</v>
          </cell>
          <cell r="P6">
            <v>38081.297805077251</v>
          </cell>
          <cell r="Q6">
            <v>10462.396220992585</v>
          </cell>
          <cell r="R6">
            <v>398421626.24633342</v>
          </cell>
          <cell r="S6">
            <v>4.9893257570299493E-4</v>
          </cell>
          <cell r="T6">
            <v>2277790.2075965754</v>
          </cell>
          <cell r="U6">
            <v>73040307.28186667</v>
          </cell>
          <cell r="V6">
            <v>396143836.03873682</v>
          </cell>
          <cell r="W6">
            <v>-5.7170345622461483E-3</v>
          </cell>
          <cell r="X6">
            <v>323103528.75687015</v>
          </cell>
          <cell r="Y6">
            <v>8484.5724116522069</v>
          </cell>
          <cell r="Z6">
            <v>-0.17628412994844567</v>
          </cell>
          <cell r="AA6">
            <v>-0.21941252238892983</v>
          </cell>
          <cell r="AB6">
            <v>1</v>
          </cell>
          <cell r="AC6">
            <v>11794.865194382781</v>
          </cell>
        </row>
        <row r="7">
          <cell r="A7">
            <v>210005</v>
          </cell>
          <cell r="B7" t="str">
            <v>FREDERICK MEMORIAL HOSPITAL</v>
          </cell>
          <cell r="C7">
            <v>1</v>
          </cell>
          <cell r="D7">
            <v>360788071.05711997</v>
          </cell>
          <cell r="E7">
            <v>14040.226811305662</v>
          </cell>
          <cell r="F7">
            <v>69474.163761052201</v>
          </cell>
          <cell r="G7">
            <v>360857545.22088104</v>
          </cell>
          <cell r="H7">
            <v>14042.93042901085</v>
          </cell>
          <cell r="I7">
            <v>1.1067037674041424</v>
          </cell>
          <cell r="J7">
            <v>326065163.82184166</v>
          </cell>
          <cell r="K7">
            <v>272140640.64083958</v>
          </cell>
          <cell r="L7">
            <v>499976.94573919184</v>
          </cell>
          <cell r="M7">
            <v>271640663.69510037</v>
          </cell>
          <cell r="N7">
            <v>0.99671861092415948</v>
          </cell>
          <cell r="O7">
            <v>272534956.92554051</v>
          </cell>
          <cell r="P7">
            <v>25696.740936307477</v>
          </cell>
          <cell r="Q7">
            <v>10605.817975168595</v>
          </cell>
          <cell r="R7">
            <v>272534956.92554051</v>
          </cell>
          <cell r="S7">
            <v>0</v>
          </cell>
          <cell r="T7">
            <v>0</v>
          </cell>
          <cell r="U7">
            <v>23936963.84965853</v>
          </cell>
          <cell r="V7">
            <v>272534956.92554051</v>
          </cell>
          <cell r="W7">
            <v>0</v>
          </cell>
          <cell r="X7">
            <v>248597993.07588199</v>
          </cell>
          <cell r="Y7">
            <v>9674.3004761600932</v>
          </cell>
          <cell r="Z7">
            <v>-6.0780620727993395E-2</v>
          </cell>
          <cell r="AA7">
            <v>-0.10995658473414505</v>
          </cell>
          <cell r="AB7"/>
          <cell r="AC7">
            <v>11720.516349038318</v>
          </cell>
        </row>
        <row r="8">
          <cell r="A8">
            <v>210006</v>
          </cell>
          <cell r="B8" t="str">
            <v>UM-HARFORD MEMORIAL HOSPITAL</v>
          </cell>
          <cell r="C8">
            <v>1</v>
          </cell>
          <cell r="D8">
            <v>108131288.36340627</v>
          </cell>
          <cell r="E8">
            <v>15426.620317210483</v>
          </cell>
          <cell r="F8">
            <v>86686.262311100712</v>
          </cell>
          <cell r="G8">
            <v>108217974.62571737</v>
          </cell>
          <cell r="H8">
            <v>15438.987468990801</v>
          </cell>
          <cell r="I8">
            <v>1.109223872023541</v>
          </cell>
          <cell r="J8">
            <v>97561887.509954944</v>
          </cell>
          <cell r="K8">
            <v>89218634.499988854</v>
          </cell>
          <cell r="L8">
            <v>0</v>
          </cell>
          <cell r="M8">
            <v>89218634.499988854</v>
          </cell>
          <cell r="N8">
            <v>0.99671861092415948</v>
          </cell>
          <cell r="O8">
            <v>89512359.37820521</v>
          </cell>
          <cell r="P8">
            <v>7009.3958456196124</v>
          </cell>
          <cell r="Q8">
            <v>12770.338749543478</v>
          </cell>
          <cell r="R8">
            <v>89512359.37820521</v>
          </cell>
          <cell r="S8">
            <v>0</v>
          </cell>
          <cell r="T8">
            <v>0</v>
          </cell>
          <cell r="U8">
            <v>13277968.014891667</v>
          </cell>
          <cell r="V8">
            <v>89512359.37820521</v>
          </cell>
          <cell r="W8">
            <v>0</v>
          </cell>
          <cell r="X8">
            <v>76234391.363313541</v>
          </cell>
          <cell r="Y8">
            <v>10876.028839340663</v>
          </cell>
          <cell r="Z8">
            <v>5.5887924982509052E-2</v>
          </cell>
          <cell r="AA8">
            <v>6.0339003848253192E-4</v>
          </cell>
          <cell r="AB8">
            <v>1</v>
          </cell>
          <cell r="AC8">
            <v>14118.683178461952</v>
          </cell>
        </row>
        <row r="9">
          <cell r="A9">
            <v>210008</v>
          </cell>
          <cell r="B9" t="str">
            <v>MERCY MEDICAL CENTER</v>
          </cell>
          <cell r="C9">
            <v>1</v>
          </cell>
          <cell r="D9">
            <v>525236316.62953174</v>
          </cell>
          <cell r="E9">
            <v>14723.600136622945</v>
          </cell>
          <cell r="F9">
            <v>13280188.205391783</v>
          </cell>
          <cell r="G9">
            <v>538516504.83492351</v>
          </cell>
          <cell r="H9">
            <v>15095.874815057263</v>
          </cell>
          <cell r="I9">
            <v>1.1037457657417868</v>
          </cell>
          <cell r="J9">
            <v>487899044.82487994</v>
          </cell>
          <cell r="K9">
            <v>460638374.28022254</v>
          </cell>
          <cell r="L9">
            <v>5222205.8638570011</v>
          </cell>
          <cell r="M9">
            <v>455416168.4163655</v>
          </cell>
          <cell r="N9">
            <v>0.99671861092415948</v>
          </cell>
          <cell r="O9">
            <v>456915485.90038139</v>
          </cell>
          <cell r="P9">
            <v>35673.090260246754</v>
          </cell>
          <cell r="Q9">
            <v>12808.407754053122</v>
          </cell>
          <cell r="R9">
            <v>456915485.90038139</v>
          </cell>
          <cell r="S9">
            <v>1.5173902682695584E-3</v>
          </cell>
          <cell r="T9">
            <v>6489304.4177475059</v>
          </cell>
          <cell r="U9">
            <v>66860958.138869703</v>
          </cell>
          <cell r="V9">
            <v>450426181.48263389</v>
          </cell>
          <cell r="W9">
            <v>-1.4202417335363204E-2</v>
          </cell>
          <cell r="X9">
            <v>383565223.34376419</v>
          </cell>
          <cell r="Y9">
            <v>10752.228655984989</v>
          </cell>
          <cell r="Z9">
            <v>4.3868913204695215E-2</v>
          </cell>
          <cell r="AA9">
            <v>-1.078632628012377E-2</v>
          </cell>
          <cell r="AB9">
            <v>1</v>
          </cell>
          <cell r="AC9">
            <v>14252.414114976626</v>
          </cell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2192484793.2701993</v>
          </cell>
          <cell r="E10">
            <v>20452.781133577391</v>
          </cell>
          <cell r="F10">
            <v>79428660.479262471</v>
          </cell>
          <cell r="G10">
            <v>2271913453.7494617</v>
          </cell>
          <cell r="H10">
            <v>21193.738158001041</v>
          </cell>
          <cell r="I10">
            <v>1.102608290464433</v>
          </cell>
          <cell r="J10">
            <v>2060490088.2728734</v>
          </cell>
          <cell r="K10">
            <v>2028447912.4868553</v>
          </cell>
          <cell r="L10">
            <v>116178105.15508722</v>
          </cell>
          <cell r="M10">
            <v>1912269807.331768</v>
          </cell>
          <cell r="N10">
            <v>0.99671861092415948</v>
          </cell>
          <cell r="O10">
            <v>1918565366.767565</v>
          </cell>
          <cell r="P10">
            <v>107197.39183395408</v>
          </cell>
          <cell r="Q10">
            <v>17897.500433027064</v>
          </cell>
          <cell r="R10">
            <v>1918565366.767565</v>
          </cell>
          <cell r="S10">
            <v>7.4361236589122375E-3</v>
          </cell>
          <cell r="T10">
            <v>262795293.50370598</v>
          </cell>
          <cell r="U10">
            <v>185031951.0459865</v>
          </cell>
          <cell r="V10">
            <v>1655770073.263859</v>
          </cell>
          <cell r="W10">
            <v>-0.13697489700153842</v>
          </cell>
          <cell r="X10">
            <v>1470738122.2178726</v>
          </cell>
          <cell r="Y10">
            <v>13719.905839649597</v>
          </cell>
          <cell r="Z10">
            <v>6.0055269087032181E-2</v>
          </cell>
          <cell r="AA10">
            <v>0.26224235858080025</v>
          </cell>
          <cell r="AB10">
            <v>1</v>
          </cell>
          <cell r="AC10">
            <v>20864.159536154464</v>
          </cell>
        </row>
        <row r="11">
          <cell r="A11">
            <v>210010</v>
          </cell>
          <cell r="B11" t="str">
            <v>UM-SHORE REGIONAL HEALTH AT DORCHESTER</v>
          </cell>
          <cell r="C11">
            <v>1</v>
          </cell>
          <cell r="D11">
            <v>46148115.520168975</v>
          </cell>
          <cell r="E11">
            <v>16091.559545390148</v>
          </cell>
          <cell r="F11">
            <v>22538.046808340911</v>
          </cell>
          <cell r="G11">
            <v>46170653.566977315</v>
          </cell>
          <cell r="H11">
            <v>16099.418421493001</v>
          </cell>
          <cell r="I11">
            <v>1.1194475957315877</v>
          </cell>
          <cell r="J11">
            <v>41244140.183983877</v>
          </cell>
          <cell r="K11">
            <v>36579446.628795855</v>
          </cell>
          <cell r="L11">
            <v>108600</v>
          </cell>
          <cell r="M11">
            <v>36470846.628795855</v>
          </cell>
          <cell r="N11">
            <v>0.99671861092415948</v>
          </cell>
          <cell r="O11">
            <v>36590915.659716651</v>
          </cell>
          <cell r="P11">
            <v>2867.8460524598017</v>
          </cell>
          <cell r="Q11">
            <v>12759.023668070322</v>
          </cell>
          <cell r="R11">
            <v>36590915.659716651</v>
          </cell>
          <cell r="S11">
            <v>0</v>
          </cell>
          <cell r="T11">
            <v>0</v>
          </cell>
          <cell r="U11">
            <v>9517561.5409638193</v>
          </cell>
          <cell r="V11">
            <v>36590915.659716651</v>
          </cell>
          <cell r="W11">
            <v>0</v>
          </cell>
          <cell r="X11">
            <v>27073354.11875283</v>
          </cell>
          <cell r="Y11">
            <v>9440.3094250932827</v>
          </cell>
          <cell r="Z11">
            <v>-8.349739805775902E-2</v>
          </cell>
          <cell r="AA11">
            <v>-0.13148394939956565</v>
          </cell>
          <cell r="AB11">
            <v>1</v>
          </cell>
          <cell r="AC11">
            <v>14278.581497313975</v>
          </cell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414847678.30131507</v>
          </cell>
          <cell r="E12">
            <v>16302.085489820272</v>
          </cell>
          <cell r="F12">
            <v>9657014.0734037254</v>
          </cell>
          <cell r="G12">
            <v>424504692.37471879</v>
          </cell>
          <cell r="H12">
            <v>16681.572895042485</v>
          </cell>
          <cell r="I12">
            <v>1.1128601479295688</v>
          </cell>
          <cell r="J12">
            <v>381453764.12704921</v>
          </cell>
          <cell r="K12">
            <v>330308565.65762669</v>
          </cell>
          <cell r="L12">
            <v>8508288.3865781873</v>
          </cell>
          <cell r="M12">
            <v>321800277.27104849</v>
          </cell>
          <cell r="N12">
            <v>0.99671861092415948</v>
          </cell>
          <cell r="O12">
            <v>322859705.58197427</v>
          </cell>
          <cell r="P12">
            <v>25447.521948057743</v>
          </cell>
          <cell r="Q12">
            <v>12687.274864758147</v>
          </cell>
          <cell r="R12">
            <v>322859705.58197427</v>
          </cell>
          <cell r="S12">
            <v>2.8686486703500672E-3</v>
          </cell>
          <cell r="T12">
            <v>8751509.7449763156</v>
          </cell>
          <cell r="U12">
            <v>58164058.0002608</v>
          </cell>
          <cell r="V12">
            <v>314108195.83699793</v>
          </cell>
          <cell r="W12">
            <v>-2.7106230953166555E-2</v>
          </cell>
          <cell r="X12">
            <v>255944137.83673713</v>
          </cell>
          <cell r="Y12">
            <v>10057.72343409932</v>
          </cell>
          <cell r="Z12">
            <v>-2.355640245590862E-2</v>
          </cell>
          <cell r="AA12">
            <v>-7.4681364596366206E-2</v>
          </cell>
          <cell r="AB12">
            <v>1</v>
          </cell>
          <cell r="AC12">
            <v>14444.912946354912</v>
          </cell>
        </row>
        <row r="13">
          <cell r="A13">
            <v>210012</v>
          </cell>
          <cell r="B13" t="str">
            <v>SINAI HOSPITAL</v>
          </cell>
          <cell r="C13">
            <v>1</v>
          </cell>
          <cell r="D13">
            <v>730136933.23442757</v>
          </cell>
          <cell r="E13">
            <v>19047.322935333072</v>
          </cell>
          <cell r="F13">
            <v>20100407.950656183</v>
          </cell>
          <cell r="G13">
            <v>750237341.18508375</v>
          </cell>
          <cell r="H13">
            <v>19571.688905524526</v>
          </cell>
          <cell r="I13">
            <v>1.1112849031201628</v>
          </cell>
          <cell r="J13">
            <v>675108011.52669024</v>
          </cell>
          <cell r="K13">
            <v>595024211.34140348</v>
          </cell>
          <cell r="L13">
            <v>19079670.401033461</v>
          </cell>
          <cell r="M13">
            <v>575944540.94037008</v>
          </cell>
          <cell r="N13">
            <v>0.99671861092415948</v>
          </cell>
          <cell r="O13">
            <v>577840660.97286296</v>
          </cell>
          <cell r="P13">
            <v>38332.784912257281</v>
          </cell>
          <cell r="Q13">
            <v>15074.319862110848</v>
          </cell>
          <cell r="R13">
            <v>577840660.97286296</v>
          </cell>
          <cell r="S13">
            <v>3.287003547704938E-3</v>
          </cell>
          <cell r="T13">
            <v>15105345.587219395</v>
          </cell>
          <cell r="U13">
            <v>86461692.985688806</v>
          </cell>
          <cell r="V13">
            <v>562735315.3856436</v>
          </cell>
          <cell r="W13">
            <v>-2.6141022270374181E-2</v>
          </cell>
          <cell r="X13">
            <v>476273622.3999548</v>
          </cell>
          <cell r="Y13">
            <v>12424.707035769312</v>
          </cell>
          <cell r="Z13">
            <v>0.20623973366636994</v>
          </cell>
          <cell r="AA13">
            <v>0.14308302817808993</v>
          </cell>
          <cell r="AB13">
            <v>1</v>
          </cell>
          <cell r="AC13">
            <v>17250.02304341432</v>
          </cell>
        </row>
        <row r="14">
          <cell r="A14">
            <v>210013</v>
          </cell>
          <cell r="B14" t="str">
            <v>BON SECOURS HOSPITAL</v>
          </cell>
          <cell r="C14" t="str">
            <v>NA</v>
          </cell>
          <cell r="D14">
            <v>48844300.344405606</v>
          </cell>
          <cell r="E14">
            <v>10918.212909561184</v>
          </cell>
          <cell r="F14">
            <v>1871773.1863242853</v>
          </cell>
          <cell r="G14">
            <v>50716073.53072989</v>
          </cell>
          <cell r="H14">
            <v>11336.612150057972</v>
          </cell>
          <cell r="I14">
            <v>1.124045673216447</v>
          </cell>
          <cell r="J14">
            <v>45119228.461247735</v>
          </cell>
          <cell r="K14">
            <v>37218967.463554449</v>
          </cell>
          <cell r="L14">
            <v>0</v>
          </cell>
          <cell r="M14">
            <v>37218967.463554449</v>
          </cell>
          <cell r="N14">
            <v>0.99671861092415948</v>
          </cell>
          <cell r="O14">
            <v>37341499.451931521</v>
          </cell>
          <cell r="P14">
            <v>4473.6534036291032</v>
          </cell>
          <cell r="Q14">
            <v>8346.980886279538</v>
          </cell>
          <cell r="R14">
            <v>37341499.451931521</v>
          </cell>
          <cell r="S14">
            <v>0</v>
          </cell>
          <cell r="T14">
            <v>0</v>
          </cell>
          <cell r="U14">
            <v>20705940.238514531</v>
          </cell>
          <cell r="V14">
            <v>37341499.451931521</v>
          </cell>
          <cell r="W14">
            <v>0</v>
          </cell>
          <cell r="X14">
            <v>16635559.21341699</v>
          </cell>
          <cell r="Y14">
            <v>3718.5623722932901</v>
          </cell>
          <cell r="Z14" t="e">
            <v>#DIV/0!</v>
          </cell>
          <cell r="AA14">
            <v>-0.65788927459190383</v>
          </cell>
          <cell r="AB14">
            <v>1</v>
          </cell>
          <cell r="AC14">
            <v>9351.6004849759211</v>
          </cell>
        </row>
        <row r="15">
          <cell r="A15">
            <v>210015</v>
          </cell>
          <cell r="B15" t="str">
            <v>MEDSTAR FRANKLIN SQUARE</v>
          </cell>
          <cell r="C15">
            <v>1</v>
          </cell>
          <cell r="D15">
            <v>510174964.0539906</v>
          </cell>
          <cell r="E15">
            <v>15256.319637293262</v>
          </cell>
          <cell r="F15">
            <v>25197133.056543346</v>
          </cell>
          <cell r="G15">
            <v>535372097.11053395</v>
          </cell>
          <cell r="H15">
            <v>16009.817050806778</v>
          </cell>
          <cell r="I15">
            <v>1.1136152091745954</v>
          </cell>
          <cell r="J15">
            <v>480751423.56159842</v>
          </cell>
          <cell r="K15">
            <v>424639660.37425792</v>
          </cell>
          <cell r="L15">
            <v>7850127.5629547518</v>
          </cell>
          <cell r="M15">
            <v>416789532.8113032</v>
          </cell>
          <cell r="N15">
            <v>0.99671861092415948</v>
          </cell>
          <cell r="O15">
            <v>418161683.99309319</v>
          </cell>
          <cell r="P15">
            <v>33440.23828701747</v>
          </cell>
          <cell r="Q15">
            <v>12504.745941222447</v>
          </cell>
          <cell r="R15">
            <v>418161683.99309319</v>
          </cell>
          <cell r="S15">
            <v>1.8141542643448729E-3</v>
          </cell>
          <cell r="T15">
            <v>7272834.3848257093</v>
          </cell>
          <cell r="U15">
            <v>76350117.976566583</v>
          </cell>
          <cell r="V15">
            <v>410888849.60826749</v>
          </cell>
          <cell r="W15">
            <v>-1.7392397876764387E-2</v>
          </cell>
          <cell r="X15">
            <v>334538731.63170087</v>
          </cell>
          <cell r="Y15">
            <v>10004.07738606274</v>
          </cell>
          <cell r="Z15">
            <v>-2.8764573120183101E-2</v>
          </cell>
          <cell r="AA15">
            <v>-7.9616844110120821E-2</v>
          </cell>
          <cell r="AB15">
            <v>1</v>
          </cell>
          <cell r="AC15">
            <v>14141.202588113645</v>
          </cell>
        </row>
        <row r="16">
          <cell r="A16">
            <v>210016</v>
          </cell>
          <cell r="B16" t="str">
            <v>WASHINGTON ADVENTIST HOSPITAL</v>
          </cell>
          <cell r="C16">
            <v>1</v>
          </cell>
          <cell r="D16">
            <v>299679965.23211139</v>
          </cell>
          <cell r="E16">
            <v>15868.5692684812</v>
          </cell>
          <cell r="F16">
            <v>761422.20407361793</v>
          </cell>
          <cell r="G16">
            <v>300441387.436185</v>
          </cell>
          <cell r="H16">
            <v>15908.887882968969</v>
          </cell>
          <cell r="I16">
            <v>1.1138669383738617</v>
          </cell>
          <cell r="J16">
            <v>269728256.65765828</v>
          </cell>
          <cell r="K16">
            <v>243233056.69663319</v>
          </cell>
          <cell r="L16">
            <v>0</v>
          </cell>
          <cell r="M16">
            <v>243233056.69663319</v>
          </cell>
          <cell r="N16">
            <v>1.0181752931904677</v>
          </cell>
          <cell r="O16">
            <v>238891140.18319842</v>
          </cell>
          <cell r="P16">
            <v>18885.128215518962</v>
          </cell>
          <cell r="Q16">
            <v>12649.696494349892</v>
          </cell>
          <cell r="R16">
            <v>238891140.18319842</v>
          </cell>
          <cell r="S16">
            <v>0</v>
          </cell>
          <cell r="T16">
            <v>0</v>
          </cell>
          <cell r="U16">
            <v>49108681.756714657</v>
          </cell>
          <cell r="V16">
            <v>238891140.18319842</v>
          </cell>
          <cell r="W16">
            <v>0</v>
          </cell>
          <cell r="X16">
            <v>189782458.42648375</v>
          </cell>
          <cell r="Y16">
            <v>10049.307384131442</v>
          </cell>
          <cell r="Z16">
            <v>-2.437346589591971E-2</v>
          </cell>
          <cell r="AA16">
            <v>-7.5455647954105309E-2</v>
          </cell>
          <cell r="AB16">
            <v>1</v>
          </cell>
          <cell r="AC16">
            <v>14346.170017069679</v>
          </cell>
        </row>
        <row r="17">
          <cell r="A17">
            <v>210017</v>
          </cell>
          <cell r="B17" t="str">
            <v>GARRETT COUNTY MEMORIAL HOSPITAL</v>
          </cell>
          <cell r="C17">
            <v>1</v>
          </cell>
          <cell r="D17">
            <v>59286133.708301492</v>
          </cell>
          <cell r="E17">
            <v>11157.343724240838</v>
          </cell>
          <cell r="F17">
            <v>2487091.7220296725</v>
          </cell>
          <cell r="G17">
            <v>61773225.430331163</v>
          </cell>
          <cell r="H17">
            <v>11625.401522594342</v>
          </cell>
          <cell r="I17">
            <v>1.112653094758054</v>
          </cell>
          <cell r="J17">
            <v>55518854.637944207</v>
          </cell>
          <cell r="K17">
            <v>47345728.020472161</v>
          </cell>
          <cell r="L17">
            <v>0</v>
          </cell>
          <cell r="M17">
            <v>47345728.020472161</v>
          </cell>
          <cell r="N17">
            <v>0.99671861092415948</v>
          </cell>
          <cell r="O17">
            <v>47501599.249333881</v>
          </cell>
          <cell r="P17">
            <v>5313.6423125061883</v>
          </cell>
          <cell r="Q17">
            <v>8939.5552910165061</v>
          </cell>
          <cell r="R17">
            <v>47501599.249333881</v>
          </cell>
          <cell r="S17">
            <v>0</v>
          </cell>
          <cell r="T17">
            <v>0</v>
          </cell>
          <cell r="U17">
            <v>7725402.9298312459</v>
          </cell>
          <cell r="V17">
            <v>47501599.249333881</v>
          </cell>
          <cell r="W17">
            <v>0</v>
          </cell>
          <cell r="X17">
            <v>39776196.319502637</v>
          </cell>
          <cell r="Y17">
            <v>7485.6744169409712</v>
          </cell>
          <cell r="Z17">
            <v>-0.27326110072381704</v>
          </cell>
          <cell r="AA17">
            <v>-0.31131194032678244</v>
          </cell>
          <cell r="AB17">
            <v>1</v>
          </cell>
          <cell r="AC17">
            <v>9913.9851174335363</v>
          </cell>
        </row>
        <row r="18">
          <cell r="A18">
            <v>210018</v>
          </cell>
          <cell r="B18" t="str">
            <v>MEDSTAR MONTGOMERY MEDICAL CENTER</v>
          </cell>
          <cell r="C18">
            <v>1</v>
          </cell>
          <cell r="D18">
            <v>166619281.61024588</v>
          </cell>
          <cell r="E18">
            <v>15948.734414845494</v>
          </cell>
          <cell r="F18">
            <v>8403102.9105848223</v>
          </cell>
          <cell r="G18">
            <v>175022384.52083069</v>
          </cell>
          <cell r="H18">
            <v>16753.076237030444</v>
          </cell>
          <cell r="I18">
            <v>1.1092039030979186</v>
          </cell>
          <cell r="J18">
            <v>157790992.28916076</v>
          </cell>
          <cell r="K18">
            <v>136097137.45405993</v>
          </cell>
          <cell r="L18">
            <v>0</v>
          </cell>
          <cell r="M18">
            <v>136097137.45405993</v>
          </cell>
          <cell r="N18">
            <v>1.0181752931904677</v>
          </cell>
          <cell r="O18">
            <v>133667688.0339509</v>
          </cell>
          <cell r="P18">
            <v>10447.178896850421</v>
          </cell>
          <cell r="Q18">
            <v>12794.62038065114</v>
          </cell>
          <cell r="R18">
            <v>133667688.0339509</v>
          </cell>
          <cell r="S18">
            <v>0</v>
          </cell>
          <cell r="T18">
            <v>0</v>
          </cell>
          <cell r="U18">
            <v>14876909.212012541</v>
          </cell>
          <cell r="V18">
            <v>133667688.0339509</v>
          </cell>
          <cell r="W18">
            <v>0</v>
          </cell>
          <cell r="X18">
            <v>118790778.82193835</v>
          </cell>
          <cell r="Y18">
            <v>11370.608275670573</v>
          </cell>
          <cell r="Z18">
            <v>0.10390365411302005</v>
          </cell>
          <cell r="AA18">
            <v>4.610509548127828E-2</v>
          </cell>
          <cell r="AB18">
            <v>1</v>
          </cell>
          <cell r="AC18">
            <v>14449.783769856564</v>
          </cell>
        </row>
        <row r="19">
          <cell r="A19">
            <v>210019</v>
          </cell>
          <cell r="B19" t="str">
            <v>PENINSULA REGIONAL MEDICAL CENTER</v>
          </cell>
          <cell r="C19">
            <v>1</v>
          </cell>
          <cell r="D19">
            <v>443650775.4481039</v>
          </cell>
          <cell r="E19">
            <v>13335.32462859326</v>
          </cell>
          <cell r="F19">
            <v>10891008.631580155</v>
          </cell>
          <cell r="G19">
            <v>454541784.07968408</v>
          </cell>
          <cell r="H19">
            <v>13662.688275119606</v>
          </cell>
          <cell r="I19">
            <v>1.1145315818768295</v>
          </cell>
          <cell r="J19">
            <v>407832125.59508872</v>
          </cell>
          <cell r="K19">
            <v>351517354.68972343</v>
          </cell>
          <cell r="L19">
            <v>1895874.1381186121</v>
          </cell>
          <cell r="M19">
            <v>349621480.55160481</v>
          </cell>
          <cell r="N19">
            <v>0.99671861092415948</v>
          </cell>
          <cell r="O19">
            <v>350772501.60648155</v>
          </cell>
          <cell r="P19">
            <v>33268.839552419995</v>
          </cell>
          <cell r="Q19">
            <v>10543.574898480827</v>
          </cell>
          <cell r="R19">
            <v>350772501.60648155</v>
          </cell>
          <cell r="S19">
            <v>0</v>
          </cell>
          <cell r="T19">
            <v>0</v>
          </cell>
          <cell r="U19">
            <v>48754207.423231088</v>
          </cell>
          <cell r="V19">
            <v>350772501.60648155</v>
          </cell>
          <cell r="W19">
            <v>0</v>
          </cell>
          <cell r="X19">
            <v>302018294.18325049</v>
          </cell>
          <cell r="Y19">
            <v>9078.1132809689934</v>
          </cell>
          <cell r="Z19">
            <v>-0.1186608332329866</v>
          </cell>
          <cell r="AA19">
            <v>-0.16480628561466548</v>
          </cell>
          <cell r="AB19">
            <v>1</v>
          </cell>
          <cell r="AC19">
            <v>11776.100358480884</v>
          </cell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341789137.61938012</v>
          </cell>
          <cell r="E20">
            <v>13808.493988541775</v>
          </cell>
          <cell r="F20">
            <v>749050.98156111245</v>
          </cell>
          <cell r="G20">
            <v>342538188.60094124</v>
          </cell>
          <cell r="H20">
            <v>13838.756114623489</v>
          </cell>
          <cell r="I20">
            <v>1.1039909704781965</v>
          </cell>
          <cell r="J20">
            <v>310272636.06383479</v>
          </cell>
          <cell r="K20">
            <v>280810766.05387241</v>
          </cell>
          <cell r="L20">
            <v>3893601.9149088315</v>
          </cell>
          <cell r="M20">
            <v>276917164.13896358</v>
          </cell>
          <cell r="N20">
            <v>1.0181752931904677</v>
          </cell>
          <cell r="O20">
            <v>271973957.71728015</v>
          </cell>
          <cell r="P20">
            <v>24752.093740490105</v>
          </cell>
          <cell r="Q20">
            <v>10987.917247274247</v>
          </cell>
          <cell r="R20">
            <v>271973957.71728015</v>
          </cell>
          <cell r="S20">
            <v>1.6160249076047648E-4</v>
          </cell>
          <cell r="T20">
            <v>479534.78054664744</v>
          </cell>
          <cell r="U20">
            <v>24521634.28557897</v>
          </cell>
          <cell r="V20">
            <v>271494422.93673348</v>
          </cell>
          <cell r="W20">
            <v>-1.7631643285683785E-3</v>
          </cell>
          <cell r="X20">
            <v>246972788.65115452</v>
          </cell>
          <cell r="Y20">
            <v>9977.8544490218264</v>
          </cell>
          <cell r="Z20">
            <v>-3.1310399633526109E-2</v>
          </cell>
          <cell r="AA20">
            <v>-8.2029375383023684E-2</v>
          </cell>
          <cell r="AB20">
            <v>1</v>
          </cell>
          <cell r="AC20">
            <v>12524.700067268006</v>
          </cell>
        </row>
        <row r="21">
          <cell r="A21">
            <v>210023</v>
          </cell>
          <cell r="B21" t="str">
            <v>ANNE ARUNDEL MEDICAL CENTER</v>
          </cell>
          <cell r="C21">
            <v>1</v>
          </cell>
          <cell r="D21">
            <v>589241722.90241575</v>
          </cell>
          <cell r="E21">
            <v>12268.89234432665</v>
          </cell>
          <cell r="F21">
            <v>19700071.563212909</v>
          </cell>
          <cell r="G21">
            <v>608941794.46562862</v>
          </cell>
          <cell r="H21">
            <v>12679.077244326709</v>
          </cell>
          <cell r="I21">
            <v>1.1002959297555364</v>
          </cell>
          <cell r="J21">
            <v>553434560.6467191</v>
          </cell>
          <cell r="K21">
            <v>503617451.02389592</v>
          </cell>
          <cell r="L21">
            <v>0</v>
          </cell>
          <cell r="M21">
            <v>503617451.02389592</v>
          </cell>
          <cell r="N21">
            <v>0.99671861092415948</v>
          </cell>
          <cell r="O21">
            <v>505275456.38677382</v>
          </cell>
          <cell r="P21">
            <v>48027.295893169314</v>
          </cell>
          <cell r="Q21">
            <v>10520.58932301114</v>
          </cell>
          <cell r="R21">
            <v>505275456.38677382</v>
          </cell>
          <cell r="S21">
            <v>0</v>
          </cell>
          <cell r="T21">
            <v>0</v>
          </cell>
          <cell r="U21">
            <v>44485911.950366043</v>
          </cell>
          <cell r="V21">
            <v>505275456.38677382</v>
          </cell>
          <cell r="W21">
            <v>0</v>
          </cell>
          <cell r="X21">
            <v>460789544.4364078</v>
          </cell>
          <cell r="Y21">
            <v>9594.3262235995189</v>
          </cell>
          <cell r="Z21">
            <v>-6.854483768949704E-2</v>
          </cell>
          <cell r="AA21">
            <v>-0.1173142802138083</v>
          </cell>
          <cell r="AB21">
            <v>1</v>
          </cell>
          <cell r="AC21">
            <v>11537.7770330447</v>
          </cell>
        </row>
        <row r="22">
          <cell r="A22">
            <v>210024</v>
          </cell>
          <cell r="B22" t="str">
            <v>MEDSTAR UNION MEMORIAL HOSPITAL</v>
          </cell>
          <cell r="C22">
            <v>1</v>
          </cell>
          <cell r="D22">
            <v>427533741.0623219</v>
          </cell>
          <cell r="E22">
            <v>16886.021420457593</v>
          </cell>
          <cell r="F22">
            <v>218701.13399959373</v>
          </cell>
          <cell r="G22">
            <v>427752442.19632149</v>
          </cell>
          <cell r="H22">
            <v>16894.659316554913</v>
          </cell>
          <cell r="I22">
            <v>1.1122294528034189</v>
          </cell>
          <cell r="J22">
            <v>384590105.14256239</v>
          </cell>
          <cell r="K22">
            <v>359920657.06617272</v>
          </cell>
          <cell r="L22">
            <v>8194567.8891049139</v>
          </cell>
          <cell r="M22">
            <v>351726089.17706782</v>
          </cell>
          <cell r="N22">
            <v>0.99671861092415948</v>
          </cell>
          <cell r="O22">
            <v>352884039.00770617</v>
          </cell>
          <cell r="P22">
            <v>25318.796560589475</v>
          </cell>
          <cell r="Q22">
            <v>13937.630809712162</v>
          </cell>
          <cell r="R22">
            <v>352884039.00770617</v>
          </cell>
          <cell r="S22">
            <v>2.7456724936081849E-3</v>
          </cell>
          <cell r="T22">
            <v>8333969.6149970107</v>
          </cell>
          <cell r="U22">
            <v>52020695.77286166</v>
          </cell>
          <cell r="V22">
            <v>344550069.39270914</v>
          </cell>
          <cell r="W22">
            <v>-2.3616737210421235E-2</v>
          </cell>
          <cell r="X22">
            <v>292529373.61984748</v>
          </cell>
          <cell r="Y22">
            <v>11553.841941887176</v>
          </cell>
          <cell r="Z22">
            <v>0.12169270363342521</v>
          </cell>
          <cell r="AA22">
            <v>6.2962739966581971E-2</v>
          </cell>
          <cell r="AB22">
            <v>1</v>
          </cell>
          <cell r="AC22">
            <v>15810.95509430627</v>
          </cell>
        </row>
        <row r="23">
          <cell r="A23">
            <v>210027</v>
          </cell>
          <cell r="B23" t="str">
            <v>WESTERN MARYLAND REGIONAL MEDICAL CENTER</v>
          </cell>
          <cell r="C23">
            <v>1</v>
          </cell>
          <cell r="D23">
            <v>304700627.6555841</v>
          </cell>
          <cell r="E23">
            <v>13762.596206868342</v>
          </cell>
          <cell r="F23">
            <v>16301260.253948839</v>
          </cell>
          <cell r="G23">
            <v>321001887.90953296</v>
          </cell>
          <cell r="H23">
            <v>14498.885016853204</v>
          </cell>
          <cell r="I23">
            <v>1.1170469141508113</v>
          </cell>
          <cell r="J23">
            <v>287366523.14514595</v>
          </cell>
          <cell r="K23">
            <v>251417703.373519</v>
          </cell>
          <cell r="L23">
            <v>1723991.1235305152</v>
          </cell>
          <cell r="M23">
            <v>249693712.2499885</v>
          </cell>
          <cell r="N23">
            <v>0.99671861092415948</v>
          </cell>
          <cell r="O23">
            <v>250515751.90160438</v>
          </cell>
          <cell r="P23">
            <v>22139.763680890428</v>
          </cell>
          <cell r="Q23">
            <v>11315.195388369611</v>
          </cell>
          <cell r="R23">
            <v>250515751.90160438</v>
          </cell>
          <cell r="S23">
            <v>0</v>
          </cell>
          <cell r="T23">
            <v>0</v>
          </cell>
          <cell r="U23">
            <v>30521814.228028882</v>
          </cell>
          <cell r="V23">
            <v>250515751.90160438</v>
          </cell>
          <cell r="W23">
            <v>0</v>
          </cell>
          <cell r="X23">
            <v>219993937.67357549</v>
          </cell>
          <cell r="Y23">
            <v>9936.5982783031977</v>
          </cell>
          <cell r="Z23">
            <v>-3.5315711970989261E-2</v>
          </cell>
          <cell r="AA23">
            <v>-8.5824976230618466E-2</v>
          </cell>
          <cell r="AB23">
            <v>1</v>
          </cell>
          <cell r="AC23">
            <v>12685.111447629428</v>
          </cell>
        </row>
        <row r="24">
          <cell r="A24">
            <v>210028</v>
          </cell>
          <cell r="B24" t="str">
            <v xml:space="preserve">MEDSTAR ST. MARY'S HOSPITAL </v>
          </cell>
          <cell r="C24">
            <v>1</v>
          </cell>
          <cell r="D24">
            <v>176207370.49979731</v>
          </cell>
          <cell r="E24">
            <v>13287.886951830016</v>
          </cell>
          <cell r="F24">
            <v>6773552.7420591991</v>
          </cell>
          <cell r="G24">
            <v>182980923.24185652</v>
          </cell>
          <cell r="H24">
            <v>13798.683990815649</v>
          </cell>
          <cell r="I24">
            <v>1.1067681053450378</v>
          </cell>
          <cell r="J24">
            <v>165329053.44684806</v>
          </cell>
          <cell r="K24">
            <v>141569062.52385485</v>
          </cell>
          <cell r="L24">
            <v>0</v>
          </cell>
          <cell r="M24">
            <v>141569062.52385485</v>
          </cell>
          <cell r="N24">
            <v>0.99671861092415948</v>
          </cell>
          <cell r="O24">
            <v>142035135.06444085</v>
          </cell>
          <cell r="P24">
            <v>13260.751776303299</v>
          </cell>
          <cell r="Q24">
            <v>10710.941390084296</v>
          </cell>
          <cell r="R24">
            <v>142035135.06444085</v>
          </cell>
          <cell r="S24">
            <v>0</v>
          </cell>
          <cell r="T24">
            <v>0</v>
          </cell>
          <cell r="U24">
            <v>22659036.123323776</v>
          </cell>
          <cell r="V24">
            <v>142035135.06444085</v>
          </cell>
          <cell r="W24">
            <v>0</v>
          </cell>
          <cell r="X24">
            <v>119376098.94111708</v>
          </cell>
          <cell r="Y24">
            <v>9002.2120129297491</v>
          </cell>
          <cell r="Z24">
            <v>-0.12602962873705936</v>
          </cell>
          <cell r="AA24">
            <v>-0.17178926324649857</v>
          </cell>
          <cell r="AB24">
            <v>1</v>
          </cell>
          <cell r="AC24">
            <v>11815.628989073715</v>
          </cell>
        </row>
        <row r="25">
          <cell r="A25">
            <v>210029</v>
          </cell>
          <cell r="B25" t="str">
            <v>JOHNS HOPKINS BAYVIEW MEDICAL CENTER</v>
          </cell>
          <cell r="C25">
            <v>1</v>
          </cell>
          <cell r="D25">
            <v>629026151.29482055</v>
          </cell>
          <cell r="E25">
            <v>16931.859835193653</v>
          </cell>
          <cell r="F25">
            <v>22111307.935484953</v>
          </cell>
          <cell r="G25">
            <v>651137459.23030555</v>
          </cell>
          <cell r="H25">
            <v>17527.042668158199</v>
          </cell>
          <cell r="I25">
            <v>1.1128915143911908</v>
          </cell>
          <cell r="J25">
            <v>585086192.86805451</v>
          </cell>
          <cell r="K25">
            <v>580670906.50531554</v>
          </cell>
          <cell r="L25">
            <v>22422240.964482512</v>
          </cell>
          <cell r="M25">
            <v>558248665.540833</v>
          </cell>
          <cell r="N25">
            <v>0.99671861092415948</v>
          </cell>
          <cell r="O25">
            <v>560086527.35321534</v>
          </cell>
          <cell r="P25">
            <v>37150.44640207573</v>
          </cell>
          <cell r="Q25">
            <v>15076.172202386275</v>
          </cell>
          <cell r="R25">
            <v>560086527.35321534</v>
          </cell>
          <cell r="S25">
            <v>3.8446885262948794E-3</v>
          </cell>
          <cell r="T25">
            <v>17123215.359423563</v>
          </cell>
          <cell r="U25">
            <v>87661234.354119599</v>
          </cell>
          <cell r="V25">
            <v>542963311.99379182</v>
          </cell>
          <cell r="W25">
            <v>-3.0572446440270906E-2</v>
          </cell>
          <cell r="X25">
            <v>455302077.63967222</v>
          </cell>
          <cell r="Y25">
            <v>12255.628713366761</v>
          </cell>
          <cell r="Z25">
            <v>0.18982494094759872</v>
          </cell>
          <cell r="AA25">
            <v>0.12752768669480363</v>
          </cell>
          <cell r="AB25">
            <v>1</v>
          </cell>
          <cell r="AC25">
            <v>17394.776835507939</v>
          </cell>
        </row>
        <row r="26">
          <cell r="A26">
            <v>210030</v>
          </cell>
          <cell r="B26" t="str">
            <v>UM-SHORE REGIONAL HEALTH AT CHESTERTOWN</v>
          </cell>
          <cell r="C26">
            <v>1</v>
          </cell>
          <cell r="D26">
            <v>50249042.334938958</v>
          </cell>
          <cell r="E26">
            <v>18531.441058246302</v>
          </cell>
          <cell r="F26">
            <v>1647559.7522342261</v>
          </cell>
          <cell r="G26">
            <v>51896602.087173186</v>
          </cell>
          <cell r="H26">
            <v>19139.047791026525</v>
          </cell>
          <cell r="I26">
            <v>1.1174005796419912</v>
          </cell>
          <cell r="J26">
            <v>46444044.358559899</v>
          </cell>
          <cell r="K26">
            <v>45081625.019782729</v>
          </cell>
          <cell r="L26">
            <v>0</v>
          </cell>
          <cell r="M26">
            <v>45081625.019782729</v>
          </cell>
          <cell r="N26">
            <v>0.99671861092415948</v>
          </cell>
          <cell r="O26">
            <v>45230042.386770479</v>
          </cell>
          <cell r="P26">
            <v>2711.5561157386974</v>
          </cell>
          <cell r="Q26">
            <v>16680.474405173303</v>
          </cell>
          <cell r="R26">
            <v>45230042.386770479</v>
          </cell>
          <cell r="S26">
            <v>0</v>
          </cell>
          <cell r="T26">
            <v>0</v>
          </cell>
          <cell r="U26">
            <v>5988358.3877597665</v>
          </cell>
          <cell r="V26">
            <v>45230042.386770479</v>
          </cell>
          <cell r="W26">
            <v>0</v>
          </cell>
          <cell r="X26">
            <v>39241683.999010712</v>
          </cell>
          <cell r="Y26">
            <v>14472.016187030034</v>
          </cell>
          <cell r="Z26">
            <v>0.40500060893207368</v>
          </cell>
          <cell r="AA26">
            <v>0.33143711471731563</v>
          </cell>
          <cell r="AB26">
            <v>1</v>
          </cell>
          <cell r="AC26">
            <v>18577.610706974021</v>
          </cell>
        </row>
        <row r="27">
          <cell r="A27">
            <v>210032</v>
          </cell>
          <cell r="B27" t="str">
            <v>UNION HOSPITAL OF CECIL COUNTY</v>
          </cell>
          <cell r="C27">
            <v>1</v>
          </cell>
          <cell r="D27">
            <v>158528773.72467345</v>
          </cell>
          <cell r="E27">
            <v>15894.877058981225</v>
          </cell>
          <cell r="F27">
            <v>5166305.2176658865</v>
          </cell>
          <cell r="G27">
            <v>163695078.94233933</v>
          </cell>
          <cell r="H27">
            <v>16412.876311448737</v>
          </cell>
          <cell r="I27">
            <v>1.1121720150724883</v>
          </cell>
          <cell r="J27">
            <v>147185036.77838913</v>
          </cell>
          <cell r="K27">
            <v>132623934.711566</v>
          </cell>
          <cell r="L27">
            <v>0</v>
          </cell>
          <cell r="M27">
            <v>132623934.711566</v>
          </cell>
          <cell r="N27">
            <v>0.99671861092415948</v>
          </cell>
          <cell r="O27">
            <v>133060558.17358203</v>
          </cell>
          <cell r="P27">
            <v>9973.5765892633008</v>
          </cell>
          <cell r="Q27">
            <v>13341.308103737194</v>
          </cell>
          <cell r="R27">
            <v>133060558.17358203</v>
          </cell>
          <cell r="S27">
            <v>0</v>
          </cell>
          <cell r="T27">
            <v>0</v>
          </cell>
          <cell r="U27">
            <v>22468180.086097151</v>
          </cell>
          <cell r="V27">
            <v>133060558.17358203</v>
          </cell>
          <cell r="W27">
            <v>0</v>
          </cell>
          <cell r="X27">
            <v>110592378.08748488</v>
          </cell>
          <cell r="Y27">
            <v>11088.537506849767</v>
          </cell>
          <cell r="Z27">
            <v>7.6519107493292937E-2</v>
          </cell>
          <cell r="AA27">
            <v>2.0154358159587771E-2</v>
          </cell>
          <cell r="AB27">
            <v>1</v>
          </cell>
          <cell r="AC27">
            <v>14789.140825748611</v>
          </cell>
        </row>
        <row r="28">
          <cell r="A28">
            <v>210033</v>
          </cell>
          <cell r="B28" t="str">
            <v>CARROLL HOSPITAL CENTER</v>
          </cell>
          <cell r="C28">
            <v>1</v>
          </cell>
          <cell r="D28">
            <v>236416938.69425964</v>
          </cell>
          <cell r="E28">
            <v>15168.025410433278</v>
          </cell>
          <cell r="F28">
            <v>28590.153551125881</v>
          </cell>
          <cell r="G28">
            <v>236445528.84781078</v>
          </cell>
          <cell r="H28">
            <v>15169.859695988056</v>
          </cell>
          <cell r="I28">
            <v>1.1093050072442689</v>
          </cell>
          <cell r="J28">
            <v>213147445.7464028</v>
          </cell>
          <cell r="K28">
            <v>190579237.12657461</v>
          </cell>
          <cell r="L28">
            <v>0</v>
          </cell>
          <cell r="M28">
            <v>190579237.12657461</v>
          </cell>
          <cell r="N28">
            <v>0.99671861092415948</v>
          </cell>
          <cell r="O28">
            <v>191206660.57380944</v>
          </cell>
          <cell r="P28">
            <v>15586.533665195537</v>
          </cell>
          <cell r="Q28">
            <v>12267.426785262118</v>
          </cell>
          <cell r="R28">
            <v>191206660.57380944</v>
          </cell>
          <cell r="S28">
            <v>0</v>
          </cell>
          <cell r="T28">
            <v>0</v>
          </cell>
          <cell r="U28">
            <v>21292361.086341254</v>
          </cell>
          <cell r="V28">
            <v>191206660.57380944</v>
          </cell>
          <cell r="W28">
            <v>0</v>
          </cell>
          <cell r="X28">
            <v>169914299.48746818</v>
          </cell>
          <cell r="Y28">
            <v>10901.352612279914</v>
          </cell>
          <cell r="Z28">
            <v>5.8346457086141612E-2</v>
          </cell>
          <cell r="AA28">
            <v>2.9331974917254922E-3</v>
          </cell>
          <cell r="AB28">
            <v>1</v>
          </cell>
          <cell r="AC28">
            <v>13563.663773002852</v>
          </cell>
        </row>
        <row r="29">
          <cell r="A29">
            <v>210034</v>
          </cell>
          <cell r="B29" t="str">
            <v>MEDSTAR HARBOR HOSPITAL CENTER</v>
          </cell>
          <cell r="C29">
            <v>1</v>
          </cell>
          <cell r="D29">
            <v>190622892.3593424</v>
          </cell>
          <cell r="E29">
            <v>17101.52261843934</v>
          </cell>
          <cell r="F29">
            <v>1350303.5892181839</v>
          </cell>
          <cell r="G29">
            <v>191973195.94856057</v>
          </cell>
          <cell r="H29">
            <v>17222.663616180802</v>
          </cell>
          <cell r="I29">
            <v>1.1155619773501586</v>
          </cell>
          <cell r="J29">
            <v>172086535.61728823</v>
          </cell>
          <cell r="K29">
            <v>160109049.90990672</v>
          </cell>
          <cell r="L29">
            <v>3866850.9143537963</v>
          </cell>
          <cell r="M29">
            <v>156242198.99555293</v>
          </cell>
          <cell r="N29">
            <v>0.99671861092415948</v>
          </cell>
          <cell r="O29">
            <v>156756578.31921574</v>
          </cell>
          <cell r="P29">
            <v>11146.545054053109</v>
          </cell>
          <cell r="Q29">
            <v>14063.243593333513</v>
          </cell>
          <cell r="R29">
            <v>156756578.31921574</v>
          </cell>
          <cell r="S29">
            <v>3.1259148476919119E-3</v>
          </cell>
          <cell r="T29">
            <v>4177125.654313094</v>
          </cell>
          <cell r="U29">
            <v>35039287.882581048</v>
          </cell>
          <cell r="V29">
            <v>152579452.66490266</v>
          </cell>
          <cell r="W29">
            <v>-2.664721123094993E-2</v>
          </cell>
          <cell r="X29">
            <v>117540164.7823216</v>
          </cell>
          <cell r="Y29">
            <v>10544.986290579933</v>
          </cell>
          <cell r="Z29">
            <v>2.3749004145197317E-2</v>
          </cell>
          <cell r="AA29">
            <v>-2.9852790377185245E-2</v>
          </cell>
          <cell r="AB29">
            <v>1</v>
          </cell>
          <cell r="AC29">
            <v>16023.939924255183</v>
          </cell>
        </row>
        <row r="30">
          <cell r="A30">
            <v>210035</v>
          </cell>
          <cell r="B30" t="str">
            <v>UM-CHARLES REGIONAL MEDICAL CENTER</v>
          </cell>
          <cell r="C30">
            <v>1</v>
          </cell>
          <cell r="D30">
            <v>154035453.10336697</v>
          </cell>
          <cell r="E30">
            <v>14092.14396684179</v>
          </cell>
          <cell r="F30">
            <v>1957136.2344339113</v>
          </cell>
          <cell r="G30">
            <v>155992589.33780089</v>
          </cell>
          <cell r="H30">
            <v>14271.195250313896</v>
          </cell>
          <cell r="I30">
            <v>1.1055406163515706</v>
          </cell>
          <cell r="J30">
            <v>141100731.19936284</v>
          </cell>
          <cell r="K30">
            <v>123564348.79475631</v>
          </cell>
          <cell r="L30">
            <v>0</v>
          </cell>
          <cell r="M30">
            <v>123564348.79475631</v>
          </cell>
          <cell r="N30">
            <v>0.99671861092415948</v>
          </cell>
          <cell r="O30">
            <v>123971146.3601419</v>
          </cell>
          <cell r="P30">
            <v>10930.590367640707</v>
          </cell>
          <cell r="Q30">
            <v>11341.669771758196</v>
          </cell>
          <cell r="R30">
            <v>123971146.3601419</v>
          </cell>
          <cell r="S30">
            <v>0</v>
          </cell>
          <cell r="T30">
            <v>0</v>
          </cell>
          <cell r="U30">
            <v>18346770.794217508</v>
          </cell>
          <cell r="V30">
            <v>123971146.3601419</v>
          </cell>
          <cell r="W30">
            <v>0</v>
          </cell>
          <cell r="X30">
            <v>105624375.56592439</v>
          </cell>
          <cell r="Y30">
            <v>9663.19036880372</v>
          </cell>
          <cell r="Z30">
            <v>-6.1859233921847778E-2</v>
          </cell>
          <cell r="AA30">
            <v>-0.11097872353578808</v>
          </cell>
          <cell r="AB30">
            <v>1</v>
          </cell>
          <cell r="AC30">
            <v>12497.532313537853</v>
          </cell>
        </row>
        <row r="31">
          <cell r="A31">
            <v>210037</v>
          </cell>
          <cell r="B31" t="str">
            <v>UM-SHORE REGIONAL HEALTH AT EASTON</v>
          </cell>
          <cell r="C31">
            <v>1</v>
          </cell>
          <cell r="D31">
            <v>208595601.10182542</v>
          </cell>
          <cell r="E31">
            <v>15540.728582898517</v>
          </cell>
          <cell r="F31">
            <v>9411029.8338289615</v>
          </cell>
          <cell r="G31">
            <v>218006630.93565437</v>
          </cell>
          <cell r="H31">
            <v>16241.866380438662</v>
          </cell>
          <cell r="I31">
            <v>1.115210311498205</v>
          </cell>
          <cell r="J31">
            <v>195484769.72274235</v>
          </cell>
          <cell r="K31">
            <v>153171980.53810379</v>
          </cell>
          <cell r="L31">
            <v>1163900</v>
          </cell>
          <cell r="M31">
            <v>152008080.53810379</v>
          </cell>
          <cell r="N31">
            <v>0.99671861092415948</v>
          </cell>
          <cell r="O31">
            <v>152508520.33068952</v>
          </cell>
          <cell r="P31">
            <v>13422.511048250997</v>
          </cell>
          <cell r="Q31">
            <v>11362.145263464838</v>
          </cell>
          <cell r="R31">
            <v>152508520.33068952</v>
          </cell>
          <cell r="S31">
            <v>0</v>
          </cell>
          <cell r="T31">
            <v>0</v>
          </cell>
          <cell r="U31">
            <v>25807107.803247843</v>
          </cell>
          <cell r="V31">
            <v>152508520.33068952</v>
          </cell>
          <cell r="W31">
            <v>0</v>
          </cell>
          <cell r="X31">
            <v>126701412.52744168</v>
          </cell>
          <cell r="Y31">
            <v>9439.4716511670395</v>
          </cell>
          <cell r="Z31">
            <v>-8.3578732466269012E-2</v>
          </cell>
          <cell r="AA31">
            <v>-0.131561025273772</v>
          </cell>
          <cell r="AB31">
            <v>1</v>
          </cell>
          <cell r="AC31">
            <v>12726.305198381942</v>
          </cell>
        </row>
        <row r="32">
          <cell r="A32">
            <v>210038</v>
          </cell>
          <cell r="B32" t="str">
            <v>UMMC MIDTOWN CAMPUS</v>
          </cell>
          <cell r="C32">
            <v>1</v>
          </cell>
          <cell r="D32">
            <v>209457227.64422765</v>
          </cell>
          <cell r="E32">
            <v>21708.436787224826</v>
          </cell>
          <cell r="F32">
            <v>422200.76991042739</v>
          </cell>
          <cell r="G32">
            <v>209879428.41413808</v>
          </cell>
          <cell r="H32">
            <v>21752.194258992218</v>
          </cell>
          <cell r="I32">
            <v>1.1188950996267033</v>
          </cell>
          <cell r="J32">
            <v>187577395.31092781</v>
          </cell>
          <cell r="K32">
            <v>170002594.24718434</v>
          </cell>
          <cell r="L32">
            <v>3775551.6155792619</v>
          </cell>
          <cell r="M32">
            <v>166227042.63160509</v>
          </cell>
          <cell r="N32">
            <v>0.99671861092415948</v>
          </cell>
          <cell r="O32">
            <v>166774293.97799549</v>
          </cell>
          <cell r="P32">
            <v>9648.6554834519866</v>
          </cell>
          <cell r="Q32">
            <v>17284.718504461398</v>
          </cell>
          <cell r="R32">
            <v>166774293.97799549</v>
          </cell>
          <cell r="S32">
            <v>3.881049237353999E-3</v>
          </cell>
          <cell r="T32">
            <v>4489273.5832634214</v>
          </cell>
          <cell r="U32">
            <v>37800519.481644191</v>
          </cell>
          <cell r="V32">
            <v>162285020.39473206</v>
          </cell>
          <cell r="W32">
            <v>-2.6918258660748706E-2</v>
          </cell>
          <cell r="X32">
            <v>124484500.91308787</v>
          </cell>
          <cell r="Y32">
            <v>12901.745857398073</v>
          </cell>
          <cell r="Z32">
            <v>0.25255255049926717</v>
          </cell>
          <cell r="AA32">
            <v>0.18697098297783432</v>
          </cell>
          <cell r="AB32">
            <v>1</v>
          </cell>
          <cell r="AC32">
            <v>19714.15291521512</v>
          </cell>
        </row>
        <row r="33">
          <cell r="A33">
            <v>210039</v>
          </cell>
          <cell r="B33" t="str">
            <v>CALVERT MEMORIAL HOSPITAL</v>
          </cell>
          <cell r="C33">
            <v>1</v>
          </cell>
          <cell r="D33">
            <v>142386747.28265259</v>
          </cell>
          <cell r="E33">
            <v>14863.721494401878</v>
          </cell>
          <cell r="F33">
            <v>4108589.4264418967</v>
          </cell>
          <cell r="G33">
            <v>146495336.70909449</v>
          </cell>
          <cell r="H33">
            <v>15292.616248548124</v>
          </cell>
          <cell r="I33">
            <v>1.1029383967251234</v>
          </cell>
          <cell r="J33">
            <v>132822773.36982073</v>
          </cell>
          <cell r="K33">
            <v>122093341.19676876</v>
          </cell>
          <cell r="L33">
            <v>0</v>
          </cell>
          <cell r="M33">
            <v>122093341.19676876</v>
          </cell>
          <cell r="N33">
            <v>0.99671861092415948</v>
          </cell>
          <cell r="O33">
            <v>122495295.9226512</v>
          </cell>
          <cell r="P33">
            <v>9579.4816484068069</v>
          </cell>
          <cell r="Q33">
            <v>12787.257225240759</v>
          </cell>
          <cell r="R33">
            <v>122495295.9226512</v>
          </cell>
          <cell r="S33">
            <v>0</v>
          </cell>
          <cell r="T33">
            <v>0</v>
          </cell>
          <cell r="U33">
            <v>14150133.832530381</v>
          </cell>
          <cell r="V33">
            <v>122495295.9226512</v>
          </cell>
          <cell r="W33">
            <v>0</v>
          </cell>
          <cell r="X33">
            <v>108345162.09012082</v>
          </cell>
          <cell r="Y33">
            <v>11310.127840595638</v>
          </cell>
          <cell r="Z33">
            <v>9.8031974105854625E-2</v>
          </cell>
          <cell r="AA33">
            <v>4.0540846869866032E-2</v>
          </cell>
          <cell r="AB33">
            <v>1</v>
          </cell>
          <cell r="AC33">
            <v>14057.277724705862</v>
          </cell>
        </row>
        <row r="34">
          <cell r="A34">
            <v>210040</v>
          </cell>
          <cell r="B34" t="str">
            <v>NORTHWEST HOSPITAL CENTER</v>
          </cell>
          <cell r="C34">
            <v>1</v>
          </cell>
          <cell r="D34">
            <v>261087498.8910068</v>
          </cell>
          <cell r="E34">
            <v>15827.643208435831</v>
          </cell>
          <cell r="F34">
            <v>6823697.75626982</v>
          </cell>
          <cell r="G34">
            <v>267911196.64727661</v>
          </cell>
          <cell r="H34">
            <v>16241.309331506432</v>
          </cell>
          <cell r="I34">
            <v>1.1096904945580046</v>
          </cell>
          <cell r="J34">
            <v>241428756.90215495</v>
          </cell>
          <cell r="K34">
            <v>199034023.02633595</v>
          </cell>
          <cell r="L34">
            <v>0</v>
          </cell>
          <cell r="M34">
            <v>199034023.02633595</v>
          </cell>
          <cell r="N34">
            <v>0.99671861092415948</v>
          </cell>
          <cell r="O34">
            <v>199689281.25240004</v>
          </cell>
          <cell r="P34">
            <v>16495.664923243414</v>
          </cell>
          <cell r="Q34">
            <v>12105.561199356413</v>
          </cell>
          <cell r="R34">
            <v>199689281.25240004</v>
          </cell>
          <cell r="S34">
            <v>0</v>
          </cell>
          <cell r="T34">
            <v>0</v>
          </cell>
          <cell r="U34">
            <v>37581052.727507606</v>
          </cell>
          <cell r="V34">
            <v>199689281.25240004</v>
          </cell>
          <cell r="W34">
            <v>0</v>
          </cell>
          <cell r="X34">
            <v>162108228.52489245</v>
          </cell>
          <cell r="Y34">
            <v>9827.3230742261203</v>
          </cell>
          <cell r="Z34">
            <v>-4.5924581273323772E-2</v>
          </cell>
          <cell r="AA34">
            <v>-9.5878382787537686E-2</v>
          </cell>
          <cell r="AB34">
            <v>1</v>
          </cell>
          <cell r="AC34">
            <v>13389.345896251198</v>
          </cell>
        </row>
        <row r="35">
          <cell r="A35">
            <v>210043</v>
          </cell>
          <cell r="B35" t="str">
            <v>UM-BALTIMORE WASHINGTON MEDICAL CENTER</v>
          </cell>
          <cell r="C35">
            <v>1</v>
          </cell>
          <cell r="D35">
            <v>448498510.37609327</v>
          </cell>
          <cell r="E35">
            <v>13769.93018047314</v>
          </cell>
          <cell r="F35">
            <v>3529194.9112257217</v>
          </cell>
          <cell r="G35">
            <v>452027705.287319</v>
          </cell>
          <cell r="H35">
            <v>13878.284537057532</v>
          </cell>
          <cell r="I35">
            <v>1.109420290435795</v>
          </cell>
          <cell r="J35">
            <v>407444959.48398107</v>
          </cell>
          <cell r="K35">
            <v>371322906.55800253</v>
          </cell>
          <cell r="L35">
            <v>650488.00938975799</v>
          </cell>
          <cell r="M35">
            <v>370672418.54861277</v>
          </cell>
          <cell r="N35">
            <v>0.99671861092415948</v>
          </cell>
          <cell r="O35">
            <v>371892743.33397323</v>
          </cell>
          <cell r="P35">
            <v>32570.863068870163</v>
          </cell>
          <cell r="Q35">
            <v>11417.957901441439</v>
          </cell>
          <cell r="R35">
            <v>371892743.33397323</v>
          </cell>
          <cell r="S35">
            <v>1.5351143718321625E-4</v>
          </cell>
          <cell r="T35">
            <v>599418.47568330925</v>
          </cell>
          <cell r="U35">
            <v>56978006.708669819</v>
          </cell>
          <cell r="V35">
            <v>371293324.8582899</v>
          </cell>
          <cell r="W35">
            <v>-1.6118047109755507E-3</v>
          </cell>
          <cell r="X35">
            <v>314315318.14962006</v>
          </cell>
          <cell r="Y35">
            <v>9650.1992435696066</v>
          </cell>
          <cell r="Z35">
            <v>-6.3120463775985236E-2</v>
          </cell>
          <cell r="AA35">
            <v>-0.11217391749322303</v>
          </cell>
          <cell r="AB35">
            <v>1</v>
          </cell>
          <cell r="AC35">
            <v>12647.904538727742</v>
          </cell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449291034.60989702</v>
          </cell>
          <cell r="E36">
            <v>13763.20005407556</v>
          </cell>
          <cell r="F36">
            <v>8389323.7759411596</v>
          </cell>
          <cell r="G36">
            <v>457680358.38583815</v>
          </cell>
          <cell r="H36">
            <v>14020.19147511948</v>
          </cell>
          <cell r="I36">
            <v>1.1013202840351</v>
          </cell>
          <cell r="J36">
            <v>415574256.66306126</v>
          </cell>
          <cell r="K36">
            <v>381316998.22917074</v>
          </cell>
          <cell r="L36">
            <v>7523532.7069142247</v>
          </cell>
          <cell r="M36">
            <v>373793465.52225649</v>
          </cell>
          <cell r="N36">
            <v>0.99671861092415948</v>
          </cell>
          <cell r="O36">
            <v>375024065.39361644</v>
          </cell>
          <cell r="P36">
            <v>32644.372881643387</v>
          </cell>
          <cell r="Q36">
            <v>11488.168780368893</v>
          </cell>
          <cell r="R36">
            <v>375024065.39361644</v>
          </cell>
          <cell r="S36">
            <v>1.7767227512774373E-3</v>
          </cell>
          <cell r="T36">
            <v>6953254.3179263882</v>
          </cell>
          <cell r="U36">
            <v>33155262.702560972</v>
          </cell>
          <cell r="V36">
            <v>368070811.07569003</v>
          </cell>
          <cell r="W36">
            <v>-1.8540821668679985E-2</v>
          </cell>
          <cell r="X36">
            <v>334915548.37312907</v>
          </cell>
          <cell r="Y36">
            <v>10259.518526743061</v>
          </cell>
          <cell r="Z36">
            <v>-3.9653361953515542E-3</v>
          </cell>
          <cell r="AA36">
            <v>-5.6116053969192725E-2</v>
          </cell>
          <cell r="AB36">
            <v>1</v>
          </cell>
          <cell r="AC36">
            <v>12864.457415670247</v>
          </cell>
        </row>
        <row r="37">
          <cell r="A37">
            <v>210045</v>
          </cell>
          <cell r="B37" t="str">
            <v>MCCREADY MEMORIAL HOSPITAL</v>
          </cell>
          <cell r="C37" t="str">
            <v>NA</v>
          </cell>
          <cell r="D37">
            <v>1805363.595543555</v>
          </cell>
          <cell r="E37">
            <v>2370.781433970219</v>
          </cell>
          <cell r="F37">
            <v>105086.66607333691</v>
          </cell>
          <cell r="G37">
            <v>1910450.2616168919</v>
          </cell>
          <cell r="H37">
            <v>2508.7799609702529</v>
          </cell>
          <cell r="I37">
            <v>1.1162285486449348</v>
          </cell>
          <cell r="J37">
            <v>1711522.486981825</v>
          </cell>
          <cell r="K37">
            <v>1711522.486981825</v>
          </cell>
          <cell r="L37">
            <v>0</v>
          </cell>
          <cell r="M37">
            <v>1711522.486981825</v>
          </cell>
          <cell r="N37">
            <v>0.99671861092415948</v>
          </cell>
          <cell r="O37">
            <v>1717157.147687749</v>
          </cell>
          <cell r="P37">
            <v>761.50570848710015</v>
          </cell>
          <cell r="Q37">
            <v>2254.9498034614371</v>
          </cell>
          <cell r="R37">
            <v>1717157.147687749</v>
          </cell>
          <cell r="S37">
            <v>0</v>
          </cell>
          <cell r="T37">
            <v>0</v>
          </cell>
          <cell r="U37">
            <v>1931621.3719754638</v>
          </cell>
          <cell r="V37">
            <v>1717157.147687749</v>
          </cell>
          <cell r="W37">
            <v>0</v>
          </cell>
          <cell r="X37">
            <v>-214464.22428771481</v>
          </cell>
          <cell r="Y37">
            <v>-281.63180117690189</v>
          </cell>
          <cell r="Z37" t="e">
            <v>#DIV/0!</v>
          </cell>
          <cell r="AA37">
            <v>-1.0259103519458244</v>
          </cell>
          <cell r="AB37">
            <v>1</v>
          </cell>
          <cell r="AC37">
            <v>2508.7799609702529</v>
          </cell>
        </row>
        <row r="38">
          <cell r="A38">
            <v>210048</v>
          </cell>
          <cell r="B38" t="str">
            <v>HOWARD COUNTY GENERAL HOSPITAL</v>
          </cell>
          <cell r="C38">
            <v>1</v>
          </cell>
          <cell r="D38">
            <v>308834829.7889666</v>
          </cell>
          <cell r="E38">
            <v>12895.526907979794</v>
          </cell>
          <cell r="F38">
            <v>121033.11794935359</v>
          </cell>
          <cell r="G38">
            <v>308955862.90691596</v>
          </cell>
          <cell r="H38">
            <v>12900.580696214558</v>
          </cell>
          <cell r="I38">
            <v>1.1000250372583604</v>
          </cell>
          <cell r="J38">
            <v>280862573.5255444</v>
          </cell>
          <cell r="K38">
            <v>273463047.37564355</v>
          </cell>
          <cell r="L38">
            <v>0</v>
          </cell>
          <cell r="M38">
            <v>273463047.37564355</v>
          </cell>
          <cell r="N38">
            <v>0.99671861092415948</v>
          </cell>
          <cell r="O38">
            <v>274363340.24312848</v>
          </cell>
          <cell r="P38">
            <v>23948.988823237505</v>
          </cell>
          <cell r="Q38">
            <v>11456.155509034103</v>
          </cell>
          <cell r="R38">
            <v>274363340.24312848</v>
          </cell>
          <cell r="S38">
            <v>0</v>
          </cell>
          <cell r="T38">
            <v>0</v>
          </cell>
          <cell r="U38">
            <v>34389470.896763079</v>
          </cell>
          <cell r="V38">
            <v>274363340.24312848</v>
          </cell>
          <cell r="W38">
            <v>0</v>
          </cell>
          <cell r="X38">
            <v>239973869.34636539</v>
          </cell>
          <cell r="Y38">
            <v>10020.208832930797</v>
          </cell>
          <cell r="Z38">
            <v>-2.7198468413024979E-2</v>
          </cell>
          <cell r="AA38">
            <v>-7.8132738039712213E-2</v>
          </cell>
          <cell r="AB38">
            <v>1</v>
          </cell>
          <cell r="AC38">
            <v>12560.705635567279</v>
          </cell>
        </row>
        <row r="39">
          <cell r="A39">
            <v>210049</v>
          </cell>
          <cell r="B39" t="str">
            <v>UM-UPPER CHESAPEAKE MEDICAL CENTER</v>
          </cell>
          <cell r="C39">
            <v>1</v>
          </cell>
          <cell r="D39">
            <v>322399339.32330632</v>
          </cell>
          <cell r="E39">
            <v>13732.603375172182</v>
          </cell>
          <cell r="F39">
            <v>68783.710538009705</v>
          </cell>
          <cell r="G39">
            <v>322468123.03384435</v>
          </cell>
          <cell r="H39">
            <v>13735.533218072835</v>
          </cell>
          <cell r="I39">
            <v>1.1061154122244721</v>
          </cell>
          <cell r="J39">
            <v>291532076.55369288</v>
          </cell>
          <cell r="K39">
            <v>247072938.14337167</v>
          </cell>
          <cell r="L39">
            <v>0</v>
          </cell>
          <cell r="M39">
            <v>247072938.14337167</v>
          </cell>
          <cell r="N39">
            <v>0.99671861092415948</v>
          </cell>
          <cell r="O39">
            <v>247886349.70333818</v>
          </cell>
          <cell r="P39">
            <v>23476.927900370822</v>
          </cell>
          <cell r="Q39">
            <v>10558.721769530279</v>
          </cell>
          <cell r="R39">
            <v>247886349.70333818</v>
          </cell>
          <cell r="S39">
            <v>0</v>
          </cell>
          <cell r="T39">
            <v>0</v>
          </cell>
          <cell r="U39">
            <v>26637888.278456129</v>
          </cell>
          <cell r="V39">
            <v>247886349.70333818</v>
          </cell>
          <cell r="W39">
            <v>0</v>
          </cell>
          <cell r="X39">
            <v>221248461.42488205</v>
          </cell>
          <cell r="Y39">
            <v>9424.0806277463325</v>
          </cell>
          <cell r="Z39">
            <v>-8.5072953934702711E-2</v>
          </cell>
          <cell r="AA39">
            <v>-0.13297701179223498</v>
          </cell>
          <cell r="AB39">
            <v>1</v>
          </cell>
          <cell r="AC39">
            <v>11640.840998606567</v>
          </cell>
        </row>
        <row r="40">
          <cell r="A40">
            <v>210051</v>
          </cell>
          <cell r="B40" t="str">
            <v>DOCTORS COMMUNITY HOSPITAL</v>
          </cell>
          <cell r="C40">
            <v>1</v>
          </cell>
          <cell r="D40">
            <v>260948290.59393692</v>
          </cell>
          <cell r="E40">
            <v>14758.878683215326</v>
          </cell>
          <cell r="F40">
            <v>128404.93866347868</v>
          </cell>
          <cell r="G40">
            <v>261076695.5326004</v>
          </cell>
          <cell r="H40">
            <v>14766.141091057687</v>
          </cell>
          <cell r="I40">
            <v>1.1087551078753266</v>
          </cell>
          <cell r="J40">
            <v>235468313.67739415</v>
          </cell>
          <cell r="K40">
            <v>208399314.65543848</v>
          </cell>
          <cell r="L40">
            <v>0</v>
          </cell>
          <cell r="M40">
            <v>208399314.65543848</v>
          </cell>
          <cell r="N40">
            <v>1.0181752931904677</v>
          </cell>
          <cell r="O40">
            <v>204679210.00362921</v>
          </cell>
          <cell r="P40">
            <v>17680.766689321921</v>
          </cell>
          <cell r="Q40">
            <v>11576.376386847674</v>
          </cell>
          <cell r="R40">
            <v>204679210.00362921</v>
          </cell>
          <cell r="S40">
            <v>0</v>
          </cell>
          <cell r="T40">
            <v>0</v>
          </cell>
          <cell r="U40">
            <v>32696027.409355521</v>
          </cell>
          <cell r="V40">
            <v>204679210.00362921</v>
          </cell>
          <cell r="W40">
            <v>0</v>
          </cell>
          <cell r="X40">
            <v>171983182.59427369</v>
          </cell>
          <cell r="Y40">
            <v>9727.13376157725</v>
          </cell>
          <cell r="Z40">
            <v>-5.5651356275572939E-2</v>
          </cell>
          <cell r="AA40">
            <v>-0.1050958800342775</v>
          </cell>
          <cell r="AB40">
            <v>1</v>
          </cell>
          <cell r="AC40">
            <v>13068.652998033334</v>
          </cell>
        </row>
        <row r="41">
          <cell r="A41">
            <v>210055</v>
          </cell>
          <cell r="B41" t="str">
            <v>LAUREL REGIONAL HOSPITAL</v>
          </cell>
          <cell r="C41" t="str">
            <v>NA</v>
          </cell>
          <cell r="D41">
            <v>31430942.946304727</v>
          </cell>
          <cell r="E41">
            <v>7803.057369398206</v>
          </cell>
          <cell r="F41">
            <v>505945.45073423896</v>
          </cell>
          <cell r="G41">
            <v>31936888.397038966</v>
          </cell>
          <cell r="H41">
            <v>7928.6635716877699</v>
          </cell>
          <cell r="I41">
            <v>1.1097404270766293</v>
          </cell>
          <cell r="J41">
            <v>28778701.413239289</v>
          </cell>
          <cell r="K41">
            <v>23969621.113483757</v>
          </cell>
          <cell r="L41">
            <v>500</v>
          </cell>
          <cell r="M41">
            <v>23969121.113483757</v>
          </cell>
          <cell r="N41">
            <v>1.0181752931904677</v>
          </cell>
          <cell r="O41">
            <v>23541251.957092922</v>
          </cell>
          <cell r="P41">
            <v>4028.0292016780049</v>
          </cell>
          <cell r="Q41">
            <v>5844.3598043643915</v>
          </cell>
          <cell r="R41">
            <v>23541251.957092922</v>
          </cell>
          <cell r="S41">
            <v>0</v>
          </cell>
          <cell r="T41">
            <v>0</v>
          </cell>
          <cell r="U41">
            <v>10199640.63611087</v>
          </cell>
          <cell r="V41">
            <v>23541251.957092922</v>
          </cell>
          <cell r="W41">
            <v>0</v>
          </cell>
          <cell r="X41">
            <v>13341611.320982052</v>
          </cell>
          <cell r="Y41">
            <v>3312.1932967676044</v>
          </cell>
          <cell r="Z41" t="e">
            <v>#DIV/0!</v>
          </cell>
          <cell r="AA41">
            <v>-0.69527555598047508</v>
          </cell>
          <cell r="AB41">
            <v>1</v>
          </cell>
          <cell r="AC41">
            <v>6603.7400027441081</v>
          </cell>
        </row>
        <row r="42">
          <cell r="A42">
            <v>210056</v>
          </cell>
          <cell r="B42" t="str">
            <v>MEDSTAR GOOD SAMARITAN</v>
          </cell>
          <cell r="C42">
            <v>1</v>
          </cell>
          <cell r="D42">
            <v>270804075.43244648</v>
          </cell>
          <cell r="E42">
            <v>17169.044664143268</v>
          </cell>
          <cell r="F42">
            <v>368337.04699985485</v>
          </cell>
          <cell r="G42">
            <v>271172412.47944635</v>
          </cell>
          <cell r="H42">
            <v>17192.397323076857</v>
          </cell>
          <cell r="I42">
            <v>1.1192514228727357</v>
          </cell>
          <cell r="J42">
            <v>242280158.80778554</v>
          </cell>
          <cell r="K42">
            <v>236704600.4023501</v>
          </cell>
          <cell r="L42">
            <v>4440696.1405483484</v>
          </cell>
          <cell r="M42">
            <v>232263904.26180175</v>
          </cell>
          <cell r="N42">
            <v>0.99671861092415948</v>
          </cell>
          <cell r="O42">
            <v>233028561.63832057</v>
          </cell>
          <cell r="P42">
            <v>15772.809770715308</v>
          </cell>
          <cell r="Q42">
            <v>14774.067843699895</v>
          </cell>
          <cell r="R42">
            <v>233028561.63832057</v>
          </cell>
          <cell r="S42">
            <v>2.1437967693566998E-3</v>
          </cell>
          <cell r="T42">
            <v>4053711.1380183371</v>
          </cell>
          <cell r="U42">
            <v>41807418.161259703</v>
          </cell>
          <cell r="V42">
            <v>228974850.50030223</v>
          </cell>
          <cell r="W42">
            <v>-1.7395769469280897E-2</v>
          </cell>
          <cell r="X42">
            <v>187167432.33904251</v>
          </cell>
          <cell r="Y42">
            <v>11866.461021202967</v>
          </cell>
          <cell r="Z42">
            <v>0.15204300114042457</v>
          </cell>
          <cell r="AA42">
            <v>9.1723946393564182E-2</v>
          </cell>
          <cell r="AB42">
            <v>1</v>
          </cell>
          <cell r="AC42">
            <v>16796.751159247502</v>
          </cell>
        </row>
        <row r="43">
          <cell r="A43">
            <v>210057</v>
          </cell>
          <cell r="B43" t="str">
            <v>SHADY GROVE ADVENTIST HOSPITAL</v>
          </cell>
          <cell r="C43">
            <v>1</v>
          </cell>
          <cell r="D43">
            <v>460978546.16615444</v>
          </cell>
          <cell r="E43">
            <v>15427.845366292167</v>
          </cell>
          <cell r="F43">
            <v>4483900.5017354675</v>
          </cell>
          <cell r="G43">
            <v>465462446.66788989</v>
          </cell>
          <cell r="H43">
            <v>15577.910752531812</v>
          </cell>
          <cell r="I43">
            <v>1.103137085322671</v>
          </cell>
          <cell r="J43">
            <v>421944337.52695453</v>
          </cell>
          <cell r="K43">
            <v>373486814.65368778</v>
          </cell>
          <cell r="L43">
            <v>0</v>
          </cell>
          <cell r="M43">
            <v>373486814.65368778</v>
          </cell>
          <cell r="N43">
            <v>1.0181752931904677</v>
          </cell>
          <cell r="O43">
            <v>366819758.0039103</v>
          </cell>
          <cell r="P43">
            <v>29879.645227280573</v>
          </cell>
          <cell r="Q43">
            <v>12276.576753628864</v>
          </cell>
          <cell r="R43">
            <v>366819758.0039103</v>
          </cell>
          <cell r="S43">
            <v>0</v>
          </cell>
          <cell r="T43">
            <v>0</v>
          </cell>
          <cell r="U43">
            <v>57008411.018482886</v>
          </cell>
          <cell r="V43">
            <v>366819758.0039103</v>
          </cell>
          <cell r="W43">
            <v>0</v>
          </cell>
          <cell r="X43">
            <v>309811346.98542744</v>
          </cell>
          <cell r="Y43">
            <v>10368.642084898818</v>
          </cell>
          <cell r="Z43">
            <v>6.6288107207554958E-3</v>
          </cell>
          <cell r="AA43">
            <v>-4.6076598958853521E-2</v>
          </cell>
          <cell r="AB43">
            <v>1</v>
          </cell>
          <cell r="AC43">
            <v>13788.890496843949</v>
          </cell>
        </row>
        <row r="44">
          <cell r="A44">
            <v>210058</v>
          </cell>
          <cell r="B44" t="str">
            <v>UM-REHABILITATION &amp; ORTHOPAEDIC INSTITUTE</v>
          </cell>
          <cell r="C44">
            <v>1</v>
          </cell>
          <cell r="D44">
            <v>110561320.78668663</v>
          </cell>
          <cell r="E44">
            <v>17564.536422932244</v>
          </cell>
          <cell r="F44">
            <v>1093248.3930062582</v>
          </cell>
          <cell r="G44">
            <v>111654569.17969289</v>
          </cell>
          <cell r="H44">
            <v>17738.217427117415</v>
          </cell>
          <cell r="I44">
            <v>1.1063897161544309</v>
          </cell>
          <cell r="J44">
            <v>100917938.36242422</v>
          </cell>
          <cell r="K44">
            <v>97691678.64190042</v>
          </cell>
          <cell r="L44">
            <v>1779316.0719295214</v>
          </cell>
          <cell r="M44">
            <v>95912362.569970906</v>
          </cell>
          <cell r="N44">
            <v>0.99671861092415948</v>
          </cell>
          <cell r="O44">
            <v>96228124.486449361</v>
          </cell>
          <cell r="P44">
            <v>6294.5766472001997</v>
          </cell>
          <cell r="Q44">
            <v>15287.465683534287</v>
          </cell>
          <cell r="R44">
            <v>96228124.486449361</v>
          </cell>
          <cell r="S44">
            <v>2.1285164298591778E-3</v>
          </cell>
          <cell r="T44">
            <v>1606214.9121780819</v>
          </cell>
          <cell r="U44">
            <v>13668448.343679991</v>
          </cell>
          <cell r="V44">
            <v>94621909.574271277</v>
          </cell>
          <cell r="W44">
            <v>-1.6691740806028754E-2</v>
          </cell>
          <cell r="X44">
            <v>80953461.230591282</v>
          </cell>
          <cell r="Y44">
            <v>12860.826989309762</v>
          </cell>
          <cell r="Z44">
            <v>0.24857998483613519</v>
          </cell>
          <cell r="AA44">
            <v>0.18320641424318729</v>
          </cell>
          <cell r="AB44">
            <v>1</v>
          </cell>
          <cell r="AC44">
            <v>17171.141867235481</v>
          </cell>
        </row>
        <row r="45">
          <cell r="A45">
            <v>210060</v>
          </cell>
          <cell r="B45" t="str">
            <v>FORT WASHINGTON MEDICAL CENTER</v>
          </cell>
          <cell r="C45">
            <v>1</v>
          </cell>
          <cell r="D45">
            <v>52381356.46011015</v>
          </cell>
          <cell r="E45">
            <v>13246.166510676652</v>
          </cell>
          <cell r="F45">
            <v>472.58231227711991</v>
          </cell>
          <cell r="G45">
            <v>52381829.042422429</v>
          </cell>
          <cell r="H45">
            <v>13246.286017012904</v>
          </cell>
          <cell r="I45">
            <v>1.1145002778743147</v>
          </cell>
          <cell r="J45">
            <v>47000283.51929193</v>
          </cell>
          <cell r="K45">
            <v>45503732.036040924</v>
          </cell>
          <cell r="L45">
            <v>0</v>
          </cell>
          <cell r="M45">
            <v>45503732.036040924</v>
          </cell>
          <cell r="N45">
            <v>1.0181752931904677</v>
          </cell>
          <cell r="O45">
            <v>44691451.796531312</v>
          </cell>
          <cell r="P45">
            <v>3954.4540239540111</v>
          </cell>
          <cell r="Q45">
            <v>11301.54795726892</v>
          </cell>
          <cell r="R45">
            <v>44691451.796531312</v>
          </cell>
          <cell r="S45">
            <v>0</v>
          </cell>
          <cell r="T45">
            <v>0</v>
          </cell>
          <cell r="U45">
            <v>8490561.8566627409</v>
          </cell>
          <cell r="V45">
            <v>44691451.796531312</v>
          </cell>
          <cell r="W45">
            <v>0</v>
          </cell>
          <cell r="X45">
            <v>36200889.939868569</v>
          </cell>
          <cell r="Y45">
            <v>9154.4596853529056</v>
          </cell>
          <cell r="Z45">
            <v>-0.11124882213080833</v>
          </cell>
          <cell r="AA45">
            <v>-0.15778235508154059</v>
          </cell>
          <cell r="AB45">
            <v>1</v>
          </cell>
          <cell r="AC45">
            <v>12824.506667997046</v>
          </cell>
        </row>
        <row r="46">
          <cell r="A46">
            <v>210061</v>
          </cell>
          <cell r="B46" t="str">
            <v>ATLANTIC GENERAL HOSPITAL</v>
          </cell>
          <cell r="C46">
            <v>1</v>
          </cell>
          <cell r="D46">
            <v>107071160.01348734</v>
          </cell>
          <cell r="E46">
            <v>12480.191649271264</v>
          </cell>
          <cell r="F46">
            <v>2116512.6715160049</v>
          </cell>
          <cell r="G46">
            <v>109187672.68500334</v>
          </cell>
          <cell r="H46">
            <v>12726.891916320799</v>
          </cell>
          <cell r="I46">
            <v>1.1104886126299631</v>
          </cell>
          <cell r="J46">
            <v>98323991.298222199</v>
          </cell>
          <cell r="K46">
            <v>78465496.099565834</v>
          </cell>
          <cell r="L46">
            <v>0</v>
          </cell>
          <cell r="M46">
            <v>78465496.099565834</v>
          </cell>
          <cell r="N46">
            <v>0.99671861092415948</v>
          </cell>
          <cell r="O46">
            <v>78723819.58114785</v>
          </cell>
          <cell r="P46">
            <v>8579.2881249335114</v>
          </cell>
          <cell r="Q46">
            <v>9176.0316747443376</v>
          </cell>
          <cell r="R46">
            <v>78723819.58114785</v>
          </cell>
          <cell r="S46">
            <v>0</v>
          </cell>
          <cell r="T46">
            <v>0</v>
          </cell>
          <cell r="U46">
            <v>10558949.278306212</v>
          </cell>
          <cell r="V46">
            <v>78723819.58114785</v>
          </cell>
          <cell r="W46">
            <v>0</v>
          </cell>
          <cell r="X46">
            <v>68164870.302841634</v>
          </cell>
          <cell r="Y46">
            <v>7945.2827915567768</v>
          </cell>
          <cell r="Z46">
            <v>-0.22864050067334063</v>
          </cell>
          <cell r="AA46">
            <v>-0.26902760065427633</v>
          </cell>
          <cell r="AB46">
            <v>1</v>
          </cell>
          <cell r="AC46">
            <v>10156.441727337831</v>
          </cell>
        </row>
        <row r="47">
          <cell r="A47">
            <v>210062</v>
          </cell>
          <cell r="B47" t="str">
            <v>MEDSTAR SOUTHERN MARYLAND HOSPITAL CENTER</v>
          </cell>
          <cell r="C47">
            <v>1</v>
          </cell>
          <cell r="D47">
            <v>280100417.56629902</v>
          </cell>
          <cell r="E47">
            <v>17421.830313478225</v>
          </cell>
          <cell r="F47">
            <v>109676.36538839561</v>
          </cell>
          <cell r="G47">
            <v>280210093.93168741</v>
          </cell>
          <cell r="H47">
            <v>17428.652020649522</v>
          </cell>
          <cell r="I47">
            <v>1.1092283969691177</v>
          </cell>
          <cell r="J47">
            <v>252617129.79701945</v>
          </cell>
          <cell r="K47">
            <v>236358365.63413277</v>
          </cell>
          <cell r="L47">
            <v>0</v>
          </cell>
          <cell r="M47">
            <v>236358365.63413277</v>
          </cell>
          <cell r="N47">
            <v>1.0181752931904677</v>
          </cell>
          <cell r="O47">
            <v>232139168.19126523</v>
          </cell>
          <cell r="P47">
            <v>16077.553995552473</v>
          </cell>
          <cell r="Q47">
            <v>14438.711775154467</v>
          </cell>
          <cell r="R47">
            <v>232139168.19126523</v>
          </cell>
          <cell r="S47">
            <v>0</v>
          </cell>
          <cell r="T47">
            <v>0</v>
          </cell>
          <cell r="U47">
            <v>33518899.104515202</v>
          </cell>
          <cell r="V47">
            <v>232139168.19126523</v>
          </cell>
          <cell r="W47">
            <v>0</v>
          </cell>
          <cell r="X47">
            <v>198620269.08675003</v>
          </cell>
          <cell r="Y47">
            <v>12353.885991718285</v>
          </cell>
          <cell r="Z47">
            <v>0.1993641464136362</v>
          </cell>
          <cell r="AA47">
            <v>0.13656743523416592</v>
          </cell>
          <cell r="AB47">
            <v>1</v>
          </cell>
          <cell r="AC47">
            <v>16306.921506537323</v>
          </cell>
        </row>
        <row r="48">
          <cell r="A48">
            <v>210063</v>
          </cell>
          <cell r="B48" t="str">
            <v>UM-ST. JOSEPH MEDICAL CENTER</v>
          </cell>
          <cell r="C48">
            <v>1</v>
          </cell>
          <cell r="D48">
            <v>389940769.96652275</v>
          </cell>
          <cell r="E48">
            <v>13919.169484711019</v>
          </cell>
          <cell r="F48">
            <v>540796.22270300449</v>
          </cell>
          <cell r="G48">
            <v>390481566.18922573</v>
          </cell>
          <cell r="H48">
            <v>13938.47352999241</v>
          </cell>
          <cell r="I48">
            <v>1.1043658326230656</v>
          </cell>
          <cell r="J48">
            <v>353579905.00463277</v>
          </cell>
          <cell r="K48">
            <v>306032323.06521285</v>
          </cell>
          <cell r="L48">
            <v>0</v>
          </cell>
          <cell r="M48">
            <v>306032323.06521285</v>
          </cell>
          <cell r="N48">
            <v>0.99671861092415948</v>
          </cell>
          <cell r="O48">
            <v>307039840.2428335</v>
          </cell>
          <cell r="P48">
            <v>28014.657799435397</v>
          </cell>
          <cell r="Q48">
            <v>10959.971113729667</v>
          </cell>
          <cell r="R48">
            <v>307039840.2428335</v>
          </cell>
          <cell r="S48">
            <v>0</v>
          </cell>
          <cell r="T48">
            <v>0</v>
          </cell>
          <cell r="U48">
            <v>29194869.9185404</v>
          </cell>
          <cell r="V48">
            <v>307039840.2428335</v>
          </cell>
          <cell r="W48">
            <v>0</v>
          </cell>
          <cell r="X48">
            <v>277844970.32429308</v>
          </cell>
          <cell r="Y48">
            <v>9917.8427348090863</v>
          </cell>
          <cell r="Z48">
            <v>-3.7136574364281527E-2</v>
          </cell>
          <cell r="AA48">
            <v>-8.7550501298586103E-2</v>
          </cell>
          <cell r="AB48">
            <v>1</v>
          </cell>
          <cell r="AC48">
            <v>12064.100289609685</v>
          </cell>
        </row>
        <row r="49">
          <cell r="A49">
            <v>210065</v>
          </cell>
          <cell r="B49" t="str">
            <v>Holy Cross Germantown</v>
          </cell>
          <cell r="C49" t="str">
            <v>NA</v>
          </cell>
          <cell r="D49">
            <v>117806288.16371235</v>
          </cell>
          <cell r="E49">
            <v>14120.286318999255</v>
          </cell>
          <cell r="F49">
            <v>9326.3499321961353</v>
          </cell>
          <cell r="G49">
            <v>117815614.51364455</v>
          </cell>
          <cell r="H49">
            <v>14121.404177251192</v>
          </cell>
          <cell r="I49">
            <v>1.1046970005422463</v>
          </cell>
          <cell r="J49">
            <v>106649709.78993709</v>
          </cell>
          <cell r="K49">
            <v>106649709.78993709</v>
          </cell>
          <cell r="L49">
            <v>0</v>
          </cell>
          <cell r="M49">
            <v>106649709.78993709</v>
          </cell>
          <cell r="N49">
            <v>1.0181752931904677</v>
          </cell>
          <cell r="O49">
            <v>104745921.94802587</v>
          </cell>
          <cell r="P49">
            <v>8343.0523646819092</v>
          </cell>
          <cell r="Q49">
            <v>12554.868094972031</v>
          </cell>
          <cell r="R49">
            <v>104745921.94802587</v>
          </cell>
          <cell r="S49">
            <v>0</v>
          </cell>
          <cell r="T49">
            <v>0</v>
          </cell>
          <cell r="U49">
            <v>17080680.580525748</v>
          </cell>
          <cell r="V49">
            <v>104745921.94802587</v>
          </cell>
          <cell r="W49">
            <v>0</v>
          </cell>
          <cell r="X49">
            <v>87665241.367500126</v>
          </cell>
          <cell r="Y49">
            <v>10507.574150991499</v>
          </cell>
          <cell r="Z49" t="e">
            <v>#DIV/0!</v>
          </cell>
          <cell r="AA49">
            <v>-3.3294737272854702E-2</v>
          </cell>
          <cell r="AB49"/>
          <cell r="AC49">
            <v>14121.404177251192</v>
          </cell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344140625.32537603</v>
          </cell>
          <cell r="E50">
            <v>19558.125170259631</v>
          </cell>
          <cell r="F50">
            <v>301554.58246916742</v>
          </cell>
          <cell r="G50">
            <v>344442179.9078452</v>
          </cell>
          <cell r="H50">
            <v>19575.263054704457</v>
          </cell>
          <cell r="I50">
            <v>1.1124197944130276</v>
          </cell>
          <cell r="J50">
            <v>309633271.2144801</v>
          </cell>
          <cell r="K50">
            <v>263201295.25915185</v>
          </cell>
          <cell r="L50">
            <v>9943457.707362337</v>
          </cell>
          <cell r="M50">
            <v>253257837.55178952</v>
          </cell>
          <cell r="N50">
            <v>1.0181752931904677</v>
          </cell>
          <cell r="O50">
            <v>248736970.19125482</v>
          </cell>
          <cell r="P50">
            <v>17595.788058902563</v>
          </cell>
          <cell r="Q50">
            <v>14136.165391319699</v>
          </cell>
          <cell r="R50">
            <v>248736970.19125482</v>
          </cell>
          <cell r="S50">
            <v>2.7279255603283124E-3</v>
          </cell>
          <cell r="T50">
            <v>5754417.366559769</v>
          </cell>
          <cell r="U50">
            <v>57791139.796268597</v>
          </cell>
          <cell r="V50">
            <v>242982552.82469505</v>
          </cell>
          <cell r="W50">
            <v>-2.3134547960985352E-2</v>
          </cell>
          <cell r="X50">
            <v>185191413.02842647</v>
          </cell>
          <cell r="Y50">
            <v>10524.758107365878</v>
          </cell>
          <cell r="Z50">
            <v>-0.18681473342643562</v>
          </cell>
          <cell r="AA50">
            <v>-3.1713799482373406E-2</v>
          </cell>
          <cell r="AB50"/>
          <cell r="AC50">
            <v>16639.79639793919</v>
          </cell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525236316.62953174</v>
          </cell>
          <cell r="E51">
            <v>14723.600136622945</v>
          </cell>
          <cell r="F51">
            <v>13280188.205391783</v>
          </cell>
          <cell r="G51">
            <v>538516504.83492351</v>
          </cell>
          <cell r="H51">
            <v>15095.874815057263</v>
          </cell>
          <cell r="I51">
            <v>1.1037457657417868</v>
          </cell>
          <cell r="J51">
            <v>487899044.82487994</v>
          </cell>
          <cell r="K51">
            <v>460638374.28022254</v>
          </cell>
          <cell r="L51">
            <v>5222205.8638570011</v>
          </cell>
          <cell r="M51">
            <v>455416168.4163655</v>
          </cell>
          <cell r="N51">
            <v>0.99671861092415948</v>
          </cell>
          <cell r="O51">
            <v>456915485.90038139</v>
          </cell>
          <cell r="P51">
            <v>35673.090260246754</v>
          </cell>
          <cell r="Q51">
            <v>12808.407754053122</v>
          </cell>
          <cell r="R51">
            <v>456915485.90038139</v>
          </cell>
          <cell r="S51">
            <v>1.5173902682695584E-3</v>
          </cell>
          <cell r="T51">
            <v>6489304.4177475059</v>
          </cell>
          <cell r="U51">
            <v>66860958.138869703</v>
          </cell>
          <cell r="V51">
            <v>450426181.48263389</v>
          </cell>
          <cell r="W51">
            <v>-1.4202417335363204E-2</v>
          </cell>
          <cell r="X51">
            <v>383565223.34376419</v>
          </cell>
          <cell r="Y51">
            <v>10752.228655984989</v>
          </cell>
          <cell r="Z51">
            <v>-0.16923944126014734</v>
          </cell>
          <cell r="AA51">
            <v>-1.078632628012377E-2</v>
          </cell>
          <cell r="AB51"/>
          <cell r="AC51">
            <v>14252.414114976626</v>
          </cell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730136933.23442757</v>
          </cell>
          <cell r="E52">
            <v>19047.322935333072</v>
          </cell>
          <cell r="F52">
            <v>20100407.950656183</v>
          </cell>
          <cell r="G52">
            <v>750237341.18508375</v>
          </cell>
          <cell r="H52">
            <v>19571.688905524526</v>
          </cell>
          <cell r="I52">
            <v>1.1112849031201628</v>
          </cell>
          <cell r="J52">
            <v>675108011.52669024</v>
          </cell>
          <cell r="K52">
            <v>595024211.34140348</v>
          </cell>
          <cell r="L52">
            <v>19079670.401033461</v>
          </cell>
          <cell r="M52">
            <v>575944540.94037008</v>
          </cell>
          <cell r="N52">
            <v>0.99671861092415948</v>
          </cell>
          <cell r="O52">
            <v>577840660.97286296</v>
          </cell>
          <cell r="P52">
            <v>38332.784912257281</v>
          </cell>
          <cell r="Q52">
            <v>15074.319862110848</v>
          </cell>
          <cell r="R52">
            <v>577840660.97286296</v>
          </cell>
          <cell r="S52">
            <v>3.287003547704938E-3</v>
          </cell>
          <cell r="T52">
            <v>15105345.587219395</v>
          </cell>
          <cell r="U52">
            <v>86461692.985688806</v>
          </cell>
          <cell r="V52">
            <v>562735315.3856436</v>
          </cell>
          <cell r="W52">
            <v>-2.6141022270374181E-2</v>
          </cell>
          <cell r="X52">
            <v>476273622.3999548</v>
          </cell>
          <cell r="Y52">
            <v>12424.707035769312</v>
          </cell>
          <cell r="Z52">
            <v>-4.0017015126514788E-2</v>
          </cell>
          <cell r="AA52">
            <v>0.14308302817808993</v>
          </cell>
          <cell r="AB52"/>
          <cell r="AC52">
            <v>17250.02304341432</v>
          </cell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427533741.0623219</v>
          </cell>
          <cell r="E53">
            <v>16886.021420457593</v>
          </cell>
          <cell r="F53">
            <v>218701.13399959373</v>
          </cell>
          <cell r="G53">
            <v>427752442.19632149</v>
          </cell>
          <cell r="H53">
            <v>16894.659316554913</v>
          </cell>
          <cell r="I53">
            <v>1.1122294528034189</v>
          </cell>
          <cell r="J53">
            <v>384590105.14256239</v>
          </cell>
          <cell r="K53">
            <v>359920657.06617272</v>
          </cell>
          <cell r="L53">
            <v>8194567.8891049139</v>
          </cell>
          <cell r="M53">
            <v>351726089.17706782</v>
          </cell>
          <cell r="N53">
            <v>0.99671861092415948</v>
          </cell>
          <cell r="O53">
            <v>352884039.00770617</v>
          </cell>
          <cell r="P53">
            <v>25318.796560589475</v>
          </cell>
          <cell r="Q53">
            <v>13937.630809712162</v>
          </cell>
          <cell r="R53">
            <v>352884039.00770617</v>
          </cell>
          <cell r="S53">
            <v>2.7456724936081849E-3</v>
          </cell>
          <cell r="T53">
            <v>8333969.6149970107</v>
          </cell>
          <cell r="U53">
            <v>52020695.77286166</v>
          </cell>
          <cell r="V53">
            <v>344550069.39270914</v>
          </cell>
          <cell r="W53">
            <v>-2.3616737210421235E-2</v>
          </cell>
          <cell r="X53">
            <v>292529373.61984748</v>
          </cell>
          <cell r="Y53">
            <v>11553.841941887176</v>
          </cell>
          <cell r="Z53">
            <v>-0.10730356521098006</v>
          </cell>
          <cell r="AA53">
            <v>6.2962739966581971E-2</v>
          </cell>
          <cell r="AB53"/>
          <cell r="AC53">
            <v>15810.95509430627</v>
          </cell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629026151.29482055</v>
          </cell>
          <cell r="E54">
            <v>16931.859835193653</v>
          </cell>
          <cell r="F54">
            <v>22111307.935484953</v>
          </cell>
          <cell r="G54">
            <v>651137459.23030555</v>
          </cell>
          <cell r="H54">
            <v>17527.042668158199</v>
          </cell>
          <cell r="I54">
            <v>1.1128915143911908</v>
          </cell>
          <cell r="J54">
            <v>585086192.86805451</v>
          </cell>
          <cell r="K54">
            <v>580670906.50531554</v>
          </cell>
          <cell r="L54">
            <v>22422240.964482512</v>
          </cell>
          <cell r="M54">
            <v>558248665.540833</v>
          </cell>
          <cell r="N54">
            <v>0.99671861092415948</v>
          </cell>
          <cell r="O54">
            <v>560086527.35321534</v>
          </cell>
          <cell r="P54">
            <v>37150.44640207573</v>
          </cell>
          <cell r="Q54">
            <v>15076.172202386275</v>
          </cell>
          <cell r="R54">
            <v>560086527.35321534</v>
          </cell>
          <cell r="S54">
            <v>3.8446885262948794E-3</v>
          </cell>
          <cell r="T54">
            <v>17123215.359423563</v>
          </cell>
          <cell r="U54">
            <v>87661234.354119599</v>
          </cell>
          <cell r="V54">
            <v>542963311.99379182</v>
          </cell>
          <cell r="W54">
            <v>-3.0572446440270906E-2</v>
          </cell>
          <cell r="X54">
            <v>455302077.63967222</v>
          </cell>
          <cell r="Y54">
            <v>12255.628713366761</v>
          </cell>
          <cell r="Z54">
            <v>-5.3080688350368166E-2</v>
          </cell>
          <cell r="AA54">
            <v>0.12752768669480363</v>
          </cell>
          <cell r="AB54"/>
          <cell r="AC54">
            <v>17394.776835507939</v>
          </cell>
        </row>
        <row r="55">
          <cell r="A55">
            <v>990099</v>
          </cell>
          <cell r="B55" t="str">
            <v>Holy Cross Hospitals</v>
          </cell>
          <cell r="C55">
            <v>1</v>
          </cell>
          <cell r="D55">
            <v>633704621.28940928</v>
          </cell>
          <cell r="E55">
            <v>13650.263686452305</v>
          </cell>
          <cell r="F55">
            <v>1613458.5388511128</v>
          </cell>
          <cell r="G55">
            <v>635318079.82826042</v>
          </cell>
          <cell r="H55">
            <v>13685.018261001032</v>
          </cell>
          <cell r="I55">
            <v>1.103417335211333</v>
          </cell>
          <cell r="J55">
            <v>575649469.71803427</v>
          </cell>
          <cell r="K55">
            <v>513715794.13055015</v>
          </cell>
          <cell r="L55">
            <v>1403028.2238295362</v>
          </cell>
          <cell r="M55">
            <v>512312765.90672064</v>
          </cell>
          <cell r="N55">
            <v>1.0181752931904677</v>
          </cell>
          <cell r="O55">
            <v>503167548.19435936</v>
          </cell>
          <cell r="P55">
            <v>46424.350169759156</v>
          </cell>
          <cell r="Q55">
            <v>10838.440308898991</v>
          </cell>
          <cell r="R55">
            <v>503167548.1943593</v>
          </cell>
          <cell r="S55">
            <v>4.0926797963833665E-4</v>
          </cell>
          <cell r="T55">
            <v>2277790.2075965754</v>
          </cell>
          <cell r="U55">
            <v>90120987.862392426</v>
          </cell>
          <cell r="V55">
            <v>500889757.9867627</v>
          </cell>
          <cell r="W55">
            <v>-4.5269020543367011E-3</v>
          </cell>
          <cell r="X55">
            <v>410768770.12437028</v>
          </cell>
          <cell r="Y55">
            <v>8848.1318235434392</v>
          </cell>
          <cell r="Z55">
            <v>-0.14098834334284793</v>
          </cell>
          <cell r="AA55">
            <v>-0.18596476444414523</v>
          </cell>
          <cell r="AB55">
            <v>1</v>
          </cell>
          <cell r="AC55">
            <v>12212.65786466333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</row>
        <row r="58">
          <cell r="A58"/>
          <cell r="B58"/>
          <cell r="C58"/>
          <cell r="D58"/>
          <cell r="E58">
            <v>118922529.06183989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</row>
        <row r="62">
          <cell r="A62" t="str">
            <v>Queries only</v>
          </cell>
          <cell r="B62" t="str">
            <v>$ SUBTOTAL</v>
          </cell>
          <cell r="C62"/>
          <cell r="D62">
            <v>19441150173.83345</v>
          </cell>
          <cell r="E62">
            <v>16034.225046685193</v>
          </cell>
          <cell r="F62">
            <v>389311440.82006615</v>
          </cell>
          <cell r="G62">
            <v>19830461614.653519</v>
          </cell>
          <cell r="H62">
            <v>16355.312389745788</v>
          </cell>
          <cell r="I62">
            <v>1.0865536923822285</v>
          </cell>
          <cell r="J62">
            <v>17892489170.240131</v>
          </cell>
          <cell r="K62">
            <v>16440531373.252695</v>
          </cell>
          <cell r="L62">
            <v>352447359.30831033</v>
          </cell>
          <cell r="M62">
            <v>16088084013.944386</v>
          </cell>
          <cell r="N62">
            <v>1.0007496892110737</v>
          </cell>
          <cell r="O62">
            <v>16076031986.207451</v>
          </cell>
          <cell r="P62">
            <v>1212478.3154301918</v>
          </cell>
          <cell r="Q62">
            <v>13258.820204552372</v>
          </cell>
          <cell r="R62">
            <v>16076031986.207451</v>
          </cell>
          <cell r="S62"/>
          <cell r="T62">
            <v>570361290.37814069</v>
          </cell>
          <cell r="U62">
            <v>470.40947711776141</v>
          </cell>
          <cell r="V62">
            <v>15505670695.829308</v>
          </cell>
          <cell r="W62">
            <v>-3.5478984544661807E-2</v>
          </cell>
          <cell r="X62">
            <v>13203350294.124113</v>
          </cell>
          <cell r="Y62">
            <v>10889.555818109222</v>
          </cell>
          <cell r="Z62"/>
          <cell r="AA62">
            <v>1.8478829515429229E-3</v>
          </cell>
          <cell r="AB62"/>
        </row>
        <row r="63">
          <cell r="A63">
            <v>99</v>
          </cell>
          <cell r="B63" t="str">
            <v>$ STATE TOTAL</v>
          </cell>
          <cell r="C63"/>
          <cell r="D63">
            <v>16151371784.997562</v>
          </cell>
          <cell r="E63">
            <v>15960.120715754429</v>
          </cell>
          <cell r="F63">
            <v>331685822.47321332</v>
          </cell>
          <cell r="G63">
            <v>16483057607.470779</v>
          </cell>
          <cell r="H63">
            <v>16287.878991450491</v>
          </cell>
          <cell r="I63">
            <v>1.0858413210036193</v>
          </cell>
          <cell r="J63">
            <v>14874523074.945431</v>
          </cell>
          <cell r="K63">
            <v>13667360134.66988</v>
          </cell>
          <cell r="L63">
            <v>286182188.25864059</v>
          </cell>
          <cell r="M63">
            <v>13381177946.41124</v>
          </cell>
          <cell r="N63">
            <v>1.0003571358178642</v>
          </cell>
          <cell r="O63">
            <v>13376400754.587671</v>
          </cell>
          <cell r="P63">
            <v>1011983.0590663608</v>
          </cell>
          <cell r="Q63">
            <v>13218.008577068989</v>
          </cell>
          <cell r="R63">
            <v>13376400754.587671</v>
          </cell>
          <cell r="S63">
            <v>2.0347352875957313E-3</v>
          </cell>
          <cell r="T63">
            <v>515277247.82459688</v>
          </cell>
          <cell r="U63">
            <v>509.17576456268284</v>
          </cell>
          <cell r="V63">
            <v>12861123506.763071</v>
          </cell>
          <cell r="W63">
            <v>-3.8521367390093819E-2</v>
          </cell>
          <cell r="X63">
            <v>10999719813.968077</v>
          </cell>
          <cell r="Y63">
            <v>10869.470309232489</v>
          </cell>
          <cell r="Z63" t="e">
            <v>#DIV/0!</v>
          </cell>
          <cell r="AA63">
            <v>0</v>
          </cell>
          <cell r="AB63"/>
          <cell r="AC63">
            <v>14966.013154468426</v>
          </cell>
        </row>
        <row r="64">
          <cell r="T64"/>
          <cell r="U64"/>
          <cell r="V64"/>
        </row>
        <row r="65">
          <cell r="T65"/>
          <cell r="U65"/>
          <cell r="V65"/>
        </row>
        <row r="66">
          <cell r="A66">
            <v>1</v>
          </cell>
          <cell r="B66" t="str">
            <v>$ PEER GROUP 1 TOTAL</v>
          </cell>
          <cell r="C66"/>
          <cell r="D66">
            <v>12543395848.697075</v>
          </cell>
          <cell r="E66">
            <v>15002.963458702603</v>
          </cell>
          <cell r="F66">
            <v>220138414.2596634</v>
          </cell>
          <cell r="G66">
            <v>12763534262.956739</v>
          </cell>
          <cell r="H66">
            <v>15266.267640826261</v>
          </cell>
          <cell r="I66">
            <v>1.0899200668660973</v>
          </cell>
          <cell r="J66">
            <v>11508546571.459814</v>
          </cell>
          <cell r="K66">
            <v>10346135148.267731</v>
          </cell>
          <cell r="L66">
            <v>117236473.80872619</v>
          </cell>
          <cell r="M66">
            <v>10228898674.459003</v>
          </cell>
          <cell r="N66">
            <v>1.0014341062665455</v>
          </cell>
          <cell r="O66">
            <v>10214250354.018242</v>
          </cell>
          <cell r="P66">
            <v>836061.21438769263</v>
          </cell>
          <cell r="Q66">
            <v>12217.108243083454</v>
          </cell>
          <cell r="R66">
            <v>10214250354.018242</v>
          </cell>
          <cell r="S66">
            <v>9.6328663187743421E-4</v>
          </cell>
          <cell r="T66">
            <v>93466919.545275137</v>
          </cell>
          <cell r="U66">
            <v>111.79434942898008</v>
          </cell>
          <cell r="V66">
            <v>10120783434.472969</v>
          </cell>
          <cell r="W66">
            <v>-9.1506391860175507E-3</v>
          </cell>
          <cell r="X66">
            <v>8611733938.7940712</v>
          </cell>
          <cell r="Y66">
            <v>10300.36292868945</v>
          </cell>
          <cell r="Z66"/>
          <cell r="AA66">
            <v>-5.2358336179421872E-2</v>
          </cell>
          <cell r="AB66"/>
          <cell r="AC66">
            <v>13724.310645212947</v>
          </cell>
        </row>
        <row r="67">
          <cell r="A67">
            <v>3</v>
          </cell>
          <cell r="B67" t="str">
            <v>$ PEER GROUP 3 TOTAL</v>
          </cell>
          <cell r="C67"/>
          <cell r="D67">
            <v>0</v>
          </cell>
          <cell r="E67" t="e">
            <v>#DIV/0!</v>
          </cell>
          <cell r="F67">
            <v>0</v>
          </cell>
          <cell r="G67">
            <v>0</v>
          </cell>
          <cell r="H67" t="e">
            <v>#DIV/0!</v>
          </cell>
          <cell r="I67" t="e">
            <v>#DIV/0!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e">
            <v>#DIV/0!</v>
          </cell>
          <cell r="O67">
            <v>0</v>
          </cell>
          <cell r="P67">
            <v>0</v>
          </cell>
          <cell r="Q67" t="e">
            <v>#DIV/0!</v>
          </cell>
          <cell r="R67">
            <v>0</v>
          </cell>
          <cell r="S67" t="e">
            <v>#DIV/0!</v>
          </cell>
          <cell r="T67">
            <v>0</v>
          </cell>
          <cell r="U67" t="e">
            <v>#DIV/0!</v>
          </cell>
          <cell r="V67">
            <v>0</v>
          </cell>
          <cell r="W67" t="e">
            <v>#DIV/0!</v>
          </cell>
          <cell r="X67">
            <v>0</v>
          </cell>
          <cell r="Y67" t="e">
            <v>#DIV/0!</v>
          </cell>
          <cell r="Z67"/>
          <cell r="AA67" t="e">
            <v>#DIV/0!</v>
          </cell>
          <cell r="AB67"/>
          <cell r="AC67">
            <v>0</v>
          </cell>
        </row>
        <row r="68">
          <cell r="A68">
            <v>4</v>
          </cell>
          <cell r="B68" t="str">
            <v>$ PEER GROUP 4 TOTAL</v>
          </cell>
          <cell r="C68"/>
          <cell r="D68">
            <v>0</v>
          </cell>
          <cell r="E68" t="e">
            <v>#DIV/0!</v>
          </cell>
          <cell r="F68">
            <v>0</v>
          </cell>
          <cell r="G68">
            <v>0</v>
          </cell>
          <cell r="H68" t="e">
            <v>#DIV/0!</v>
          </cell>
          <cell r="I68" t="e">
            <v>#DIV/0!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 t="e">
            <v>#DIV/0!</v>
          </cell>
          <cell r="O68">
            <v>0</v>
          </cell>
          <cell r="P68">
            <v>0</v>
          </cell>
          <cell r="Q68" t="e">
            <v>#DIV/0!</v>
          </cell>
          <cell r="R68">
            <v>0</v>
          </cell>
          <cell r="S68" t="e">
            <v>#DIV/0!</v>
          </cell>
          <cell r="T68">
            <v>0</v>
          </cell>
          <cell r="U68" t="e">
            <v>#DIV/0!</v>
          </cell>
          <cell r="V68">
            <v>0</v>
          </cell>
          <cell r="W68" t="e">
            <v>#DIV/0!</v>
          </cell>
          <cell r="X68">
            <v>0</v>
          </cell>
          <cell r="Y68" t="e">
            <v>#DIV/0!</v>
          </cell>
          <cell r="Z68"/>
          <cell r="AA68" t="e">
            <v>#DIV/0!</v>
          </cell>
          <cell r="AB68"/>
          <cell r="AC68">
            <v>0</v>
          </cell>
        </row>
        <row r="69">
          <cell r="A69">
            <v>5</v>
          </cell>
          <cell r="B69" t="str">
            <v>$ PEER GROUP 5 TOTAL</v>
          </cell>
          <cell r="C69"/>
          <cell r="D69">
            <v>6181969096.9607143</v>
          </cell>
          <cell r="E69">
            <v>19274.709345898074</v>
          </cell>
          <cell r="F69">
            <v>165076762.71841976</v>
          </cell>
          <cell r="G69">
            <v>6347045859.6791334</v>
          </cell>
          <cell r="H69">
            <v>19789.400793114077</v>
          </cell>
          <cell r="I69">
            <v>1.0783726166657202</v>
          </cell>
          <cell r="J69">
            <v>5732683676.7008104</v>
          </cell>
          <cell r="K69">
            <v>5517780319.790391</v>
          </cell>
          <cell r="L69">
            <v>233807357.27575469</v>
          </cell>
          <cell r="M69">
            <v>5283972962.514637</v>
          </cell>
          <cell r="N69">
            <v>0.99772636316206553</v>
          </cell>
          <cell r="O69">
            <v>5296014175.4381361</v>
          </cell>
          <cell r="P69">
            <v>320729.56255894585</v>
          </cell>
          <cell r="Q69">
            <v>16512.397962893734</v>
          </cell>
          <cell r="R69">
            <v>5296014175.4381361</v>
          </cell>
          <cell r="S69">
            <v>5.3626176832171782E-3</v>
          </cell>
          <cell r="T69">
            <v>474616580.62526906</v>
          </cell>
          <cell r="U69">
            <v>1479.8030366721832</v>
          </cell>
          <cell r="V69">
            <v>4821397594.8128681</v>
          </cell>
          <cell r="W69">
            <v>-8.961769453458901E-2</v>
          </cell>
          <cell r="X69">
            <v>4151084878.8955584</v>
          </cell>
          <cell r="Y69">
            <v>12942.632558645553</v>
          </cell>
          <cell r="Z69"/>
          <cell r="AA69">
            <v>0.19073259233728512</v>
          </cell>
          <cell r="AB69"/>
          <cell r="AC69">
            <v>19047.547779494904</v>
          </cell>
        </row>
        <row r="71">
          <cell r="K71"/>
          <cell r="L71"/>
        </row>
        <row r="72">
          <cell r="K72"/>
          <cell r="L72"/>
        </row>
        <row r="73">
          <cell r="L73"/>
        </row>
        <row r="74">
          <cell r="L74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HOSPITAL PROFIT PERCENTAGE CALCULATION - 2019 RE Schedule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  <cell r="BZ1"/>
          <cell r="CA1"/>
          <cell r="CB1"/>
          <cell r="CC1"/>
          <cell r="CD1"/>
          <cell r="CE1"/>
          <cell r="CF1"/>
          <cell r="CG1"/>
          <cell r="CH1"/>
          <cell r="CI1"/>
          <cell r="CJ1"/>
          <cell r="CK1"/>
          <cell r="CL1"/>
          <cell r="CM1"/>
          <cell r="CN1"/>
          <cell r="CO1"/>
          <cell r="CP1"/>
          <cell r="CQ1"/>
          <cell r="CR1"/>
          <cell r="CS1"/>
          <cell r="CT1"/>
          <cell r="CU1"/>
          <cell r="CV1"/>
          <cell r="CW1"/>
          <cell r="CX1"/>
          <cell r="CY1"/>
          <cell r="CZ1"/>
          <cell r="DA1"/>
          <cell r="DB1"/>
          <cell r="DC1"/>
          <cell r="DD1"/>
          <cell r="DE1"/>
          <cell r="DF1"/>
          <cell r="DG1"/>
          <cell r="DH1"/>
          <cell r="DI1"/>
          <cell r="DJ1"/>
          <cell r="DK1"/>
          <cell r="DL1"/>
          <cell r="DM1"/>
          <cell r="DN1"/>
          <cell r="DO1"/>
          <cell r="DP1"/>
          <cell r="DQ1"/>
          <cell r="DR1"/>
          <cell r="DS1"/>
          <cell r="DT1"/>
          <cell r="DU1"/>
          <cell r="DV1"/>
          <cell r="DW1"/>
          <cell r="DX1"/>
          <cell r="DY1"/>
          <cell r="DZ1"/>
          <cell r="EA1"/>
          <cell r="EB1"/>
          <cell r="EC1"/>
          <cell r="ED1"/>
          <cell r="EE1"/>
          <cell r="EF1"/>
          <cell r="EG1"/>
          <cell r="EH1"/>
          <cell r="EI1"/>
          <cell r="EJ1"/>
          <cell r="EK1"/>
          <cell r="EL1"/>
          <cell r="EM1"/>
          <cell r="EN1"/>
          <cell r="EO1"/>
          <cell r="EP1"/>
          <cell r="EQ1"/>
          <cell r="ER1"/>
          <cell r="ES1"/>
          <cell r="ET1"/>
          <cell r="EU1"/>
          <cell r="EV1"/>
          <cell r="EW1"/>
          <cell r="EX1"/>
          <cell r="EY1"/>
          <cell r="EZ1"/>
          <cell r="FA1"/>
          <cell r="FB1"/>
          <cell r="FC1"/>
          <cell r="FD1"/>
          <cell r="FE1"/>
          <cell r="FF1"/>
          <cell r="FG1"/>
          <cell r="FH1"/>
          <cell r="FI1"/>
          <cell r="FJ1"/>
          <cell r="FK1"/>
          <cell r="FL1"/>
          <cell r="FM1"/>
          <cell r="FN1"/>
          <cell r="FO1"/>
          <cell r="FP1"/>
          <cell r="FQ1"/>
          <cell r="FR1"/>
          <cell r="FS1"/>
          <cell r="FT1"/>
          <cell r="FU1"/>
          <cell r="FV1"/>
          <cell r="FW1"/>
          <cell r="FX1"/>
          <cell r="FY1"/>
          <cell r="FZ1"/>
          <cell r="GA1"/>
          <cell r="GB1"/>
          <cell r="GC1"/>
          <cell r="GD1"/>
          <cell r="GE1"/>
          <cell r="GF1"/>
          <cell r="GG1"/>
          <cell r="GH1"/>
          <cell r="GI1"/>
          <cell r="GJ1"/>
          <cell r="GK1"/>
          <cell r="GL1"/>
          <cell r="GM1"/>
          <cell r="GN1"/>
          <cell r="GO1"/>
          <cell r="GP1"/>
          <cell r="GQ1"/>
          <cell r="GR1"/>
          <cell r="GS1"/>
          <cell r="GT1"/>
          <cell r="GU1"/>
          <cell r="GV1"/>
          <cell r="GW1"/>
          <cell r="GX1"/>
          <cell r="GY1"/>
          <cell r="GZ1"/>
          <cell r="HA1"/>
          <cell r="HB1"/>
          <cell r="HC1"/>
          <cell r="HD1"/>
          <cell r="HE1"/>
          <cell r="HF1"/>
          <cell r="HG1"/>
          <cell r="HH1"/>
          <cell r="HI1"/>
          <cell r="HJ1"/>
          <cell r="HK1"/>
          <cell r="HL1"/>
          <cell r="HM1"/>
          <cell r="HN1"/>
          <cell r="HO1"/>
          <cell r="HP1"/>
          <cell r="HQ1"/>
          <cell r="HR1"/>
          <cell r="HS1"/>
          <cell r="HT1"/>
          <cell r="HU1"/>
          <cell r="HV1"/>
          <cell r="HW1"/>
          <cell r="HX1"/>
          <cell r="HY1"/>
          <cell r="HZ1"/>
          <cell r="IA1"/>
          <cell r="IB1"/>
          <cell r="IC1"/>
          <cell r="ID1"/>
          <cell r="IE1"/>
          <cell r="IF1"/>
          <cell r="IG1"/>
          <cell r="IH1"/>
          <cell r="II1"/>
          <cell r="IJ1"/>
          <cell r="IK1"/>
          <cell r="IL1"/>
          <cell r="IM1"/>
          <cell r="IN1"/>
          <cell r="IO1"/>
          <cell r="IP1"/>
          <cell r="IQ1"/>
          <cell r="IR1"/>
        </row>
        <row r="2">
          <cell r="A2" t="str">
            <v>HOSPID</v>
          </cell>
          <cell r="B2" t="str">
            <v>HOSPNAME</v>
          </cell>
          <cell r="C2" t="str">
            <v>PEER</v>
          </cell>
          <cell r="D2" t="str">
            <v>AMC_PEER</v>
          </cell>
          <cell r="E2" t="str">
            <v>PROFIT</v>
          </cell>
          <cell r="F2" t="str">
            <v>REVENUE</v>
          </cell>
          <cell r="G2" t="str">
            <v>PERCENT PROFIT</v>
          </cell>
          <cell r="H2" t="str">
            <v>PERCENT PROFIT (No Negative %)</v>
          </cell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/>
          <cell r="BV2"/>
          <cell r="BW2"/>
          <cell r="BX2"/>
          <cell r="BY2"/>
          <cell r="BZ2"/>
          <cell r="CA2"/>
          <cell r="CB2"/>
          <cell r="CC2"/>
          <cell r="CD2"/>
          <cell r="CE2"/>
          <cell r="CF2"/>
          <cell r="CG2"/>
          <cell r="CH2"/>
          <cell r="CI2"/>
          <cell r="CJ2"/>
          <cell r="CK2"/>
          <cell r="CL2"/>
          <cell r="CM2"/>
          <cell r="CN2"/>
          <cell r="CO2"/>
          <cell r="CP2"/>
          <cell r="CQ2"/>
          <cell r="CR2"/>
          <cell r="CS2"/>
          <cell r="CT2"/>
          <cell r="CU2"/>
          <cell r="CV2"/>
          <cell r="CW2"/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  <cell r="DJ2"/>
          <cell r="DK2"/>
          <cell r="DL2"/>
          <cell r="DM2"/>
          <cell r="DN2"/>
          <cell r="DO2"/>
          <cell r="DP2"/>
          <cell r="DQ2"/>
          <cell r="DR2"/>
          <cell r="DS2"/>
          <cell r="DT2"/>
          <cell r="DU2"/>
          <cell r="DV2"/>
          <cell r="DW2"/>
          <cell r="DX2"/>
          <cell r="DY2"/>
          <cell r="DZ2"/>
          <cell r="EA2"/>
          <cell r="EB2"/>
          <cell r="EC2"/>
          <cell r="ED2"/>
          <cell r="EE2"/>
          <cell r="EF2"/>
          <cell r="EG2"/>
          <cell r="EH2"/>
          <cell r="EI2"/>
          <cell r="EJ2"/>
          <cell r="EK2"/>
          <cell r="EL2"/>
          <cell r="EM2"/>
          <cell r="EN2"/>
          <cell r="EO2"/>
          <cell r="EP2"/>
          <cell r="EQ2"/>
          <cell r="ER2"/>
          <cell r="ES2"/>
          <cell r="ET2"/>
          <cell r="EU2"/>
          <cell r="EV2"/>
          <cell r="EW2"/>
          <cell r="EX2"/>
          <cell r="EY2"/>
          <cell r="EZ2"/>
          <cell r="FA2"/>
          <cell r="FB2"/>
          <cell r="FC2"/>
          <cell r="FD2"/>
          <cell r="FE2"/>
          <cell r="FF2"/>
          <cell r="FG2"/>
          <cell r="FH2"/>
          <cell r="FI2"/>
          <cell r="FJ2"/>
          <cell r="FK2"/>
          <cell r="FL2"/>
          <cell r="FM2"/>
          <cell r="FN2"/>
          <cell r="FO2"/>
          <cell r="FP2"/>
          <cell r="FQ2"/>
          <cell r="FR2"/>
          <cell r="FS2"/>
          <cell r="FT2"/>
          <cell r="FU2"/>
          <cell r="FV2"/>
          <cell r="FW2"/>
          <cell r="FX2"/>
          <cell r="FY2"/>
          <cell r="FZ2"/>
          <cell r="GA2"/>
          <cell r="GB2"/>
          <cell r="GC2"/>
          <cell r="GD2"/>
          <cell r="GE2"/>
          <cell r="GF2"/>
          <cell r="GG2"/>
          <cell r="GH2"/>
          <cell r="GI2"/>
          <cell r="GJ2"/>
          <cell r="GK2"/>
          <cell r="GL2"/>
          <cell r="GM2"/>
          <cell r="GN2"/>
          <cell r="GO2"/>
          <cell r="GP2"/>
          <cell r="GQ2"/>
          <cell r="GR2"/>
          <cell r="GS2"/>
          <cell r="GT2"/>
          <cell r="GU2"/>
          <cell r="GV2"/>
          <cell r="GW2"/>
          <cell r="GX2"/>
          <cell r="GY2"/>
          <cell r="GZ2"/>
          <cell r="HA2"/>
          <cell r="HB2"/>
          <cell r="HC2"/>
          <cell r="HD2"/>
          <cell r="HE2"/>
          <cell r="HF2"/>
          <cell r="HG2"/>
          <cell r="HH2"/>
          <cell r="HI2"/>
          <cell r="HJ2"/>
          <cell r="HK2"/>
          <cell r="HL2"/>
          <cell r="HM2"/>
          <cell r="HN2"/>
          <cell r="HO2"/>
          <cell r="HP2"/>
          <cell r="HQ2"/>
          <cell r="HR2"/>
          <cell r="HS2"/>
          <cell r="HT2"/>
          <cell r="HU2"/>
          <cell r="HV2"/>
          <cell r="HW2"/>
          <cell r="HX2"/>
          <cell r="HY2"/>
          <cell r="HZ2"/>
          <cell r="IA2"/>
          <cell r="IB2"/>
          <cell r="IC2"/>
          <cell r="ID2"/>
          <cell r="IE2"/>
          <cell r="IF2"/>
          <cell r="IG2"/>
          <cell r="IH2"/>
          <cell r="II2"/>
          <cell r="IJ2"/>
          <cell r="IK2"/>
          <cell r="IL2"/>
          <cell r="IM2"/>
          <cell r="IN2"/>
          <cell r="IO2"/>
          <cell r="IP2"/>
          <cell r="IQ2"/>
          <cell r="IR2"/>
        </row>
        <row r="3">
          <cell r="A3">
            <v>210001</v>
          </cell>
          <cell r="B3" t="str">
            <v>MERITUS MEDICAL CENTER</v>
          </cell>
          <cell r="C3">
            <v>1</v>
          </cell>
          <cell r="D3">
            <v>3</v>
          </cell>
          <cell r="E3">
            <v>18098409.44747493</v>
          </cell>
          <cell r="F3">
            <v>315394019</v>
          </cell>
          <cell r="G3">
            <v>5.7383489721391741E-2</v>
          </cell>
          <cell r="H3">
            <v>5.7383489721391741E-2</v>
          </cell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/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/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  <cell r="FY3"/>
          <cell r="FZ3"/>
          <cell r="GA3"/>
          <cell r="GB3"/>
          <cell r="GC3"/>
          <cell r="GD3"/>
          <cell r="GE3"/>
          <cell r="GF3"/>
          <cell r="GG3"/>
          <cell r="GH3"/>
          <cell r="GI3"/>
          <cell r="GJ3"/>
          <cell r="GK3"/>
          <cell r="GL3"/>
          <cell r="GM3"/>
          <cell r="GN3"/>
          <cell r="GO3"/>
          <cell r="GP3"/>
          <cell r="GQ3"/>
          <cell r="GR3"/>
          <cell r="GS3"/>
          <cell r="GT3"/>
          <cell r="GU3"/>
          <cell r="GV3"/>
          <cell r="GW3"/>
          <cell r="GX3"/>
          <cell r="GY3"/>
          <cell r="GZ3"/>
          <cell r="HA3"/>
          <cell r="HB3"/>
          <cell r="HC3"/>
          <cell r="HD3"/>
          <cell r="HE3"/>
          <cell r="HF3"/>
          <cell r="HG3"/>
          <cell r="HH3"/>
          <cell r="HI3"/>
          <cell r="HJ3"/>
          <cell r="HK3"/>
          <cell r="HL3"/>
          <cell r="HM3"/>
          <cell r="HN3"/>
          <cell r="HO3"/>
          <cell r="HP3"/>
          <cell r="HQ3"/>
          <cell r="HR3"/>
          <cell r="HS3"/>
          <cell r="HT3"/>
          <cell r="HU3"/>
          <cell r="HV3"/>
          <cell r="HW3"/>
          <cell r="HX3"/>
          <cell r="HY3"/>
          <cell r="HZ3"/>
          <cell r="IA3"/>
          <cell r="IB3"/>
          <cell r="IC3"/>
          <cell r="ID3"/>
          <cell r="IE3"/>
          <cell r="IF3"/>
          <cell r="IG3"/>
          <cell r="IH3"/>
          <cell r="II3"/>
          <cell r="IJ3"/>
          <cell r="IK3"/>
          <cell r="IL3"/>
          <cell r="IM3"/>
          <cell r="IN3"/>
          <cell r="IO3"/>
          <cell r="IP3"/>
          <cell r="IQ3"/>
          <cell r="IR3"/>
        </row>
        <row r="4">
          <cell r="A4">
            <v>210002</v>
          </cell>
          <cell r="B4" t="str">
            <v>UNIVERSITY OF MARYLAND MEDICAL CENTER</v>
          </cell>
          <cell r="C4">
            <v>5</v>
          </cell>
          <cell r="D4">
            <v>5</v>
          </cell>
          <cell r="E4">
            <v>-6470869.6657433175</v>
          </cell>
          <cell r="F4">
            <v>1344356334.1300001</v>
          </cell>
          <cell r="G4">
            <v>-4.8133590042040006E-3</v>
          </cell>
          <cell r="H4">
            <v>0</v>
          </cell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/>
          <cell r="BR4"/>
          <cell r="BS4"/>
          <cell r="BT4"/>
          <cell r="BU4"/>
          <cell r="BV4"/>
          <cell r="BW4"/>
          <cell r="BX4"/>
          <cell r="BY4"/>
          <cell r="BZ4"/>
          <cell r="CA4"/>
          <cell r="CB4"/>
          <cell r="CC4"/>
          <cell r="CD4"/>
          <cell r="CE4"/>
          <cell r="CF4"/>
          <cell r="CG4"/>
          <cell r="CH4"/>
          <cell r="CI4"/>
          <cell r="CJ4"/>
          <cell r="CK4"/>
          <cell r="CL4"/>
          <cell r="CM4"/>
          <cell r="CN4"/>
          <cell r="CO4"/>
          <cell r="CP4"/>
          <cell r="CQ4"/>
          <cell r="CR4"/>
          <cell r="CS4"/>
          <cell r="CT4"/>
          <cell r="CU4"/>
          <cell r="CV4"/>
          <cell r="CW4"/>
          <cell r="CX4"/>
          <cell r="CY4"/>
          <cell r="CZ4"/>
          <cell r="DA4"/>
          <cell r="DB4"/>
          <cell r="DC4"/>
          <cell r="DD4"/>
          <cell r="DE4"/>
          <cell r="DF4"/>
          <cell r="DG4"/>
          <cell r="DH4"/>
          <cell r="DI4"/>
          <cell r="DJ4"/>
          <cell r="DK4"/>
          <cell r="DL4"/>
          <cell r="DM4"/>
          <cell r="DN4"/>
          <cell r="DO4"/>
          <cell r="DP4"/>
          <cell r="DQ4"/>
          <cell r="DR4"/>
          <cell r="DS4"/>
          <cell r="DT4"/>
          <cell r="DU4"/>
          <cell r="DV4"/>
          <cell r="DW4"/>
          <cell r="DX4"/>
          <cell r="DY4"/>
          <cell r="DZ4"/>
          <cell r="EA4"/>
          <cell r="EB4"/>
          <cell r="EC4"/>
          <cell r="ED4"/>
          <cell r="EE4"/>
          <cell r="EF4"/>
          <cell r="EG4"/>
          <cell r="EH4"/>
          <cell r="EI4"/>
          <cell r="EJ4"/>
          <cell r="EK4"/>
          <cell r="EL4"/>
          <cell r="EM4"/>
          <cell r="EN4"/>
          <cell r="EO4"/>
          <cell r="EP4"/>
          <cell r="EQ4"/>
          <cell r="ER4"/>
          <cell r="ES4"/>
          <cell r="ET4"/>
          <cell r="EU4"/>
          <cell r="EV4"/>
          <cell r="EW4"/>
          <cell r="EX4"/>
          <cell r="EY4"/>
          <cell r="EZ4"/>
          <cell r="FA4"/>
          <cell r="FB4"/>
          <cell r="FC4"/>
          <cell r="FD4"/>
          <cell r="FE4"/>
          <cell r="FF4"/>
          <cell r="FG4"/>
          <cell r="FH4"/>
          <cell r="FI4"/>
          <cell r="FJ4"/>
          <cell r="FK4"/>
          <cell r="FL4"/>
          <cell r="FM4"/>
          <cell r="FN4"/>
          <cell r="FO4"/>
          <cell r="FP4"/>
          <cell r="FQ4"/>
          <cell r="FR4"/>
          <cell r="FS4"/>
          <cell r="FT4"/>
          <cell r="FU4"/>
          <cell r="FV4"/>
          <cell r="FW4"/>
          <cell r="FX4"/>
          <cell r="FY4"/>
          <cell r="FZ4"/>
          <cell r="GA4"/>
          <cell r="GB4"/>
          <cell r="GC4"/>
          <cell r="GD4"/>
          <cell r="GE4"/>
          <cell r="GF4"/>
          <cell r="GG4"/>
          <cell r="GH4"/>
          <cell r="GI4"/>
          <cell r="GJ4"/>
          <cell r="GK4"/>
          <cell r="GL4"/>
          <cell r="GM4"/>
          <cell r="GN4"/>
          <cell r="GO4"/>
          <cell r="GP4"/>
          <cell r="GQ4"/>
          <cell r="GR4"/>
          <cell r="GS4"/>
          <cell r="GT4"/>
          <cell r="GU4"/>
          <cell r="GV4"/>
          <cell r="GW4"/>
          <cell r="GX4"/>
          <cell r="GY4"/>
          <cell r="GZ4"/>
          <cell r="HA4"/>
          <cell r="HB4"/>
          <cell r="HC4"/>
          <cell r="HD4"/>
          <cell r="HE4"/>
          <cell r="HF4"/>
          <cell r="HG4"/>
          <cell r="HH4"/>
          <cell r="HI4"/>
          <cell r="HJ4"/>
          <cell r="HK4"/>
          <cell r="HL4"/>
          <cell r="HM4"/>
          <cell r="HN4"/>
          <cell r="HO4"/>
          <cell r="HP4"/>
          <cell r="HQ4"/>
          <cell r="HR4"/>
          <cell r="HS4"/>
          <cell r="HT4"/>
          <cell r="HU4"/>
          <cell r="HV4"/>
          <cell r="HW4"/>
          <cell r="HX4"/>
          <cell r="HY4"/>
          <cell r="HZ4"/>
          <cell r="IA4"/>
          <cell r="IB4"/>
          <cell r="IC4"/>
          <cell r="ID4"/>
          <cell r="IE4"/>
          <cell r="IF4"/>
          <cell r="IG4"/>
          <cell r="IH4"/>
          <cell r="II4"/>
          <cell r="IJ4"/>
          <cell r="IK4"/>
          <cell r="IL4"/>
          <cell r="IM4"/>
          <cell r="IN4"/>
          <cell r="IO4"/>
          <cell r="IP4"/>
          <cell r="IQ4"/>
          <cell r="IR4"/>
        </row>
        <row r="5">
          <cell r="A5">
            <v>210003</v>
          </cell>
          <cell r="B5" t="str">
            <v>PRINCE GEORGES HOSPITAL CENTER</v>
          </cell>
          <cell r="C5">
            <v>1</v>
          </cell>
          <cell r="D5">
            <v>5</v>
          </cell>
          <cell r="E5">
            <v>46032994.890877217</v>
          </cell>
          <cell r="F5">
            <v>306972651.8977949</v>
          </cell>
          <cell r="G5">
            <v>0.14995796728564501</v>
          </cell>
          <cell r="H5">
            <v>0.14995796728564501</v>
          </cell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/>
          <cell r="DK5"/>
          <cell r="DL5"/>
          <cell r="DM5"/>
          <cell r="DN5"/>
          <cell r="DO5"/>
          <cell r="DP5"/>
          <cell r="DQ5"/>
          <cell r="DR5"/>
          <cell r="DS5"/>
          <cell r="DT5"/>
          <cell r="DU5"/>
          <cell r="DV5"/>
          <cell r="DW5"/>
          <cell r="DX5"/>
          <cell r="DY5"/>
          <cell r="DZ5"/>
          <cell r="EA5"/>
          <cell r="EB5"/>
          <cell r="EC5"/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/>
          <cell r="EQ5"/>
          <cell r="ER5"/>
          <cell r="ES5"/>
          <cell r="ET5"/>
          <cell r="EU5"/>
          <cell r="EV5"/>
          <cell r="EW5"/>
          <cell r="EX5"/>
          <cell r="EY5"/>
          <cell r="EZ5"/>
          <cell r="FA5"/>
          <cell r="FB5"/>
          <cell r="FC5"/>
          <cell r="FD5"/>
          <cell r="FE5"/>
          <cell r="FF5"/>
          <cell r="FG5"/>
          <cell r="FH5"/>
          <cell r="FI5"/>
          <cell r="FJ5"/>
          <cell r="FK5"/>
          <cell r="FL5"/>
          <cell r="FM5"/>
          <cell r="FN5"/>
          <cell r="FO5"/>
          <cell r="FP5"/>
          <cell r="FQ5"/>
          <cell r="FR5"/>
          <cell r="FS5"/>
          <cell r="FT5"/>
          <cell r="FU5"/>
          <cell r="FV5"/>
          <cell r="FW5"/>
          <cell r="FX5"/>
          <cell r="FY5"/>
          <cell r="FZ5"/>
          <cell r="GA5"/>
          <cell r="GB5"/>
          <cell r="GC5"/>
          <cell r="GD5"/>
          <cell r="GE5"/>
          <cell r="GF5"/>
          <cell r="GG5"/>
          <cell r="GH5"/>
          <cell r="GI5"/>
          <cell r="GJ5"/>
          <cell r="GK5"/>
          <cell r="GL5"/>
          <cell r="GM5"/>
          <cell r="GN5"/>
          <cell r="GO5"/>
          <cell r="GP5"/>
          <cell r="GQ5"/>
          <cell r="GR5"/>
          <cell r="GS5"/>
          <cell r="GT5"/>
          <cell r="GU5"/>
          <cell r="GV5"/>
          <cell r="GW5"/>
          <cell r="GX5"/>
          <cell r="GY5"/>
          <cell r="GZ5"/>
          <cell r="HA5"/>
          <cell r="HB5"/>
          <cell r="HC5"/>
          <cell r="HD5"/>
          <cell r="HE5"/>
          <cell r="HF5"/>
          <cell r="HG5"/>
          <cell r="HH5"/>
          <cell r="HI5"/>
          <cell r="HJ5"/>
          <cell r="HK5"/>
          <cell r="HL5"/>
          <cell r="HM5"/>
          <cell r="HN5"/>
          <cell r="HO5"/>
          <cell r="HP5"/>
          <cell r="HQ5"/>
          <cell r="HR5"/>
          <cell r="HS5"/>
          <cell r="HT5"/>
          <cell r="HU5"/>
          <cell r="HV5"/>
          <cell r="HW5"/>
          <cell r="HX5"/>
          <cell r="HY5"/>
          <cell r="HZ5"/>
          <cell r="IA5"/>
          <cell r="IB5"/>
          <cell r="IC5"/>
          <cell r="ID5"/>
          <cell r="IE5"/>
          <cell r="IF5"/>
          <cell r="IG5"/>
          <cell r="IH5"/>
          <cell r="II5"/>
          <cell r="IJ5"/>
          <cell r="IK5"/>
          <cell r="IL5"/>
          <cell r="IM5"/>
          <cell r="IN5"/>
          <cell r="IO5"/>
          <cell r="IP5"/>
          <cell r="IQ5"/>
          <cell r="IR5"/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1</v>
          </cell>
          <cell r="E6">
            <v>58595072.676651411</v>
          </cell>
          <cell r="F6">
            <v>443717811.96000004</v>
          </cell>
          <cell r="G6">
            <v>0.13205481298536106</v>
          </cell>
          <cell r="H6">
            <v>0.13205481298536106</v>
          </cell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/>
          <cell r="II6"/>
          <cell r="IJ6"/>
          <cell r="IK6"/>
          <cell r="IL6"/>
          <cell r="IM6"/>
          <cell r="IN6"/>
          <cell r="IO6"/>
          <cell r="IP6"/>
          <cell r="IQ6"/>
          <cell r="IR6"/>
        </row>
        <row r="7">
          <cell r="A7">
            <v>210005</v>
          </cell>
          <cell r="B7" t="str">
            <v>FREDERICK MEMORIAL HOSPITAL</v>
          </cell>
          <cell r="C7">
            <v>1</v>
          </cell>
          <cell r="D7">
            <v>3</v>
          </cell>
          <cell r="E7">
            <v>51121006.192383759</v>
          </cell>
          <cell r="F7">
            <v>309113150.66999996</v>
          </cell>
          <cell r="G7">
            <v>0.16537959022959534</v>
          </cell>
          <cell r="H7">
            <v>0.16537959022959534</v>
          </cell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</row>
        <row r="8">
          <cell r="A8">
            <v>210006</v>
          </cell>
          <cell r="B8" t="str">
            <v>UM-HARFORD MEMORIAL HOSPITAL</v>
          </cell>
          <cell r="C8">
            <v>1</v>
          </cell>
          <cell r="D8">
            <v>3</v>
          </cell>
          <cell r="E8">
            <v>7887833.2400000226</v>
          </cell>
          <cell r="F8">
            <v>92236433.24000001</v>
          </cell>
          <cell r="G8">
            <v>8.5517544021632003E-2</v>
          </cell>
          <cell r="H8">
            <v>8.5517544021632003E-2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</row>
        <row r="9">
          <cell r="A9">
            <v>210008</v>
          </cell>
          <cell r="B9" t="str">
            <v>MERCY MEDICAL CENTER</v>
          </cell>
          <cell r="C9">
            <v>1</v>
          </cell>
          <cell r="D9">
            <v>4</v>
          </cell>
          <cell r="E9">
            <v>27306300</v>
          </cell>
          <cell r="F9">
            <v>488715700</v>
          </cell>
          <cell r="G9">
            <v>5.5873588673332981E-2</v>
          </cell>
          <cell r="H9">
            <v>5.5873588673332981E-2</v>
          </cell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5</v>
          </cell>
          <cell r="E10">
            <v>33092230.260000098</v>
          </cell>
          <cell r="F10">
            <v>2128014430.2600002</v>
          </cell>
          <cell r="G10">
            <v>1.5550754632785501E-2</v>
          </cell>
          <cell r="H10">
            <v>1.5550754632785501E-2</v>
          </cell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</row>
        <row r="11">
          <cell r="A11">
            <v>210010</v>
          </cell>
          <cell r="B11" t="str">
            <v>UM-SHORE REGIONAL HEALTH AT DORCHESTER</v>
          </cell>
          <cell r="C11">
            <v>1</v>
          </cell>
          <cell r="D11">
            <v>3</v>
          </cell>
          <cell r="E11">
            <v>4321522.8668952547</v>
          </cell>
          <cell r="F11">
            <v>38209904.42818822</v>
          </cell>
          <cell r="G11">
            <v>0.11309954661145867</v>
          </cell>
          <cell r="H11">
            <v>0.11309954661145867</v>
          </cell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1</v>
          </cell>
          <cell r="E12">
            <v>47900363.008912593</v>
          </cell>
          <cell r="F12">
            <v>357252964.49334663</v>
          </cell>
          <cell r="G12">
            <v>0.13407967958179021</v>
          </cell>
          <cell r="H12">
            <v>0.13407967958179021</v>
          </cell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</row>
        <row r="13">
          <cell r="A13">
            <v>210012</v>
          </cell>
          <cell r="B13" t="str">
            <v>SINAI HOSPITAL</v>
          </cell>
          <cell r="C13">
            <v>1</v>
          </cell>
          <cell r="D13">
            <v>5</v>
          </cell>
          <cell r="E13">
            <v>82636619.600057483</v>
          </cell>
          <cell r="F13">
            <v>696628329.43000066</v>
          </cell>
          <cell r="G13">
            <v>0.11862368512585887</v>
          </cell>
          <cell r="H13">
            <v>0.11862368512585887</v>
          </cell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  <cell r="CR13"/>
          <cell r="CS13"/>
          <cell r="CT13"/>
          <cell r="CU13"/>
          <cell r="CV13"/>
          <cell r="CW13"/>
          <cell r="CX13"/>
          <cell r="CY13"/>
          <cell r="CZ13"/>
          <cell r="DA13"/>
          <cell r="DB13"/>
          <cell r="DC13"/>
          <cell r="DD13"/>
          <cell r="DE13"/>
          <cell r="DF13"/>
          <cell r="DG13"/>
          <cell r="DH13"/>
          <cell r="DI13"/>
          <cell r="DJ13"/>
          <cell r="DK13"/>
          <cell r="DL13"/>
          <cell r="DM13"/>
          <cell r="DN13"/>
          <cell r="DO13"/>
          <cell r="DP13"/>
          <cell r="DQ13"/>
          <cell r="DR13"/>
          <cell r="DS13"/>
          <cell r="DT13"/>
          <cell r="DU13"/>
          <cell r="DV13"/>
          <cell r="DW13"/>
          <cell r="DX13"/>
          <cell r="DY13"/>
          <cell r="DZ13"/>
          <cell r="EA13"/>
          <cell r="EB13"/>
          <cell r="EC13"/>
          <cell r="ED13"/>
          <cell r="EE13"/>
          <cell r="EF13"/>
          <cell r="EG13"/>
          <cell r="EH13"/>
          <cell r="EI13"/>
          <cell r="EJ13"/>
          <cell r="EK13"/>
          <cell r="EL13"/>
          <cell r="EM13"/>
          <cell r="EN13"/>
          <cell r="EO13"/>
          <cell r="EP13"/>
          <cell r="EQ13"/>
          <cell r="ER13"/>
          <cell r="ES13"/>
          <cell r="ET13"/>
          <cell r="EU13"/>
          <cell r="EV13"/>
          <cell r="EW13"/>
          <cell r="EX13"/>
          <cell r="EY13"/>
          <cell r="EZ13"/>
          <cell r="FA13"/>
          <cell r="FB13"/>
          <cell r="FC13"/>
          <cell r="FD13"/>
          <cell r="FE13"/>
          <cell r="FF13"/>
          <cell r="FG13"/>
          <cell r="FH13"/>
          <cell r="FI13"/>
          <cell r="FJ13"/>
          <cell r="FK13"/>
          <cell r="FL13"/>
          <cell r="FM13"/>
          <cell r="FN13"/>
          <cell r="FO13"/>
          <cell r="FP13"/>
          <cell r="FQ13"/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</row>
        <row r="14">
          <cell r="A14">
            <v>210013</v>
          </cell>
          <cell r="B14" t="str">
            <v>BON SECOURS HOSPITAL</v>
          </cell>
          <cell r="C14" t="str">
            <v>NA</v>
          </cell>
          <cell r="D14">
            <v>4</v>
          </cell>
          <cell r="E14">
            <v>15831748.532877566</v>
          </cell>
          <cell r="F14">
            <v>90416794.989999995</v>
          </cell>
          <cell r="G14">
            <v>0.17509743112027518</v>
          </cell>
          <cell r="H14">
            <v>0.17509743112027518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  <cell r="CR14"/>
          <cell r="CS14"/>
          <cell r="CT14"/>
          <cell r="CU14"/>
          <cell r="CV14"/>
          <cell r="CW14"/>
          <cell r="CX14"/>
          <cell r="CY14"/>
          <cell r="CZ14"/>
          <cell r="DA14"/>
          <cell r="DB14"/>
          <cell r="DC14"/>
          <cell r="DD14"/>
          <cell r="DE14"/>
          <cell r="DF14"/>
          <cell r="DG14"/>
          <cell r="DH14"/>
          <cell r="DI14"/>
          <cell r="DJ14"/>
          <cell r="DK14"/>
          <cell r="DL14"/>
          <cell r="DM14"/>
          <cell r="DN14"/>
          <cell r="DO14"/>
          <cell r="DP14"/>
          <cell r="DQ14"/>
          <cell r="DR14"/>
          <cell r="DS14"/>
          <cell r="DT14"/>
          <cell r="DU14"/>
          <cell r="DV14"/>
          <cell r="DW14"/>
          <cell r="DX14"/>
          <cell r="DY14"/>
          <cell r="DZ14"/>
          <cell r="EA14"/>
          <cell r="EB14"/>
          <cell r="EC14"/>
          <cell r="ED14"/>
          <cell r="EE14"/>
          <cell r="EF14"/>
          <cell r="EG14"/>
          <cell r="EH14"/>
          <cell r="EI14"/>
          <cell r="EJ14"/>
          <cell r="EK14"/>
          <cell r="EL14"/>
          <cell r="EM14"/>
          <cell r="EN14"/>
          <cell r="EO14"/>
          <cell r="EP14"/>
          <cell r="EQ14"/>
          <cell r="ER14"/>
          <cell r="ES14"/>
          <cell r="ET14"/>
          <cell r="EU14"/>
          <cell r="EV14"/>
          <cell r="EW14"/>
          <cell r="EX14"/>
          <cell r="EY14"/>
          <cell r="EZ14"/>
          <cell r="FA14"/>
          <cell r="FB14"/>
          <cell r="FC14"/>
          <cell r="FD14"/>
          <cell r="FE14"/>
          <cell r="FF14"/>
          <cell r="FG14"/>
          <cell r="FH14"/>
          <cell r="FI14"/>
          <cell r="FJ14"/>
          <cell r="FK14"/>
          <cell r="FL14"/>
          <cell r="FM14"/>
          <cell r="FN14"/>
          <cell r="FO14"/>
          <cell r="FP14"/>
          <cell r="FQ14"/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</row>
        <row r="15">
          <cell r="A15">
            <v>210015</v>
          </cell>
          <cell r="B15" t="str">
            <v>MEDSTAR FRANKLIN SQUARE</v>
          </cell>
          <cell r="C15">
            <v>1</v>
          </cell>
          <cell r="D15">
            <v>1</v>
          </cell>
          <cell r="E15">
            <v>55855670.745339304</v>
          </cell>
          <cell r="F15">
            <v>478557288.15999997</v>
          </cell>
          <cell r="G15">
            <v>0.11671679050192341</v>
          </cell>
          <cell r="H15">
            <v>0.11671679050192341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</row>
        <row r="16">
          <cell r="A16">
            <v>210016</v>
          </cell>
          <cell r="B16" t="str">
            <v>WASHINGTON ADVENTIST HOSPITAL</v>
          </cell>
          <cell r="C16">
            <v>1</v>
          </cell>
          <cell r="D16">
            <v>3</v>
          </cell>
          <cell r="E16">
            <v>24896664.889999986</v>
          </cell>
          <cell r="F16">
            <v>253454740</v>
          </cell>
          <cell r="G16">
            <v>9.8229233708550828E-2</v>
          </cell>
          <cell r="H16">
            <v>9.8229233708550828E-2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</row>
        <row r="17">
          <cell r="A17">
            <v>210017</v>
          </cell>
          <cell r="B17" t="str">
            <v>GARRETT COUNTY MEMORIAL HOSPITAL</v>
          </cell>
          <cell r="C17">
            <v>1</v>
          </cell>
          <cell r="D17">
            <v>3</v>
          </cell>
          <cell r="E17">
            <v>7833824.6336989822</v>
          </cell>
          <cell r="F17">
            <v>53214025.849999994</v>
          </cell>
          <cell r="G17">
            <v>0.14721353080447272</v>
          </cell>
          <cell r="H17">
            <v>0.14721353080447272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</row>
        <row r="18">
          <cell r="A18">
            <v>210018</v>
          </cell>
          <cell r="B18" t="str">
            <v>MEDSTAR MONTGOMERY MEDICAL CENTER</v>
          </cell>
          <cell r="C18">
            <v>1</v>
          </cell>
          <cell r="D18">
            <v>3</v>
          </cell>
          <cell r="E18">
            <v>21378749.441137683</v>
          </cell>
          <cell r="F18">
            <v>155499062.46999997</v>
          </cell>
          <cell r="G18">
            <v>0.13748474814928371</v>
          </cell>
          <cell r="H18">
            <v>0.13748474814928371</v>
          </cell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</row>
        <row r="19">
          <cell r="A19">
            <v>210019</v>
          </cell>
          <cell r="B19" t="str">
            <v>PENINSULA REGIONAL MEDICAL CENTER</v>
          </cell>
          <cell r="C19">
            <v>1</v>
          </cell>
          <cell r="D19">
            <v>3</v>
          </cell>
          <cell r="E19">
            <v>53820370.460000008</v>
          </cell>
          <cell r="F19">
            <v>389767653.00000012</v>
          </cell>
          <cell r="G19">
            <v>0.13808321456578129</v>
          </cell>
          <cell r="H19">
            <v>0.13808321456578129</v>
          </cell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1</v>
          </cell>
          <cell r="E20">
            <v>27633198.880000096</v>
          </cell>
          <cell r="F20">
            <v>291014299.38000011</v>
          </cell>
          <cell r="G20">
            <v>9.4954780362587157E-2</v>
          </cell>
          <cell r="H20">
            <v>9.4954780362587157E-2</v>
          </cell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  <cell r="CR20"/>
          <cell r="CS20"/>
          <cell r="CT20"/>
          <cell r="CU20"/>
          <cell r="CV20"/>
          <cell r="CW20"/>
          <cell r="CX20"/>
          <cell r="CY20"/>
          <cell r="CZ20"/>
          <cell r="DA20"/>
          <cell r="DB20"/>
          <cell r="DC20"/>
          <cell r="DD20"/>
          <cell r="DE20"/>
          <cell r="DF20"/>
          <cell r="DG20"/>
          <cell r="DH20"/>
          <cell r="DI20"/>
          <cell r="DJ20"/>
          <cell r="DK20"/>
          <cell r="DL20"/>
          <cell r="DM20"/>
          <cell r="DN20"/>
          <cell r="DO20"/>
          <cell r="DP20"/>
          <cell r="DQ20"/>
          <cell r="DR20"/>
          <cell r="DS20"/>
          <cell r="DT20"/>
          <cell r="DU20"/>
          <cell r="DV20"/>
          <cell r="DW20"/>
          <cell r="DX20"/>
          <cell r="DY20"/>
          <cell r="DZ20"/>
          <cell r="EA20"/>
          <cell r="EB20"/>
          <cell r="EC20"/>
          <cell r="ED20"/>
          <cell r="EE20"/>
          <cell r="EF20"/>
          <cell r="EG20"/>
          <cell r="EH20"/>
          <cell r="EI20"/>
          <cell r="EJ20"/>
          <cell r="EK20"/>
          <cell r="EL20"/>
          <cell r="EM20"/>
          <cell r="EN20"/>
          <cell r="EO20"/>
          <cell r="EP20"/>
          <cell r="EQ20"/>
          <cell r="ER20"/>
          <cell r="ES20"/>
          <cell r="ET20"/>
          <cell r="EU20"/>
          <cell r="EV20"/>
          <cell r="EW20"/>
          <cell r="EX20"/>
          <cell r="EY20"/>
          <cell r="EZ20"/>
          <cell r="FA20"/>
          <cell r="FB20"/>
          <cell r="FC20"/>
          <cell r="FD20"/>
          <cell r="FE20"/>
          <cell r="FF20"/>
          <cell r="FG20"/>
          <cell r="FH20"/>
          <cell r="FI20"/>
          <cell r="FJ20"/>
          <cell r="FK20"/>
          <cell r="FL20"/>
          <cell r="FM20"/>
          <cell r="FN20"/>
          <cell r="FO20"/>
          <cell r="FP20"/>
          <cell r="FQ20"/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</row>
        <row r="21">
          <cell r="A21">
            <v>210023</v>
          </cell>
          <cell r="B21" t="str">
            <v>ANNE ARUNDEL MEDICAL CENTER</v>
          </cell>
          <cell r="C21">
            <v>1</v>
          </cell>
          <cell r="D21">
            <v>3</v>
          </cell>
          <cell r="E21">
            <v>50893664.654626861</v>
          </cell>
          <cell r="F21">
            <v>565394362.52100003</v>
          </cell>
          <cell r="G21">
            <v>9.0014453677430425E-2</v>
          </cell>
          <cell r="H21">
            <v>9.0014453677430425E-2</v>
          </cell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</row>
        <row r="22">
          <cell r="A22">
            <v>210024</v>
          </cell>
          <cell r="B22" t="str">
            <v>MEDSTAR UNION MEMORIAL HOSPITAL</v>
          </cell>
          <cell r="C22">
            <v>1</v>
          </cell>
          <cell r="D22">
            <v>5</v>
          </cell>
          <cell r="E22">
            <v>23429468.19637477</v>
          </cell>
          <cell r="F22">
            <v>365259150.06999999</v>
          </cell>
          <cell r="G22">
            <v>6.4144781018859176E-2</v>
          </cell>
          <cell r="H22">
            <v>6.4144781018859176E-2</v>
          </cell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</row>
        <row r="23">
          <cell r="A23">
            <v>210027</v>
          </cell>
          <cell r="B23" t="str">
            <v>WESTERN MARYLAND REGIONAL MEDICAL CENTER</v>
          </cell>
          <cell r="C23">
            <v>1</v>
          </cell>
          <cell r="D23">
            <v>3</v>
          </cell>
          <cell r="E23">
            <v>35116030.629999965</v>
          </cell>
          <cell r="F23">
            <v>280709399.99999994</v>
          </cell>
          <cell r="G23">
            <v>0.12509745177753212</v>
          </cell>
          <cell r="H23">
            <v>0.12509745177753212</v>
          </cell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  <cell r="CR23"/>
          <cell r="CS23"/>
          <cell r="CT23"/>
          <cell r="CU23"/>
          <cell r="CV23"/>
          <cell r="CW23"/>
          <cell r="CX23"/>
          <cell r="CY23"/>
          <cell r="CZ23"/>
          <cell r="DA23"/>
          <cell r="DB23"/>
          <cell r="DC23"/>
          <cell r="DD23"/>
          <cell r="DE23"/>
          <cell r="DF23"/>
          <cell r="DG23"/>
          <cell r="DH23"/>
          <cell r="DI23"/>
          <cell r="DJ23"/>
          <cell r="DK23"/>
          <cell r="DL23"/>
          <cell r="DM23"/>
          <cell r="DN23"/>
          <cell r="DO23"/>
          <cell r="DP23"/>
          <cell r="DQ23"/>
          <cell r="DR23"/>
          <cell r="DS23"/>
          <cell r="DT23"/>
          <cell r="DU23"/>
          <cell r="DV23"/>
          <cell r="DW23"/>
          <cell r="DX23"/>
          <cell r="DY23"/>
          <cell r="DZ23"/>
          <cell r="EA23"/>
          <cell r="EB23"/>
          <cell r="EC23"/>
          <cell r="ED23"/>
          <cell r="EE23"/>
          <cell r="EF23"/>
          <cell r="EG23"/>
          <cell r="EH23"/>
          <cell r="EI23"/>
          <cell r="EJ23"/>
          <cell r="EK23"/>
          <cell r="EL23"/>
          <cell r="EM23"/>
          <cell r="EN23"/>
          <cell r="EO23"/>
          <cell r="EP23"/>
          <cell r="EQ23"/>
          <cell r="ER23"/>
          <cell r="ES23"/>
          <cell r="ET23"/>
          <cell r="EU23"/>
          <cell r="EV23"/>
          <cell r="EW23"/>
          <cell r="EX23"/>
          <cell r="EY23"/>
          <cell r="EZ23"/>
          <cell r="FA23"/>
          <cell r="FB23"/>
          <cell r="FC23"/>
          <cell r="FD23"/>
          <cell r="FE23"/>
          <cell r="FF23"/>
          <cell r="FG23"/>
          <cell r="FH23"/>
          <cell r="FI23"/>
          <cell r="FJ23"/>
          <cell r="FK23"/>
          <cell r="FL23"/>
          <cell r="FM23"/>
          <cell r="FN23"/>
          <cell r="FO23"/>
          <cell r="FP23"/>
          <cell r="FQ23"/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</row>
        <row r="24">
          <cell r="A24">
            <v>210028</v>
          </cell>
          <cell r="B24" t="str">
            <v xml:space="preserve">MEDSTAR ST. MARY'S HOSPITAL </v>
          </cell>
          <cell r="C24">
            <v>1</v>
          </cell>
          <cell r="D24">
            <v>3</v>
          </cell>
          <cell r="E24">
            <v>23261027.445404261</v>
          </cell>
          <cell r="F24">
            <v>161857117.79999998</v>
          </cell>
          <cell r="G24">
            <v>0.14371334274064446</v>
          </cell>
          <cell r="H24">
            <v>0.14371334274064446</v>
          </cell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/>
          <cell r="CS24"/>
          <cell r="CT24"/>
          <cell r="CU24"/>
          <cell r="CV24"/>
          <cell r="CW24"/>
          <cell r="CX24"/>
          <cell r="CY24"/>
          <cell r="CZ24"/>
          <cell r="DA24"/>
          <cell r="DB24"/>
          <cell r="DC24"/>
          <cell r="DD24"/>
          <cell r="DE24"/>
          <cell r="DF24"/>
          <cell r="DG24"/>
          <cell r="DH24"/>
          <cell r="DI24"/>
          <cell r="DJ24"/>
          <cell r="DK24"/>
          <cell r="DL24"/>
          <cell r="DM24"/>
          <cell r="DN24"/>
          <cell r="DO24"/>
          <cell r="DP24"/>
          <cell r="DQ24"/>
          <cell r="DR24"/>
          <cell r="DS24"/>
          <cell r="DT24"/>
          <cell r="DU24"/>
          <cell r="DV24"/>
          <cell r="DW24"/>
          <cell r="DX24"/>
          <cell r="DY24"/>
          <cell r="DZ24"/>
          <cell r="EA24"/>
          <cell r="EB24"/>
          <cell r="EC24"/>
          <cell r="ED24"/>
          <cell r="EE24"/>
          <cell r="EF24"/>
          <cell r="EG24"/>
          <cell r="EH24"/>
          <cell r="EI24"/>
          <cell r="EJ24"/>
          <cell r="EK24"/>
          <cell r="EL24"/>
          <cell r="EM24"/>
          <cell r="EN24"/>
          <cell r="EO24"/>
          <cell r="EP24"/>
          <cell r="EQ24"/>
          <cell r="ER24"/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</row>
        <row r="25">
          <cell r="A25">
            <v>210029</v>
          </cell>
          <cell r="B25" t="str">
            <v>JOHNS HOPKINS BAYVIEW MEDICAL CENTER</v>
          </cell>
          <cell r="C25">
            <v>1</v>
          </cell>
          <cell r="D25">
            <v>5</v>
          </cell>
          <cell r="E25">
            <v>4428132.8683946049</v>
          </cell>
          <cell r="F25">
            <v>586788531.62214017</v>
          </cell>
          <cell r="G25">
            <v>7.5463861847355962E-3</v>
          </cell>
          <cell r="H25">
            <v>7.5463861847355962E-3</v>
          </cell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/>
          <cell r="CS25"/>
          <cell r="CT25"/>
          <cell r="CU25"/>
          <cell r="CV25"/>
          <cell r="CW25"/>
          <cell r="CX25"/>
          <cell r="CY25"/>
          <cell r="CZ25"/>
          <cell r="DA25"/>
          <cell r="DB25"/>
          <cell r="DC25"/>
          <cell r="DD25"/>
          <cell r="DE25"/>
          <cell r="DF25"/>
          <cell r="DG25"/>
          <cell r="DH25"/>
          <cell r="DI25"/>
          <cell r="DJ25"/>
          <cell r="DK25"/>
          <cell r="DL25"/>
          <cell r="DM25"/>
          <cell r="DN25"/>
          <cell r="DO25"/>
          <cell r="DP25"/>
          <cell r="DQ25"/>
          <cell r="DR25"/>
          <cell r="DS25"/>
          <cell r="DT25"/>
          <cell r="DU25"/>
          <cell r="DV25"/>
          <cell r="DW25"/>
          <cell r="DX25"/>
          <cell r="DY25"/>
          <cell r="DZ25"/>
          <cell r="EA25"/>
          <cell r="EB25"/>
          <cell r="EC25"/>
          <cell r="ED25"/>
          <cell r="EE25"/>
          <cell r="EF25"/>
          <cell r="EG25"/>
          <cell r="EH25"/>
          <cell r="EI25"/>
          <cell r="EJ25"/>
          <cell r="EK25"/>
          <cell r="EL25"/>
          <cell r="EM25"/>
          <cell r="EN25"/>
          <cell r="EO25"/>
          <cell r="EP25"/>
          <cell r="EQ25"/>
          <cell r="ER25"/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</row>
        <row r="26">
          <cell r="A26">
            <v>210030</v>
          </cell>
          <cell r="B26" t="str">
            <v>UM-SHORE REGIONAL HEALTH AT CHESTERTOWN</v>
          </cell>
          <cell r="C26">
            <v>1</v>
          </cell>
          <cell r="D26">
            <v>3</v>
          </cell>
          <cell r="E26">
            <v>1233297.6548182487</v>
          </cell>
          <cell r="F26">
            <v>42042364.899999999</v>
          </cell>
          <cell r="G26">
            <v>2.9334640374101523E-2</v>
          </cell>
          <cell r="H26">
            <v>2.9334640374101523E-2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/>
          <cell r="CS26"/>
          <cell r="CT26"/>
          <cell r="CU26"/>
          <cell r="CV26"/>
          <cell r="CW26"/>
          <cell r="CX26"/>
          <cell r="CY26"/>
          <cell r="CZ26"/>
          <cell r="DA26"/>
          <cell r="DB26"/>
          <cell r="DC26"/>
          <cell r="DD26"/>
          <cell r="DE26"/>
          <cell r="DF26"/>
          <cell r="DG26"/>
          <cell r="DH26"/>
          <cell r="DI26"/>
          <cell r="DJ26"/>
          <cell r="DK26"/>
          <cell r="DL26"/>
          <cell r="DM26"/>
          <cell r="DN26"/>
          <cell r="DO26"/>
          <cell r="DP26"/>
          <cell r="DQ26"/>
          <cell r="DR26"/>
          <cell r="DS26"/>
          <cell r="DT26"/>
          <cell r="DU26"/>
          <cell r="DV26"/>
          <cell r="DW26"/>
          <cell r="DX26"/>
          <cell r="DY26"/>
          <cell r="DZ26"/>
          <cell r="EA26"/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</row>
        <row r="27">
          <cell r="A27">
            <v>210032</v>
          </cell>
          <cell r="B27" t="str">
            <v>UNION HOSPITAL OF CECIL COUNTY</v>
          </cell>
          <cell r="C27">
            <v>1</v>
          </cell>
          <cell r="D27">
            <v>3</v>
          </cell>
          <cell r="E27">
            <v>13839180.190000027</v>
          </cell>
          <cell r="F27">
            <v>139887780.19</v>
          </cell>
          <cell r="G27">
            <v>9.8930586869011836E-2</v>
          </cell>
          <cell r="H27">
            <v>9.8930586869011836E-2</v>
          </cell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  <cell r="CR27"/>
          <cell r="CS27"/>
          <cell r="CT27"/>
          <cell r="CU27"/>
          <cell r="CV27"/>
          <cell r="CW27"/>
          <cell r="CX27"/>
          <cell r="CY27"/>
          <cell r="CZ27"/>
          <cell r="DA27"/>
          <cell r="DB27"/>
          <cell r="DC27"/>
          <cell r="DD27"/>
          <cell r="DE27"/>
          <cell r="DF27"/>
          <cell r="DG27"/>
          <cell r="DH27"/>
          <cell r="DI27"/>
          <cell r="DJ27"/>
          <cell r="DK27"/>
          <cell r="DL27"/>
          <cell r="DM27"/>
          <cell r="DN27"/>
          <cell r="DO27"/>
          <cell r="DP27"/>
          <cell r="DQ27"/>
          <cell r="DR27"/>
          <cell r="DS27"/>
          <cell r="DT27"/>
          <cell r="DU27"/>
          <cell r="DV27"/>
          <cell r="DW27"/>
          <cell r="DX27"/>
          <cell r="DY27"/>
          <cell r="DZ27"/>
          <cell r="EA27"/>
          <cell r="EB27"/>
          <cell r="EC27"/>
          <cell r="ED27"/>
          <cell r="EE27"/>
          <cell r="EF27"/>
          <cell r="EG27"/>
          <cell r="EH27"/>
          <cell r="EI27"/>
          <cell r="EJ27"/>
          <cell r="EK27"/>
          <cell r="EL27"/>
          <cell r="EM27"/>
          <cell r="EN27"/>
          <cell r="EO27"/>
          <cell r="EP27"/>
          <cell r="EQ27"/>
          <cell r="ER27"/>
          <cell r="ES27"/>
          <cell r="ET27"/>
          <cell r="EU27"/>
          <cell r="EV27"/>
          <cell r="EW27"/>
          <cell r="EX27"/>
          <cell r="EY27"/>
          <cell r="EZ27"/>
          <cell r="FA27"/>
          <cell r="FB27"/>
          <cell r="FC27"/>
          <cell r="FD27"/>
          <cell r="FE27"/>
          <cell r="FF27"/>
          <cell r="FG27"/>
          <cell r="FH27"/>
          <cell r="FI27"/>
          <cell r="FJ27"/>
          <cell r="FK27"/>
          <cell r="FL27"/>
          <cell r="FM27"/>
          <cell r="FN27"/>
          <cell r="FO27"/>
          <cell r="FP27"/>
          <cell r="FQ27"/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</row>
        <row r="28">
          <cell r="A28">
            <v>210033</v>
          </cell>
          <cell r="B28" t="str">
            <v>CARROLL HOSPITAL CENTER</v>
          </cell>
          <cell r="C28">
            <v>1</v>
          </cell>
          <cell r="D28">
            <v>3</v>
          </cell>
          <cell r="E28">
            <v>22084084.32999995</v>
          </cell>
          <cell r="F28">
            <v>208575091</v>
          </cell>
          <cell r="G28">
            <v>0.1058807368805125</v>
          </cell>
          <cell r="H28">
            <v>0.1058807368805125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</row>
        <row r="29">
          <cell r="A29">
            <v>210034</v>
          </cell>
          <cell r="B29" t="str">
            <v>MEDSTAR HARBOR HOSPITAL CENTER</v>
          </cell>
          <cell r="C29">
            <v>1</v>
          </cell>
          <cell r="D29">
            <v>4</v>
          </cell>
          <cell r="E29">
            <v>10947405.457396671</v>
          </cell>
          <cell r="F29">
            <v>157286856.79000002</v>
          </cell>
          <cell r="G29">
            <v>6.9601527303791128E-2</v>
          </cell>
          <cell r="H29">
            <v>6.9601527303791128E-2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  <cell r="CR29"/>
          <cell r="CS29"/>
          <cell r="CT29"/>
          <cell r="CU29"/>
          <cell r="CV29"/>
          <cell r="CW29"/>
          <cell r="CX29"/>
          <cell r="CY29"/>
          <cell r="CZ29"/>
          <cell r="DA29"/>
          <cell r="DB29"/>
          <cell r="DC29"/>
          <cell r="DD29"/>
          <cell r="DE29"/>
          <cell r="DF29"/>
          <cell r="DG29"/>
          <cell r="DH29"/>
          <cell r="DI29"/>
          <cell r="DJ29"/>
          <cell r="DK29"/>
          <cell r="DL29"/>
          <cell r="DM29"/>
          <cell r="DN29"/>
          <cell r="DO29"/>
          <cell r="DP29"/>
          <cell r="DQ29"/>
          <cell r="DR29"/>
          <cell r="DS29"/>
          <cell r="DT29"/>
          <cell r="DU29"/>
          <cell r="DV29"/>
          <cell r="DW29"/>
          <cell r="DX29"/>
          <cell r="DY29"/>
          <cell r="DZ29"/>
          <cell r="EA29"/>
          <cell r="EB29"/>
          <cell r="EC29"/>
          <cell r="ED29"/>
          <cell r="EE29"/>
          <cell r="EF29"/>
          <cell r="EG29"/>
          <cell r="EH29"/>
          <cell r="EI29"/>
          <cell r="EJ29"/>
          <cell r="EK29"/>
          <cell r="EL29"/>
          <cell r="EM29"/>
          <cell r="EN29"/>
          <cell r="EO29"/>
          <cell r="EP29"/>
          <cell r="EQ29"/>
          <cell r="ER29"/>
          <cell r="ES29"/>
          <cell r="ET29"/>
          <cell r="EU29"/>
          <cell r="EV29"/>
          <cell r="EW29"/>
          <cell r="EX29"/>
          <cell r="EY29"/>
          <cell r="EZ29"/>
          <cell r="FA29"/>
          <cell r="FB29"/>
          <cell r="FC29"/>
          <cell r="FD29"/>
          <cell r="FE29"/>
          <cell r="FF29"/>
          <cell r="FG29"/>
          <cell r="FH29"/>
          <cell r="FI29"/>
          <cell r="FJ29"/>
          <cell r="FK29"/>
          <cell r="FL29"/>
          <cell r="FM29"/>
          <cell r="FN29"/>
          <cell r="FO29"/>
          <cell r="FP29"/>
          <cell r="FQ29"/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</row>
        <row r="30">
          <cell r="A30">
            <v>210035</v>
          </cell>
          <cell r="B30" t="str">
            <v>UM-CHARLES REGIONAL MEDICAL CENTER</v>
          </cell>
          <cell r="C30">
            <v>1</v>
          </cell>
          <cell r="D30">
            <v>3</v>
          </cell>
          <cell r="E30">
            <v>16383310.954553701</v>
          </cell>
          <cell r="F30">
            <v>131822921.16</v>
          </cell>
          <cell r="G30">
            <v>0.1242827181372234</v>
          </cell>
          <cell r="H30">
            <v>0.1242827181372234</v>
          </cell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  <cell r="CR30"/>
          <cell r="CS30"/>
          <cell r="CT30"/>
          <cell r="CU30"/>
          <cell r="CV30"/>
          <cell r="CW30"/>
          <cell r="CX30"/>
          <cell r="CY30"/>
          <cell r="CZ30"/>
          <cell r="DA30"/>
          <cell r="DB30"/>
          <cell r="DC30"/>
          <cell r="DD30"/>
          <cell r="DE30"/>
          <cell r="DF30"/>
          <cell r="DG30"/>
          <cell r="DH30"/>
          <cell r="DI30"/>
          <cell r="DJ30"/>
          <cell r="DK30"/>
          <cell r="DL30"/>
          <cell r="DM30"/>
          <cell r="DN30"/>
          <cell r="DO30"/>
          <cell r="DP30"/>
          <cell r="DQ30"/>
          <cell r="DR30"/>
          <cell r="DS30"/>
          <cell r="DT30"/>
          <cell r="DU30"/>
          <cell r="DV30"/>
          <cell r="DW30"/>
          <cell r="DX30"/>
          <cell r="DY30"/>
          <cell r="DZ30"/>
          <cell r="EA30"/>
          <cell r="EB30"/>
          <cell r="EC30"/>
          <cell r="ED30"/>
          <cell r="EE30"/>
          <cell r="EF30"/>
          <cell r="EG30"/>
          <cell r="EH30"/>
          <cell r="EI30"/>
          <cell r="EJ30"/>
          <cell r="EK30"/>
          <cell r="EL30"/>
          <cell r="EM30"/>
          <cell r="EN30"/>
          <cell r="EO30"/>
          <cell r="EP30"/>
          <cell r="EQ30"/>
          <cell r="ER30"/>
          <cell r="ES30"/>
          <cell r="ET30"/>
          <cell r="EU30"/>
          <cell r="EV30"/>
          <cell r="EW30"/>
          <cell r="EX30"/>
          <cell r="EY30"/>
          <cell r="EZ30"/>
          <cell r="FA30"/>
          <cell r="FB30"/>
          <cell r="FC30"/>
          <cell r="FD30"/>
          <cell r="FE30"/>
          <cell r="FF30"/>
          <cell r="FG30"/>
          <cell r="FH30"/>
          <cell r="FI30"/>
          <cell r="FJ30"/>
          <cell r="FK30"/>
          <cell r="FL30"/>
          <cell r="FM30"/>
          <cell r="FN30"/>
          <cell r="FO30"/>
          <cell r="FP30"/>
          <cell r="FQ30"/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</row>
        <row r="31">
          <cell r="A31">
            <v>210037</v>
          </cell>
          <cell r="B31" t="str">
            <v>UM-SHORE REGIONAL HEALTH AT EASTON</v>
          </cell>
          <cell r="C31">
            <v>1</v>
          </cell>
          <cell r="D31">
            <v>3</v>
          </cell>
          <cell r="E31">
            <v>43480078.315110788</v>
          </cell>
          <cell r="F31">
            <v>200877636.77942574</v>
          </cell>
          <cell r="G31">
            <v>0.21645056668430548</v>
          </cell>
          <cell r="H31">
            <v>0.21645056668430548</v>
          </cell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  <cell r="CP31"/>
          <cell r="CQ31"/>
          <cell r="CR31"/>
          <cell r="CS31"/>
          <cell r="CT31"/>
          <cell r="CU31"/>
          <cell r="CV31"/>
          <cell r="CW31"/>
          <cell r="CX31"/>
          <cell r="CY31"/>
          <cell r="CZ31"/>
          <cell r="DA31"/>
          <cell r="DB31"/>
          <cell r="DC31"/>
          <cell r="DD31"/>
          <cell r="DE31"/>
          <cell r="DF31"/>
          <cell r="DG31"/>
          <cell r="DH31"/>
          <cell r="DI31"/>
          <cell r="DJ31"/>
          <cell r="DK31"/>
          <cell r="DL31"/>
          <cell r="DM31"/>
          <cell r="DN31"/>
          <cell r="DO31"/>
          <cell r="DP31"/>
          <cell r="DQ31"/>
          <cell r="DR31"/>
          <cell r="DS31"/>
          <cell r="DT31"/>
          <cell r="DU31"/>
          <cell r="DV31"/>
          <cell r="DW31"/>
          <cell r="DX31"/>
          <cell r="DY31"/>
          <cell r="DZ31"/>
          <cell r="EA31"/>
          <cell r="EB31"/>
          <cell r="EC31"/>
          <cell r="ED31"/>
          <cell r="EE31"/>
          <cell r="EF31"/>
          <cell r="EG31"/>
          <cell r="EH31"/>
          <cell r="EI31"/>
          <cell r="EJ31"/>
          <cell r="EK31"/>
          <cell r="EL31"/>
          <cell r="EM31"/>
          <cell r="EN31"/>
          <cell r="EO31"/>
          <cell r="EP31"/>
          <cell r="EQ31"/>
          <cell r="ER31"/>
          <cell r="ES31"/>
          <cell r="ET31"/>
          <cell r="EU31"/>
          <cell r="EV31"/>
          <cell r="EW31"/>
          <cell r="EX31"/>
          <cell r="EY31"/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/>
          <cell r="FO31"/>
          <cell r="FP31"/>
          <cell r="FQ31"/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</row>
        <row r="32">
          <cell r="A32">
            <v>210038</v>
          </cell>
          <cell r="B32" t="str">
            <v>UMMC MIDTOWN CAMPUS</v>
          </cell>
          <cell r="C32">
            <v>1</v>
          </cell>
          <cell r="D32">
            <v>4</v>
          </cell>
          <cell r="E32">
            <v>18544054.826655973</v>
          </cell>
          <cell r="F32">
            <v>197922325.84999999</v>
          </cell>
          <cell r="G32">
            <v>9.369359796585057E-2</v>
          </cell>
          <cell r="H32">
            <v>9.369359796585057E-2</v>
          </cell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/>
          <cell r="CS32"/>
          <cell r="CT32"/>
          <cell r="CU32"/>
          <cell r="CV32"/>
          <cell r="CW32"/>
          <cell r="CX32"/>
          <cell r="CY32"/>
          <cell r="CZ32"/>
          <cell r="DA32"/>
          <cell r="DB32"/>
          <cell r="DC32"/>
          <cell r="DD32"/>
          <cell r="DE32"/>
          <cell r="DF32"/>
          <cell r="DG32"/>
          <cell r="DH32"/>
          <cell r="DI32"/>
          <cell r="DJ32"/>
          <cell r="DK32"/>
          <cell r="DL32"/>
          <cell r="DM32"/>
          <cell r="DN32"/>
          <cell r="DO32"/>
          <cell r="DP32"/>
          <cell r="DQ32"/>
          <cell r="DR32"/>
          <cell r="DS32"/>
          <cell r="DT32"/>
          <cell r="DU32"/>
          <cell r="DV32"/>
          <cell r="DW32"/>
          <cell r="DX32"/>
          <cell r="DY32"/>
          <cell r="DZ32"/>
          <cell r="EA32"/>
          <cell r="EB32"/>
          <cell r="EC32"/>
          <cell r="ED32"/>
          <cell r="EE32"/>
          <cell r="EF32"/>
          <cell r="EG32"/>
          <cell r="EH32"/>
          <cell r="EI32"/>
          <cell r="EJ32"/>
          <cell r="EK32"/>
          <cell r="EL32"/>
          <cell r="EM32"/>
          <cell r="EN32"/>
          <cell r="EO32"/>
          <cell r="EP32"/>
          <cell r="EQ32"/>
          <cell r="ER32"/>
          <cell r="ES32"/>
          <cell r="ET32"/>
          <cell r="EU32"/>
          <cell r="EV32"/>
          <cell r="EW32"/>
          <cell r="EX32"/>
          <cell r="EY32"/>
          <cell r="EZ32"/>
          <cell r="FA32"/>
          <cell r="FB32"/>
          <cell r="FC32"/>
          <cell r="FD32"/>
          <cell r="FE32"/>
          <cell r="FF32"/>
          <cell r="FG32"/>
          <cell r="FH32"/>
          <cell r="FI32"/>
          <cell r="FJ32"/>
          <cell r="FK32"/>
          <cell r="FL32"/>
          <cell r="FM32"/>
          <cell r="FN32"/>
          <cell r="FO32"/>
          <cell r="FP32"/>
          <cell r="FQ32"/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</row>
        <row r="33">
          <cell r="A33">
            <v>210039</v>
          </cell>
          <cell r="B33" t="str">
            <v>CALVERT MEMORIAL HOSPITAL</v>
          </cell>
          <cell r="C33">
            <v>1</v>
          </cell>
          <cell r="D33">
            <v>3</v>
          </cell>
          <cell r="E33">
            <v>10743629.644994127</v>
          </cell>
          <cell r="F33">
            <v>132998528.02000006</v>
          </cell>
          <cell r="G33">
            <v>8.0780064297993739E-2</v>
          </cell>
          <cell r="H33">
            <v>8.0780064297993739E-2</v>
          </cell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</row>
        <row r="34">
          <cell r="A34">
            <v>210040</v>
          </cell>
          <cell r="B34" t="str">
            <v>NORTHWEST HOSPITAL CENTER</v>
          </cell>
          <cell r="C34">
            <v>1</v>
          </cell>
          <cell r="D34">
            <v>3</v>
          </cell>
          <cell r="E34">
            <v>40720132.434417203</v>
          </cell>
          <cell r="F34">
            <v>231892267.17000002</v>
          </cell>
          <cell r="G34">
            <v>0.17559935452511363</v>
          </cell>
          <cell r="H34">
            <v>0.17559935452511363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</row>
        <row r="35">
          <cell r="A35">
            <v>210043</v>
          </cell>
          <cell r="B35" t="str">
            <v>UM-BALTIMORE WASHINGTON MEDICAL CENTER</v>
          </cell>
          <cell r="C35">
            <v>1</v>
          </cell>
          <cell r="D35">
            <v>1</v>
          </cell>
          <cell r="E35">
            <v>34504004.478174672</v>
          </cell>
          <cell r="F35">
            <v>389193901.45000017</v>
          </cell>
          <cell r="G35">
            <v>8.8655049191739221E-2</v>
          </cell>
          <cell r="H35">
            <v>8.8655049191739221E-2</v>
          </cell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1</v>
          </cell>
          <cell r="E36">
            <v>34439909.678212367</v>
          </cell>
          <cell r="F36">
            <v>417789996</v>
          </cell>
          <cell r="G36">
            <v>8.2433543186640507E-2</v>
          </cell>
          <cell r="H36">
            <v>8.2433543186640507E-2</v>
          </cell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/>
          <cell r="CS36"/>
          <cell r="CT36"/>
          <cell r="CU36"/>
          <cell r="CV36"/>
          <cell r="CW36"/>
          <cell r="CX36"/>
          <cell r="CY36"/>
          <cell r="CZ36"/>
          <cell r="DA36"/>
          <cell r="DB36"/>
          <cell r="DC36"/>
          <cell r="DD36"/>
          <cell r="DE36"/>
          <cell r="DF36"/>
          <cell r="DG36"/>
          <cell r="DH36"/>
          <cell r="DI36"/>
          <cell r="DJ36"/>
          <cell r="DK36"/>
          <cell r="DL36"/>
          <cell r="DM36"/>
          <cell r="DN36"/>
          <cell r="DO36"/>
          <cell r="DP36"/>
          <cell r="DQ36"/>
          <cell r="DR36"/>
          <cell r="DS36"/>
          <cell r="DT36"/>
          <cell r="DU36"/>
          <cell r="DV36"/>
          <cell r="DW36"/>
          <cell r="DX36"/>
          <cell r="DY36"/>
          <cell r="DZ36"/>
          <cell r="EA36"/>
          <cell r="EB36"/>
          <cell r="EC36"/>
          <cell r="ED36"/>
          <cell r="EE36"/>
          <cell r="EF36"/>
          <cell r="EG36"/>
          <cell r="EH36"/>
          <cell r="EI36"/>
          <cell r="EJ36"/>
          <cell r="EK36"/>
          <cell r="EL36"/>
          <cell r="EM36"/>
          <cell r="EN36"/>
          <cell r="EO36"/>
          <cell r="EP36"/>
          <cell r="EQ36"/>
          <cell r="ER36"/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</row>
        <row r="37">
          <cell r="A37">
            <v>210045</v>
          </cell>
          <cell r="B37" t="str">
            <v>MCCREADY MEMORIAL HOSPITAL</v>
          </cell>
          <cell r="C37" t="str">
            <v>NA</v>
          </cell>
          <cell r="D37">
            <v>3</v>
          </cell>
          <cell r="E37">
            <v>-292960.98330767744</v>
          </cell>
          <cell r="F37">
            <v>13266008.309999999</v>
          </cell>
          <cell r="G37">
            <v>-2.2083582073956765E-2</v>
          </cell>
          <cell r="H37">
            <v>0</v>
          </cell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/>
          <cell r="EJ37"/>
          <cell r="EK37"/>
          <cell r="EL37"/>
          <cell r="EM37"/>
          <cell r="EN37"/>
          <cell r="EO37"/>
          <cell r="EP37"/>
          <cell r="EQ37"/>
          <cell r="ER37"/>
          <cell r="ES37"/>
          <cell r="ET37"/>
          <cell r="EU37"/>
          <cell r="EV37"/>
          <cell r="EW37"/>
          <cell r="EX37"/>
          <cell r="EY37"/>
          <cell r="EZ37"/>
          <cell r="FA37"/>
          <cell r="FB37"/>
          <cell r="FC37"/>
          <cell r="FD37"/>
          <cell r="FE37"/>
          <cell r="FF37"/>
          <cell r="FG37"/>
          <cell r="FH37"/>
          <cell r="FI37"/>
          <cell r="FJ37"/>
          <cell r="FK37"/>
          <cell r="FL37"/>
          <cell r="FM37"/>
          <cell r="FN37"/>
          <cell r="FO37"/>
          <cell r="FP37"/>
          <cell r="FQ37"/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</row>
        <row r="38">
          <cell r="A38">
            <v>210048</v>
          </cell>
          <cell r="B38" t="str">
            <v>HOWARD COUNTY GENERAL HOSPITAL</v>
          </cell>
          <cell r="C38">
            <v>1</v>
          </cell>
          <cell r="D38">
            <v>3</v>
          </cell>
          <cell r="E38">
            <v>6842736.7600000286</v>
          </cell>
          <cell r="F38">
            <v>259728612</v>
          </cell>
          <cell r="G38">
            <v>2.6345717968107529E-2</v>
          </cell>
          <cell r="H38">
            <v>2.6345717968107529E-2</v>
          </cell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</row>
        <row r="39">
          <cell r="A39">
            <v>210049</v>
          </cell>
          <cell r="B39" t="str">
            <v>UM-UPPER CHESAPEAKE MEDICAL CENTER</v>
          </cell>
          <cell r="C39">
            <v>1</v>
          </cell>
          <cell r="D39">
            <v>3</v>
          </cell>
          <cell r="E39">
            <v>42632851.799657106</v>
          </cell>
          <cell r="F39">
            <v>279556560.44999999</v>
          </cell>
          <cell r="G39">
            <v>0.15250170388071502</v>
          </cell>
          <cell r="H39">
            <v>0.15250170388071502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</row>
        <row r="40">
          <cell r="A40">
            <v>210051</v>
          </cell>
          <cell r="B40" t="str">
            <v>DOCTORS COMMUNITY HOSPITAL</v>
          </cell>
          <cell r="C40">
            <v>1</v>
          </cell>
          <cell r="D40">
            <v>3</v>
          </cell>
          <cell r="E40">
            <v>24682814.751484111</v>
          </cell>
          <cell r="F40">
            <v>214711329.43000004</v>
          </cell>
          <cell r="G40">
            <v>0.11495813852492202</v>
          </cell>
          <cell r="H40">
            <v>0.11495813852492202</v>
          </cell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</row>
        <row r="41">
          <cell r="A41">
            <v>210055</v>
          </cell>
          <cell r="B41" t="str">
            <v>LAUREL REGIONAL HOSPITAL</v>
          </cell>
          <cell r="C41" t="str">
            <v>NA</v>
          </cell>
          <cell r="D41">
            <v>3</v>
          </cell>
          <cell r="E41">
            <v>11625516.730114089</v>
          </cell>
          <cell r="F41">
            <v>69569908.15220511</v>
          </cell>
          <cell r="G41">
            <v>0.16710553512130236</v>
          </cell>
          <cell r="H41">
            <v>0.16710553512130236</v>
          </cell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/>
          <cell r="CS41"/>
          <cell r="CT41"/>
          <cell r="CU41"/>
          <cell r="CV41"/>
          <cell r="CW41"/>
          <cell r="CX41"/>
          <cell r="CY41"/>
          <cell r="CZ41"/>
          <cell r="DA41"/>
          <cell r="DB41"/>
          <cell r="DC41"/>
          <cell r="DD41"/>
          <cell r="DE41"/>
          <cell r="DF41"/>
          <cell r="DG41"/>
          <cell r="DH41"/>
          <cell r="DI41"/>
          <cell r="DJ41"/>
          <cell r="DK41"/>
          <cell r="DL41"/>
          <cell r="DM41"/>
          <cell r="DN41"/>
          <cell r="DO41"/>
          <cell r="DP41"/>
          <cell r="DQ41"/>
          <cell r="DR41"/>
          <cell r="DS41"/>
          <cell r="DT41"/>
          <cell r="DU41"/>
          <cell r="DV41"/>
          <cell r="DW41"/>
          <cell r="DX41"/>
          <cell r="DY41"/>
          <cell r="DZ41"/>
          <cell r="EA41"/>
          <cell r="EB41"/>
          <cell r="EC41"/>
          <cell r="ED41"/>
          <cell r="EE41"/>
          <cell r="EF41"/>
          <cell r="EG41"/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</row>
        <row r="42">
          <cell r="A42">
            <v>210056</v>
          </cell>
          <cell r="B42" t="str">
            <v>MEDSTAR GOOD SAMARITAN</v>
          </cell>
          <cell r="C42">
            <v>1</v>
          </cell>
          <cell r="D42">
            <v>1</v>
          </cell>
          <cell r="E42">
            <v>4951222.2195342183</v>
          </cell>
          <cell r="F42">
            <v>215150271.66999999</v>
          </cell>
          <cell r="G42">
            <v>2.3012855996428678E-2</v>
          </cell>
          <cell r="H42">
            <v>2.3012855996428678E-2</v>
          </cell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/>
          <cell r="CS42"/>
          <cell r="CT42"/>
          <cell r="CU42"/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/>
          <cell r="DK42"/>
          <cell r="DL42"/>
          <cell r="DM42"/>
          <cell r="DN42"/>
          <cell r="DO42"/>
          <cell r="DP42"/>
          <cell r="DQ42"/>
          <cell r="DR42"/>
          <cell r="DS42"/>
          <cell r="DT42"/>
          <cell r="DU42"/>
          <cell r="DV42"/>
          <cell r="DW42"/>
          <cell r="DX42"/>
          <cell r="DY42"/>
          <cell r="DZ42"/>
          <cell r="EA42"/>
          <cell r="EB42"/>
          <cell r="EC42"/>
          <cell r="ED42"/>
          <cell r="EE42"/>
          <cell r="EF42"/>
          <cell r="EG42"/>
          <cell r="EH42"/>
          <cell r="EI42"/>
          <cell r="EJ42"/>
          <cell r="EK42"/>
          <cell r="EL42"/>
          <cell r="EM42"/>
          <cell r="EN42"/>
          <cell r="EO42"/>
          <cell r="EP42"/>
          <cell r="EQ42"/>
          <cell r="ER42"/>
          <cell r="ES42"/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</row>
        <row r="43">
          <cell r="A43">
            <v>210057</v>
          </cell>
          <cell r="B43" t="str">
            <v>SHADY GROVE ADVENTIST HOSPITAL</v>
          </cell>
          <cell r="C43">
            <v>1</v>
          </cell>
          <cell r="D43">
            <v>3</v>
          </cell>
          <cell r="E43">
            <v>45959583.400000006</v>
          </cell>
          <cell r="F43">
            <v>400193506.00000006</v>
          </cell>
          <cell r="G43">
            <v>0.11484340128197883</v>
          </cell>
          <cell r="H43">
            <v>0.11484340128197883</v>
          </cell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/>
          <cell r="CS43"/>
          <cell r="CT43"/>
          <cell r="CU43"/>
          <cell r="CV43"/>
          <cell r="CW43"/>
          <cell r="CX43"/>
          <cell r="CY43"/>
          <cell r="CZ43"/>
          <cell r="DA43"/>
          <cell r="DB43"/>
          <cell r="DC43"/>
          <cell r="DD43"/>
          <cell r="DE43"/>
          <cell r="DF43"/>
          <cell r="DG43"/>
          <cell r="DH43"/>
          <cell r="DI43"/>
          <cell r="DJ43"/>
          <cell r="DK43"/>
          <cell r="DL43"/>
          <cell r="DM43"/>
          <cell r="DN43"/>
          <cell r="DO43"/>
          <cell r="DP43"/>
          <cell r="DQ43"/>
          <cell r="DR43"/>
          <cell r="DS43"/>
          <cell r="DT43"/>
          <cell r="DU43"/>
          <cell r="DV43"/>
          <cell r="DW43"/>
          <cell r="DX43"/>
          <cell r="DY43"/>
          <cell r="DZ43"/>
          <cell r="EA43"/>
          <cell r="EB43"/>
          <cell r="EC43"/>
          <cell r="ED43"/>
          <cell r="EE43"/>
          <cell r="EF43"/>
          <cell r="EG43"/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/>
          <cell r="EU43"/>
          <cell r="EV43"/>
          <cell r="EW43"/>
          <cell r="EX43"/>
          <cell r="EY43"/>
          <cell r="EZ43"/>
          <cell r="FA43"/>
          <cell r="FB43"/>
          <cell r="FC43"/>
          <cell r="FD43"/>
          <cell r="FE43"/>
          <cell r="FF43"/>
          <cell r="FG43"/>
          <cell r="FH43"/>
          <cell r="FI43"/>
          <cell r="FJ43"/>
          <cell r="FK43"/>
          <cell r="FL43"/>
          <cell r="FM43"/>
          <cell r="FN43"/>
          <cell r="FO43"/>
          <cell r="FP43"/>
          <cell r="FQ43"/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</row>
        <row r="44">
          <cell r="A44">
            <v>210058</v>
          </cell>
          <cell r="B44" t="str">
            <v>UM-REHABILITATION &amp; ORTHOPAEDIC INSTITUTE</v>
          </cell>
          <cell r="C44">
            <v>1</v>
          </cell>
          <cell r="D44">
            <v>1</v>
          </cell>
          <cell r="E44">
            <v>3496031.8480914282</v>
          </cell>
          <cell r="F44">
            <v>109356455.19</v>
          </cell>
          <cell r="G44">
            <v>3.1969140203175858E-2</v>
          </cell>
          <cell r="H44">
            <v>3.1969140203175858E-2</v>
          </cell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</row>
        <row r="45">
          <cell r="A45">
            <v>210060</v>
          </cell>
          <cell r="B45" t="str">
            <v>FORT WASHINGTON MEDICAL CENTER</v>
          </cell>
          <cell r="C45">
            <v>1</v>
          </cell>
          <cell r="D45">
            <v>3</v>
          </cell>
          <cell r="E45">
            <v>1489572.3568949394</v>
          </cell>
          <cell r="F45">
            <v>46781098.999999985</v>
          </cell>
          <cell r="G45">
            <v>3.1841328842978654E-2</v>
          </cell>
          <cell r="H45">
            <v>3.1841328842978654E-2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</row>
        <row r="46">
          <cell r="A46">
            <v>210061</v>
          </cell>
          <cell r="B46" t="str">
            <v>ATLANTIC GENERAL HOSPITAL</v>
          </cell>
          <cell r="C46">
            <v>1</v>
          </cell>
          <cell r="D46">
            <v>3</v>
          </cell>
          <cell r="E46">
            <v>19509215.716598786</v>
          </cell>
          <cell r="F46">
            <v>96594628.000000015</v>
          </cell>
          <cell r="G46">
            <v>0.20196998653588463</v>
          </cell>
          <cell r="H46">
            <v>0.20196998653588463</v>
          </cell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/>
          <cell r="CS46"/>
          <cell r="CT46"/>
          <cell r="CU46"/>
          <cell r="CV46"/>
          <cell r="CW46"/>
          <cell r="CX46"/>
          <cell r="CY46"/>
          <cell r="CZ46"/>
          <cell r="DA46"/>
          <cell r="DB46"/>
          <cell r="DC46"/>
          <cell r="DD46"/>
          <cell r="DE46"/>
          <cell r="DF46"/>
          <cell r="DG46"/>
          <cell r="DH46"/>
          <cell r="DI46"/>
          <cell r="DJ46"/>
          <cell r="DK46"/>
          <cell r="DL46"/>
          <cell r="DM46"/>
          <cell r="DN46"/>
          <cell r="DO46"/>
          <cell r="DP46"/>
          <cell r="DQ46"/>
          <cell r="DR46"/>
          <cell r="DS46"/>
          <cell r="DT46"/>
          <cell r="DU46"/>
          <cell r="DV46"/>
          <cell r="DW46"/>
          <cell r="DX46"/>
          <cell r="DY46"/>
          <cell r="DZ46"/>
          <cell r="EA46"/>
          <cell r="EB46"/>
          <cell r="EC46"/>
          <cell r="ED46"/>
          <cell r="EE46"/>
          <cell r="EF46"/>
          <cell r="EG46"/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/>
          <cell r="EU46"/>
          <cell r="EV46"/>
          <cell r="EW46"/>
          <cell r="EX46"/>
          <cell r="EY46"/>
          <cell r="EZ46"/>
          <cell r="FA46"/>
          <cell r="FB46"/>
          <cell r="FC46"/>
          <cell r="FD46"/>
          <cell r="FE46"/>
          <cell r="FF46"/>
          <cell r="FG46"/>
          <cell r="FH46"/>
          <cell r="FI46"/>
          <cell r="FJ46"/>
          <cell r="FK46"/>
          <cell r="FL46"/>
          <cell r="FM46"/>
          <cell r="FN46"/>
          <cell r="FO46"/>
          <cell r="FP46"/>
          <cell r="FQ46"/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</row>
        <row r="47">
          <cell r="A47">
            <v>210062</v>
          </cell>
          <cell r="B47" t="str">
            <v>MEDSTAR SOUTHERN MARYLAND HOSPITAL CENTER</v>
          </cell>
          <cell r="C47">
            <v>3</v>
          </cell>
          <cell r="D47">
            <v>3</v>
          </cell>
          <cell r="E47">
            <v>14795782.723984186</v>
          </cell>
          <cell r="F47">
            <v>229886363.28</v>
          </cell>
          <cell r="G47">
            <v>6.4361289259959389E-2</v>
          </cell>
          <cell r="H47">
            <v>6.4361289259959389E-2</v>
          </cell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</row>
        <row r="48">
          <cell r="A48">
            <v>210063</v>
          </cell>
          <cell r="B48" t="str">
            <v>UM-ST. JOSEPH MEDICAL CENTER</v>
          </cell>
          <cell r="C48">
            <v>1</v>
          </cell>
          <cell r="D48">
            <v>3</v>
          </cell>
          <cell r="E48">
            <v>45274304.488122985</v>
          </cell>
          <cell r="F48">
            <v>336675044.80999994</v>
          </cell>
          <cell r="G48">
            <v>0.13447478566067528</v>
          </cell>
          <cell r="H48">
            <v>0.13447478566067528</v>
          </cell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  <cell r="CR48"/>
          <cell r="CS48"/>
          <cell r="CT48"/>
          <cell r="CU48"/>
          <cell r="CV48"/>
          <cell r="CW48"/>
          <cell r="CX48"/>
          <cell r="CY48"/>
          <cell r="CZ48"/>
          <cell r="DA48"/>
          <cell r="DB48"/>
          <cell r="DC48"/>
          <cell r="DD48"/>
          <cell r="DE48"/>
          <cell r="DF48"/>
          <cell r="DG48"/>
          <cell r="DH48"/>
          <cell r="DI48"/>
          <cell r="DJ48"/>
          <cell r="DK48"/>
          <cell r="DL48"/>
          <cell r="DM48"/>
          <cell r="DN48"/>
          <cell r="DO48"/>
          <cell r="DP48"/>
          <cell r="DQ48"/>
          <cell r="DR48"/>
          <cell r="DS48"/>
          <cell r="DT48"/>
          <cell r="DU48"/>
          <cell r="DV48"/>
          <cell r="DW48"/>
          <cell r="DX48"/>
          <cell r="DY48"/>
          <cell r="DZ48"/>
          <cell r="EA48"/>
          <cell r="EB48"/>
          <cell r="EC48"/>
          <cell r="ED48"/>
          <cell r="EE48"/>
          <cell r="EF48"/>
          <cell r="EG48"/>
          <cell r="EH48"/>
          <cell r="EI48"/>
          <cell r="EJ48"/>
          <cell r="EK48"/>
          <cell r="EL48"/>
          <cell r="EM48"/>
          <cell r="EN48"/>
          <cell r="EO48"/>
          <cell r="EP48"/>
          <cell r="EQ48"/>
          <cell r="ER48"/>
          <cell r="ES48"/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</row>
        <row r="49">
          <cell r="A49">
            <v>210065</v>
          </cell>
          <cell r="B49" t="str">
            <v>Holy Cross Germantown</v>
          </cell>
          <cell r="C49" t="str">
            <v>NA</v>
          </cell>
          <cell r="D49">
            <v>3</v>
          </cell>
          <cell r="E49">
            <v>-2009938.9173074453</v>
          </cell>
          <cell r="F49">
            <v>96054517.040000007</v>
          </cell>
          <cell r="G49">
            <v>-2.0924980721837849E-2</v>
          </cell>
          <cell r="H49">
            <v>0</v>
          </cell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5</v>
          </cell>
          <cell r="E50">
            <v>46032994.890877217</v>
          </cell>
          <cell r="F50">
            <v>306972651.8977949</v>
          </cell>
          <cell r="G50">
            <v>0.14995796728564501</v>
          </cell>
          <cell r="H50">
            <v>0.14995796728564501</v>
          </cell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  <cell r="CR50"/>
          <cell r="CS50"/>
          <cell r="CT50"/>
          <cell r="CU50"/>
          <cell r="CV50"/>
          <cell r="CW50"/>
          <cell r="CX50"/>
          <cell r="CY50"/>
          <cell r="CZ50"/>
          <cell r="DA50"/>
          <cell r="DB50"/>
          <cell r="DC50"/>
          <cell r="DD50"/>
          <cell r="DE50"/>
          <cell r="DF50"/>
          <cell r="DG50"/>
          <cell r="DH50"/>
          <cell r="DI50"/>
          <cell r="DJ50"/>
          <cell r="DK50"/>
          <cell r="DL50"/>
          <cell r="DM50"/>
          <cell r="DN50"/>
          <cell r="DO50"/>
          <cell r="DP50"/>
          <cell r="DQ50"/>
          <cell r="DR50"/>
          <cell r="DS50"/>
          <cell r="DT50"/>
          <cell r="DU50"/>
          <cell r="DV50"/>
          <cell r="DW50"/>
          <cell r="DX50"/>
          <cell r="DY50"/>
          <cell r="DZ50"/>
          <cell r="EA50"/>
          <cell r="EB50"/>
          <cell r="EC50"/>
          <cell r="ED50"/>
          <cell r="EE50"/>
          <cell r="EF50"/>
          <cell r="EG50"/>
          <cell r="EH50"/>
          <cell r="EI50"/>
          <cell r="EJ50"/>
          <cell r="EK50"/>
          <cell r="EL50"/>
          <cell r="EM50"/>
          <cell r="EN50"/>
          <cell r="EO50"/>
          <cell r="EP50"/>
          <cell r="EQ50"/>
          <cell r="ER50"/>
          <cell r="ES50"/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5</v>
          </cell>
          <cell r="E51">
            <v>27306300</v>
          </cell>
          <cell r="F51">
            <v>488715700</v>
          </cell>
          <cell r="G51">
            <v>5.5873588673332981E-2</v>
          </cell>
          <cell r="H51">
            <v>5.5873588673332981E-2</v>
          </cell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  <cell r="CR51"/>
          <cell r="CS51"/>
          <cell r="CT51"/>
          <cell r="CU51"/>
          <cell r="CV51"/>
          <cell r="CW51"/>
          <cell r="CX51"/>
          <cell r="CY51"/>
          <cell r="CZ51"/>
          <cell r="DA51"/>
          <cell r="DB51"/>
          <cell r="DC51"/>
          <cell r="DD51"/>
          <cell r="DE51"/>
          <cell r="DF51"/>
          <cell r="DG51"/>
          <cell r="DH51"/>
          <cell r="DI51"/>
          <cell r="DJ51"/>
          <cell r="DK51"/>
          <cell r="DL51"/>
          <cell r="DM51"/>
          <cell r="DN51"/>
          <cell r="DO51"/>
          <cell r="DP51"/>
          <cell r="DQ51"/>
          <cell r="DR51"/>
          <cell r="DS51"/>
          <cell r="DT51"/>
          <cell r="DU51"/>
          <cell r="DV51"/>
          <cell r="DW51"/>
          <cell r="DX51"/>
          <cell r="DY51"/>
          <cell r="DZ51"/>
          <cell r="EA51"/>
          <cell r="EB51"/>
          <cell r="EC51"/>
          <cell r="ED51"/>
          <cell r="EE51"/>
          <cell r="EF51"/>
          <cell r="EG51"/>
          <cell r="EH51"/>
          <cell r="EI51"/>
          <cell r="EJ51"/>
          <cell r="EK51"/>
          <cell r="EL51"/>
          <cell r="EM51"/>
          <cell r="EN51"/>
          <cell r="EO51"/>
          <cell r="EP51"/>
          <cell r="EQ51"/>
          <cell r="ER51"/>
          <cell r="ES51"/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FH51"/>
          <cell r="FI51"/>
          <cell r="FJ51"/>
          <cell r="FK51"/>
          <cell r="FL51"/>
          <cell r="FM51"/>
          <cell r="FN51"/>
          <cell r="FO51"/>
          <cell r="FP51"/>
          <cell r="FQ51"/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5</v>
          </cell>
          <cell r="E52">
            <v>82636619.600057483</v>
          </cell>
          <cell r="F52">
            <v>696628329.43000066</v>
          </cell>
          <cell r="G52">
            <v>0.11862368512585887</v>
          </cell>
          <cell r="H52">
            <v>0.11862368512585887</v>
          </cell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5</v>
          </cell>
          <cell r="E53">
            <v>23429468.19637477</v>
          </cell>
          <cell r="F53">
            <v>365259150.06999999</v>
          </cell>
          <cell r="G53">
            <v>6.4144781018859176E-2</v>
          </cell>
          <cell r="H53">
            <v>6.4144781018859176E-2</v>
          </cell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5</v>
          </cell>
          <cell r="E54">
            <v>4428132.8683946049</v>
          </cell>
          <cell r="F54">
            <v>586788531.62214017</v>
          </cell>
          <cell r="G54">
            <v>7.5463861847355962E-3</v>
          </cell>
          <cell r="H54">
            <v>7.5463861847355962E-3</v>
          </cell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  <cell r="CP54"/>
          <cell r="CQ54"/>
          <cell r="CR54"/>
          <cell r="CS54"/>
          <cell r="CT54"/>
          <cell r="CU54"/>
          <cell r="CV54"/>
          <cell r="CW54"/>
          <cell r="CX54"/>
          <cell r="CY54"/>
          <cell r="CZ54"/>
          <cell r="DA54"/>
          <cell r="DB54"/>
          <cell r="DC54"/>
          <cell r="DD54"/>
          <cell r="DE54"/>
          <cell r="DF54"/>
          <cell r="DG54"/>
          <cell r="DH54"/>
          <cell r="DI54"/>
          <cell r="DJ54"/>
          <cell r="DK54"/>
          <cell r="DL54"/>
          <cell r="DM54"/>
          <cell r="DN54"/>
          <cell r="DO54"/>
          <cell r="DP54"/>
          <cell r="DQ54"/>
          <cell r="DR54"/>
          <cell r="DS54"/>
          <cell r="DT54"/>
          <cell r="DU54"/>
          <cell r="DV54"/>
          <cell r="DW54"/>
          <cell r="DX54"/>
          <cell r="DY54"/>
          <cell r="DZ54"/>
          <cell r="EA54"/>
          <cell r="EB54"/>
          <cell r="EC54"/>
          <cell r="ED54"/>
          <cell r="EE54"/>
          <cell r="EF54"/>
          <cell r="EG54"/>
          <cell r="EH54"/>
          <cell r="EI54"/>
          <cell r="EJ54"/>
          <cell r="EK54"/>
          <cell r="EL54"/>
          <cell r="EM54"/>
          <cell r="EN54"/>
          <cell r="EO54"/>
          <cell r="EP54"/>
          <cell r="EQ54"/>
          <cell r="ER54"/>
          <cell r="ES54"/>
          <cell r="ET54"/>
          <cell r="EU54"/>
          <cell r="EV54"/>
          <cell r="EW54"/>
          <cell r="EX54"/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</row>
        <row r="55">
          <cell r="A55">
            <v>990099</v>
          </cell>
          <cell r="B55" t="str">
            <v>Holy Cross Hospitals</v>
          </cell>
          <cell r="C55">
            <v>1</v>
          </cell>
          <cell r="D55">
            <v>1</v>
          </cell>
          <cell r="E55">
            <v>56585133.759343967</v>
          </cell>
          <cell r="F55">
            <v>539772329</v>
          </cell>
          <cell r="G55">
            <v>0.1048314830517071</v>
          </cell>
          <cell r="H55">
            <v>0.1048314830517071</v>
          </cell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CY56"/>
          <cell r="CZ56"/>
          <cell r="DA56"/>
          <cell r="DB56"/>
          <cell r="DC56"/>
          <cell r="DD56"/>
          <cell r="DE56"/>
          <cell r="DF56"/>
          <cell r="DG56"/>
          <cell r="DH56"/>
          <cell r="DI56"/>
          <cell r="DJ56"/>
          <cell r="DK56"/>
          <cell r="DL56"/>
          <cell r="DM56"/>
          <cell r="DN56"/>
          <cell r="DO56"/>
          <cell r="DP56"/>
          <cell r="DQ56"/>
          <cell r="DR56"/>
          <cell r="DS56"/>
          <cell r="DT56"/>
          <cell r="DU56"/>
          <cell r="DV56"/>
          <cell r="DW56"/>
          <cell r="DX56"/>
          <cell r="DY56"/>
          <cell r="DZ56"/>
          <cell r="EA56"/>
          <cell r="EB56"/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CV58"/>
          <cell r="CW58"/>
          <cell r="CX58"/>
          <cell r="CY58"/>
          <cell r="CZ58"/>
          <cell r="DA58"/>
          <cell r="DB58"/>
          <cell r="DC58"/>
          <cell r="DD58"/>
          <cell r="DE58"/>
          <cell r="DF58"/>
          <cell r="DG58"/>
          <cell r="DH58"/>
          <cell r="DI58"/>
          <cell r="DJ58"/>
          <cell r="DK58"/>
          <cell r="DL58"/>
          <cell r="DM58"/>
          <cell r="DN58"/>
          <cell r="DO58"/>
          <cell r="DP58"/>
          <cell r="DQ58"/>
          <cell r="DR58"/>
          <cell r="DS58"/>
          <cell r="DT58"/>
          <cell r="DU58"/>
          <cell r="DV58"/>
          <cell r="DW58"/>
          <cell r="DX58"/>
          <cell r="DY58"/>
          <cell r="DZ58"/>
          <cell r="EA58"/>
          <cell r="EB58"/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/>
          <cell r="CS60"/>
          <cell r="CT60"/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</row>
        <row r="62">
          <cell r="A62" t="str">
            <v>$ Subtotal</v>
          </cell>
          <cell r="C62"/>
          <cell r="D62" t="str">
            <v>$ Subtotal</v>
          </cell>
          <cell r="E62">
            <v>1155621489.3911877</v>
          </cell>
          <cell r="F62">
            <v>14541050899.521902</v>
          </cell>
          <cell r="G62">
            <v>7.9473037910154323E-2</v>
          </cell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/>
          <cell r="DB62"/>
          <cell r="DC62"/>
          <cell r="DD62"/>
          <cell r="DE62"/>
          <cell r="DF62"/>
          <cell r="DG62"/>
          <cell r="DH62"/>
          <cell r="DI62"/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/>
          <cell r="DZ62"/>
          <cell r="EA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</row>
        <row r="63">
          <cell r="A63">
            <v>99</v>
          </cell>
          <cell r="B63"/>
          <cell r="C63"/>
          <cell r="D63" t="str">
            <v>$ State Total</v>
          </cell>
          <cell r="E63">
            <v>1180775854.7535644</v>
          </cell>
          <cell r="F63">
            <v>14810358128.014107</v>
          </cell>
          <cell r="G63">
            <v>7.9726353984654955E-2</v>
          </cell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</row>
        <row r="64">
          <cell r="C64"/>
          <cell r="D64"/>
          <cell r="E64"/>
          <cell r="F64"/>
          <cell r="J64"/>
          <cell r="K64"/>
        </row>
        <row r="65">
          <cell r="A65">
            <v>1</v>
          </cell>
          <cell r="C65"/>
          <cell r="D65" t="str">
            <v>$ Peer Group 1 Total</v>
          </cell>
          <cell r="E65">
            <v>1112194407.1556392</v>
          </cell>
          <cell r="F65">
            <v>10934848288.891897</v>
          </cell>
          <cell r="G65">
            <v>0.10171100483263727</v>
          </cell>
          <cell r="H65"/>
          <cell r="I65"/>
          <cell r="J65"/>
          <cell r="K65"/>
        </row>
        <row r="66">
          <cell r="A66">
            <v>3</v>
          </cell>
          <cell r="C66"/>
          <cell r="D66" t="str">
            <v>$ Peer Group 3 Total</v>
          </cell>
          <cell r="E66">
            <v>14795782.723984186</v>
          </cell>
          <cell r="F66">
            <v>229886363.28</v>
          </cell>
          <cell r="G66">
            <v>6.4361289259959389E-2</v>
          </cell>
          <cell r="H66"/>
          <cell r="I66"/>
          <cell r="J66"/>
          <cell r="K66"/>
        </row>
        <row r="67">
          <cell r="A67">
            <v>4</v>
          </cell>
          <cell r="C67"/>
          <cell r="D67" t="str">
            <v>$ Peer Group 4 Total</v>
          </cell>
          <cell r="E67">
            <v>0</v>
          </cell>
          <cell r="F67">
            <v>0</v>
          </cell>
          <cell r="G67" t="e">
            <v>#DIV/0!</v>
          </cell>
          <cell r="H67"/>
          <cell r="I67"/>
          <cell r="J67"/>
          <cell r="K67"/>
        </row>
        <row r="68">
          <cell r="A68">
            <v>5</v>
          </cell>
          <cell r="C68"/>
          <cell r="D68" t="str">
            <v>$ Peer Group 5 Total</v>
          </cell>
          <cell r="E68">
            <v>210454876.14996088</v>
          </cell>
          <cell r="F68">
            <v>5916735127.409935</v>
          </cell>
          <cell r="G68">
            <v>3.5569426654744982E-2</v>
          </cell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CY70"/>
          <cell r="CZ70"/>
          <cell r="DA70"/>
          <cell r="DB70"/>
          <cell r="DC70"/>
          <cell r="DD70"/>
          <cell r="DE70"/>
          <cell r="DF70"/>
          <cell r="DG70"/>
          <cell r="DH70"/>
          <cell r="DI70"/>
          <cell r="DJ70"/>
          <cell r="DK70"/>
          <cell r="DL70"/>
          <cell r="DM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CY72"/>
          <cell r="CZ72"/>
          <cell r="DA72"/>
          <cell r="DB72"/>
          <cell r="DC72"/>
          <cell r="DD72"/>
          <cell r="DE72"/>
          <cell r="DF72"/>
          <cell r="DG72"/>
          <cell r="DH72"/>
          <cell r="DI72"/>
          <cell r="DJ72"/>
          <cell r="DK72"/>
          <cell r="DL72"/>
          <cell r="DM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/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CY83"/>
          <cell r="CZ83"/>
          <cell r="DA83"/>
          <cell r="DB83"/>
          <cell r="DC83"/>
          <cell r="DD83"/>
          <cell r="DE83"/>
          <cell r="DF83"/>
          <cell r="DG83"/>
          <cell r="DH83"/>
          <cell r="DI83"/>
          <cell r="DJ83"/>
          <cell r="DK83"/>
          <cell r="DL83"/>
          <cell r="DM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/>
          <cell r="CS85"/>
          <cell r="CT85"/>
          <cell r="CU85"/>
          <cell r="CV85"/>
          <cell r="CW85"/>
          <cell r="CX85"/>
          <cell r="CY85"/>
          <cell r="CZ85"/>
          <cell r="DA85"/>
          <cell r="DB85"/>
          <cell r="DC85"/>
          <cell r="DD85"/>
          <cell r="DE85"/>
          <cell r="DF85"/>
          <cell r="DG85"/>
          <cell r="DH85"/>
          <cell r="DI85"/>
          <cell r="DJ85"/>
          <cell r="DK85"/>
          <cell r="DL85"/>
          <cell r="DM85"/>
          <cell r="DN85"/>
          <cell r="DO85"/>
          <cell r="DP85"/>
          <cell r="DQ85"/>
          <cell r="DR85"/>
          <cell r="DS85"/>
          <cell r="DT85"/>
          <cell r="DU85"/>
          <cell r="DV85"/>
          <cell r="DW85"/>
          <cell r="DX85"/>
          <cell r="DY85"/>
          <cell r="DZ85"/>
          <cell r="EA85"/>
          <cell r="EB85"/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I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/>
          <cell r="CS88"/>
          <cell r="CT88"/>
          <cell r="CU88"/>
          <cell r="CV88"/>
          <cell r="CW88"/>
          <cell r="CX88"/>
          <cell r="CY88"/>
          <cell r="CZ88"/>
          <cell r="DA88"/>
          <cell r="DB88"/>
          <cell r="DC88"/>
          <cell r="DD88"/>
          <cell r="DE88"/>
          <cell r="DF88"/>
          <cell r="DG88"/>
          <cell r="DH88"/>
          <cell r="DI88"/>
          <cell r="DJ88"/>
          <cell r="DK88"/>
          <cell r="DL88"/>
          <cell r="DM88"/>
          <cell r="DN88"/>
          <cell r="DO88"/>
          <cell r="DP88"/>
          <cell r="DQ88"/>
          <cell r="DR88"/>
          <cell r="DS88"/>
          <cell r="DT88"/>
          <cell r="DU88"/>
          <cell r="DV88"/>
          <cell r="DW88"/>
          <cell r="DX88"/>
          <cell r="DY88"/>
          <cell r="DZ88"/>
          <cell r="EA88"/>
          <cell r="EB88"/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/>
          <cell r="CS90"/>
          <cell r="CT90"/>
          <cell r="CU90"/>
          <cell r="CV90"/>
          <cell r="CW90"/>
          <cell r="CX90"/>
          <cell r="CY90"/>
          <cell r="CZ90"/>
          <cell r="DA90"/>
          <cell r="DB90"/>
          <cell r="DC90"/>
          <cell r="DD90"/>
          <cell r="DE90"/>
          <cell r="DF90"/>
          <cell r="DG90"/>
          <cell r="DH90"/>
          <cell r="DI90"/>
          <cell r="DJ90"/>
          <cell r="DK90"/>
          <cell r="DL90"/>
          <cell r="DM90"/>
          <cell r="DN90"/>
          <cell r="DO90"/>
          <cell r="DP90"/>
          <cell r="DQ90"/>
          <cell r="DR90"/>
          <cell r="DS90"/>
          <cell r="DT90"/>
          <cell r="DU90"/>
          <cell r="DV90"/>
          <cell r="DW90"/>
          <cell r="DX90"/>
          <cell r="DY90"/>
          <cell r="DZ90"/>
          <cell r="EA90"/>
          <cell r="EB90"/>
          <cell r="EC90"/>
          <cell r="ED90"/>
          <cell r="EE90"/>
          <cell r="EF90"/>
          <cell r="EG90"/>
          <cell r="EH90"/>
          <cell r="EI90"/>
          <cell r="EJ90"/>
          <cell r="EK90"/>
          <cell r="EL90"/>
          <cell r="EM90"/>
          <cell r="EN90"/>
          <cell r="EO90"/>
          <cell r="EP90"/>
          <cell r="EQ90"/>
          <cell r="ER90"/>
          <cell r="ES90"/>
          <cell r="ET90"/>
          <cell r="EU90"/>
          <cell r="EV90"/>
          <cell r="EW90"/>
          <cell r="EX90"/>
          <cell r="EY90"/>
          <cell r="EZ90"/>
          <cell r="FA90"/>
          <cell r="FB90"/>
          <cell r="FC90"/>
          <cell r="FD90"/>
          <cell r="FE90"/>
          <cell r="FF90"/>
          <cell r="FG90"/>
          <cell r="FH90"/>
          <cell r="FI90"/>
          <cell r="FJ90"/>
          <cell r="FK90"/>
          <cell r="FL90"/>
          <cell r="FM90"/>
          <cell r="FN90"/>
          <cell r="FO90"/>
          <cell r="FP90"/>
          <cell r="FQ90"/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/>
          <cell r="CS93"/>
          <cell r="CT93"/>
          <cell r="CU93"/>
          <cell r="CV93"/>
          <cell r="CW93"/>
          <cell r="CX93"/>
          <cell r="CY93"/>
          <cell r="CZ93"/>
          <cell r="DA93"/>
          <cell r="DB93"/>
          <cell r="DC93"/>
          <cell r="DD93"/>
          <cell r="DE93"/>
          <cell r="DF93"/>
          <cell r="DG93"/>
          <cell r="DH93"/>
          <cell r="DI93"/>
          <cell r="DJ93"/>
          <cell r="DK93"/>
          <cell r="DL93"/>
          <cell r="DM93"/>
          <cell r="DN93"/>
          <cell r="DO93"/>
          <cell r="DP93"/>
          <cell r="DQ93"/>
          <cell r="DR93"/>
          <cell r="DS93"/>
          <cell r="DT93"/>
          <cell r="DU93"/>
          <cell r="DV93"/>
          <cell r="DW93"/>
          <cell r="DX93"/>
          <cell r="DY93"/>
          <cell r="DZ93"/>
          <cell r="EA93"/>
          <cell r="EB93"/>
          <cell r="EC93"/>
          <cell r="ED93"/>
          <cell r="EE93"/>
          <cell r="EF93"/>
          <cell r="EG93"/>
          <cell r="EH93"/>
          <cell r="EI93"/>
          <cell r="EJ93"/>
          <cell r="EK93"/>
          <cell r="EL93"/>
          <cell r="EM93"/>
          <cell r="EN93"/>
          <cell r="EO93"/>
          <cell r="EP93"/>
          <cell r="EQ93"/>
          <cell r="ER93"/>
          <cell r="ES93"/>
          <cell r="ET93"/>
          <cell r="EU93"/>
          <cell r="EV93"/>
          <cell r="EW93"/>
          <cell r="EX93"/>
          <cell r="EY93"/>
          <cell r="EZ93"/>
          <cell r="FA93"/>
          <cell r="FB93"/>
          <cell r="FC93"/>
          <cell r="FD93"/>
          <cell r="FE93"/>
          <cell r="FF93"/>
          <cell r="FG93"/>
          <cell r="FH93"/>
          <cell r="FI93"/>
          <cell r="FJ93"/>
          <cell r="FK93"/>
          <cell r="FL93"/>
          <cell r="FM93"/>
          <cell r="FN93"/>
          <cell r="FO93"/>
          <cell r="FP93"/>
          <cell r="FQ93"/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CY94"/>
          <cell r="CZ94"/>
          <cell r="DA94"/>
          <cell r="DB94"/>
          <cell r="DC94"/>
          <cell r="DD94"/>
          <cell r="DE94"/>
          <cell r="DF94"/>
          <cell r="DG94"/>
          <cell r="DH94"/>
          <cell r="DI94"/>
          <cell r="DJ94"/>
          <cell r="DK94"/>
          <cell r="DL94"/>
          <cell r="DM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CY96"/>
          <cell r="CZ96"/>
          <cell r="DA96"/>
          <cell r="DB96"/>
          <cell r="DC96"/>
          <cell r="DD96"/>
          <cell r="DE96"/>
          <cell r="DF96"/>
          <cell r="DG96"/>
          <cell r="DH96"/>
          <cell r="DI96"/>
          <cell r="DJ96"/>
          <cell r="DK96"/>
          <cell r="DL96"/>
          <cell r="DM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CY97"/>
          <cell r="CZ97"/>
          <cell r="DA97"/>
          <cell r="DB97"/>
          <cell r="DC97"/>
          <cell r="DD97"/>
          <cell r="DE97"/>
          <cell r="DF97"/>
          <cell r="DG97"/>
          <cell r="DH97"/>
          <cell r="DI97"/>
          <cell r="DJ97"/>
          <cell r="DK97"/>
          <cell r="DL97"/>
          <cell r="DM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EC97"/>
          <cell r="ED97"/>
          <cell r="EE97"/>
          <cell r="EF97"/>
          <cell r="EG97"/>
          <cell r="EH97"/>
          <cell r="EI97"/>
          <cell r="EJ97"/>
          <cell r="EK97"/>
          <cell r="EL97"/>
          <cell r="EM97"/>
          <cell r="EN97"/>
          <cell r="EO97"/>
          <cell r="EP97"/>
          <cell r="EQ97"/>
          <cell r="ER97"/>
          <cell r="ES97"/>
          <cell r="ET97"/>
          <cell r="EU97"/>
          <cell r="EV97"/>
          <cell r="EW97"/>
          <cell r="EX97"/>
          <cell r="EY97"/>
          <cell r="EZ97"/>
          <cell r="FA97"/>
          <cell r="FB97"/>
          <cell r="FC97"/>
          <cell r="FD97"/>
          <cell r="FE97"/>
          <cell r="FF97"/>
          <cell r="FG97"/>
          <cell r="FH97"/>
          <cell r="FI97"/>
          <cell r="FJ97"/>
          <cell r="FK97"/>
          <cell r="FL97"/>
          <cell r="FM97"/>
          <cell r="FN97"/>
          <cell r="FO97"/>
          <cell r="FP97"/>
          <cell r="FQ97"/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/>
          <cell r="CS103"/>
          <cell r="CT103"/>
          <cell r="CU103"/>
          <cell r="CV103"/>
          <cell r="CW103"/>
          <cell r="CX103"/>
          <cell r="CY103"/>
          <cell r="CZ103"/>
          <cell r="DA103"/>
          <cell r="DB103"/>
          <cell r="DC103"/>
          <cell r="DD103"/>
          <cell r="DE103"/>
          <cell r="DF103"/>
          <cell r="DG103"/>
          <cell r="DH103"/>
          <cell r="DI103"/>
          <cell r="DJ103"/>
          <cell r="DK103"/>
          <cell r="DL103"/>
          <cell r="DM103"/>
          <cell r="DN103"/>
          <cell r="DO103"/>
          <cell r="DP103"/>
          <cell r="DQ103"/>
          <cell r="DR103"/>
          <cell r="DS103"/>
          <cell r="DT103"/>
          <cell r="DU103"/>
          <cell r="DV103"/>
          <cell r="DW103"/>
          <cell r="DX103"/>
          <cell r="DY103"/>
          <cell r="DZ103"/>
          <cell r="EA103"/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  <cell r="CR104"/>
          <cell r="CS104"/>
          <cell r="CT104"/>
          <cell r="CU104"/>
          <cell r="CV104"/>
          <cell r="CW104"/>
          <cell r="CX104"/>
          <cell r="CY104"/>
          <cell r="CZ104"/>
          <cell r="DA104"/>
          <cell r="DB104"/>
          <cell r="DC104"/>
          <cell r="DD104"/>
          <cell r="DE104"/>
          <cell r="DF104"/>
          <cell r="DG104"/>
          <cell r="DH104"/>
          <cell r="DI104"/>
          <cell r="DJ104"/>
          <cell r="DK104"/>
          <cell r="DL104"/>
          <cell r="DM104"/>
          <cell r="DN104"/>
          <cell r="DO104"/>
          <cell r="DP104"/>
          <cell r="DQ104"/>
          <cell r="DR104"/>
          <cell r="DS104"/>
          <cell r="DT104"/>
          <cell r="DU104"/>
          <cell r="DV104"/>
          <cell r="DW104"/>
          <cell r="DX104"/>
          <cell r="DY104"/>
          <cell r="DZ104"/>
          <cell r="EA104"/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  <cell r="CQ107"/>
          <cell r="CR107"/>
          <cell r="CS107"/>
          <cell r="CT107"/>
          <cell r="CU107"/>
          <cell r="CV107"/>
          <cell r="CW107"/>
          <cell r="CX107"/>
          <cell r="CY107"/>
          <cell r="CZ107"/>
          <cell r="DA107"/>
          <cell r="DB107"/>
          <cell r="DC107"/>
          <cell r="DD107"/>
          <cell r="DE107"/>
          <cell r="DF107"/>
          <cell r="DG107"/>
          <cell r="DH107"/>
          <cell r="DI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REM Calculation"/>
      <sheetName val="REM Calculation (w profit adj)"/>
      <sheetName val="REM Summary"/>
      <sheetName val="ICC Calculation"/>
      <sheetName val="Rate Application Summary"/>
      <sheetName val="ICC Summary"/>
      <sheetName val="Drug Overhead"/>
      <sheetName val="LMA"/>
      <sheetName val="IME"/>
      <sheetName val="RESCMAD"/>
      <sheetName val="Prorated Residents"/>
      <sheetName val="DME"/>
      <sheetName val="PROFIT"/>
      <sheetName val="Excess Capacity"/>
      <sheetName val="Room &amp; Board Costs Percentage"/>
      <sheetName val="Quality Adjustments"/>
      <sheetName val="PAU &amp; Total Volume"/>
      <sheetName val="Variable Input"/>
      <sheetName val="GBR Revenue for ICC"/>
      <sheetName val="GBR Case Mix Reconciliation"/>
      <sheetName val="Oncology Drugs"/>
      <sheetName val="Chronic Revenue"/>
      <sheetName val="Categorical Exclusions"/>
      <sheetName val="vlookup"/>
    </sheetNames>
    <sheetDataSet>
      <sheetData sheetId="0"/>
      <sheetData sheetId="1"/>
      <sheetData sheetId="2">
        <row r="1">
          <cell r="A1" t="str">
            <v>RATE EFFICIENCY METHODOLOGY with Profit Adjustment CALCULATION SHEET (Cycle 2)</v>
          </cell>
        </row>
        <row r="2">
          <cell r="A2" t="str">
            <v>HOSPID</v>
          </cell>
          <cell r="B2" t="str">
            <v>HOSPITAL NAME</v>
          </cell>
          <cell r="C2" t="str">
            <v>PEER GROUP</v>
          </cell>
          <cell r="D2" t="str">
            <v>TOTAL PERMANENT REVENUE</v>
          </cell>
          <cell r="E2" t="str">
            <v>UNADJUSTED AVG CHARGE</v>
          </cell>
          <cell r="F2" t="str">
            <v>OUTPATIENT DRUG OVERHEAD</v>
          </cell>
          <cell r="G2" t="str">
            <v>TOTAL PERMANENT REVENUE ADJUSTED FOR OUTPATIENT DRUG OVERHEAD</v>
          </cell>
          <cell r="H2" t="str">
            <v>ADJUSTED AVG CHARGE</v>
          </cell>
          <cell r="I2" t="str">
            <v>MARK UP</v>
          </cell>
          <cell r="J2" t="str">
            <v>TOTAL PERMANENT REVENUE ADJUSTED FOR MARK UP</v>
          </cell>
          <cell r="K2" t="str">
            <v>ADJUSTED FOR PROFIT</v>
          </cell>
          <cell r="L2" t="str">
            <v>DIRECT STRIP</v>
          </cell>
          <cell r="M2" t="str">
            <v>TOTAL PERMANENT REVENUE ADJUSTED FOR DIRECT STRIPE</v>
          </cell>
          <cell r="N2" t="str">
            <v>LMA</v>
          </cell>
          <cell r="O2" t="str">
            <v>TOTAL PERMANENT REVENUE ADJUSTED FOR LMA</v>
          </cell>
          <cell r="P2" t="str">
            <v>ECMAD</v>
          </cell>
          <cell r="Q2" t="str">
            <v>AVERAGE CHARGE PER ECMAD</v>
          </cell>
          <cell r="R2" t="str">
            <v>TOTAL PERMANENT REVENUE ADJUSTED FOR ECMAD</v>
          </cell>
          <cell r="S2" t="str">
            <v>RESIDENTS PER CASEMIX ADJUSTED DISCHARGE</v>
          </cell>
          <cell r="T2" t="str">
            <v>IME AMOUNT</v>
          </cell>
          <cell r="U2" t="str">
            <v>IME AMOUNT PER ECMAD</v>
          </cell>
          <cell r="V2" t="str">
            <v>TOTAL PERMANENT REVENUE ADJUSTED FOR IME</v>
          </cell>
          <cell r="W2" t="str">
            <v>IME ADJUSTMENT</v>
          </cell>
          <cell r="X2" t="str">
            <v>TOTAL PERMANENT REVENUE ADJUSTED FOR DSH/IME</v>
          </cell>
          <cell r="Y2" t="str">
            <v>REM PEER STANDARD EFFICIENCY CHARGE Less Profit</v>
          </cell>
          <cell r="Z2" t="str">
            <v>PEER GROUP REM POSITION</v>
          </cell>
          <cell r="AA2" t="str">
            <v>STATE-WIDE POSITION</v>
          </cell>
        </row>
        <row r="3">
          <cell r="A3">
            <v>210001</v>
          </cell>
          <cell r="B3" t="str">
            <v>Meritus</v>
          </cell>
          <cell r="C3">
            <v>3</v>
          </cell>
          <cell r="D3">
            <v>329072787.87035084</v>
          </cell>
          <cell r="E3">
            <v>12588.458561090272</v>
          </cell>
          <cell r="F3">
            <v>757914.61646457389</v>
          </cell>
          <cell r="G3">
            <v>329830702.48681539</v>
          </cell>
          <cell r="H3">
            <v>12617.452075880585</v>
          </cell>
          <cell r="I3">
            <v>1.0965672937194539</v>
          </cell>
          <cell r="J3">
            <v>300784734.66781998</v>
          </cell>
          <cell r="K3">
            <v>266379057.84770715</v>
          </cell>
          <cell r="L3">
            <v>2989786.2344885785</v>
          </cell>
          <cell r="M3">
            <v>263389271.61321858</v>
          </cell>
          <cell r="N3">
            <v>0.99671861092415948</v>
          </cell>
          <cell r="O3">
            <v>264256399.67633745</v>
          </cell>
          <cell r="P3">
            <v>26140.832594666001</v>
          </cell>
          <cell r="Q3">
            <v>10108.951148337126</v>
          </cell>
          <cell r="R3">
            <v>264256399.67633745</v>
          </cell>
          <cell r="S3">
            <v>0</v>
          </cell>
          <cell r="T3">
            <v>0</v>
          </cell>
          <cell r="U3">
            <v>0</v>
          </cell>
          <cell r="V3">
            <v>264256399.67633745</v>
          </cell>
          <cell r="W3">
            <v>0</v>
          </cell>
          <cell r="X3">
            <v>264256399.67633745</v>
          </cell>
          <cell r="Y3">
            <v>10108.951148337126</v>
          </cell>
          <cell r="Z3">
            <v>-5.2421922256272624E-2</v>
          </cell>
          <cell r="AA3">
            <v>-0.14931925219739917</v>
          </cell>
        </row>
        <row r="4">
          <cell r="A4">
            <v>210002</v>
          </cell>
          <cell r="B4" t="str">
            <v>University Medical Center</v>
          </cell>
          <cell r="C4">
            <v>5</v>
          </cell>
          <cell r="D4">
            <v>1239317442.3077145</v>
          </cell>
          <cell r="E4">
            <v>21662.22081574914</v>
          </cell>
          <cell r="F4">
            <v>34347524.864324212</v>
          </cell>
          <cell r="G4">
            <v>1273664967.1720386</v>
          </cell>
          <cell r="H4">
            <v>22262.586503090675</v>
          </cell>
          <cell r="I4">
            <v>1.0953337535721144</v>
          </cell>
          <cell r="J4">
            <v>1162809931.6928275</v>
          </cell>
          <cell r="K4">
            <v>1123826834.9729166</v>
          </cell>
          <cell r="L4">
            <v>50470187.115919642</v>
          </cell>
          <cell r="M4">
            <v>1073356647.856997</v>
          </cell>
          <cell r="N4">
            <v>0.99671861092415948</v>
          </cell>
          <cell r="O4">
            <v>1076890344.0678995</v>
          </cell>
          <cell r="P4">
            <v>57211.0058728</v>
          </cell>
          <cell r="Q4">
            <v>18823.132501151998</v>
          </cell>
          <cell r="R4">
            <v>1076890344.0678995</v>
          </cell>
          <cell r="S4">
            <v>7.7927999638057839E-3</v>
          </cell>
          <cell r="T4">
            <v>146980551.53779647</v>
          </cell>
          <cell r="U4">
            <v>2569.0957412038069</v>
          </cell>
          <cell r="V4">
            <v>929909792.53010297</v>
          </cell>
          <cell r="W4">
            <v>-0.13648608918024541</v>
          </cell>
          <cell r="X4">
            <v>929909792.53010297</v>
          </cell>
          <cell r="Y4">
            <v>16254.036759948189</v>
          </cell>
          <cell r="Z4">
            <v>0.14618289260038786</v>
          </cell>
          <cell r="AA4">
            <v>0.36779730585978365</v>
          </cell>
        </row>
        <row r="5">
          <cell r="A5">
            <v>210003</v>
          </cell>
          <cell r="B5" t="str">
            <v>Prince Georges Hospital</v>
          </cell>
          <cell r="C5">
            <v>4</v>
          </cell>
          <cell r="D5">
            <v>295268245.95945138</v>
          </cell>
          <cell r="E5">
            <v>16089.735811538494</v>
          </cell>
          <cell r="F5">
            <v>75928.748797602602</v>
          </cell>
          <cell r="G5">
            <v>295344174.70824897</v>
          </cell>
          <cell r="H5">
            <v>16093.873315402765</v>
          </cell>
          <cell r="I5">
            <v>1.0963306121172727</v>
          </cell>
          <cell r="J5">
            <v>269393348.54279935</v>
          </cell>
          <cell r="K5">
            <v>229899989.24322581</v>
          </cell>
          <cell r="L5">
            <v>10185974.57290497</v>
          </cell>
          <cell r="M5">
            <v>219714014.67032084</v>
          </cell>
          <cell r="N5">
            <v>1.0181752931904677</v>
          </cell>
          <cell r="O5">
            <v>215791933.01955271</v>
          </cell>
          <cell r="P5">
            <v>18351.342086531</v>
          </cell>
          <cell r="Q5">
            <v>11758.918339707348</v>
          </cell>
          <cell r="R5">
            <v>215791933.01955271</v>
          </cell>
          <cell r="S5">
            <v>2.6156125134428007E-3</v>
          </cell>
          <cell r="T5">
            <v>5754417.366559769</v>
          </cell>
          <cell r="U5">
            <v>313.56929315721459</v>
          </cell>
          <cell r="V5">
            <v>210037515.65299293</v>
          </cell>
          <cell r="W5">
            <v>-2.6666508270438372E-2</v>
          </cell>
          <cell r="X5">
            <v>210037515.65299293</v>
          </cell>
          <cell r="Y5">
            <v>11445.349046550135</v>
          </cell>
          <cell r="Z5">
            <v>-0.10034137262390808</v>
          </cell>
          <cell r="AA5">
            <v>-3.6859715423332218E-2</v>
          </cell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497722856.28585684</v>
          </cell>
          <cell r="E6">
            <v>12677.104994375613</v>
          </cell>
          <cell r="F6">
            <v>1737114.1652522064</v>
          </cell>
          <cell r="G6">
            <v>499459970.45110905</v>
          </cell>
          <cell r="H6">
            <v>12721.349654595662</v>
          </cell>
          <cell r="I6">
            <v>1.0903345654382657</v>
          </cell>
          <cell r="J6">
            <v>458079553.08685321</v>
          </cell>
          <cell r="K6">
            <v>389074013.37387896</v>
          </cell>
          <cell r="L6">
            <v>2634548.7538250005</v>
          </cell>
          <cell r="M6">
            <v>386439464.62005395</v>
          </cell>
          <cell r="N6">
            <v>1.0181752931904677</v>
          </cell>
          <cell r="O6">
            <v>379541192.17442411</v>
          </cell>
          <cell r="P6">
            <v>39261.555103209997</v>
          </cell>
          <cell r="Q6">
            <v>9666.9933520639661</v>
          </cell>
          <cell r="R6">
            <v>379541192.17442411</v>
          </cell>
          <cell r="S6">
            <v>4.8393396415534679E-4</v>
          </cell>
          <cell r="T6">
            <v>2277790.2075965754</v>
          </cell>
          <cell r="U6">
            <v>58.015791825075844</v>
          </cell>
          <cell r="V6">
            <v>377263401.96682751</v>
          </cell>
          <cell r="W6">
            <v>-6.0014308184757059E-3</v>
          </cell>
          <cell r="X6">
            <v>377263401.96682751</v>
          </cell>
          <cell r="Y6">
            <v>9608.9775602388891</v>
          </cell>
          <cell r="Z6">
            <v>-0.11430349657933103</v>
          </cell>
          <cell r="AA6">
            <v>-0.19139264829595692</v>
          </cell>
        </row>
        <row r="7">
          <cell r="A7">
            <v>210005</v>
          </cell>
          <cell r="B7" t="str">
            <v>Frederick Memorial Hospital</v>
          </cell>
          <cell r="C7">
            <v>3</v>
          </cell>
          <cell r="D7">
            <v>345060615.43598366</v>
          </cell>
          <cell r="E7">
            <v>12783.92015286119</v>
          </cell>
          <cell r="F7">
            <v>69503.992282396925</v>
          </cell>
          <cell r="G7">
            <v>345130119.42826605</v>
          </cell>
          <cell r="H7">
            <v>12786.495159824883</v>
          </cell>
          <cell r="I7">
            <v>1.0916089502900421</v>
          </cell>
          <cell r="J7">
            <v>316166443.4288162</v>
          </cell>
          <cell r="K7">
            <v>261198221.17890731</v>
          </cell>
          <cell r="L7">
            <v>231876.639054</v>
          </cell>
          <cell r="M7">
            <v>260966344.5398533</v>
          </cell>
          <cell r="N7">
            <v>0.99671861092415948</v>
          </cell>
          <cell r="O7">
            <v>261825495.86175057</v>
          </cell>
          <cell r="P7">
            <v>26991.768667982102</v>
          </cell>
          <cell r="Q7">
            <v>9700.197830026993</v>
          </cell>
          <cell r="R7">
            <v>261825495.86175057</v>
          </cell>
          <cell r="S7">
            <v>0</v>
          </cell>
          <cell r="T7">
            <v>0</v>
          </cell>
          <cell r="U7">
            <v>0</v>
          </cell>
          <cell r="V7">
            <v>261825495.86175057</v>
          </cell>
          <cell r="W7">
            <v>0</v>
          </cell>
          <cell r="X7">
            <v>261825495.86175057</v>
          </cell>
          <cell r="Y7">
            <v>9700.197830026993</v>
          </cell>
          <cell r="Z7">
            <v>-9.0737042979692095E-2</v>
          </cell>
          <cell r="AA7">
            <v>-0.1837163497186447</v>
          </cell>
        </row>
        <row r="8">
          <cell r="A8">
            <v>210006</v>
          </cell>
          <cell r="B8" t="str">
            <v>Harford Memorial Hospital</v>
          </cell>
          <cell r="C8">
            <v>3</v>
          </cell>
          <cell r="D8">
            <v>104800897.38106361</v>
          </cell>
          <cell r="E8">
            <v>13637.608881226924</v>
          </cell>
          <cell r="F8">
            <v>64559.812231871649</v>
          </cell>
          <cell r="G8">
            <v>104865457.19329548</v>
          </cell>
          <cell r="H8">
            <v>13646.00996834226</v>
          </cell>
          <cell r="I8">
            <v>1.0939146714145691</v>
          </cell>
          <cell r="J8">
            <v>95862556.681584015</v>
          </cell>
          <cell r="K8">
            <v>89653754.907716393</v>
          </cell>
          <cell r="L8">
            <v>0</v>
          </cell>
          <cell r="M8">
            <v>89653754.907716393</v>
          </cell>
          <cell r="N8">
            <v>0.99671861092415948</v>
          </cell>
          <cell r="O8">
            <v>89948912.285875008</v>
          </cell>
          <cell r="P8">
            <v>7684.6973904148999</v>
          </cell>
          <cell r="Q8">
            <v>11704.938752444308</v>
          </cell>
          <cell r="R8">
            <v>89948912.285875008</v>
          </cell>
          <cell r="S8">
            <v>0</v>
          </cell>
          <cell r="T8">
            <v>0</v>
          </cell>
          <cell r="U8">
            <v>0</v>
          </cell>
          <cell r="V8">
            <v>89948912.285875008</v>
          </cell>
          <cell r="W8">
            <v>0</v>
          </cell>
          <cell r="X8">
            <v>89948912.285875008</v>
          </cell>
          <cell r="Y8">
            <v>11704.938752444308</v>
          </cell>
          <cell r="Z8">
            <v>9.7180429541764202E-2</v>
          </cell>
          <cell r="AA8">
            <v>-1.5014920459787584E-2</v>
          </cell>
        </row>
        <row r="9">
          <cell r="A9">
            <v>210008</v>
          </cell>
          <cell r="B9" t="str">
            <v>Mercy Medical Center</v>
          </cell>
          <cell r="C9">
            <v>4</v>
          </cell>
          <cell r="D9">
            <v>503579696.65674835</v>
          </cell>
          <cell r="E9">
            <v>13662.799027086972</v>
          </cell>
          <cell r="F9">
            <v>11163175.783289809</v>
          </cell>
          <cell r="G9">
            <v>514742872.44003814</v>
          </cell>
          <cell r="H9">
            <v>13965.671101246653</v>
          </cell>
          <cell r="I9">
            <v>1.0915692701204411</v>
          </cell>
          <cell r="J9">
            <v>471562260.43560445</v>
          </cell>
          <cell r="K9">
            <v>442130220.82507169</v>
          </cell>
          <cell r="L9">
            <v>4838568.8813399989</v>
          </cell>
          <cell r="M9">
            <v>437291651.94373167</v>
          </cell>
          <cell r="N9">
            <v>0.99671861092415948</v>
          </cell>
          <cell r="O9">
            <v>438731300.03890866</v>
          </cell>
          <cell r="P9">
            <v>36857.725540600004</v>
          </cell>
          <cell r="Q9">
            <v>11903.374220843649</v>
          </cell>
          <cell r="R9">
            <v>438731300.0389086</v>
          </cell>
          <cell r="S9">
            <v>1.4189698152261134E-3</v>
          </cell>
          <cell r="T9">
            <v>6269917.2556474144</v>
          </cell>
          <cell r="U9">
            <v>170.11134473669281</v>
          </cell>
          <cell r="V9">
            <v>432461382.78326118</v>
          </cell>
          <cell r="W9">
            <v>-1.4291018796906862E-2</v>
          </cell>
          <cell r="X9">
            <v>432461382.78326118</v>
          </cell>
          <cell r="Y9">
            <v>11733.262876106955</v>
          </cell>
          <cell r="Z9">
            <v>-7.7709982384240539E-2</v>
          </cell>
          <cell r="AA9">
            <v>-1.2631410405714694E-2</v>
          </cell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2114765311.203999</v>
          </cell>
          <cell r="E10">
            <v>20007.281272430686</v>
          </cell>
          <cell r="F10">
            <v>66163150.913345769</v>
          </cell>
          <cell r="G10">
            <v>2180928462.1173449</v>
          </cell>
          <cell r="H10">
            <v>20633.234782818061</v>
          </cell>
          <cell r="I10">
            <v>1.0878263145968667</v>
          </cell>
          <cell r="J10">
            <v>2004849885.3657227</v>
          </cell>
          <cell r="K10">
            <v>2004849885.3657227</v>
          </cell>
          <cell r="L10">
            <v>116319894.1339108</v>
          </cell>
          <cell r="M10">
            <v>1888529991.2318118</v>
          </cell>
          <cell r="N10">
            <v>0.99671861092415948</v>
          </cell>
          <cell r="O10">
            <v>1894747394.6340413</v>
          </cell>
          <cell r="P10">
            <v>105699.78411400001</v>
          </cell>
          <cell r="Q10">
            <v>17925.745170780163</v>
          </cell>
          <cell r="R10">
            <v>1894747394.6340415</v>
          </cell>
          <cell r="S10">
            <v>7.2730403246266629E-3</v>
          </cell>
          <cell r="T10">
            <v>253440990.16250265</v>
          </cell>
          <cell r="U10">
            <v>2397.7436878126437</v>
          </cell>
          <cell r="V10">
            <v>1641306404.471539</v>
          </cell>
          <cell r="W10">
            <v>-0.13375977762537206</v>
          </cell>
          <cell r="X10">
            <v>1641306404.471539</v>
          </cell>
          <cell r="Y10">
            <v>15528.001482967522</v>
          </cell>
          <cell r="Z10">
            <v>9.4985197763731488E-2</v>
          </cell>
          <cell r="AA10">
            <v>0.30670053891630333</v>
          </cell>
        </row>
        <row r="11">
          <cell r="A11">
            <v>210010</v>
          </cell>
          <cell r="B11" t="str">
            <v>Shore Medical Dorchester</v>
          </cell>
          <cell r="C11">
            <v>3</v>
          </cell>
          <cell r="D11">
            <v>46612985.164683528</v>
          </cell>
          <cell r="E11">
            <v>14462.338096533676</v>
          </cell>
          <cell r="F11">
            <v>9252.15966522688</v>
          </cell>
          <cell r="G11">
            <v>46622237.324348755</v>
          </cell>
          <cell r="H11">
            <v>14465.20870996315</v>
          </cell>
          <cell r="I11">
            <v>1.1016552782985627</v>
          </cell>
          <cell r="J11">
            <v>42320168.788510568</v>
          </cell>
          <cell r="K11">
            <v>37487870.72775498</v>
          </cell>
          <cell r="L11">
            <v>186133.59</v>
          </cell>
          <cell r="M11">
            <v>37301737.137754977</v>
          </cell>
          <cell r="N11">
            <v>0.99671861092415948</v>
          </cell>
          <cell r="O11">
            <v>37424541.61979451</v>
          </cell>
          <cell r="P11">
            <v>3223.0601202619996</v>
          </cell>
          <cell r="Q11">
            <v>11611.493494807135</v>
          </cell>
          <cell r="R11">
            <v>37424541.61979451</v>
          </cell>
          <cell r="S11">
            <v>0</v>
          </cell>
          <cell r="T11">
            <v>0</v>
          </cell>
          <cell r="U11">
            <v>0</v>
          </cell>
          <cell r="V11">
            <v>37424541.61979451</v>
          </cell>
          <cell r="W11">
            <v>0</v>
          </cell>
          <cell r="X11">
            <v>37424541.61979451</v>
          </cell>
          <cell r="Y11">
            <v>11611.493494807135</v>
          </cell>
          <cell r="Z11">
            <v>8.8421194651143065E-2</v>
          </cell>
          <cell r="AA11">
            <v>-2.2878454517766822E-2</v>
          </cell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406504369.55787235</v>
          </cell>
          <cell r="E12">
            <v>14369.721345773502</v>
          </cell>
          <cell r="F12">
            <v>10100970.654966572</v>
          </cell>
          <cell r="G12">
            <v>416605340.21283895</v>
          </cell>
          <cell r="H12">
            <v>14726.785487031253</v>
          </cell>
          <cell r="I12">
            <v>1.0962741841922081</v>
          </cell>
          <cell r="J12">
            <v>380019292.81935561</v>
          </cell>
          <cell r="K12">
            <v>319220161.45111424</v>
          </cell>
          <cell r="L12">
            <v>7476727.5782749997</v>
          </cell>
          <cell r="M12">
            <v>311743433.87283921</v>
          </cell>
          <cell r="N12">
            <v>0.99671861092415948</v>
          </cell>
          <cell r="O12">
            <v>312769753.12399364</v>
          </cell>
          <cell r="P12">
            <v>28288.952845800002</v>
          </cell>
          <cell r="Q12">
            <v>11056.250644160194</v>
          </cell>
          <cell r="R12">
            <v>312769753.12399364</v>
          </cell>
          <cell r="S12">
            <v>2.5805126261800866E-3</v>
          </cell>
          <cell r="T12">
            <v>8751509.7449763156</v>
          </cell>
          <cell r="U12">
            <v>309.36138897328016</v>
          </cell>
          <cell r="V12">
            <v>304018243.37901729</v>
          </cell>
          <cell r="W12">
            <v>-2.7980677982972768E-2</v>
          </cell>
          <cell r="X12">
            <v>304018243.37901729</v>
          </cell>
          <cell r="Y12">
            <v>10746.889255186914</v>
          </cell>
          <cell r="Z12">
            <v>-9.4177891147486648E-3</v>
          </cell>
          <cell r="AA12">
            <v>-9.5635971130597186E-2</v>
          </cell>
        </row>
        <row r="13">
          <cell r="A13">
            <v>210012</v>
          </cell>
          <cell r="B13" t="str">
            <v>Sinai Hospital</v>
          </cell>
          <cell r="C13">
            <v>4</v>
          </cell>
          <cell r="D13">
            <v>712891427.42240071</v>
          </cell>
          <cell r="E13">
            <v>17465.169652956989</v>
          </cell>
          <cell r="F13">
            <v>23360108.29915034</v>
          </cell>
          <cell r="G13">
            <v>736251535.72155106</v>
          </cell>
          <cell r="H13">
            <v>18037.470341199616</v>
          </cell>
          <cell r="I13">
            <v>1.0952231825796594</v>
          </cell>
          <cell r="J13">
            <v>672238816.19032562</v>
          </cell>
          <cell r="K13">
            <v>586921072.10293913</v>
          </cell>
          <cell r="L13">
            <v>18525777.538903046</v>
          </cell>
          <cell r="M13">
            <v>568395294.56403613</v>
          </cell>
          <cell r="N13">
            <v>0.99671861092415948</v>
          </cell>
          <cell r="O13">
            <v>570266561.0277096</v>
          </cell>
          <cell r="P13">
            <v>40817.893074500003</v>
          </cell>
          <cell r="Q13">
            <v>13970.994533864608</v>
          </cell>
          <cell r="R13">
            <v>570266561.0277096</v>
          </cell>
          <cell r="S13">
            <v>3.0868815244830821E-3</v>
          </cell>
          <cell r="T13">
            <v>15105345.587219397</v>
          </cell>
          <cell r="U13">
            <v>370.06676360412382</v>
          </cell>
          <cell r="V13">
            <v>555161215.44049025</v>
          </cell>
          <cell r="W13">
            <v>-2.6488219053204087E-2</v>
          </cell>
          <cell r="X13">
            <v>555161215.44049025</v>
          </cell>
          <cell r="Y13">
            <v>13600.927770260485</v>
          </cell>
          <cell r="Z13">
            <v>6.9097321459336447E-2</v>
          </cell>
          <cell r="AA13">
            <v>0.14453490145884884</v>
          </cell>
        </row>
        <row r="14">
          <cell r="A14">
            <v>210013</v>
          </cell>
          <cell r="B14" t="str">
            <v>Bon Secours Hospital</v>
          </cell>
          <cell r="C14">
            <v>4</v>
          </cell>
          <cell r="D14">
            <v>107376586.4268312</v>
          </cell>
          <cell r="E14">
            <v>21523.183761399356</v>
          </cell>
          <cell r="F14">
            <v>1276900.4972091531</v>
          </cell>
          <cell r="G14">
            <v>108653486.92404035</v>
          </cell>
          <cell r="H14">
            <v>21779.133079225569</v>
          </cell>
          <cell r="I14">
            <v>1.1026804682882889</v>
          </cell>
          <cell r="J14">
            <v>98535786.248853341</v>
          </cell>
          <cell r="K14">
            <v>80733058.738066599</v>
          </cell>
          <cell r="L14">
            <v>0</v>
          </cell>
          <cell r="M14">
            <v>80733058.738066599</v>
          </cell>
          <cell r="N14">
            <v>0.99671861092415948</v>
          </cell>
          <cell r="O14">
            <v>80998847.471314639</v>
          </cell>
          <cell r="P14">
            <v>4988.8802519729998</v>
          </cell>
          <cell r="Q14">
            <v>16235.877267104428</v>
          </cell>
          <cell r="R14">
            <v>80998847.471314639</v>
          </cell>
          <cell r="S14">
            <v>0</v>
          </cell>
          <cell r="T14">
            <v>0</v>
          </cell>
          <cell r="U14">
            <v>0</v>
          </cell>
          <cell r="V14">
            <v>80998847.471314639</v>
          </cell>
          <cell r="W14">
            <v>0</v>
          </cell>
          <cell r="X14">
            <v>80998847.471314639</v>
          </cell>
          <cell r="Y14">
            <v>16235.877267104428</v>
          </cell>
          <cell r="Z14">
            <v>0.27621682807241599</v>
          </cell>
          <cell r="AA14">
            <v>0.36626916206668736</v>
          </cell>
        </row>
        <row r="15">
          <cell r="A15">
            <v>210015</v>
          </cell>
          <cell r="B15" t="str">
            <v>Franklin Square Hospital Center</v>
          </cell>
          <cell r="C15">
            <v>1</v>
          </cell>
          <cell r="D15">
            <v>482032175.74052781</v>
          </cell>
          <cell r="E15">
            <v>13964.895468760064</v>
          </cell>
          <cell r="F15">
            <v>21616731.245906416</v>
          </cell>
          <cell r="G15">
            <v>503648906.98643422</v>
          </cell>
          <cell r="H15">
            <v>14591.151157525244</v>
          </cell>
          <cell r="I15">
            <v>1.0973336341529938</v>
          </cell>
          <cell r="J15">
            <v>458975184.31136858</v>
          </cell>
          <cell r="K15">
            <v>394772590.79822755</v>
          </cell>
          <cell r="L15">
            <v>9515709.111311961</v>
          </cell>
          <cell r="M15">
            <v>385256881.68691558</v>
          </cell>
          <cell r="N15">
            <v>0.99671861092415948</v>
          </cell>
          <cell r="O15">
            <v>386525221.32571059</v>
          </cell>
          <cell r="P15">
            <v>34517.420973100001</v>
          </cell>
          <cell r="Q15">
            <v>11197.97512180693</v>
          </cell>
          <cell r="R15">
            <v>386525221.32571059</v>
          </cell>
          <cell r="S15">
            <v>2.2597285023347106E-3</v>
          </cell>
          <cell r="T15">
            <v>9350928.2206596248</v>
          </cell>
          <cell r="U15">
            <v>270.90460286551996</v>
          </cell>
          <cell r="V15">
            <v>377174293.10505098</v>
          </cell>
          <cell r="W15">
            <v>-2.4192284758514981E-2</v>
          </cell>
          <cell r="X15">
            <v>377174293.10505098</v>
          </cell>
          <cell r="Y15">
            <v>10927.070518941411</v>
          </cell>
          <cell r="Z15">
            <v>7.1902125471168254E-3</v>
          </cell>
          <cell r="AA15">
            <v>-8.0473494831964865E-2</v>
          </cell>
        </row>
        <row r="16">
          <cell r="A16">
            <v>210016</v>
          </cell>
          <cell r="B16" t="str">
            <v>Washington Adventist Hospital</v>
          </cell>
          <cell r="C16">
            <v>3</v>
          </cell>
          <cell r="D16">
            <v>270260241.67980641</v>
          </cell>
          <cell r="E16">
            <v>13715.409141926881</v>
          </cell>
          <cell r="F16">
            <v>1198565.0346374121</v>
          </cell>
          <cell r="G16">
            <v>271458806.7144438</v>
          </cell>
          <cell r="H16">
            <v>13776.234995300962</v>
          </cell>
          <cell r="I16">
            <v>1.0977784116737554</v>
          </cell>
          <cell r="J16">
            <v>247280146.72884423</v>
          </cell>
          <cell r="K16">
            <v>218014734.51021481</v>
          </cell>
          <cell r="L16">
            <v>0</v>
          </cell>
          <cell r="M16">
            <v>218014734.51021481</v>
          </cell>
          <cell r="N16">
            <v>1.0181752931904677</v>
          </cell>
          <cell r="O16">
            <v>214122986.45261988</v>
          </cell>
          <cell r="P16">
            <v>19704.86180056</v>
          </cell>
          <cell r="Q16">
            <v>10866.505363997763</v>
          </cell>
          <cell r="R16">
            <v>214122986.45261985</v>
          </cell>
          <cell r="S16">
            <v>0</v>
          </cell>
          <cell r="T16">
            <v>0</v>
          </cell>
          <cell r="U16">
            <v>0</v>
          </cell>
          <cell r="V16">
            <v>214122986.45261985</v>
          </cell>
          <cell r="W16">
            <v>0</v>
          </cell>
          <cell r="X16">
            <v>214122986.45261985</v>
          </cell>
          <cell r="Y16">
            <v>10866.505363997763</v>
          </cell>
          <cell r="Z16">
            <v>1.8588586838970578E-2</v>
          </cell>
          <cell r="AA16">
            <v>-8.5570127562920151E-2</v>
          </cell>
        </row>
        <row r="17">
          <cell r="A17">
            <v>210017</v>
          </cell>
          <cell r="B17" t="str">
            <v>Garrett County Memorial Hospital</v>
          </cell>
          <cell r="C17">
            <v>3</v>
          </cell>
          <cell r="D17">
            <v>58092422.303270362</v>
          </cell>
          <cell r="E17">
            <v>10587.995835244601</v>
          </cell>
          <cell r="F17">
            <v>1367840.6181771527</v>
          </cell>
          <cell r="G17">
            <v>59460262.921447515</v>
          </cell>
          <cell r="H17">
            <v>10837.300136809639</v>
          </cell>
          <cell r="I17">
            <v>1.0961785275385361</v>
          </cell>
          <cell r="J17">
            <v>54243229.024897307</v>
          </cell>
          <cell r="K17">
            <v>52247330.859126762</v>
          </cell>
          <cell r="L17">
            <v>0</v>
          </cell>
          <cell r="M17">
            <v>52247330.859126762</v>
          </cell>
          <cell r="N17">
            <v>0.93365670027608294</v>
          </cell>
          <cell r="O17">
            <v>55959894.941767342</v>
          </cell>
          <cell r="P17">
            <v>5486.6306340900001</v>
          </cell>
          <cell r="Q17">
            <v>10199.318793955723</v>
          </cell>
          <cell r="R17">
            <v>55959894.941767342</v>
          </cell>
          <cell r="S17">
            <v>0</v>
          </cell>
          <cell r="T17">
            <v>0</v>
          </cell>
          <cell r="U17">
            <v>0</v>
          </cell>
          <cell r="V17">
            <v>55959894.941767342</v>
          </cell>
          <cell r="W17">
            <v>0</v>
          </cell>
          <cell r="X17">
            <v>55959894.941767342</v>
          </cell>
          <cell r="Y17">
            <v>10199.318793955723</v>
          </cell>
          <cell r="Z17">
            <v>-4.3951172059840893E-2</v>
          </cell>
          <cell r="AA17">
            <v>-0.14171470299897582</v>
          </cell>
        </row>
        <row r="18">
          <cell r="A18">
            <v>210018</v>
          </cell>
          <cell r="B18" t="str">
            <v>Montgomery General Hospital</v>
          </cell>
          <cell r="C18">
            <v>3</v>
          </cell>
          <cell r="D18">
            <v>160622561.99809164</v>
          </cell>
          <cell r="E18">
            <v>14196.538290514813</v>
          </cell>
          <cell r="F18">
            <v>8636123.047302518</v>
          </cell>
          <cell r="G18">
            <v>169258685.04539415</v>
          </cell>
          <cell r="H18">
            <v>14959.837356333999</v>
          </cell>
          <cell r="I18">
            <v>1.0933405894355734</v>
          </cell>
          <cell r="J18">
            <v>154808745.49144134</v>
          </cell>
          <cell r="K18">
            <v>131750416.32785147</v>
          </cell>
          <cell r="L18">
            <v>0</v>
          </cell>
          <cell r="M18">
            <v>131750416.32785147</v>
          </cell>
          <cell r="N18">
            <v>1.0181752931904677</v>
          </cell>
          <cell r="O18">
            <v>129398559.56925604</v>
          </cell>
          <cell r="P18">
            <v>11314.20623191</v>
          </cell>
          <cell r="Q18">
            <v>11436.821719256544</v>
          </cell>
          <cell r="R18">
            <v>129398559.56925604</v>
          </cell>
          <cell r="S18">
            <v>0</v>
          </cell>
          <cell r="T18">
            <v>0</v>
          </cell>
          <cell r="U18">
            <v>0</v>
          </cell>
          <cell r="V18">
            <v>129398559.56925604</v>
          </cell>
          <cell r="W18">
            <v>0</v>
          </cell>
          <cell r="X18">
            <v>129398559.56925604</v>
          </cell>
          <cell r="Y18">
            <v>11436.821719256544</v>
          </cell>
          <cell r="Z18">
            <v>7.2048067223423828E-2</v>
          </cell>
          <cell r="AA18">
            <v>-3.7577300566679295E-2</v>
          </cell>
        </row>
        <row r="19">
          <cell r="A19">
            <v>210019</v>
          </cell>
          <cell r="B19" t="str">
            <v>Peninsula Regional Medical Center</v>
          </cell>
          <cell r="C19">
            <v>3</v>
          </cell>
          <cell r="D19">
            <v>412416249.41128063</v>
          </cell>
          <cell r="E19">
            <v>12000.122194806345</v>
          </cell>
          <cell r="F19">
            <v>13390331.844219891</v>
          </cell>
          <cell r="G19">
            <v>425806581.2555005</v>
          </cell>
          <cell r="H19">
            <v>12389.742193021793</v>
          </cell>
          <cell r="I19">
            <v>1.0978696918984006</v>
          </cell>
          <cell r="J19">
            <v>387848015.4773283</v>
          </cell>
          <cell r="K19">
            <v>339987805.73110974</v>
          </cell>
          <cell r="L19">
            <v>1722609.3142588786</v>
          </cell>
          <cell r="M19">
            <v>338265196.41685086</v>
          </cell>
          <cell r="N19">
            <v>0.97123634700015304</v>
          </cell>
          <cell r="O19">
            <v>348283090.37408537</v>
          </cell>
          <cell r="P19">
            <v>34367.670821700005</v>
          </cell>
          <cell r="Q19">
            <v>10134.03242195211</v>
          </cell>
          <cell r="R19">
            <v>348283090.37408537</v>
          </cell>
          <cell r="S19">
            <v>0</v>
          </cell>
          <cell r="T19">
            <v>0</v>
          </cell>
          <cell r="U19">
            <v>0</v>
          </cell>
          <cell r="V19">
            <v>348283090.37408537</v>
          </cell>
          <cell r="W19">
            <v>0</v>
          </cell>
          <cell r="X19">
            <v>348283090.37408537</v>
          </cell>
          <cell r="Y19">
            <v>10134.03242195211</v>
          </cell>
          <cell r="Z19">
            <v>-5.0070890513146615E-2</v>
          </cell>
          <cell r="AA19">
            <v>-0.1472086319874929</v>
          </cell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317434219.12938362</v>
          </cell>
          <cell r="E20">
            <v>12145.420084054815</v>
          </cell>
          <cell r="F20">
            <v>1949630.0962752881</v>
          </cell>
          <cell r="G20">
            <v>319383849.22565889</v>
          </cell>
          <cell r="H20">
            <v>12220.015307571433</v>
          </cell>
          <cell r="I20">
            <v>1.0909290081011322</v>
          </cell>
          <cell r="J20">
            <v>292763183.35468727</v>
          </cell>
          <cell r="K20">
            <v>271420497.59763438</v>
          </cell>
          <cell r="L20">
            <v>3699168.624917252</v>
          </cell>
          <cell r="M20">
            <v>267721328.97271714</v>
          </cell>
          <cell r="N20">
            <v>1.0181752931904677</v>
          </cell>
          <cell r="O20">
            <v>262942276.01399392</v>
          </cell>
          <cell r="P20">
            <v>26136.125134620001</v>
          </cell>
          <cell r="Q20">
            <v>10060.491930599906</v>
          </cell>
          <cell r="R20">
            <v>262942276.01399392</v>
          </cell>
          <cell r="S20">
            <v>1.5304487483883318E-4</v>
          </cell>
          <cell r="T20">
            <v>479534.78054664744</v>
          </cell>
          <cell r="U20">
            <v>18.347585117407249</v>
          </cell>
          <cell r="V20">
            <v>262462741.23344728</v>
          </cell>
          <cell r="W20">
            <v>-1.8237264384259877E-3</v>
          </cell>
          <cell r="X20">
            <v>262462741.23344728</v>
          </cell>
          <cell r="Y20">
            <v>10042.1443454825</v>
          </cell>
          <cell r="Z20">
            <v>-7.4376844166719969E-2</v>
          </cell>
          <cell r="AA20">
            <v>-0.15494112732338816</v>
          </cell>
        </row>
        <row r="21">
          <cell r="A21">
            <v>210023</v>
          </cell>
          <cell r="B21" t="str">
            <v>Anne Arundel Medical Center</v>
          </cell>
          <cell r="C21">
            <v>3</v>
          </cell>
          <cell r="D21">
            <v>555993790.79344404</v>
          </cell>
          <cell r="E21">
            <v>11169.717308224452</v>
          </cell>
          <cell r="F21">
            <v>24711934.103867136</v>
          </cell>
          <cell r="G21">
            <v>580705724.89731121</v>
          </cell>
          <cell r="H21">
            <v>11666.171266254736</v>
          </cell>
          <cell r="I21">
            <v>1.0881017105926887</v>
          </cell>
          <cell r="J21">
            <v>533686988.30645251</v>
          </cell>
          <cell r="K21">
            <v>477660074.51658177</v>
          </cell>
          <cell r="L21">
            <v>0</v>
          </cell>
          <cell r="M21">
            <v>477660074.51658177</v>
          </cell>
          <cell r="N21">
            <v>0.99671861092415948</v>
          </cell>
          <cell r="O21">
            <v>479232623.2111733</v>
          </cell>
          <cell r="P21">
            <v>49776.890090499997</v>
          </cell>
          <cell r="Q21">
            <v>9627.6127805468441</v>
          </cell>
          <cell r="R21">
            <v>479232623.21117336</v>
          </cell>
          <cell r="S21">
            <v>0</v>
          </cell>
          <cell r="T21">
            <v>0</v>
          </cell>
          <cell r="U21">
            <v>0</v>
          </cell>
          <cell r="V21">
            <v>479232623.21117336</v>
          </cell>
          <cell r="W21">
            <v>0</v>
          </cell>
          <cell r="X21">
            <v>479232623.21117336</v>
          </cell>
          <cell r="Y21">
            <v>9627.6127805468441</v>
          </cell>
          <cell r="Z21">
            <v>-9.7540914187502437E-2</v>
          </cell>
          <cell r="AA21">
            <v>-0.18982447144809023</v>
          </cell>
        </row>
        <row r="22">
          <cell r="A22">
            <v>210024</v>
          </cell>
          <cell r="B22" t="str">
            <v>Union Memorial Hospital</v>
          </cell>
          <cell r="C22">
            <v>4</v>
          </cell>
          <cell r="D22">
            <v>417212139.13794702</v>
          </cell>
          <cell r="E22">
            <v>15214.527667245889</v>
          </cell>
          <cell r="F22">
            <v>7480327.3220334155</v>
          </cell>
          <cell r="G22">
            <v>424692466.45998043</v>
          </cell>
          <cell r="H22">
            <v>15487.31370658858</v>
          </cell>
          <cell r="I22">
            <v>1.0963236833132124</v>
          </cell>
          <cell r="J22">
            <v>387378721.19711256</v>
          </cell>
          <cell r="K22">
            <v>347009156.83717257</v>
          </cell>
          <cell r="L22">
            <v>18112729.835636299</v>
          </cell>
          <cell r="M22">
            <v>328896427.00153625</v>
          </cell>
          <cell r="N22">
            <v>0.99671861092415948</v>
          </cell>
          <cell r="O22">
            <v>329979217.20011109</v>
          </cell>
          <cell r="P22">
            <v>27421.95803003</v>
          </cell>
          <cell r="Q22">
            <v>12033.393707289184</v>
          </cell>
          <cell r="R22">
            <v>329979217.20011109</v>
          </cell>
          <cell r="S22">
            <v>3.2091070923393038E-3</v>
          </cell>
          <cell r="T22">
            <v>10549765.172026243</v>
          </cell>
          <cell r="U22">
            <v>384.71961631890446</v>
          </cell>
          <cell r="V22">
            <v>319429452.02808487</v>
          </cell>
          <cell r="W22">
            <v>-3.1970998845143872E-2</v>
          </cell>
          <cell r="X22">
            <v>319429452.02808487</v>
          </cell>
          <cell r="Y22">
            <v>11648.67409097028</v>
          </cell>
          <cell r="Z22">
            <v>-8.4359061413456393E-2</v>
          </cell>
          <cell r="AA22">
            <v>-1.9749661343905878E-2</v>
          </cell>
        </row>
        <row r="23">
          <cell r="A23">
            <v>210027</v>
          </cell>
          <cell r="B23" t="str">
            <v>Western Maryland Regional Medical Center</v>
          </cell>
          <cell r="C23">
            <v>3</v>
          </cell>
          <cell r="D23">
            <v>296642959.46065426</v>
          </cell>
          <cell r="E23">
            <v>13310.426341854105</v>
          </cell>
          <cell r="F23">
            <v>14356026.147871958</v>
          </cell>
          <cell r="G23">
            <v>310998985.60852623</v>
          </cell>
          <cell r="H23">
            <v>13954.583981564836</v>
          </cell>
          <cell r="I23">
            <v>1.1009509493306491</v>
          </cell>
          <cell r="J23">
            <v>282482144.9108209</v>
          </cell>
          <cell r="K23">
            <v>246749693.80236965</v>
          </cell>
          <cell r="L23">
            <v>1566434.7687343666</v>
          </cell>
          <cell r="M23">
            <v>245183259.03363529</v>
          </cell>
          <cell r="N23">
            <v>0.99671861092415948</v>
          </cell>
          <cell r="O23">
            <v>245990449.4070808</v>
          </cell>
          <cell r="P23">
            <v>22286.5107279</v>
          </cell>
          <cell r="Q23">
            <v>11037.638525403201</v>
          </cell>
          <cell r="R23">
            <v>245990449.40708077</v>
          </cell>
          <cell r="S23">
            <v>0</v>
          </cell>
          <cell r="T23">
            <v>0</v>
          </cell>
          <cell r="U23">
            <v>0</v>
          </cell>
          <cell r="V23">
            <v>245990449.40708077</v>
          </cell>
          <cell r="W23">
            <v>0</v>
          </cell>
          <cell r="X23">
            <v>245990449.40708077</v>
          </cell>
          <cell r="Y23">
            <v>11037.638525403201</v>
          </cell>
          <cell r="Z23">
            <v>3.4630016829405141E-2</v>
          </cell>
          <cell r="AA23">
            <v>-7.1169060272952223E-2</v>
          </cell>
        </row>
        <row r="24">
          <cell r="A24">
            <v>210028</v>
          </cell>
          <cell r="B24" t="str">
            <v>St. Mary's Hospital</v>
          </cell>
          <cell r="C24">
            <v>3</v>
          </cell>
          <cell r="D24">
            <v>171566759.15614522</v>
          </cell>
          <cell r="E24">
            <v>12801.357404751032</v>
          </cell>
          <cell r="F24">
            <v>5654627.6078836862</v>
          </cell>
          <cell r="G24">
            <v>177221386.76402891</v>
          </cell>
          <cell r="H24">
            <v>13223.27426880633</v>
          </cell>
          <cell r="I24">
            <v>1.0923191168670769</v>
          </cell>
          <cell r="J24">
            <v>162243234.62572411</v>
          </cell>
          <cell r="K24">
            <v>136449940.18437353</v>
          </cell>
          <cell r="L24">
            <v>0</v>
          </cell>
          <cell r="M24">
            <v>136449940.18437353</v>
          </cell>
          <cell r="N24">
            <v>0.99671861092415948</v>
          </cell>
          <cell r="O24">
            <v>136899159.59114766</v>
          </cell>
          <cell r="P24">
            <v>13402.2317893</v>
          </cell>
          <cell r="Q24">
            <v>10214.653928045362</v>
          </cell>
          <cell r="R24">
            <v>136899159.59114766</v>
          </cell>
          <cell r="S24">
            <v>0</v>
          </cell>
          <cell r="T24">
            <v>0</v>
          </cell>
          <cell r="U24">
            <v>0</v>
          </cell>
          <cell r="V24">
            <v>136899159.59114766</v>
          </cell>
          <cell r="W24">
            <v>0</v>
          </cell>
          <cell r="X24">
            <v>136899159.59114766</v>
          </cell>
          <cell r="Y24">
            <v>10214.653928045362</v>
          </cell>
          <cell r="Z24">
            <v>-4.2513709689178114E-2</v>
          </cell>
          <cell r="AA24">
            <v>-0.14042423248985947</v>
          </cell>
        </row>
        <row r="25">
          <cell r="A25">
            <v>210029</v>
          </cell>
          <cell r="B25" t="str">
            <v>Johns Hopkins Bayview Medical Center</v>
          </cell>
          <cell r="C25">
            <v>4</v>
          </cell>
          <cell r="D25">
            <v>595965435.54421723</v>
          </cell>
          <cell r="E25">
            <v>15418.937704550564</v>
          </cell>
          <cell r="F25">
            <v>18687509.680506282</v>
          </cell>
          <cell r="G25">
            <v>614652945.22472346</v>
          </cell>
          <cell r="H25">
            <v>15902.42471643371</v>
          </cell>
          <cell r="I25">
            <v>1.0977598582507571</v>
          </cell>
          <cell r="J25">
            <v>559915668.80952632</v>
          </cell>
          <cell r="K25">
            <v>557922229.83951139</v>
          </cell>
          <cell r="L25">
            <v>22179247.654259458</v>
          </cell>
          <cell r="M25">
            <v>535742982.18525195</v>
          </cell>
          <cell r="N25">
            <v>0.99671861092415948</v>
          </cell>
          <cell r="O25">
            <v>537506750.96606255</v>
          </cell>
          <cell r="P25">
            <v>38651.523662900006</v>
          </cell>
          <cell r="Q25">
            <v>13906.482850558177</v>
          </cell>
          <cell r="R25">
            <v>537506750.96606255</v>
          </cell>
          <cell r="S25">
            <v>3.6306638435694236E-3</v>
          </cell>
          <cell r="T25">
            <v>16823361.593751092</v>
          </cell>
          <cell r="U25">
            <v>435.25739736617777</v>
          </cell>
          <cell r="V25">
            <v>520683389.37231147</v>
          </cell>
          <cell r="W25">
            <v>-3.1298884271712679E-2</v>
          </cell>
          <cell r="X25">
            <v>520683389.37231147</v>
          </cell>
          <cell r="Y25">
            <v>13471.225453192001</v>
          </cell>
          <cell r="Z25">
            <v>5.8902105213266109E-2</v>
          </cell>
          <cell r="AA25">
            <v>0.13362029098576356</v>
          </cell>
        </row>
        <row r="26">
          <cell r="A26">
            <v>210030</v>
          </cell>
          <cell r="B26" t="str">
            <v>Chester River Hospital Center</v>
          </cell>
          <cell r="C26">
            <v>3</v>
          </cell>
          <cell r="D26">
            <v>49894197.695666037</v>
          </cell>
          <cell r="E26">
            <v>15047.573194230785</v>
          </cell>
          <cell r="F26">
            <v>2763434.5041101854</v>
          </cell>
          <cell r="G26">
            <v>52657632.199776225</v>
          </cell>
          <cell r="H26">
            <v>15880.996415537997</v>
          </cell>
          <cell r="I26">
            <v>1.1003347580106044</v>
          </cell>
          <cell r="J26">
            <v>47856010.924330667</v>
          </cell>
          <cell r="K26">
            <v>38063221.847574137</v>
          </cell>
          <cell r="L26">
            <v>0</v>
          </cell>
          <cell r="M26">
            <v>38063221.847574137</v>
          </cell>
          <cell r="N26">
            <v>0.99671861092415948</v>
          </cell>
          <cell r="O26">
            <v>38188533.283513032</v>
          </cell>
          <cell r="P26">
            <v>3315.7637481900001</v>
          </cell>
          <cell r="Q26">
            <v>11517.26606105736</v>
          </cell>
          <cell r="R26">
            <v>38188533.283513032</v>
          </cell>
          <cell r="S26">
            <v>0</v>
          </cell>
          <cell r="T26">
            <v>0</v>
          </cell>
          <cell r="U26">
            <v>0</v>
          </cell>
          <cell r="V26">
            <v>38188533.283513032</v>
          </cell>
          <cell r="W26">
            <v>0</v>
          </cell>
          <cell r="X26">
            <v>38188533.283513032</v>
          </cell>
          <cell r="Y26">
            <v>11517.26606105736</v>
          </cell>
          <cell r="Z26">
            <v>7.9588641280062378E-2</v>
          </cell>
          <cell r="AA26">
            <v>-3.0807809663474961E-2</v>
          </cell>
        </row>
        <row r="27">
          <cell r="A27">
            <v>210032</v>
          </cell>
          <cell r="B27" t="str">
            <v>Union of Cecil</v>
          </cell>
          <cell r="C27">
            <v>3</v>
          </cell>
          <cell r="D27">
            <v>152949311.65969667</v>
          </cell>
          <cell r="E27">
            <v>15598.466864805901</v>
          </cell>
          <cell r="F27">
            <v>4251774.8290862348</v>
          </cell>
          <cell r="G27">
            <v>157201086.48878291</v>
          </cell>
          <cell r="H27">
            <v>16032.082211409606</v>
          </cell>
          <cell r="I27">
            <v>1.0967871336900321</v>
          </cell>
          <cell r="J27">
            <v>143328711.34246019</v>
          </cell>
          <cell r="K27">
            <v>134266087.93892667</v>
          </cell>
          <cell r="L27">
            <v>0</v>
          </cell>
          <cell r="M27">
            <v>134266087.93892667</v>
          </cell>
          <cell r="N27">
            <v>0.99671861092415948</v>
          </cell>
          <cell r="O27">
            <v>134708117.68472436</v>
          </cell>
          <cell r="P27">
            <v>9805.4067098600008</v>
          </cell>
          <cell r="Q27">
            <v>13738.146888824736</v>
          </cell>
          <cell r="R27">
            <v>134708117.68472436</v>
          </cell>
          <cell r="S27">
            <v>0</v>
          </cell>
          <cell r="T27">
            <v>0</v>
          </cell>
          <cell r="U27">
            <v>0</v>
          </cell>
          <cell r="V27">
            <v>134708117.68472436</v>
          </cell>
          <cell r="W27">
            <v>0</v>
          </cell>
          <cell r="X27">
            <v>134708117.68472436</v>
          </cell>
          <cell r="Y27">
            <v>13738.146888824736</v>
          </cell>
          <cell r="Z27">
            <v>0.28776632013054138</v>
          </cell>
          <cell r="AA27">
            <v>0.15608206007898451</v>
          </cell>
        </row>
        <row r="28">
          <cell r="A28">
            <v>210033</v>
          </cell>
          <cell r="B28" t="str">
            <v>Carroll Hospital Center</v>
          </cell>
          <cell r="C28">
            <v>3</v>
          </cell>
          <cell r="D28">
            <v>227058591.64168301</v>
          </cell>
          <cell r="E28">
            <v>14118.069681797748</v>
          </cell>
          <cell r="F28">
            <v>14922.963458489958</v>
          </cell>
          <cell r="G28">
            <v>227073514.60514149</v>
          </cell>
          <cell r="H28">
            <v>14118.997563171637</v>
          </cell>
          <cell r="I28">
            <v>1.0941992733223276</v>
          </cell>
          <cell r="J28">
            <v>207524826.7307618</v>
          </cell>
          <cell r="K28">
            <v>173684720.79228497</v>
          </cell>
          <cell r="L28">
            <v>0</v>
          </cell>
          <cell r="M28">
            <v>173684720.79228497</v>
          </cell>
          <cell r="N28">
            <v>0.99671861092415948</v>
          </cell>
          <cell r="O28">
            <v>174256524.24734414</v>
          </cell>
          <cell r="P28">
            <v>16082.8354555033</v>
          </cell>
          <cell r="Q28">
            <v>10834.937951672957</v>
          </cell>
          <cell r="R28">
            <v>174256524.24734414</v>
          </cell>
          <cell r="S28">
            <v>0</v>
          </cell>
          <cell r="T28">
            <v>0</v>
          </cell>
          <cell r="U28">
            <v>0</v>
          </cell>
          <cell r="V28">
            <v>174256524.24734414</v>
          </cell>
          <cell r="W28">
            <v>0</v>
          </cell>
          <cell r="X28">
            <v>174256524.24734414</v>
          </cell>
          <cell r="Y28">
            <v>10834.937951672957</v>
          </cell>
          <cell r="Z28">
            <v>1.5629566911863346E-2</v>
          </cell>
          <cell r="AA28">
            <v>-8.8226564371112315E-2</v>
          </cell>
        </row>
        <row r="29">
          <cell r="A29">
            <v>210034</v>
          </cell>
          <cell r="B29" t="str">
            <v>Harbor Hospital Center</v>
          </cell>
          <cell r="C29">
            <v>4</v>
          </cell>
          <cell r="D29">
            <v>182534665.40179709</v>
          </cell>
          <cell r="E29">
            <v>15747.82709536127</v>
          </cell>
          <cell r="F29">
            <v>1856796.058613176</v>
          </cell>
          <cell r="G29">
            <v>184391461.46041027</v>
          </cell>
          <cell r="H29">
            <v>15908.018603193626</v>
          </cell>
          <cell r="I29">
            <v>1.0977881752632692</v>
          </cell>
          <cell r="J29">
            <v>167966339.60480574</v>
          </cell>
          <cell r="K29">
            <v>141019440.43333012</v>
          </cell>
          <cell r="L29">
            <v>5343650.5046180002</v>
          </cell>
          <cell r="M29">
            <v>135675789.92871213</v>
          </cell>
          <cell r="N29">
            <v>0.99671861092415948</v>
          </cell>
          <cell r="O29">
            <v>136122460.68417773</v>
          </cell>
          <cell r="P29">
            <v>11591.101699076</v>
          </cell>
          <cell r="Q29">
            <v>11743.703421653949</v>
          </cell>
          <cell r="R29">
            <v>136122460.68417773</v>
          </cell>
          <cell r="S29">
            <v>3.8925500343592635E-3</v>
          </cell>
          <cell r="T29">
            <v>5409025.6455035554</v>
          </cell>
          <cell r="U29">
            <v>466.65328162332861</v>
          </cell>
          <cell r="V29">
            <v>130713435.03867418</v>
          </cell>
          <cell r="W29">
            <v>-3.9736466842552942E-2</v>
          </cell>
          <cell r="X29">
            <v>130713435.03867418</v>
          </cell>
          <cell r="Y29">
            <v>11277.05014003062</v>
          </cell>
          <cell r="Z29">
            <v>-0.11357046355092371</v>
          </cell>
          <cell r="AA29">
            <v>-5.1022276657583632E-2</v>
          </cell>
        </row>
        <row r="30">
          <cell r="A30">
            <v>210035</v>
          </cell>
          <cell r="B30" t="str">
            <v xml:space="preserve">Charles Regional </v>
          </cell>
          <cell r="C30">
            <v>3</v>
          </cell>
          <cell r="D30">
            <v>149994586.73019063</v>
          </cell>
          <cell r="E30">
            <v>12563.397583777729</v>
          </cell>
          <cell r="F30">
            <v>2585102.5158142722</v>
          </cell>
          <cell r="G30">
            <v>152579689.24600491</v>
          </cell>
          <cell r="H30">
            <v>12779.923202528353</v>
          </cell>
          <cell r="I30">
            <v>1.0966373052921363</v>
          </cell>
          <cell r="J30">
            <v>139134140.80451947</v>
          </cell>
          <cell r="K30">
            <v>119850837.22549337</v>
          </cell>
          <cell r="L30">
            <v>0</v>
          </cell>
          <cell r="M30">
            <v>119850837.22549337</v>
          </cell>
          <cell r="N30">
            <v>0.99671861092415948</v>
          </cell>
          <cell r="O30">
            <v>120245409.19765453</v>
          </cell>
          <cell r="P30">
            <v>11939.01456433</v>
          </cell>
          <cell r="Q30">
            <v>10071.636025716041</v>
          </cell>
          <cell r="R30">
            <v>120245409.19765455</v>
          </cell>
          <cell r="S30">
            <v>0</v>
          </cell>
          <cell r="T30">
            <v>0</v>
          </cell>
          <cell r="U30">
            <v>0</v>
          </cell>
          <cell r="V30">
            <v>120245409.19765455</v>
          </cell>
          <cell r="W30">
            <v>0</v>
          </cell>
          <cell r="X30">
            <v>120245409.19765455</v>
          </cell>
          <cell r="Y30">
            <v>10071.636025716041</v>
          </cell>
          <cell r="Z30">
            <v>-5.5919712644732056E-2</v>
          </cell>
          <cell r="AA30">
            <v>-0.15245936593915688</v>
          </cell>
        </row>
        <row r="31">
          <cell r="A31">
            <v>210037</v>
          </cell>
          <cell r="B31" t="str">
            <v>Shore Medical Easton</v>
          </cell>
          <cell r="C31">
            <v>3</v>
          </cell>
          <cell r="D31">
            <v>196143562.39371398</v>
          </cell>
          <cell r="E31">
            <v>14062.687912432128</v>
          </cell>
          <cell r="F31">
            <v>6456774.1397247352</v>
          </cell>
          <cell r="G31">
            <v>202600336.53343871</v>
          </cell>
          <cell r="H31">
            <v>14525.612101938545</v>
          </cell>
          <cell r="I31">
            <v>1.099095772439604</v>
          </cell>
          <cell r="J31">
            <v>184333651.00089285</v>
          </cell>
          <cell r="K31">
            <v>161432065.0882743</v>
          </cell>
          <cell r="L31">
            <v>706256.9</v>
          </cell>
          <cell r="M31">
            <v>160725808.18827429</v>
          </cell>
          <cell r="N31">
            <v>0.99671861092415948</v>
          </cell>
          <cell r="O31">
            <v>161254948.41442662</v>
          </cell>
          <cell r="P31">
            <v>13947.800279370002</v>
          </cell>
          <cell r="Q31">
            <v>11561.317568687629</v>
          </cell>
          <cell r="R31">
            <v>161254948.41442662</v>
          </cell>
          <cell r="S31">
            <v>0</v>
          </cell>
          <cell r="T31">
            <v>0</v>
          </cell>
          <cell r="U31">
            <v>0</v>
          </cell>
          <cell r="V31">
            <v>161254948.41442662</v>
          </cell>
          <cell r="W31">
            <v>0</v>
          </cell>
          <cell r="X31">
            <v>161254948.41442662</v>
          </cell>
          <cell r="Y31">
            <v>11561.317568687629</v>
          </cell>
          <cell r="Z31">
            <v>8.3717877074110936E-2</v>
          </cell>
          <cell r="AA31">
            <v>-2.710082078768894E-2</v>
          </cell>
        </row>
        <row r="32">
          <cell r="A32">
            <v>210038</v>
          </cell>
          <cell r="B32" t="str">
            <v>UMMC Midtown</v>
          </cell>
          <cell r="C32">
            <v>4</v>
          </cell>
          <cell r="D32">
            <v>205596513.87579927</v>
          </cell>
          <cell r="E32">
            <v>20226.33047118118</v>
          </cell>
          <cell r="F32">
            <v>579883.59021744365</v>
          </cell>
          <cell r="G32">
            <v>206176397.46601671</v>
          </cell>
          <cell r="H32">
            <v>20283.378700790941</v>
          </cell>
          <cell r="I32">
            <v>1.1005377242992815</v>
          </cell>
          <cell r="J32">
            <v>187341508.53146842</v>
          </cell>
          <cell r="K32">
            <v>159031788.00844905</v>
          </cell>
          <cell r="L32">
            <v>2306065.8169178362</v>
          </cell>
          <cell r="M32">
            <v>156725722.19153121</v>
          </cell>
          <cell r="N32">
            <v>0.99671861092415948</v>
          </cell>
          <cell r="O32">
            <v>157241693.3664104</v>
          </cell>
          <cell r="P32">
            <v>10164.795545526</v>
          </cell>
          <cell r="Q32">
            <v>15469.243101069535</v>
          </cell>
          <cell r="R32">
            <v>157241693.3664104</v>
          </cell>
          <cell r="S32">
            <v>3.4964218098266523E-3</v>
          </cell>
          <cell r="T32">
            <v>4260716.0176786268</v>
          </cell>
          <cell r="U32">
            <v>419.16396631843389</v>
          </cell>
          <cell r="V32">
            <v>152980977.34873179</v>
          </cell>
          <cell r="W32">
            <v>-2.7096604764679899E-2</v>
          </cell>
          <cell r="X32">
            <v>152980977.34873179</v>
          </cell>
          <cell r="Y32">
            <v>15050.0791347511</v>
          </cell>
          <cell r="Z32">
            <v>0.18300748026142122</v>
          </cell>
          <cell r="AA32">
            <v>0.26648278193968578</v>
          </cell>
        </row>
        <row r="33">
          <cell r="A33">
            <v>210039</v>
          </cell>
          <cell r="B33" t="str">
            <v>Calvert Memorial Hospital</v>
          </cell>
          <cell r="C33">
            <v>3</v>
          </cell>
          <cell r="D33">
            <v>135977204.16859451</v>
          </cell>
          <cell r="E33">
            <v>13364.716541947433</v>
          </cell>
          <cell r="F33">
            <v>3382167.4029481672</v>
          </cell>
          <cell r="G33">
            <v>139359371.57154268</v>
          </cell>
          <cell r="H33">
            <v>13697.137765888561</v>
          </cell>
          <cell r="I33">
            <v>1.0896460964193784</v>
          </cell>
          <cell r="J33">
            <v>127894159.42431517</v>
          </cell>
          <cell r="K33">
            <v>112621598.96794009</v>
          </cell>
          <cell r="L33">
            <v>0</v>
          </cell>
          <cell r="M33">
            <v>112621598.96794009</v>
          </cell>
          <cell r="N33">
            <v>0.99671861092415948</v>
          </cell>
          <cell r="O33">
            <v>112992370.89946291</v>
          </cell>
          <cell r="P33">
            <v>10174.34254904</v>
          </cell>
          <cell r="Q33">
            <v>11105.618899191113</v>
          </cell>
          <cell r="R33">
            <v>112992370.89946291</v>
          </cell>
          <cell r="S33">
            <v>0</v>
          </cell>
          <cell r="T33">
            <v>0</v>
          </cell>
          <cell r="U33">
            <v>0</v>
          </cell>
          <cell r="V33">
            <v>112992370.89946291</v>
          </cell>
          <cell r="W33">
            <v>0</v>
          </cell>
          <cell r="X33">
            <v>112992370.89946291</v>
          </cell>
          <cell r="Y33">
            <v>11105.618899191113</v>
          </cell>
          <cell r="Z33">
            <v>4.1002261681814423E-2</v>
          </cell>
          <cell r="AA33">
            <v>-6.5448427700767531E-2</v>
          </cell>
        </row>
        <row r="34">
          <cell r="A34">
            <v>210040</v>
          </cell>
          <cell r="B34" t="str">
            <v>Northwest Hospital Center</v>
          </cell>
          <cell r="C34">
            <v>3</v>
          </cell>
          <cell r="D34">
            <v>251224000.41756877</v>
          </cell>
          <cell r="E34">
            <v>14761.969020236842</v>
          </cell>
          <cell r="F34">
            <v>6867216.758278043</v>
          </cell>
          <cell r="G34">
            <v>258091217.17584682</v>
          </cell>
          <cell r="H34">
            <v>15165.487955021954</v>
          </cell>
          <cell r="I34">
            <v>1.0952725835986694</v>
          </cell>
          <cell r="J34">
            <v>235641082.44894841</v>
          </cell>
          <cell r="K34">
            <v>192138766.35329568</v>
          </cell>
          <cell r="L34">
            <v>0</v>
          </cell>
          <cell r="M34">
            <v>192138766.35329568</v>
          </cell>
          <cell r="N34">
            <v>0.99671861092415948</v>
          </cell>
          <cell r="O34">
            <v>192771324.07023507</v>
          </cell>
          <cell r="P34">
            <v>17018.325947789999</v>
          </cell>
          <cell r="Q34">
            <v>11327.278879346435</v>
          </cell>
          <cell r="R34">
            <v>192771324.07023507</v>
          </cell>
          <cell r="S34">
            <v>0</v>
          </cell>
          <cell r="T34">
            <v>0</v>
          </cell>
          <cell r="U34">
            <v>0</v>
          </cell>
          <cell r="V34">
            <v>192771324.07023507</v>
          </cell>
          <cell r="W34">
            <v>0</v>
          </cell>
          <cell r="X34">
            <v>192771324.07023507</v>
          </cell>
          <cell r="Y34">
            <v>11327.278879346435</v>
          </cell>
          <cell r="Z34">
            <v>6.1779900709464153E-2</v>
          </cell>
          <cell r="AA34">
            <v>-4.6795466091841709E-2</v>
          </cell>
        </row>
        <row r="35">
          <cell r="A35">
            <v>210043</v>
          </cell>
          <cell r="B35" t="str">
            <v>Baltimore Washington Medical Center</v>
          </cell>
          <cell r="C35">
            <v>1</v>
          </cell>
          <cell r="D35">
            <v>408301967.38977468</v>
          </cell>
          <cell r="E35">
            <v>12918.002415867943</v>
          </cell>
          <cell r="F35">
            <v>3764596.728738558</v>
          </cell>
          <cell r="G35">
            <v>412066564.11851323</v>
          </cell>
          <cell r="H35">
            <v>13037.108061984482</v>
          </cell>
          <cell r="I35">
            <v>1.094298357272198</v>
          </cell>
          <cell r="J35">
            <v>376557783.69775522</v>
          </cell>
          <cell r="K35">
            <v>345109686.64079368</v>
          </cell>
          <cell r="L35">
            <v>580332.93895700003</v>
          </cell>
          <cell r="M35">
            <v>344529353.70183671</v>
          </cell>
          <cell r="N35">
            <v>0.99671861092415948</v>
          </cell>
          <cell r="O35">
            <v>345663610.49723792</v>
          </cell>
          <cell r="P35">
            <v>31607.206303679999</v>
          </cell>
          <cell r="Q35">
            <v>10936.22787082554</v>
          </cell>
          <cell r="R35">
            <v>345663610.49723792</v>
          </cell>
          <cell r="S35">
            <v>2.2146848198934292E-4</v>
          </cell>
          <cell r="T35">
            <v>839185.865956633</v>
          </cell>
          <cell r="U35">
            <v>26.550459977189675</v>
          </cell>
          <cell r="V35">
            <v>344824424.63128132</v>
          </cell>
          <cell r="W35">
            <v>-2.4277529958951494E-3</v>
          </cell>
          <cell r="X35">
            <v>344824424.63128132</v>
          </cell>
          <cell r="Y35">
            <v>10909.677410848351</v>
          </cell>
          <cell r="Z35">
            <v>5.5870227254040117E-3</v>
          </cell>
          <cell r="AA35">
            <v>-8.1937146399976402E-2</v>
          </cell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423104314.03930628</v>
          </cell>
          <cell r="E36">
            <v>13085.545812441664</v>
          </cell>
          <cell r="F36">
            <v>16675434.032526202</v>
          </cell>
          <cell r="G36">
            <v>439779748.07183248</v>
          </cell>
          <cell r="H36">
            <v>13601.274791642521</v>
          </cell>
          <cell r="I36">
            <v>1.0887795174128592</v>
          </cell>
          <cell r="J36">
            <v>403919931.48147225</v>
          </cell>
          <cell r="K36">
            <v>374630101.48805588</v>
          </cell>
          <cell r="L36">
            <v>4194803.620875</v>
          </cell>
          <cell r="M36">
            <v>370435297.86718088</v>
          </cell>
          <cell r="N36">
            <v>0.99671861092415948</v>
          </cell>
          <cell r="O36">
            <v>371654842.00572169</v>
          </cell>
          <cell r="P36">
            <v>32333.7153913</v>
          </cell>
          <cell r="Q36">
            <v>11494.343829899686</v>
          </cell>
          <cell r="R36">
            <v>371654842.00572169</v>
          </cell>
          <cell r="S36">
            <v>1.7084673141479951E-3</v>
          </cell>
          <cell r="T36">
            <v>6622506.6988117481</v>
          </cell>
          <cell r="U36">
            <v>204.81737464026975</v>
          </cell>
          <cell r="V36">
            <v>365032335.30690992</v>
          </cell>
          <cell r="W36">
            <v>-1.7818970588602823E-2</v>
          </cell>
          <cell r="X36">
            <v>365032335.30690992</v>
          </cell>
          <cell r="Y36">
            <v>11289.526455259416</v>
          </cell>
          <cell r="Z36">
            <v>4.059917343066588E-2</v>
          </cell>
          <cell r="AA36">
            <v>-4.9972379293068303E-2</v>
          </cell>
        </row>
        <row r="37">
          <cell r="A37">
            <v>210045</v>
          </cell>
          <cell r="B37" t="str">
            <v>McCready Memorial Hospital</v>
          </cell>
          <cell r="C37">
            <v>3</v>
          </cell>
          <cell r="D37">
            <v>15419250.022642953</v>
          </cell>
          <cell r="E37">
            <v>16101.722780834494</v>
          </cell>
          <cell r="F37">
            <v>43493.799409905332</v>
          </cell>
          <cell r="G37">
            <v>15462743.822052859</v>
          </cell>
          <cell r="H37">
            <v>16147.141663059967</v>
          </cell>
          <cell r="I37">
            <v>1.1000451041903196</v>
          </cell>
          <cell r="J37">
            <v>14056463.469681183</v>
          </cell>
          <cell r="K37">
            <v>14056463.469681183</v>
          </cell>
          <cell r="L37">
            <v>0</v>
          </cell>
          <cell r="M37">
            <v>14056463.469681183</v>
          </cell>
          <cell r="N37">
            <v>0.99671861092415948</v>
          </cell>
          <cell r="O37">
            <v>14102740.046810204</v>
          </cell>
          <cell r="P37">
            <v>957.61492310599999</v>
          </cell>
          <cell r="Q37">
            <v>14726.942643153807</v>
          </cell>
          <cell r="R37">
            <v>14102740.046810204</v>
          </cell>
          <cell r="S37">
            <v>0</v>
          </cell>
          <cell r="T37">
            <v>0</v>
          </cell>
          <cell r="U37">
            <v>0</v>
          </cell>
          <cell r="V37">
            <v>14102740.046810204</v>
          </cell>
          <cell r="W37">
            <v>0</v>
          </cell>
          <cell r="X37">
            <v>14102740.046810204</v>
          </cell>
          <cell r="Y37">
            <v>14726.942643153807</v>
          </cell>
          <cell r="Z37">
            <v>0.38045261037168321</v>
          </cell>
          <cell r="AA37">
            <v>0.23929044632734953</v>
          </cell>
        </row>
        <row r="38">
          <cell r="A38">
            <v>210048</v>
          </cell>
          <cell r="B38" t="str">
            <v>Howard County General Hospital</v>
          </cell>
          <cell r="C38">
            <v>3</v>
          </cell>
          <cell r="D38">
            <v>299481803.15354633</v>
          </cell>
          <cell r="E38">
            <v>12148.087717465343</v>
          </cell>
          <cell r="F38">
            <v>123452.97871591344</v>
          </cell>
          <cell r="G38">
            <v>299605256.13226223</v>
          </cell>
          <cell r="H38">
            <v>12153.095426109512</v>
          </cell>
          <cell r="I38">
            <v>1.0884353028263278</v>
          </cell>
          <cell r="J38">
            <v>275262347.1089927</v>
          </cell>
          <cell r="K38">
            <v>256375492.43923238</v>
          </cell>
          <cell r="L38">
            <v>0</v>
          </cell>
          <cell r="M38">
            <v>256375492.43923238</v>
          </cell>
          <cell r="N38">
            <v>0.99671861092415948</v>
          </cell>
          <cell r="O38">
            <v>257219529.79439253</v>
          </cell>
          <cell r="P38">
            <v>24652.588137224298</v>
          </cell>
          <cell r="Q38">
            <v>10433.773864335268</v>
          </cell>
          <cell r="R38">
            <v>257219529.79439256</v>
          </cell>
          <cell r="S38">
            <v>0</v>
          </cell>
          <cell r="T38">
            <v>0</v>
          </cell>
          <cell r="U38">
            <v>0</v>
          </cell>
          <cell r="V38">
            <v>257219529.79439256</v>
          </cell>
          <cell r="W38">
            <v>0</v>
          </cell>
          <cell r="X38">
            <v>257219529.79439256</v>
          </cell>
          <cell r="Y38">
            <v>10433.773864335268</v>
          </cell>
          <cell r="Z38">
            <v>-2.1974165578405369E-2</v>
          </cell>
          <cell r="AA38">
            <v>-0.12198501871522194</v>
          </cell>
        </row>
        <row r="39">
          <cell r="A39">
            <v>210049</v>
          </cell>
          <cell r="B39" t="str">
            <v>Upper Chesapeake Medical Center</v>
          </cell>
          <cell r="C39">
            <v>3</v>
          </cell>
          <cell r="D39">
            <v>318060768.65094852</v>
          </cell>
          <cell r="E39">
            <v>12828.127601936936</v>
          </cell>
          <cell r="F39">
            <v>11514422.447917374</v>
          </cell>
          <cell r="G39">
            <v>329575191.09886593</v>
          </cell>
          <cell r="H39">
            <v>13292.530932945019</v>
          </cell>
          <cell r="I39">
            <v>1.0914316135844762</v>
          </cell>
          <cell r="J39">
            <v>301965956.45280617</v>
          </cell>
          <cell r="K39">
            <v>252611398.28188851</v>
          </cell>
          <cell r="L39">
            <v>0</v>
          </cell>
          <cell r="M39">
            <v>252611398.28188851</v>
          </cell>
          <cell r="N39">
            <v>0.99671861092415948</v>
          </cell>
          <cell r="O39">
            <v>253443043.51623043</v>
          </cell>
          <cell r="P39">
            <v>24794.013477299999</v>
          </cell>
          <cell r="Q39">
            <v>10221.945057353001</v>
          </cell>
          <cell r="R39">
            <v>253443043.51623043</v>
          </cell>
          <cell r="S39">
            <v>0</v>
          </cell>
          <cell r="T39">
            <v>0</v>
          </cell>
          <cell r="U39">
            <v>0</v>
          </cell>
          <cell r="V39">
            <v>253443043.51623043</v>
          </cell>
          <cell r="W39">
            <v>0</v>
          </cell>
          <cell r="X39">
            <v>253443043.51623043</v>
          </cell>
          <cell r="Y39">
            <v>10221.945057353001</v>
          </cell>
          <cell r="Z39">
            <v>-4.1830264473889822E-2</v>
          </cell>
          <cell r="AA39">
            <v>-0.13981067493668353</v>
          </cell>
        </row>
        <row r="40">
          <cell r="A40">
            <v>210051</v>
          </cell>
          <cell r="B40" t="str">
            <v>Doctors Community Hospital</v>
          </cell>
          <cell r="C40">
            <v>3</v>
          </cell>
          <cell r="D40">
            <v>246849333.27644342</v>
          </cell>
          <cell r="E40">
            <v>14178.910397650896</v>
          </cell>
          <cell r="F40">
            <v>409166.96919260308</v>
          </cell>
          <cell r="G40">
            <v>247258500.24563602</v>
          </cell>
          <cell r="H40">
            <v>14202.412757235408</v>
          </cell>
          <cell r="I40">
            <v>1.0948838628738018</v>
          </cell>
          <cell r="J40">
            <v>225830801.44833174</v>
          </cell>
          <cell r="K40">
            <v>196130949.05746514</v>
          </cell>
          <cell r="L40">
            <v>0</v>
          </cell>
          <cell r="M40">
            <v>196130949.05746514</v>
          </cell>
          <cell r="N40">
            <v>1.0181752931904677</v>
          </cell>
          <cell r="O40">
            <v>192629845.14472535</v>
          </cell>
          <cell r="P40">
            <v>17409.612329403</v>
          </cell>
          <cell r="Q40">
            <v>11064.568325820435</v>
          </cell>
          <cell r="R40">
            <v>192629845.14472535</v>
          </cell>
          <cell r="S40">
            <v>0</v>
          </cell>
          <cell r="T40">
            <v>0</v>
          </cell>
          <cell r="U40">
            <v>0</v>
          </cell>
          <cell r="V40">
            <v>192629845.14472535</v>
          </cell>
          <cell r="W40">
            <v>0</v>
          </cell>
          <cell r="X40">
            <v>192629845.14472535</v>
          </cell>
          <cell r="Y40">
            <v>11064.568325820435</v>
          </cell>
          <cell r="Z40">
            <v>3.7154323074329643E-2</v>
          </cell>
          <cell r="AA40">
            <v>-6.8902884245296225E-2</v>
          </cell>
        </row>
        <row r="41">
          <cell r="A41">
            <v>210055</v>
          </cell>
          <cell r="B41" t="str">
            <v>Laurel Regional Hospital</v>
          </cell>
          <cell r="C41">
            <v>3</v>
          </cell>
          <cell r="D41">
            <v>89477948.430194408</v>
          </cell>
          <cell r="E41">
            <v>14661.174199662491</v>
          </cell>
          <cell r="F41">
            <v>1161288.2699243315</v>
          </cell>
          <cell r="G41">
            <v>90639236.700118735</v>
          </cell>
          <cell r="H41">
            <v>14851.454038662911</v>
          </cell>
          <cell r="I41">
            <v>1.0934308630702625</v>
          </cell>
          <cell r="J41">
            <v>82894346.374686494</v>
          </cell>
          <cell r="K41">
            <v>68797085.852255702</v>
          </cell>
          <cell r="L41">
            <v>0</v>
          </cell>
          <cell r="M41">
            <v>68797085.852255702</v>
          </cell>
          <cell r="N41">
            <v>1.0181752931904677</v>
          </cell>
          <cell r="O41">
            <v>67568999.476189405</v>
          </cell>
          <cell r="P41">
            <v>6103.0547220600001</v>
          </cell>
          <cell r="Q41">
            <v>11071.340919155718</v>
          </cell>
          <cell r="R41">
            <v>67568999.476189405</v>
          </cell>
          <cell r="S41">
            <v>0</v>
          </cell>
          <cell r="T41">
            <v>0</v>
          </cell>
          <cell r="U41">
            <v>0</v>
          </cell>
          <cell r="V41">
            <v>67568999.476189405</v>
          </cell>
          <cell r="W41">
            <v>0</v>
          </cell>
          <cell r="X41">
            <v>67568999.476189405</v>
          </cell>
          <cell r="Y41">
            <v>11071.340919155718</v>
          </cell>
          <cell r="Z41">
            <v>3.778916252303377E-2</v>
          </cell>
          <cell r="AA41">
            <v>-6.8332962135823072E-2</v>
          </cell>
        </row>
        <row r="42">
          <cell r="A42">
            <v>210056</v>
          </cell>
          <cell r="B42" t="str">
            <v>Good Samaritan Hospital</v>
          </cell>
          <cell r="C42">
            <v>1</v>
          </cell>
          <cell r="D42">
            <v>254884706.39541113</v>
          </cell>
          <cell r="E42">
            <v>16110.65196751537</v>
          </cell>
          <cell r="F42">
            <v>3063630.7783976365</v>
          </cell>
          <cell r="G42">
            <v>257948337.17380878</v>
          </cell>
          <cell r="H42">
            <v>16304.296733126232</v>
          </cell>
          <cell r="I42">
            <v>1.1002376998134848</v>
          </cell>
          <cell r="J42">
            <v>234447826.3356517</v>
          </cell>
          <cell r="K42">
            <v>205292481.80320838</v>
          </cell>
          <cell r="L42">
            <v>4806656.7515949998</v>
          </cell>
          <cell r="M42">
            <v>200485825.05161339</v>
          </cell>
          <cell r="N42">
            <v>0.99671861092415948</v>
          </cell>
          <cell r="O42">
            <v>201145862.88874704</v>
          </cell>
          <cell r="P42">
            <v>15820.880924579998</v>
          </cell>
          <cell r="Q42">
            <v>12713.948347606751</v>
          </cell>
          <cell r="R42">
            <v>201145862.88874704</v>
          </cell>
          <cell r="S42">
            <v>2.5915118251285643E-3</v>
          </cell>
          <cell r="T42">
            <v>4915231.5006031366</v>
          </cell>
          <cell r="U42">
            <v>310.68001358676696</v>
          </cell>
          <cell r="V42">
            <v>196230631.3881439</v>
          </cell>
          <cell r="W42">
            <v>-2.4436155086727918E-2</v>
          </cell>
          <cell r="X42">
            <v>196230631.3881439</v>
          </cell>
          <cell r="Y42">
            <v>12403.268334019984</v>
          </cell>
          <cell r="Z42">
            <v>0.14325705576491043</v>
          </cell>
          <cell r="AA42">
            <v>4.3750377932735729E-2</v>
          </cell>
        </row>
        <row r="43">
          <cell r="A43">
            <v>210057</v>
          </cell>
          <cell r="B43" t="str">
            <v>Shady Grove Adventist Hospital</v>
          </cell>
          <cell r="C43">
            <v>3</v>
          </cell>
          <cell r="D43">
            <v>381280908.53684682</v>
          </cell>
          <cell r="E43">
            <v>13320.529939754924</v>
          </cell>
          <cell r="F43">
            <v>5719784.961937299</v>
          </cell>
          <cell r="G43">
            <v>387000693.49878412</v>
          </cell>
          <cell r="H43">
            <v>13520.357849121865</v>
          </cell>
          <cell r="I43">
            <v>1.0890453925126413</v>
          </cell>
          <cell r="J43">
            <v>355357725.36156422</v>
          </cell>
          <cell r="K43">
            <v>315214308.09092093</v>
          </cell>
          <cell r="L43">
            <v>0</v>
          </cell>
          <cell r="M43">
            <v>315214308.09092093</v>
          </cell>
          <cell r="N43">
            <v>1.0181752931904677</v>
          </cell>
          <cell r="O43">
            <v>309587465.14383799</v>
          </cell>
          <cell r="P43">
            <v>28623.554037360002</v>
          </cell>
          <cell r="Q43">
            <v>10815.828975666635</v>
          </cell>
          <cell r="R43">
            <v>309587465.14383799</v>
          </cell>
          <cell r="S43">
            <v>0</v>
          </cell>
          <cell r="T43">
            <v>0</v>
          </cell>
          <cell r="U43">
            <v>0</v>
          </cell>
          <cell r="V43">
            <v>309587465.14383799</v>
          </cell>
          <cell r="W43">
            <v>0</v>
          </cell>
          <cell r="X43">
            <v>309587465.14383799</v>
          </cell>
          <cell r="Y43">
            <v>10815.828975666635</v>
          </cell>
          <cell r="Z43">
            <v>1.3838357667103951E-2</v>
          </cell>
          <cell r="AA43">
            <v>-8.9834608347215017E-2</v>
          </cell>
        </row>
        <row r="44">
          <cell r="A44">
            <v>210058</v>
          </cell>
          <cell r="B44" t="str">
            <v>Rehab &amp; Ortho Institue</v>
          </cell>
          <cell r="C44">
            <v>1</v>
          </cell>
          <cell r="D44">
            <v>101667617.32301664</v>
          </cell>
          <cell r="E44">
            <v>16417.698322674882</v>
          </cell>
          <cell r="F44">
            <v>1106538.5897720447</v>
          </cell>
          <cell r="G44">
            <v>102774155.91278869</v>
          </cell>
          <cell r="H44">
            <v>16596.386652623209</v>
          </cell>
          <cell r="I44">
            <v>1.0908060537691864</v>
          </cell>
          <cell r="J44">
            <v>94218541.928385392</v>
          </cell>
          <cell r="K44">
            <v>90272986.914301723</v>
          </cell>
          <cell r="L44">
            <v>2472404.4627116672</v>
          </cell>
          <cell r="M44">
            <v>87800582.451590061</v>
          </cell>
          <cell r="N44">
            <v>0.99671861092415948</v>
          </cell>
          <cell r="O44">
            <v>88089638.830142021</v>
          </cell>
          <cell r="P44">
            <v>6192.5621560849995</v>
          </cell>
          <cell r="Q44">
            <v>14225.071401759362</v>
          </cell>
          <cell r="R44">
            <v>88089638.830142021</v>
          </cell>
          <cell r="S44">
            <v>2.0601342659553046E-3</v>
          </cell>
          <cell r="T44">
            <v>1529417.3786190725</v>
          </cell>
          <cell r="U44">
            <v>246.97650828037641</v>
          </cell>
          <cell r="V44">
            <v>86560221.451522946</v>
          </cell>
          <cell r="W44">
            <v>-1.7362057546497112E-2</v>
          </cell>
          <cell r="X44">
            <v>86560221.451522946</v>
          </cell>
          <cell r="Y44">
            <v>13978.094893478985</v>
          </cell>
          <cell r="Z44">
            <v>0.28841489055666569</v>
          </cell>
          <cell r="AA44">
            <v>0.17627398157883212</v>
          </cell>
        </row>
        <row r="45">
          <cell r="A45">
            <v>210060</v>
          </cell>
          <cell r="B45" t="str">
            <v>Fort Washington Medical Center</v>
          </cell>
          <cell r="C45">
            <v>3</v>
          </cell>
          <cell r="D45">
            <v>50264194.221443541</v>
          </cell>
          <cell r="E45">
            <v>11990.275236862102</v>
          </cell>
          <cell r="F45">
            <v>134.4201659181673</v>
          </cell>
          <cell r="G45">
            <v>50264328.64160946</v>
          </cell>
          <cell r="H45">
            <v>11990.307302128675</v>
          </cell>
          <cell r="I45">
            <v>1.096862268780789</v>
          </cell>
          <cell r="J45">
            <v>45825560.849568188</v>
          </cell>
          <cell r="K45">
            <v>44597695.513145946</v>
          </cell>
          <cell r="L45">
            <v>0</v>
          </cell>
          <cell r="M45">
            <v>44597695.513145946</v>
          </cell>
          <cell r="N45">
            <v>1.0181752931904677</v>
          </cell>
          <cell r="O45">
            <v>43801588.79459586</v>
          </cell>
          <cell r="P45">
            <v>4192.0801006230995</v>
          </cell>
          <cell r="Q45">
            <v>10448.652636214014</v>
          </cell>
          <cell r="R45">
            <v>43801588.79459586</v>
          </cell>
          <cell r="S45">
            <v>0</v>
          </cell>
          <cell r="T45">
            <v>0</v>
          </cell>
          <cell r="U45">
            <v>0</v>
          </cell>
          <cell r="V45">
            <v>43801588.79459586</v>
          </cell>
          <cell r="W45">
            <v>0</v>
          </cell>
          <cell r="X45">
            <v>43801588.79459586</v>
          </cell>
          <cell r="Y45">
            <v>10448.652636214014</v>
          </cell>
          <cell r="Z45">
            <v>-2.0579481021207879E-2</v>
          </cell>
          <cell r="AA45">
            <v>-0.12073295165084819</v>
          </cell>
        </row>
        <row r="46">
          <cell r="A46">
            <v>210061</v>
          </cell>
          <cell r="B46" t="str">
            <v>Atlantic General Hospital</v>
          </cell>
          <cell r="C46">
            <v>3</v>
          </cell>
          <cell r="D46">
            <v>100955335.01930842</v>
          </cell>
          <cell r="E46">
            <v>11502.567036399148</v>
          </cell>
          <cell r="F46">
            <v>1933206.733627351</v>
          </cell>
          <cell r="G46">
            <v>102888541.75293577</v>
          </cell>
          <cell r="H46">
            <v>11722.831176422198</v>
          </cell>
          <cell r="I46">
            <v>1.0953665287762928</v>
          </cell>
          <cell r="J46">
            <v>93930697.214090914</v>
          </cell>
          <cell r="K46">
            <v>79238019.400392383</v>
          </cell>
          <cell r="L46">
            <v>0</v>
          </cell>
          <cell r="M46">
            <v>79238019.400392383</v>
          </cell>
          <cell r="N46">
            <v>0.98428319730495717</v>
          </cell>
          <cell r="O46">
            <v>80503273.465758786</v>
          </cell>
          <cell r="P46">
            <v>8776.7656297799986</v>
          </cell>
          <cell r="Q46">
            <v>9172.3166439134711</v>
          </cell>
          <cell r="R46">
            <v>80503273.465758786</v>
          </cell>
          <cell r="S46">
            <v>0</v>
          </cell>
          <cell r="T46">
            <v>0</v>
          </cell>
          <cell r="U46">
            <v>0</v>
          </cell>
          <cell r="V46">
            <v>80503273.465758786</v>
          </cell>
          <cell r="W46">
            <v>0</v>
          </cell>
          <cell r="X46">
            <v>80503273.465758786</v>
          </cell>
          <cell r="Y46">
            <v>9172.3166439134711</v>
          </cell>
          <cell r="Z46">
            <v>-0.14021879754300415</v>
          </cell>
          <cell r="AA46">
            <v>-0.22813820472264701</v>
          </cell>
        </row>
        <row r="47">
          <cell r="A47">
            <v>210062</v>
          </cell>
          <cell r="B47" t="str">
            <v>Southern Maryland Hospital Center</v>
          </cell>
          <cell r="C47">
            <v>3</v>
          </cell>
          <cell r="D47">
            <v>269527504.67710185</v>
          </cell>
          <cell r="E47">
            <v>16154.688476967394</v>
          </cell>
          <cell r="F47">
            <v>93208.472234095723</v>
          </cell>
          <cell r="G47">
            <v>269620713.14933592</v>
          </cell>
          <cell r="H47">
            <v>16160.275119540884</v>
          </cell>
          <cell r="I47">
            <v>1.0939101007183893</v>
          </cell>
          <cell r="J47">
            <v>246474287.94401973</v>
          </cell>
          <cell r="K47">
            <v>232649094.35003236</v>
          </cell>
          <cell r="L47">
            <v>0</v>
          </cell>
          <cell r="M47">
            <v>232649094.35003236</v>
          </cell>
          <cell r="N47">
            <v>1.0181752931904677</v>
          </cell>
          <cell r="O47">
            <v>228496110.54794198</v>
          </cell>
          <cell r="P47">
            <v>16684.166027799401</v>
          </cell>
          <cell r="Q47">
            <v>13695.387001497014</v>
          </cell>
          <cell r="R47">
            <v>228496110.54794201</v>
          </cell>
          <cell r="S47">
            <v>0</v>
          </cell>
          <cell r="T47">
            <v>0</v>
          </cell>
          <cell r="U47">
            <v>0</v>
          </cell>
          <cell r="V47">
            <v>228496110.54794201</v>
          </cell>
          <cell r="W47">
            <v>0</v>
          </cell>
          <cell r="X47">
            <v>228496110.54794201</v>
          </cell>
          <cell r="Y47">
            <v>13695.387001497014</v>
          </cell>
          <cell r="Z47">
            <v>0.28375815635133406</v>
          </cell>
          <cell r="AA47">
            <v>0.15248376264989005</v>
          </cell>
        </row>
        <row r="48">
          <cell r="A48">
            <v>210063</v>
          </cell>
          <cell r="B48" t="str">
            <v>St. Joseph Medical Center</v>
          </cell>
          <cell r="C48">
            <v>3</v>
          </cell>
          <cell r="D48">
            <v>381081306.4476862</v>
          </cell>
          <cell r="E48">
            <v>12907.544790337564</v>
          </cell>
          <cell r="F48">
            <v>8670537.8623948693</v>
          </cell>
          <cell r="G48">
            <v>389751844.31008106</v>
          </cell>
          <cell r="H48">
            <v>13201.22320993368</v>
          </cell>
          <cell r="I48">
            <v>1.0907090025928348</v>
          </cell>
          <cell r="J48">
            <v>357338064.8583284</v>
          </cell>
          <cell r="K48">
            <v>307974561.2040168</v>
          </cell>
          <cell r="L48">
            <v>0</v>
          </cell>
          <cell r="M48">
            <v>307974561.2040168</v>
          </cell>
          <cell r="N48">
            <v>0.99671861092415948</v>
          </cell>
          <cell r="O48">
            <v>308988472.60257554</v>
          </cell>
          <cell r="P48">
            <v>29523.918966599998</v>
          </cell>
          <cell r="Q48">
            <v>10465.69979250146</v>
          </cell>
          <cell r="R48">
            <v>308988472.60257554</v>
          </cell>
          <cell r="S48">
            <v>0</v>
          </cell>
          <cell r="T48">
            <v>0</v>
          </cell>
          <cell r="U48">
            <v>0</v>
          </cell>
          <cell r="V48">
            <v>308988472.60257554</v>
          </cell>
          <cell r="W48">
            <v>0</v>
          </cell>
          <cell r="X48">
            <v>308988472.60257554</v>
          </cell>
          <cell r="Y48">
            <v>10465.69979250146</v>
          </cell>
          <cell r="Z48">
            <v>-1.8981539617710985E-2</v>
          </cell>
          <cell r="AA48">
            <v>-0.11929841235535477</v>
          </cell>
        </row>
        <row r="49">
          <cell r="A49">
            <v>210065</v>
          </cell>
          <cell r="B49" t="str">
            <v>Holy Cross Germantown</v>
          </cell>
          <cell r="C49" t="str">
            <v>NA</v>
          </cell>
          <cell r="D49">
            <v>103664769.62217011</v>
          </cell>
          <cell r="E49">
            <v>13689.843286311783</v>
          </cell>
          <cell r="F49">
            <v>8414.8915095910288</v>
          </cell>
          <cell r="G49">
            <v>103673184.5136797</v>
          </cell>
          <cell r="H49">
            <v>13690.954546641186</v>
          </cell>
          <cell r="I49">
            <v>1.1067032263879555</v>
          </cell>
          <cell r="J49">
            <v>93677493.696342587</v>
          </cell>
          <cell r="K49">
            <v>93677493.696342587</v>
          </cell>
          <cell r="L49">
            <v>0</v>
          </cell>
          <cell r="M49">
            <v>93677493.696342587</v>
          </cell>
          <cell r="N49">
            <v>1.0181752931904677</v>
          </cell>
          <cell r="O49">
            <v>92005270.922262058</v>
          </cell>
          <cell r="P49">
            <v>7572.3854140699004</v>
          </cell>
          <cell r="Q49">
            <v>12150.104080982368</v>
          </cell>
          <cell r="R49">
            <v>92005270.922262058</v>
          </cell>
          <cell r="S49">
            <v>0</v>
          </cell>
          <cell r="T49">
            <v>0</v>
          </cell>
          <cell r="U49">
            <v>0</v>
          </cell>
          <cell r="V49">
            <v>92005270.922262058</v>
          </cell>
          <cell r="W49">
            <v>0</v>
          </cell>
          <cell r="X49">
            <v>92005270.922262058</v>
          </cell>
          <cell r="Y49">
            <v>12150.104080982368</v>
          </cell>
          <cell r="Z49">
            <v>0.13890868602499373</v>
          </cell>
          <cell r="AA49">
            <v>2.2446292777833055E-2</v>
          </cell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295268245.95945138</v>
          </cell>
          <cell r="E50">
            <v>16089.735811538494</v>
          </cell>
          <cell r="F50">
            <v>75928.748797602602</v>
          </cell>
          <cell r="G50">
            <v>295344174.70824897</v>
          </cell>
          <cell r="H50">
            <v>16093.873315402765</v>
          </cell>
          <cell r="I50">
            <v>1.0963306121172727</v>
          </cell>
          <cell r="J50">
            <v>269393348.54279935</v>
          </cell>
          <cell r="K50">
            <v>229899989.24322581</v>
          </cell>
          <cell r="L50">
            <v>10185974.57290497</v>
          </cell>
          <cell r="M50">
            <v>219714014.67032084</v>
          </cell>
          <cell r="N50">
            <v>1.0181752931904677</v>
          </cell>
          <cell r="O50">
            <v>215791933.01955271</v>
          </cell>
          <cell r="P50">
            <v>18351.342086531</v>
          </cell>
          <cell r="Q50">
            <v>11758.918339707348</v>
          </cell>
          <cell r="R50">
            <v>215791933.01955271</v>
          </cell>
          <cell r="S50">
            <v>2.6156125134428007E-3</v>
          </cell>
          <cell r="T50">
            <v>5754417.366559769</v>
          </cell>
          <cell r="U50">
            <v>313.56929315721459</v>
          </cell>
          <cell r="V50">
            <v>210037515.65299293</v>
          </cell>
          <cell r="W50">
            <v>-2.6666508270438372E-2</v>
          </cell>
          <cell r="X50">
            <v>210037515.65299293</v>
          </cell>
          <cell r="Y50">
            <v>11445.349046550135</v>
          </cell>
          <cell r="Z50">
            <v>-0.19291044614090425</v>
          </cell>
          <cell r="AA50">
            <v>-3.6859715423332218E-2</v>
          </cell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503579696.65674835</v>
          </cell>
          <cell r="E51">
            <v>13662.799027086972</v>
          </cell>
          <cell r="F51">
            <v>11163175.783289809</v>
          </cell>
          <cell r="G51">
            <v>514742872.44003814</v>
          </cell>
          <cell r="H51">
            <v>13965.671101246653</v>
          </cell>
          <cell r="I51">
            <v>1.0915692701204411</v>
          </cell>
          <cell r="J51">
            <v>471562260.43560445</v>
          </cell>
          <cell r="K51">
            <v>442130220.82507169</v>
          </cell>
          <cell r="L51">
            <v>4838568.8813399989</v>
          </cell>
          <cell r="M51">
            <v>437291651.94373167</v>
          </cell>
          <cell r="N51">
            <v>0.99671861092415948</v>
          </cell>
          <cell r="O51">
            <v>438731300.03890866</v>
          </cell>
          <cell r="P51">
            <v>36857.725540600004</v>
          </cell>
          <cell r="Q51">
            <v>11903.374220843649</v>
          </cell>
          <cell r="R51">
            <v>438731300.0389086</v>
          </cell>
          <cell r="S51">
            <v>1.4189698152261134E-3</v>
          </cell>
          <cell r="T51">
            <v>6269917.2556474144</v>
          </cell>
          <cell r="U51">
            <v>170.11134473669281</v>
          </cell>
          <cell r="V51">
            <v>432461382.78326118</v>
          </cell>
          <cell r="W51">
            <v>-1.4291018796906862E-2</v>
          </cell>
          <cell r="X51">
            <v>432461382.78326118</v>
          </cell>
          <cell r="Y51">
            <v>11733.262876106955</v>
          </cell>
          <cell r="Z51">
            <v>-0.17260768007393845</v>
          </cell>
          <cell r="AA51">
            <v>-1.2631410405714694E-2</v>
          </cell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712891427.42240071</v>
          </cell>
          <cell r="E52">
            <v>17465.169652956989</v>
          </cell>
          <cell r="F52">
            <v>23360108.29915034</v>
          </cell>
          <cell r="G52">
            <v>736251535.72155106</v>
          </cell>
          <cell r="H52">
            <v>18037.470341199616</v>
          </cell>
          <cell r="I52">
            <v>1.0952231825796594</v>
          </cell>
          <cell r="J52">
            <v>672238816.19032562</v>
          </cell>
          <cell r="K52">
            <v>586921072.10293913</v>
          </cell>
          <cell r="L52">
            <v>18525777.538903046</v>
          </cell>
          <cell r="M52">
            <v>568395294.56403613</v>
          </cell>
          <cell r="N52">
            <v>0.99671861092415948</v>
          </cell>
          <cell r="O52">
            <v>570266561.0277096</v>
          </cell>
          <cell r="P52">
            <v>40817.893074500003</v>
          </cell>
          <cell r="Q52">
            <v>13970.994533864608</v>
          </cell>
          <cell r="R52">
            <v>570266561.0277096</v>
          </cell>
          <cell r="S52">
            <v>3.0868815244830821E-3</v>
          </cell>
          <cell r="T52">
            <v>15105345.587219397</v>
          </cell>
          <cell r="U52">
            <v>370.06676360412382</v>
          </cell>
          <cell r="V52">
            <v>555161215.44049025</v>
          </cell>
          <cell r="W52">
            <v>-2.6488219053204087E-2</v>
          </cell>
          <cell r="X52">
            <v>555161215.44049025</v>
          </cell>
          <cell r="Y52">
            <v>13600.927770260485</v>
          </cell>
          <cell r="Z52">
            <v>-4.0905901469377559E-2</v>
          </cell>
          <cell r="AA52">
            <v>0.14453490145884884</v>
          </cell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417212139.13794702</v>
          </cell>
          <cell r="E53">
            <v>15214.527667245889</v>
          </cell>
          <cell r="F53">
            <v>7480327.3220334155</v>
          </cell>
          <cell r="G53">
            <v>424692466.45998043</v>
          </cell>
          <cell r="H53">
            <v>15487.31370658858</v>
          </cell>
          <cell r="I53">
            <v>1.0963236833132124</v>
          </cell>
          <cell r="J53">
            <v>387378721.19711256</v>
          </cell>
          <cell r="K53">
            <v>347009156.83717257</v>
          </cell>
          <cell r="L53">
            <v>18112729.835636299</v>
          </cell>
          <cell r="M53">
            <v>328896427.00153625</v>
          </cell>
          <cell r="N53">
            <v>0.99671861092415948</v>
          </cell>
          <cell r="O53">
            <v>329979217.20011109</v>
          </cell>
          <cell r="P53">
            <v>27421.95803003</v>
          </cell>
          <cell r="Q53">
            <v>12033.393707289184</v>
          </cell>
          <cell r="R53">
            <v>329979217.20011109</v>
          </cell>
          <cell r="S53">
            <v>3.2091070923393038E-3</v>
          </cell>
          <cell r="T53">
            <v>10549765.172026243</v>
          </cell>
          <cell r="U53">
            <v>384.71961631890446</v>
          </cell>
          <cell r="V53">
            <v>319429452.02808487</v>
          </cell>
          <cell r="W53">
            <v>-3.1970998845143872E-2</v>
          </cell>
          <cell r="X53">
            <v>319429452.02808487</v>
          </cell>
          <cell r="Y53">
            <v>11648.67409097028</v>
          </cell>
          <cell r="Z53">
            <v>-0.17857261173131067</v>
          </cell>
          <cell r="AA53">
            <v>-1.9749661343905878E-2</v>
          </cell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595965435.54421723</v>
          </cell>
          <cell r="E54">
            <v>15418.937704550564</v>
          </cell>
          <cell r="F54">
            <v>18687509.680506282</v>
          </cell>
          <cell r="G54">
            <v>614652945.22472346</v>
          </cell>
          <cell r="H54">
            <v>15902.42471643371</v>
          </cell>
          <cell r="I54">
            <v>1.0977598582507571</v>
          </cell>
          <cell r="J54">
            <v>559915668.80952632</v>
          </cell>
          <cell r="K54">
            <v>557922229.83951139</v>
          </cell>
          <cell r="L54">
            <v>22179247.654259458</v>
          </cell>
          <cell r="M54">
            <v>535742982.18525195</v>
          </cell>
          <cell r="N54">
            <v>0.99671861092415948</v>
          </cell>
          <cell r="O54">
            <v>537506750.96606255</v>
          </cell>
          <cell r="P54">
            <v>38651.523662900006</v>
          </cell>
          <cell r="Q54">
            <v>13906.482850558177</v>
          </cell>
          <cell r="R54">
            <v>537506750.96606255</v>
          </cell>
          <cell r="S54">
            <v>3.6306638435694236E-3</v>
          </cell>
          <cell r="T54">
            <v>16823361.593751092</v>
          </cell>
          <cell r="U54">
            <v>435.25739736617777</v>
          </cell>
          <cell r="V54">
            <v>520683389.37231147</v>
          </cell>
          <cell r="W54">
            <v>-3.1298884271712679E-2</v>
          </cell>
          <cell r="X54">
            <v>520683389.37231147</v>
          </cell>
          <cell r="Y54">
            <v>13471.225453192001</v>
          </cell>
          <cell r="Z54">
            <v>-5.0052095682549869E-2</v>
          </cell>
          <cell r="AA54">
            <v>0.13362029098576356</v>
          </cell>
        </row>
        <row r="55">
          <cell r="A55">
            <v>990099</v>
          </cell>
          <cell r="B55" t="str">
            <v>Holy Cross Hospitals</v>
          </cell>
          <cell r="C55">
            <v>1</v>
          </cell>
          <cell r="D55">
            <v>601387625.90802693</v>
          </cell>
          <cell r="E55">
            <v>12840.85044447922</v>
          </cell>
          <cell r="F55">
            <v>1745529.0567617975</v>
          </cell>
          <cell r="G55">
            <v>603133154.96478868</v>
          </cell>
          <cell r="H55">
            <v>12878.121044336554</v>
          </cell>
          <cell r="I55">
            <v>1.0903345654382657</v>
          </cell>
          <cell r="J55">
            <v>551757046.78319573</v>
          </cell>
          <cell r="K55">
            <v>490524647.36915314</v>
          </cell>
          <cell r="L55">
            <v>2634548.7538250005</v>
          </cell>
          <cell r="M55">
            <v>487890098.61532813</v>
          </cell>
          <cell r="N55">
            <v>1.0181752931904677</v>
          </cell>
          <cell r="O55">
            <v>479180846.24359435</v>
          </cell>
          <cell r="P55">
            <v>46833.940517279902</v>
          </cell>
          <cell r="Q55">
            <v>10231.486843751602</v>
          </cell>
          <cell r="R55">
            <v>471546463.09668618</v>
          </cell>
          <cell r="S55">
            <v>4.0568869051259396E-4</v>
          </cell>
          <cell r="T55">
            <v>2277790.2075965754</v>
          </cell>
          <cell r="U55">
            <v>48.635459293803379</v>
          </cell>
          <cell r="V55">
            <v>469268672.88908958</v>
          </cell>
          <cell r="W55">
            <v>-4.830468227114193E-3</v>
          </cell>
          <cell r="X55">
            <v>469268672.88908958</v>
          </cell>
          <cell r="Y55">
            <v>10019.841758050397</v>
          </cell>
          <cell r="Z55">
            <v>-7.6432559624687535E-2</v>
          </cell>
          <cell r="AA55">
            <v>-0.15681791765269892</v>
          </cell>
        </row>
        <row r="58">
          <cell r="E58">
            <v>114422011.7456</v>
          </cell>
        </row>
        <row r="62">
          <cell r="A62" t="str">
            <v>Queries only</v>
          </cell>
          <cell r="B62" t="str">
            <v>$ SUBTOTAL</v>
          </cell>
          <cell r="D62">
            <v>18562911107.847061</v>
          </cell>
          <cell r="E62">
            <v>14888.426398073481</v>
          </cell>
          <cell r="F62">
            <v>413733714.84491462</v>
          </cell>
          <cell r="G62">
            <v>18976644822.691982</v>
          </cell>
          <cell r="H62">
            <v>15220.262494582406</v>
          </cell>
          <cell r="I62">
            <v>1.0699533061324975</v>
          </cell>
          <cell r="J62">
            <v>17349272161.180019</v>
          </cell>
          <cell r="K62">
            <v>15768502272.813572</v>
          </cell>
          <cell r="L62">
            <v>367542392.58028257</v>
          </cell>
          <cell r="M62">
            <v>15400959880.233286</v>
          </cell>
          <cell r="N62">
            <v>0.99979152998216048</v>
          </cell>
          <cell r="O62">
            <v>15404171188.075666</v>
          </cell>
          <cell r="P62">
            <v>1246801.4155108458</v>
          </cell>
          <cell r="Q62">
            <v>12354.951635793734</v>
          </cell>
          <cell r="R62">
            <v>15396536804.928757</v>
          </cell>
          <cell r="T62">
            <v>556140791.91925538</v>
          </cell>
          <cell r="U62">
            <v>446.0540267283788</v>
          </cell>
          <cell r="V62">
            <v>14840396013.009499</v>
          </cell>
          <cell r="W62">
            <v>-3.6121161464130358E-2</v>
          </cell>
          <cell r="X62">
            <v>14840396013.009499</v>
          </cell>
          <cell r="Y62">
            <v>11902.774434153987</v>
          </cell>
          <cell r="AA62">
            <v>1.6331969550948955E-3</v>
          </cell>
        </row>
        <row r="63">
          <cell r="B63" t="str">
            <v>$ STATE TOTAL</v>
          </cell>
          <cell r="D63">
            <v>15436606537.218269</v>
          </cell>
          <cell r="E63">
            <v>14873.395196456178</v>
          </cell>
          <cell r="F63">
            <v>351221135.95437539</v>
          </cell>
          <cell r="G63">
            <v>15787827673.172649</v>
          </cell>
          <cell r="H63">
            <v>15211.80187565752</v>
          </cell>
          <cell r="I63">
            <v>1.0692372665450307</v>
          </cell>
          <cell r="J63">
            <v>14437026299.221455</v>
          </cell>
          <cell r="K63">
            <v>13114094956.596497</v>
          </cell>
          <cell r="L63">
            <v>291065545.34341377</v>
          </cell>
          <cell r="M63">
            <v>12823029411.25308</v>
          </cell>
          <cell r="N63">
            <v>0.99924527517022321</v>
          </cell>
          <cell r="O63">
            <v>12832714579.579727</v>
          </cell>
          <cell r="P63">
            <v>1037867.032599005</v>
          </cell>
          <cell r="Q63">
            <v>12364.507375712967</v>
          </cell>
          <cell r="R63">
            <v>12832714579.579727</v>
          </cell>
          <cell r="S63">
            <v>2.0274022535810864E-3</v>
          </cell>
          <cell r="T63">
            <v>499360194.7364549</v>
          </cell>
          <cell r="U63">
            <v>481.14081963463809</v>
          </cell>
          <cell r="V63">
            <v>12333354384.843269</v>
          </cell>
          <cell r="W63">
            <v>-3.8913060182221515E-2</v>
          </cell>
          <cell r="X63">
            <v>12333354384.843269</v>
          </cell>
          <cell r="Y63">
            <v>11883.366556078325</v>
          </cell>
          <cell r="AA63">
            <v>0</v>
          </cell>
        </row>
        <row r="66">
          <cell r="B66" t="str">
            <v>$ PEER GROUP 1 TOTAL</v>
          </cell>
          <cell r="D66">
            <v>2995316995.4833193</v>
          </cell>
          <cell r="E66">
            <v>13508.799580928522</v>
          </cell>
          <cell r="F66">
            <v>60023061.183344513</v>
          </cell>
          <cell r="G66">
            <v>3055340056.6666641</v>
          </cell>
          <cell r="H66">
            <v>13779.501982371272</v>
          </cell>
          <cell r="I66">
            <v>1.0725681939539018</v>
          </cell>
          <cell r="J66">
            <v>2792658790.7118711</v>
          </cell>
          <cell r="K66">
            <v>2491243154.0624886</v>
          </cell>
          <cell r="L66">
            <v>35380351.842467874</v>
          </cell>
          <cell r="M66">
            <v>2455862802.2200212</v>
          </cell>
          <cell r="N66">
            <v>1.0032233829172539</v>
          </cell>
          <cell r="O66">
            <v>2447972050.929141</v>
          </cell>
          <cell r="P66">
            <v>221730.80424644492</v>
          </cell>
          <cell r="Q66">
            <v>11040.288512228179</v>
          </cell>
          <cell r="R66">
            <v>2440337667.7822328</v>
          </cell>
          <cell r="S66">
            <v>1.5494766435747026E-3</v>
          </cell>
          <cell r="T66">
            <v>34766104.397769749</v>
          </cell>
          <cell r="U66">
            <v>156.79420149096023</v>
          </cell>
          <cell r="V66">
            <v>2405571563.3844633</v>
          </cell>
          <cell r="W66">
            <v>-1.4246431900288958E-2</v>
          </cell>
          <cell r="X66">
            <v>2405571563.3844633</v>
          </cell>
          <cell r="Y66">
            <v>10849.063446821609</v>
          </cell>
          <cell r="AA66">
            <v>-8.703788647566979E-2</v>
          </cell>
        </row>
        <row r="67">
          <cell r="B67" t="str">
            <v>$ PEER GROUP 3 TOTAL</v>
          </cell>
          <cell r="D67">
            <v>6066782077.7980509</v>
          </cell>
          <cell r="E67">
            <v>13064.256048041738</v>
          </cell>
          <cell r="F67">
            <v>126206769.01354361</v>
          </cell>
          <cell r="G67">
            <v>6192988846.811594</v>
          </cell>
          <cell r="H67">
            <v>13336.030693025759</v>
          </cell>
          <cell r="I67">
            <v>1.0714199993168398</v>
          </cell>
          <cell r="J67">
            <v>5662375241.8905382</v>
          </cell>
          <cell r="K67">
            <v>4957281266.4665356</v>
          </cell>
          <cell r="L67">
            <v>7403097.4465358239</v>
          </cell>
          <cell r="M67">
            <v>4949878169.0199995</v>
          </cell>
          <cell r="N67">
            <v>0.99914772815396247</v>
          </cell>
          <cell r="O67">
            <v>4954100409.3213072</v>
          </cell>
          <cell r="P67">
            <v>464380.21847462404</v>
          </cell>
          <cell r="Q67">
            <v>10668.198627397009</v>
          </cell>
          <cell r="R67">
            <v>4954100409.3213062</v>
          </cell>
          <cell r="S67">
            <v>0</v>
          </cell>
          <cell r="T67">
            <v>0</v>
          </cell>
          <cell r="U67">
            <v>0</v>
          </cell>
          <cell r="V67">
            <v>4954100409.3213062</v>
          </cell>
          <cell r="W67">
            <v>0</v>
          </cell>
          <cell r="X67">
            <v>4954100409.3213062</v>
          </cell>
          <cell r="Y67">
            <v>10668.198627397007</v>
          </cell>
          <cell r="AA67">
            <v>-0.10225788482976328</v>
          </cell>
        </row>
        <row r="68">
          <cell r="B68" t="str">
            <v>$ PEER GROUP 4 TOTAL</v>
          </cell>
          <cell r="D68">
            <v>3020424710.4251924</v>
          </cell>
          <cell r="E68">
            <v>15994.18143687398</v>
          </cell>
          <cell r="F68">
            <v>64480629.979817212</v>
          </cell>
          <cell r="G68">
            <v>3084905340.4050093</v>
          </cell>
          <cell r="H68">
            <v>16335.628416665091</v>
          </cell>
          <cell r="I68">
            <v>1.073229536509406</v>
          </cell>
          <cell r="J68">
            <v>2814332449.5604959</v>
          </cell>
          <cell r="K68">
            <v>2544666956.0277662</v>
          </cell>
          <cell r="L68">
            <v>81492014.804579616</v>
          </cell>
          <cell r="M68">
            <v>2463174941.2231865</v>
          </cell>
          <cell r="N68">
            <v>0.99859573172937532</v>
          </cell>
          <cell r="O68">
            <v>2466638763.7742476</v>
          </cell>
          <cell r="P68">
            <v>188845.21989113602</v>
          </cell>
          <cell r="Q68">
            <v>13061.695526083191</v>
          </cell>
          <cell r="R68">
            <v>2466638763.7742476</v>
          </cell>
          <cell r="S68">
            <v>2.8361358795094198E-3</v>
          </cell>
          <cell r="T68">
            <v>64172548.638386101</v>
          </cell>
          <cell r="U68">
            <v>339.81558376420531</v>
          </cell>
          <cell r="V68">
            <v>2402466215.1358619</v>
          </cell>
          <cell r="W68">
            <v>-2.6016192391379644E-2</v>
          </cell>
          <cell r="X68">
            <v>2402466215.1358619</v>
          </cell>
          <cell r="Y68">
            <v>12721.879942318987</v>
          </cell>
          <cell r="AA68">
            <v>7.0561939016495545E-2</v>
          </cell>
        </row>
        <row r="69">
          <cell r="B69" t="str">
            <v>$ PEER GROUP 5 TOTAL</v>
          </cell>
          <cell r="D69">
            <v>5878999698.2324781</v>
          </cell>
          <cell r="E69">
            <v>18088.604677312167</v>
          </cell>
          <cell r="F69">
            <v>161277725.61144742</v>
          </cell>
          <cell r="G69">
            <v>6040277423.8439255</v>
          </cell>
          <cell r="H69">
            <v>18584.826683024901</v>
          </cell>
          <cell r="I69">
            <v>1.0634662866972844</v>
          </cell>
          <cell r="J69">
            <v>5528148632.2339191</v>
          </cell>
          <cell r="K69">
            <v>5292559389.1865597</v>
          </cell>
          <cell r="L69">
            <v>240632379.73287421</v>
          </cell>
          <cell r="M69">
            <v>5051927009.4536867</v>
          </cell>
          <cell r="N69">
            <v>0.99763295887689651</v>
          </cell>
          <cell r="O69">
            <v>5063913500.9542847</v>
          </cell>
          <cell r="P69">
            <v>325011.23238136101</v>
          </cell>
          <cell r="Q69">
            <v>15580.733822184951</v>
          </cell>
          <cell r="R69">
            <v>5063913500.9542856</v>
          </cell>
          <cell r="S69">
            <v>5.2159738762981656E-3</v>
          </cell>
          <cell r="T69">
            <v>454924348.67550302</v>
          </cell>
          <cell r="U69">
            <v>1399.7188507679168</v>
          </cell>
          <cell r="V69">
            <v>4608989152.2787828</v>
          </cell>
          <cell r="W69">
            <v>-8.9836516478761563E-2</v>
          </cell>
          <cell r="X69">
            <v>4608989152.2787828</v>
          </cell>
          <cell r="Y69">
            <v>14181.014971417038</v>
          </cell>
          <cell r="AA69">
            <v>0.19334995722769066</v>
          </cell>
        </row>
        <row r="71">
          <cell r="L71">
            <v>-0.10793142279030421</v>
          </cell>
        </row>
        <row r="72">
          <cell r="L72">
            <v>-0.12452265088468206</v>
          </cell>
        </row>
        <row r="73">
          <cell r="L73">
            <v>-9.5818634921699619E-2</v>
          </cell>
        </row>
        <row r="74">
          <cell r="L74">
            <v>-4.2616300450691424E-2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HOSPITAL PROFIT PERCENTAGE CALCULATION - 2018 RE Schedule</v>
          </cell>
        </row>
        <row r="2">
          <cell r="A2" t="str">
            <v>HOSPID</v>
          </cell>
          <cell r="B2" t="str">
            <v>HOSPNAME</v>
          </cell>
          <cell r="C2" t="str">
            <v>PEER</v>
          </cell>
          <cell r="D2" t="str">
            <v>AMC_PEER</v>
          </cell>
          <cell r="E2" t="str">
            <v>PROFIT</v>
          </cell>
          <cell r="F2" t="str">
            <v>REVENUE</v>
          </cell>
          <cell r="G2" t="str">
            <v>PERCENT PROFIT</v>
          </cell>
          <cell r="H2" t="str">
            <v>PERCENT PROFIT (No Negative %)</v>
          </cell>
        </row>
        <row r="3">
          <cell r="A3">
            <v>210001</v>
          </cell>
          <cell r="B3" t="str">
            <v>Meritus</v>
          </cell>
          <cell r="C3">
            <v>3</v>
          </cell>
          <cell r="D3">
            <v>3</v>
          </cell>
          <cell r="E3">
            <v>32690830.000000015</v>
          </cell>
          <cell r="F3">
            <v>285793030</v>
          </cell>
          <cell r="G3">
            <v>0.11438637954186641</v>
          </cell>
          <cell r="H3">
            <v>0.11438637954186641</v>
          </cell>
        </row>
        <row r="4">
          <cell r="A4">
            <v>210002</v>
          </cell>
          <cell r="B4" t="str">
            <v>University Medical Center</v>
          </cell>
          <cell r="C4">
            <v>5</v>
          </cell>
          <cell r="D4">
            <v>5</v>
          </cell>
          <cell r="E4">
            <v>43220501.657184914</v>
          </cell>
          <cell r="F4">
            <v>1289205650.8700001</v>
          </cell>
          <cell r="G4">
            <v>3.3524908635032928E-2</v>
          </cell>
          <cell r="H4">
            <v>3.3524908635032928E-2</v>
          </cell>
        </row>
        <row r="5">
          <cell r="A5">
            <v>210003</v>
          </cell>
          <cell r="B5" t="str">
            <v>Prince Georges Hospital</v>
          </cell>
          <cell r="C5">
            <v>4</v>
          </cell>
          <cell r="D5">
            <v>5</v>
          </cell>
          <cell r="E5">
            <v>41299602.48653277</v>
          </cell>
          <cell r="F5">
            <v>281714151.55999988</v>
          </cell>
          <cell r="G5">
            <v>0.14660109283766926</v>
          </cell>
          <cell r="H5">
            <v>0.14660109283766926</v>
          </cell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1</v>
          </cell>
          <cell r="E6">
            <v>67190696.427422166</v>
          </cell>
          <cell r="F6">
            <v>446032076.83166659</v>
          </cell>
          <cell r="G6">
            <v>0.1506409514416607</v>
          </cell>
          <cell r="H6">
            <v>0.1506409514416607</v>
          </cell>
        </row>
        <row r="7">
          <cell r="A7">
            <v>210005</v>
          </cell>
          <cell r="B7" t="str">
            <v>Frederick Memorial Hospital</v>
          </cell>
          <cell r="C7">
            <v>3</v>
          </cell>
          <cell r="D7">
            <v>3</v>
          </cell>
          <cell r="E7">
            <v>53435977.267249718</v>
          </cell>
          <cell r="F7">
            <v>307353270.52999997</v>
          </cell>
          <cell r="G7">
            <v>0.17385849571440942</v>
          </cell>
          <cell r="H7">
            <v>0.17385849571440942</v>
          </cell>
        </row>
        <row r="8">
          <cell r="A8">
            <v>210006</v>
          </cell>
          <cell r="B8" t="str">
            <v>Harford Memorial Hospital</v>
          </cell>
          <cell r="C8">
            <v>3</v>
          </cell>
          <cell r="D8">
            <v>3</v>
          </cell>
          <cell r="E8">
            <v>5771422.9999999953</v>
          </cell>
          <cell r="F8">
            <v>89109523</v>
          </cell>
          <cell r="G8">
            <v>6.4767746540400573E-2</v>
          </cell>
          <cell r="H8">
            <v>6.4767746540400573E-2</v>
          </cell>
        </row>
        <row r="9">
          <cell r="A9">
            <v>210008</v>
          </cell>
          <cell r="B9" t="str">
            <v>Mercy Medical Center</v>
          </cell>
          <cell r="C9">
            <v>4</v>
          </cell>
          <cell r="D9">
            <v>4</v>
          </cell>
          <cell r="E9">
            <v>29998238.883177981</v>
          </cell>
          <cell r="F9">
            <v>480633946</v>
          </cell>
          <cell r="G9">
            <v>6.241389966903832E-2</v>
          </cell>
          <cell r="H9">
            <v>6.241389966903832E-2</v>
          </cell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5</v>
          </cell>
          <cell r="E10">
            <v>-4666150.3300000913</v>
          </cell>
          <cell r="F10">
            <v>2040626849.6699996</v>
          </cell>
          <cell r="G10">
            <v>-2.2866259604271497E-3</v>
          </cell>
          <cell r="H10">
            <v>0</v>
          </cell>
        </row>
        <row r="11">
          <cell r="A11">
            <v>210010</v>
          </cell>
          <cell r="B11" t="str">
            <v>Shore Medical Dorchester</v>
          </cell>
          <cell r="C11">
            <v>3</v>
          </cell>
          <cell r="D11">
            <v>3</v>
          </cell>
          <cell r="E11">
            <v>4902312.066778875</v>
          </cell>
          <cell r="F11">
            <v>42933335.550000004</v>
          </cell>
          <cell r="G11">
            <v>0.11418428137431019</v>
          </cell>
          <cell r="H11">
            <v>0.11418428137431019</v>
          </cell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1</v>
          </cell>
          <cell r="E12">
            <v>60705031.439117737</v>
          </cell>
          <cell r="F12">
            <v>379431130</v>
          </cell>
          <cell r="G12">
            <v>0.15998959136304325</v>
          </cell>
          <cell r="H12">
            <v>0.15998959136304325</v>
          </cell>
        </row>
        <row r="13">
          <cell r="A13">
            <v>210012</v>
          </cell>
          <cell r="B13" t="str">
            <v>Sinai Hospital</v>
          </cell>
          <cell r="C13">
            <v>4</v>
          </cell>
          <cell r="D13">
            <v>5</v>
          </cell>
          <cell r="E13">
            <v>86685793.603223071</v>
          </cell>
          <cell r="F13">
            <v>683018004.00000012</v>
          </cell>
          <cell r="G13">
            <v>0.12691582519869132</v>
          </cell>
          <cell r="H13">
            <v>0.12691582519869132</v>
          </cell>
        </row>
        <row r="14">
          <cell r="A14">
            <v>210013</v>
          </cell>
          <cell r="B14" t="str">
            <v>Bon Secours Hospital</v>
          </cell>
          <cell r="C14">
            <v>4</v>
          </cell>
          <cell r="D14">
            <v>4</v>
          </cell>
          <cell r="E14">
            <v>16704617.336105999</v>
          </cell>
          <cell r="F14">
            <v>92457888.949999988</v>
          </cell>
          <cell r="G14">
            <v>0.18067270976887256</v>
          </cell>
          <cell r="H14">
            <v>0.18067270976887256</v>
          </cell>
        </row>
        <row r="15">
          <cell r="A15">
            <v>210015</v>
          </cell>
          <cell r="B15" t="str">
            <v>Franklin Square Hospital Center</v>
          </cell>
          <cell r="C15">
            <v>1</v>
          </cell>
          <cell r="D15">
            <v>1</v>
          </cell>
          <cell r="E15">
            <v>64501318.871022433</v>
          </cell>
          <cell r="F15">
            <v>461110729.2900002</v>
          </cell>
          <cell r="G15">
            <v>0.13988249410361581</v>
          </cell>
          <cell r="H15">
            <v>0.13988249410361581</v>
          </cell>
        </row>
        <row r="16">
          <cell r="A16">
            <v>210016</v>
          </cell>
          <cell r="B16" t="str">
            <v>Washington Adventist Hospital</v>
          </cell>
          <cell r="C16">
            <v>3</v>
          </cell>
          <cell r="D16">
            <v>3</v>
          </cell>
          <cell r="E16">
            <v>27571439.760000002</v>
          </cell>
          <cell r="F16">
            <v>232966808</v>
          </cell>
          <cell r="G16">
            <v>0.11834921891534009</v>
          </cell>
          <cell r="H16">
            <v>0.11834921891534009</v>
          </cell>
        </row>
        <row r="17">
          <cell r="A17">
            <v>210017</v>
          </cell>
          <cell r="B17" t="str">
            <v>Garrett County Memorial Hospital</v>
          </cell>
          <cell r="C17">
            <v>3</v>
          </cell>
          <cell r="D17">
            <v>3</v>
          </cell>
          <cell r="E17">
            <v>1808051.8036412031</v>
          </cell>
          <cell r="F17">
            <v>49138062.129500002</v>
          </cell>
          <cell r="G17">
            <v>3.6795342048211145E-2</v>
          </cell>
          <cell r="H17">
            <v>3.6795342048211145E-2</v>
          </cell>
        </row>
        <row r="18">
          <cell r="A18">
            <v>210018</v>
          </cell>
          <cell r="B18" t="str">
            <v>Montgomery General Hospital</v>
          </cell>
          <cell r="C18">
            <v>3</v>
          </cell>
          <cell r="D18">
            <v>3</v>
          </cell>
          <cell r="E18">
            <v>23716788.148306832</v>
          </cell>
          <cell r="F18">
            <v>159229499.85999998</v>
          </cell>
          <cell r="G18">
            <v>0.14894719991684607</v>
          </cell>
          <cell r="H18">
            <v>0.14894719991684607</v>
          </cell>
        </row>
        <row r="19">
          <cell r="A19">
            <v>210019</v>
          </cell>
          <cell r="B19" t="str">
            <v>Peninsula Regional Medical Center</v>
          </cell>
          <cell r="C19">
            <v>3</v>
          </cell>
          <cell r="D19">
            <v>3</v>
          </cell>
          <cell r="E19">
            <v>47316771.470000029</v>
          </cell>
          <cell r="F19">
            <v>383444118.00000006</v>
          </cell>
          <cell r="G19">
            <v>0.12339939315485868</v>
          </cell>
          <cell r="H19">
            <v>0.12339939315485868</v>
          </cell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1</v>
          </cell>
          <cell r="E20">
            <v>20601203.650000099</v>
          </cell>
          <cell r="F20">
            <v>282592080.03000009</v>
          </cell>
          <cell r="G20">
            <v>7.290085287532852E-2</v>
          </cell>
          <cell r="H20">
            <v>7.290085287532852E-2</v>
          </cell>
        </row>
        <row r="21">
          <cell r="A21">
            <v>210023</v>
          </cell>
          <cell r="B21" t="str">
            <v>Anne Arundel Medical Center</v>
          </cell>
          <cell r="C21">
            <v>3</v>
          </cell>
          <cell r="D21">
            <v>3</v>
          </cell>
          <cell r="E21">
            <v>57567127.704167739</v>
          </cell>
          <cell r="F21">
            <v>548358368</v>
          </cell>
          <cell r="G21">
            <v>0.10498085023144525</v>
          </cell>
          <cell r="H21">
            <v>0.10498085023144525</v>
          </cell>
        </row>
        <row r="22">
          <cell r="A22">
            <v>210024</v>
          </cell>
          <cell r="B22" t="str">
            <v>Union Memorial Hospital</v>
          </cell>
          <cell r="C22">
            <v>4</v>
          </cell>
          <cell r="D22">
            <v>5</v>
          </cell>
          <cell r="E22">
            <v>39862488.882595673</v>
          </cell>
          <cell r="F22">
            <v>382512920.60999995</v>
          </cell>
          <cell r="G22">
            <v>0.104212136988801</v>
          </cell>
          <cell r="H22">
            <v>0.104212136988801</v>
          </cell>
        </row>
        <row r="23">
          <cell r="A23">
            <v>210027</v>
          </cell>
          <cell r="B23" t="str">
            <v>Western Maryland Regional Medical Center</v>
          </cell>
          <cell r="C23">
            <v>3</v>
          </cell>
          <cell r="D23">
            <v>3</v>
          </cell>
          <cell r="E23">
            <v>35223621.110000066</v>
          </cell>
          <cell r="F23">
            <v>278459600.00000006</v>
          </cell>
          <cell r="G23">
            <v>0.12649454753939193</v>
          </cell>
          <cell r="H23">
            <v>0.12649454753939193</v>
          </cell>
        </row>
        <row r="24">
          <cell r="A24">
            <v>210028</v>
          </cell>
          <cell r="B24" t="str">
            <v>St. Mary's Hospital</v>
          </cell>
          <cell r="C24">
            <v>3</v>
          </cell>
          <cell r="D24">
            <v>3</v>
          </cell>
          <cell r="E24">
            <v>26913998.029466368</v>
          </cell>
          <cell r="F24">
            <v>169292608.46999997</v>
          </cell>
          <cell r="G24">
            <v>0.15897916791940594</v>
          </cell>
          <cell r="H24">
            <v>0.15897916791940594</v>
          </cell>
        </row>
        <row r="25">
          <cell r="A25">
            <v>210029</v>
          </cell>
          <cell r="B25" t="str">
            <v>Johns Hopkins Bayview Medical Center</v>
          </cell>
          <cell r="C25">
            <v>4</v>
          </cell>
          <cell r="D25">
            <v>5</v>
          </cell>
          <cell r="E25">
            <v>2021881.3399999635</v>
          </cell>
          <cell r="F25">
            <v>567904540.73000002</v>
          </cell>
          <cell r="G25">
            <v>3.5602485893157006E-3</v>
          </cell>
          <cell r="H25">
            <v>3.5602485893157006E-3</v>
          </cell>
        </row>
        <row r="26">
          <cell r="A26">
            <v>210030</v>
          </cell>
          <cell r="B26" t="str">
            <v>Chester River Hospital Center</v>
          </cell>
          <cell r="C26">
            <v>3</v>
          </cell>
          <cell r="D26">
            <v>3</v>
          </cell>
          <cell r="E26">
            <v>10412433.86764428</v>
          </cell>
          <cell r="F26">
            <v>50884129.640000008</v>
          </cell>
          <cell r="G26">
            <v>0.20463028337737485</v>
          </cell>
          <cell r="H26">
            <v>0.20463028337737485</v>
          </cell>
        </row>
        <row r="27">
          <cell r="A27">
            <v>210032</v>
          </cell>
          <cell r="B27" t="str">
            <v>Union of Cecil</v>
          </cell>
          <cell r="C27">
            <v>3</v>
          </cell>
          <cell r="D27">
            <v>3</v>
          </cell>
          <cell r="E27">
            <v>8625179.7599999998</v>
          </cell>
          <cell r="F27">
            <v>136410379.76000002</v>
          </cell>
          <cell r="G27">
            <v>6.3229644072358079E-2</v>
          </cell>
          <cell r="H27">
            <v>6.3229644072358079E-2</v>
          </cell>
        </row>
        <row r="28">
          <cell r="A28">
            <v>210033</v>
          </cell>
          <cell r="B28" t="str">
            <v>Carroll Hospital Center</v>
          </cell>
          <cell r="C28">
            <v>3</v>
          </cell>
          <cell r="D28">
            <v>3</v>
          </cell>
          <cell r="E28">
            <v>35048664.080000013</v>
          </cell>
          <cell r="F28">
            <v>214936323</v>
          </cell>
          <cell r="G28">
            <v>0.16306533763490508</v>
          </cell>
          <cell r="H28">
            <v>0.16306533763490508</v>
          </cell>
        </row>
        <row r="29">
          <cell r="A29">
            <v>210034</v>
          </cell>
          <cell r="B29" t="str">
            <v>Harbor Hospital Center</v>
          </cell>
          <cell r="C29">
            <v>4</v>
          </cell>
          <cell r="D29">
            <v>4</v>
          </cell>
          <cell r="E29">
            <v>27199630.239712134</v>
          </cell>
          <cell r="F29">
            <v>169541671.59999999</v>
          </cell>
          <cell r="G29">
            <v>0.16043035309858378</v>
          </cell>
          <cell r="H29">
            <v>0.16043035309858378</v>
          </cell>
        </row>
        <row r="30">
          <cell r="A30">
            <v>210035</v>
          </cell>
          <cell r="B30" t="str">
            <v xml:space="preserve">Charles Regional </v>
          </cell>
          <cell r="C30">
            <v>3</v>
          </cell>
          <cell r="D30">
            <v>3</v>
          </cell>
          <cell r="E30">
            <v>18331169.775023971</v>
          </cell>
          <cell r="F30">
            <v>132264243.32000001</v>
          </cell>
          <cell r="G30">
            <v>0.13859505271332898</v>
          </cell>
          <cell r="H30">
            <v>0.13859505271332898</v>
          </cell>
        </row>
        <row r="31">
          <cell r="A31">
            <v>210037</v>
          </cell>
          <cell r="B31" t="str">
            <v>Shore Medical Easton</v>
          </cell>
          <cell r="C31">
            <v>3</v>
          </cell>
          <cell r="D31">
            <v>3</v>
          </cell>
          <cell r="E31">
            <v>22233786.307266798</v>
          </cell>
          <cell r="F31">
            <v>178958567.3773776</v>
          </cell>
          <cell r="G31">
            <v>0.12423985413551876</v>
          </cell>
          <cell r="H31">
            <v>0.12423985413551876</v>
          </cell>
        </row>
        <row r="32">
          <cell r="A32">
            <v>210038</v>
          </cell>
          <cell r="B32" t="str">
            <v>UMMC Midtown</v>
          </cell>
          <cell r="C32">
            <v>4</v>
          </cell>
          <cell r="D32">
            <v>4</v>
          </cell>
          <cell r="E32">
            <v>30917721.643655792</v>
          </cell>
          <cell r="F32">
            <v>204600134.02000001</v>
          </cell>
          <cell r="G32">
            <v>0.15111291002689925</v>
          </cell>
          <cell r="H32">
            <v>0.15111291002689925</v>
          </cell>
        </row>
        <row r="33">
          <cell r="A33">
            <v>210039</v>
          </cell>
          <cell r="B33" t="str">
            <v>Calvert Memorial Hospital</v>
          </cell>
          <cell r="C33">
            <v>3</v>
          </cell>
          <cell r="D33">
            <v>3</v>
          </cell>
          <cell r="E33">
            <v>15622490.683303317</v>
          </cell>
          <cell r="F33">
            <v>130824514.97</v>
          </cell>
          <cell r="G33">
            <v>0.1194156208940334</v>
          </cell>
          <cell r="H33">
            <v>0.1194156208940334</v>
          </cell>
        </row>
        <row r="34">
          <cell r="A34">
            <v>210040</v>
          </cell>
          <cell r="B34" t="str">
            <v>Northwest Hospital Center</v>
          </cell>
          <cell r="C34">
            <v>3</v>
          </cell>
          <cell r="D34">
            <v>3</v>
          </cell>
          <cell r="E34">
            <v>42700615.370028503</v>
          </cell>
          <cell r="F34">
            <v>231298471.66999999</v>
          </cell>
          <cell r="G34">
            <v>0.18461261357122441</v>
          </cell>
          <cell r="H34">
            <v>0.18461261357122441</v>
          </cell>
        </row>
        <row r="35">
          <cell r="A35">
            <v>210043</v>
          </cell>
          <cell r="B35" t="str">
            <v>Baltimore Washington Medical Center</v>
          </cell>
          <cell r="C35">
            <v>1</v>
          </cell>
          <cell r="D35">
            <v>1</v>
          </cell>
          <cell r="E35">
            <v>30665243.767749634</v>
          </cell>
          <cell r="F35">
            <v>367183941.49000007</v>
          </cell>
          <cell r="G35">
            <v>8.3514664729924679E-2</v>
          </cell>
          <cell r="H35">
            <v>8.3514664729924679E-2</v>
          </cell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1</v>
          </cell>
          <cell r="E36">
            <v>29113483.062107056</v>
          </cell>
          <cell r="F36">
            <v>401488027.96999997</v>
          </cell>
          <cell r="G36">
            <v>7.2513950688169654E-2</v>
          </cell>
          <cell r="H36">
            <v>7.2513950688169654E-2</v>
          </cell>
        </row>
        <row r="37">
          <cell r="A37">
            <v>210045</v>
          </cell>
          <cell r="B37" t="str">
            <v>McCready Memorial Hospital</v>
          </cell>
          <cell r="C37">
            <v>3</v>
          </cell>
          <cell r="D37">
            <v>3</v>
          </cell>
          <cell r="E37">
            <v>-1695119.7273202688</v>
          </cell>
          <cell r="F37">
            <v>14096433.68</v>
          </cell>
          <cell r="G37">
            <v>-0.1202516725719997</v>
          </cell>
          <cell r="H37">
            <v>0</v>
          </cell>
        </row>
        <row r="38">
          <cell r="A38">
            <v>210048</v>
          </cell>
          <cell r="B38" t="str">
            <v>Howard County General Hospital</v>
          </cell>
          <cell r="C38">
            <v>3</v>
          </cell>
          <cell r="D38">
            <v>3</v>
          </cell>
          <cell r="E38">
            <v>18397350.550000004</v>
          </cell>
          <cell r="F38">
            <v>268128175.99999997</v>
          </cell>
          <cell r="G38">
            <v>6.8614014477911517E-2</v>
          </cell>
          <cell r="H38">
            <v>6.8614014477911517E-2</v>
          </cell>
        </row>
        <row r="39">
          <cell r="A39">
            <v>210049</v>
          </cell>
          <cell r="B39" t="str">
            <v>Upper Chesapeake Medical Center</v>
          </cell>
          <cell r="C39">
            <v>3</v>
          </cell>
          <cell r="D39">
            <v>3</v>
          </cell>
          <cell r="E39">
            <v>48984070.334576882</v>
          </cell>
          <cell r="F39">
            <v>299699200.99999994</v>
          </cell>
          <cell r="G39">
            <v>0.16344411386861485</v>
          </cell>
          <cell r="H39">
            <v>0.16344411386861485</v>
          </cell>
        </row>
        <row r="40">
          <cell r="A40">
            <v>210051</v>
          </cell>
          <cell r="B40" t="str">
            <v>Doctors Community Hospital</v>
          </cell>
          <cell r="C40">
            <v>3</v>
          </cell>
          <cell r="D40">
            <v>3</v>
          </cell>
          <cell r="E40">
            <v>28162960.560163483</v>
          </cell>
          <cell r="F40">
            <v>214144631.79000002</v>
          </cell>
          <cell r="G40">
            <v>0.13151373594917554</v>
          </cell>
          <cell r="H40">
            <v>0.13151373594917554</v>
          </cell>
        </row>
        <row r="41">
          <cell r="A41">
            <v>210055</v>
          </cell>
          <cell r="B41" t="str">
            <v>Laurel Regional Hospital</v>
          </cell>
          <cell r="C41">
            <v>3</v>
          </cell>
          <cell r="D41">
            <v>3</v>
          </cell>
          <cell r="E41">
            <v>16954600.000000007</v>
          </cell>
          <cell r="F41">
            <v>99696000</v>
          </cell>
          <cell r="G41">
            <v>0.17006299149414228</v>
          </cell>
          <cell r="H41">
            <v>0.17006299149414228</v>
          </cell>
        </row>
        <row r="42">
          <cell r="A42">
            <v>210056</v>
          </cell>
          <cell r="B42" t="str">
            <v>Good Samaritan Hospital</v>
          </cell>
          <cell r="C42">
            <v>1</v>
          </cell>
          <cell r="D42">
            <v>1</v>
          </cell>
          <cell r="E42">
            <v>29943103.004147444</v>
          </cell>
          <cell r="F42">
            <v>240782454.31999999</v>
          </cell>
          <cell r="G42">
            <v>0.12435749560203854</v>
          </cell>
          <cell r="H42">
            <v>0.12435749560203854</v>
          </cell>
        </row>
        <row r="43">
          <cell r="A43">
            <v>210057</v>
          </cell>
          <cell r="B43" t="str">
            <v>Shady Grove Adventist Hospital</v>
          </cell>
          <cell r="C43">
            <v>3</v>
          </cell>
          <cell r="D43">
            <v>3</v>
          </cell>
          <cell r="E43">
            <v>39146372.669999994</v>
          </cell>
          <cell r="F43">
            <v>346531683</v>
          </cell>
          <cell r="G43">
            <v>0.11296621518442801</v>
          </cell>
          <cell r="H43">
            <v>0.11296621518442801</v>
          </cell>
        </row>
        <row r="44">
          <cell r="A44">
            <v>210058</v>
          </cell>
          <cell r="B44" t="str">
            <v>Rehab &amp; Ortho Institue</v>
          </cell>
          <cell r="C44">
            <v>1</v>
          </cell>
          <cell r="D44">
            <v>1</v>
          </cell>
          <cell r="E44">
            <v>4643810.1784759201</v>
          </cell>
          <cell r="F44">
            <v>110892643.09999999</v>
          </cell>
          <cell r="G44">
            <v>4.1876629942784009E-2</v>
          </cell>
          <cell r="H44">
            <v>4.1876629942784009E-2</v>
          </cell>
        </row>
        <row r="45">
          <cell r="A45">
            <v>210060</v>
          </cell>
          <cell r="B45" t="str">
            <v>Fort Washington Medical Center</v>
          </cell>
          <cell r="C45">
            <v>3</v>
          </cell>
          <cell r="D45">
            <v>3</v>
          </cell>
          <cell r="E45">
            <v>1127658.9829651101</v>
          </cell>
          <cell r="F45">
            <v>42085727</v>
          </cell>
          <cell r="G45">
            <v>2.6794332980516415E-2</v>
          </cell>
          <cell r="H45">
            <v>2.6794332980516415E-2</v>
          </cell>
        </row>
        <row r="46">
          <cell r="A46">
            <v>210061</v>
          </cell>
          <cell r="B46" t="str">
            <v>Atlantic General Hospital</v>
          </cell>
          <cell r="C46">
            <v>3</v>
          </cell>
          <cell r="D46">
            <v>3</v>
          </cell>
          <cell r="E46">
            <v>14896605.525841879</v>
          </cell>
          <cell r="F46">
            <v>95234412.739999995</v>
          </cell>
          <cell r="G46">
            <v>0.1564204062087429</v>
          </cell>
          <cell r="H46">
            <v>0.1564204062087429</v>
          </cell>
        </row>
        <row r="47">
          <cell r="A47">
            <v>210062</v>
          </cell>
          <cell r="B47" t="str">
            <v>Southern Maryland Hospital Center</v>
          </cell>
          <cell r="C47">
            <v>3</v>
          </cell>
          <cell r="D47">
            <v>3</v>
          </cell>
          <cell r="E47">
            <v>12756355.842225689</v>
          </cell>
          <cell r="F47">
            <v>227419146.18400005</v>
          </cell>
          <cell r="G47">
            <v>5.6091828925893469E-2</v>
          </cell>
          <cell r="H47">
            <v>5.6091828925893469E-2</v>
          </cell>
        </row>
        <row r="48">
          <cell r="A48">
            <v>210063</v>
          </cell>
          <cell r="B48" t="str">
            <v>St. Joseph Medical Center</v>
          </cell>
          <cell r="C48">
            <v>3</v>
          </cell>
          <cell r="D48">
            <v>3</v>
          </cell>
          <cell r="E48">
            <v>49933226.074429058</v>
          </cell>
          <cell r="F48">
            <v>361462235.3900001</v>
          </cell>
          <cell r="G48">
            <v>0.13814230418996204</v>
          </cell>
          <cell r="H48">
            <v>0.13814230418996204</v>
          </cell>
        </row>
        <row r="49">
          <cell r="A49">
            <v>210065</v>
          </cell>
          <cell r="B49" t="str">
            <v>Holy Cross Germantown</v>
          </cell>
          <cell r="C49" t="str">
            <v>NA</v>
          </cell>
          <cell r="D49">
            <v>3</v>
          </cell>
          <cell r="E49">
            <v>-8600000.2228806689</v>
          </cell>
          <cell r="F49">
            <v>81920931.969999999</v>
          </cell>
          <cell r="G49">
            <v>-0.10497927716484046</v>
          </cell>
          <cell r="H49">
            <v>0</v>
          </cell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5</v>
          </cell>
          <cell r="E50">
            <v>41299602.48653277</v>
          </cell>
          <cell r="F50">
            <v>281714151.55999988</v>
          </cell>
          <cell r="G50">
            <v>0.14660109283766926</v>
          </cell>
          <cell r="H50">
            <v>0.14660109283766926</v>
          </cell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5</v>
          </cell>
          <cell r="E51">
            <v>29998238.883177981</v>
          </cell>
          <cell r="F51">
            <v>480633946</v>
          </cell>
          <cell r="G51">
            <v>6.241389966903832E-2</v>
          </cell>
          <cell r="H51">
            <v>6.241389966903832E-2</v>
          </cell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5</v>
          </cell>
          <cell r="E52">
            <v>86685793.603223071</v>
          </cell>
          <cell r="F52">
            <v>683018004.00000012</v>
          </cell>
          <cell r="G52">
            <v>0.12691582519869132</v>
          </cell>
          <cell r="H52">
            <v>0.12691582519869132</v>
          </cell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5</v>
          </cell>
          <cell r="E53">
            <v>39862488.882595673</v>
          </cell>
          <cell r="F53">
            <v>382512920.60999995</v>
          </cell>
          <cell r="G53">
            <v>0.104212136988801</v>
          </cell>
          <cell r="H53">
            <v>0.104212136988801</v>
          </cell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5</v>
          </cell>
          <cell r="E54">
            <v>2021881.3399999635</v>
          </cell>
          <cell r="F54">
            <v>567904540.73000002</v>
          </cell>
          <cell r="G54">
            <v>3.5602485893157006E-3</v>
          </cell>
          <cell r="H54">
            <v>3.5602485893157006E-3</v>
          </cell>
        </row>
        <row r="55">
          <cell r="A55">
            <v>990099</v>
          </cell>
          <cell r="B55" t="str">
            <v>Holy Cross Hospitals</v>
          </cell>
          <cell r="C55">
            <v>1</v>
          </cell>
          <cell r="D55">
            <v>1</v>
          </cell>
          <cell r="E55">
            <v>58590696.204541497</v>
          </cell>
          <cell r="F55">
            <v>527953008.80166662</v>
          </cell>
          <cell r="G55">
            <v>0.11097710445391544</v>
          </cell>
          <cell r="H55">
            <v>0.11097710445391544</v>
          </cell>
        </row>
        <row r="62">
          <cell r="A62" t="str">
            <v>$ Subtotal</v>
          </cell>
          <cell r="D62" t="str">
            <v>$ Subtotal</v>
          </cell>
          <cell r="E62">
            <v>1569023678.3351808</v>
          </cell>
          <cell r="F62">
            <v>17477538844.774208</v>
          </cell>
          <cell r="G62">
            <v>8.977371998828769E-2</v>
          </cell>
        </row>
        <row r="63">
          <cell r="A63" t="str">
            <v>$ State Total</v>
          </cell>
          <cell r="D63" t="str">
            <v>$ State Total</v>
          </cell>
          <cell r="E63">
            <v>1310564976.9351099</v>
          </cell>
          <cell r="F63">
            <v>14553802273.072542</v>
          </cell>
          <cell r="G63">
            <v>9.0049662098262692E-2</v>
          </cell>
        </row>
        <row r="65">
          <cell r="A65" t="str">
            <v>$ Peer Group 1 Total</v>
          </cell>
          <cell r="D65" t="str">
            <v>$ Peer Group 1 Total</v>
          </cell>
          <cell r="E65">
            <v>298763890.17716181</v>
          </cell>
          <cell r="F65">
            <v>2771434015.001667</v>
          </cell>
          <cell r="G65">
            <v>0.10780119193167299</v>
          </cell>
        </row>
        <row r="66">
          <cell r="A66" t="str">
            <v>$ Peer Group 3 Total</v>
          </cell>
          <cell r="D66" t="str">
            <v>$ Peer Group 3 Total</v>
          </cell>
          <cell r="E66">
            <v>698556761.01575947</v>
          </cell>
          <cell r="F66">
            <v>5590152500.0608778</v>
          </cell>
          <cell r="G66">
            <v>0.12496202223609321</v>
          </cell>
        </row>
        <row r="67">
          <cell r="A67" t="str">
            <v>$ Peer Group 4 Total</v>
          </cell>
          <cell r="D67" t="str">
            <v>$ Peer Group 4 Total</v>
          </cell>
          <cell r="E67">
            <v>274689974.41500336</v>
          </cell>
          <cell r="F67">
            <v>2862383257.4699998</v>
          </cell>
          <cell r="G67">
            <v>9.5965476914435299E-2</v>
          </cell>
        </row>
        <row r="68">
          <cell r="A68" t="str">
            <v>$ Peer Group 5 Total</v>
          </cell>
          <cell r="D68" t="str">
            <v>$ Peer Group 5 Total</v>
          </cell>
          <cell r="E68">
            <v>238422356.52271432</v>
          </cell>
          <cell r="F68">
            <v>5725616063.4400005</v>
          </cell>
          <cell r="G68">
            <v>4.1641345469376104E-2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ry"/>
      <sheetName val="Hospital FY"/>
      <sheetName val="ICC 21 Volume"/>
      <sheetName val="Oncology"/>
      <sheetName val="Chronic"/>
      <sheetName val="Categorical"/>
      <sheetName val="Innovation"/>
      <sheetName val="Categorical and Innovation"/>
      <sheetName val="P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INNOVATION_flag</v>
          </cell>
          <cell r="B2" t="str">
            <v>N</v>
          </cell>
        </row>
        <row r="3">
          <cell r="A3" t="str">
            <v>PROD_CAT</v>
          </cell>
          <cell r="B3" t="str">
            <v>(Multiple Items)</v>
          </cell>
        </row>
        <row r="4">
          <cell r="A4" t="str">
            <v>categorical</v>
          </cell>
          <cell r="B4" t="str">
            <v>N</v>
          </cell>
        </row>
        <row r="5">
          <cell r="A5" t="str">
            <v>type</v>
          </cell>
          <cell r="B5" t="str">
            <v>(Multiple Items)</v>
          </cell>
        </row>
        <row r="6">
          <cell r="D6"/>
          <cell r="E6"/>
          <cell r="G6"/>
          <cell r="H6"/>
          <cell r="I6"/>
          <cell r="J6"/>
          <cell r="K6"/>
        </row>
        <row r="7">
          <cell r="A7" t="str">
            <v>ecmad</v>
          </cell>
          <cell r="B7" t="str">
            <v>Column Labels</v>
          </cell>
          <cell r="C7"/>
          <cell r="E7"/>
          <cell r="G7"/>
          <cell r="H7"/>
          <cell r="I7"/>
          <cell r="J7"/>
          <cell r="K7"/>
        </row>
        <row r="8">
          <cell r="A8" t="str">
            <v>Row Labels</v>
          </cell>
          <cell r="B8">
            <v>2019</v>
          </cell>
          <cell r="C8">
            <v>2021</v>
          </cell>
          <cell r="D8" t="str">
            <v>Grand Total</v>
          </cell>
          <cell r="E8"/>
          <cell r="F8"/>
          <cell r="G8"/>
          <cell r="H8"/>
          <cell r="I8"/>
          <cell r="J8"/>
          <cell r="K8"/>
        </row>
        <row r="9">
          <cell r="A9">
            <v>210001</v>
          </cell>
          <cell r="B9">
            <v>3337.638794395697</v>
          </cell>
          <cell r="C9">
            <v>3236.8329028088961</v>
          </cell>
          <cell r="D9">
            <v>6574.4716972046008</v>
          </cell>
          <cell r="E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</row>
        <row r="10">
          <cell r="A10">
            <v>210002</v>
          </cell>
          <cell r="B10">
            <v>4429.9665557484095</v>
          </cell>
          <cell r="C10">
            <v>3744.3170577568999</v>
          </cell>
          <cell r="D10">
            <v>8174.283613505293</v>
          </cell>
          <cell r="E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A11">
            <v>210003</v>
          </cell>
          <cell r="B11">
            <v>2537.5674447445926</v>
          </cell>
          <cell r="C11">
            <v>2081.8664110967979</v>
          </cell>
          <cell r="D11">
            <v>4619.433855841402</v>
          </cell>
          <cell r="E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</row>
        <row r="12">
          <cell r="A12">
            <v>210004</v>
          </cell>
          <cell r="B12">
            <v>3890.2998056147007</v>
          </cell>
          <cell r="C12">
            <v>3526.6536874968006</v>
          </cell>
          <cell r="D12">
            <v>7416.9534931115122</v>
          </cell>
          <cell r="E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</row>
        <row r="13">
          <cell r="A13">
            <v>210005</v>
          </cell>
          <cell r="B13">
            <v>2985.9903513533914</v>
          </cell>
          <cell r="C13">
            <v>2764.7861490705964</v>
          </cell>
          <cell r="D13">
            <v>5750.7765004240046</v>
          </cell>
          <cell r="E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</row>
        <row r="14">
          <cell r="A14">
            <v>210006</v>
          </cell>
          <cell r="B14">
            <v>1273.1955764029976</v>
          </cell>
          <cell r="C14">
            <v>1085.7425353108997</v>
          </cell>
          <cell r="D14">
            <v>2358.9381117138992</v>
          </cell>
          <cell r="E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</row>
        <row r="15">
          <cell r="A15">
            <v>210008</v>
          </cell>
          <cell r="B15">
            <v>2061.0738909819956</v>
          </cell>
          <cell r="C15">
            <v>1893.0471410044947</v>
          </cell>
          <cell r="D15">
            <v>3954.1210319864977</v>
          </cell>
          <cell r="E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</row>
        <row r="16">
          <cell r="A16">
            <v>210009</v>
          </cell>
          <cell r="B16">
            <v>7724.0778938834101</v>
          </cell>
          <cell r="C16">
            <v>7005.7600957037084</v>
          </cell>
          <cell r="D16">
            <v>14729.837989587118</v>
          </cell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</row>
        <row r="17">
          <cell r="A17">
            <v>210010</v>
          </cell>
          <cell r="B17">
            <v>364.21371112020012</v>
          </cell>
          <cell r="C17">
            <v>182.06032905879994</v>
          </cell>
          <cell r="D17">
            <v>546.27404017899983</v>
          </cell>
          <cell r="E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</row>
        <row r="18">
          <cell r="A18">
            <v>210011</v>
          </cell>
          <cell r="B18">
            <v>3889.5430205993998</v>
          </cell>
          <cell r="C18">
            <v>3080.2488669017966</v>
          </cell>
          <cell r="D18">
            <v>6969.7918875012247</v>
          </cell>
          <cell r="E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</row>
        <row r="19">
          <cell r="A19">
            <v>210012</v>
          </cell>
          <cell r="B19">
            <v>3529.4675825142972</v>
          </cell>
          <cell r="C19">
            <v>3368.1014825725961</v>
          </cell>
          <cell r="D19">
            <v>6897.5690650869146</v>
          </cell>
          <cell r="E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</row>
        <row r="20">
          <cell r="A20">
            <v>210013</v>
          </cell>
          <cell r="B20">
            <v>820.23767476699913</v>
          </cell>
          <cell r="C20">
            <v>154.38293589850005</v>
          </cell>
          <cell r="D20">
            <v>974.62061066549859</v>
          </cell>
          <cell r="E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</row>
        <row r="21">
          <cell r="A21">
            <v>210015</v>
          </cell>
          <cell r="B21">
            <v>5517.9121300677061</v>
          </cell>
          <cell r="C21">
            <v>5054.624294376903</v>
          </cell>
          <cell r="D21">
            <v>10572.536424444639</v>
          </cell>
          <cell r="E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</row>
        <row r="22">
          <cell r="A22">
            <v>210016</v>
          </cell>
          <cell r="B22">
            <v>2240.7369830268949</v>
          </cell>
          <cell r="C22">
            <v>2460.2300322997999</v>
          </cell>
          <cell r="D22">
            <v>4700.9670153267043</v>
          </cell>
          <cell r="E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</row>
        <row r="23">
          <cell r="A23">
            <v>210017</v>
          </cell>
          <cell r="B23">
            <v>418.12148442959989</v>
          </cell>
          <cell r="C23">
            <v>313.07621881920011</v>
          </cell>
          <cell r="D23">
            <v>731.19770324879983</v>
          </cell>
          <cell r="E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</row>
        <row r="24">
          <cell r="A24">
            <v>210018</v>
          </cell>
          <cell r="B24">
            <v>1538.0851829404987</v>
          </cell>
          <cell r="C24">
            <v>1409.3284041938989</v>
          </cell>
          <cell r="D24">
            <v>2947.413587134396</v>
          </cell>
          <cell r="E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</row>
        <row r="25">
          <cell r="A25">
            <v>210019</v>
          </cell>
          <cell r="B25">
            <v>3466.0935721428959</v>
          </cell>
          <cell r="C25">
            <v>2930.7662320300951</v>
          </cell>
          <cell r="D25">
            <v>6396.8598041730074</v>
          </cell>
          <cell r="E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</row>
        <row r="26">
          <cell r="A26">
            <v>210022</v>
          </cell>
          <cell r="B26">
            <v>2652.1168184138942</v>
          </cell>
          <cell r="C26">
            <v>2519.4446416436972</v>
          </cell>
          <cell r="D26">
            <v>5171.5614600576082</v>
          </cell>
          <cell r="E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</row>
        <row r="27">
          <cell r="A27">
            <v>210023</v>
          </cell>
          <cell r="B27">
            <v>4977.3817529281023</v>
          </cell>
          <cell r="C27">
            <v>4885.8152434043941</v>
          </cell>
          <cell r="D27">
            <v>9863.1969963325464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</row>
        <row r="28">
          <cell r="A28">
            <v>210024</v>
          </cell>
          <cell r="B28">
            <v>2982.6370273315997</v>
          </cell>
          <cell r="C28">
            <v>2841.8164395080894</v>
          </cell>
          <cell r="D28">
            <v>5824.4534668397237</v>
          </cell>
          <cell r="E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</row>
        <row r="29">
          <cell r="A29">
            <v>210027</v>
          </cell>
          <cell r="B29">
            <v>2487.0340204510985</v>
          </cell>
          <cell r="C29">
            <v>2231.8749329709945</v>
          </cell>
          <cell r="D29">
            <v>4718.908953422103</v>
          </cell>
          <cell r="E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</row>
        <row r="30">
          <cell r="A30">
            <v>210028</v>
          </cell>
          <cell r="B30">
            <v>1600.7681703038988</v>
          </cell>
          <cell r="C30">
            <v>1361.4209779150979</v>
          </cell>
          <cell r="D30">
            <v>2962.1891482189985</v>
          </cell>
          <cell r="E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</row>
        <row r="31">
          <cell r="A31">
            <v>210029</v>
          </cell>
          <cell r="B31">
            <v>4190.0563593481011</v>
          </cell>
          <cell r="C31">
            <v>3773.4541299248003</v>
          </cell>
          <cell r="D31">
            <v>7963.5104892729305</v>
          </cell>
          <cell r="E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</row>
        <row r="32">
          <cell r="A32">
            <v>210030</v>
          </cell>
          <cell r="B32">
            <v>157.62222291640001</v>
          </cell>
          <cell r="C32">
            <v>171.25589799469995</v>
          </cell>
          <cell r="D32">
            <v>328.87812091110032</v>
          </cell>
          <cell r="E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</row>
        <row r="33">
          <cell r="A33">
            <v>210032</v>
          </cell>
          <cell r="B33">
            <v>1133.6744385886989</v>
          </cell>
          <cell r="C33">
            <v>1272.030588394698</v>
          </cell>
          <cell r="D33">
            <v>2405.7050269833976</v>
          </cell>
          <cell r="E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</row>
        <row r="34">
          <cell r="A34">
            <v>210033</v>
          </cell>
          <cell r="B34">
            <v>2458.944788290898</v>
          </cell>
          <cell r="C34">
            <v>2166.6578135933933</v>
          </cell>
          <cell r="D34">
            <v>4625.6026018843049</v>
          </cell>
          <cell r="E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</row>
        <row r="35">
          <cell r="A35">
            <v>210034</v>
          </cell>
          <cell r="B35">
            <v>1801.6418444699962</v>
          </cell>
          <cell r="C35">
            <v>1555.3924880379959</v>
          </cell>
          <cell r="D35">
            <v>3357.0343325079921</v>
          </cell>
          <cell r="E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</row>
        <row r="36">
          <cell r="A36">
            <v>210035</v>
          </cell>
          <cell r="B36">
            <v>1484.2923536250992</v>
          </cell>
          <cell r="C36">
            <v>1382.3805980313987</v>
          </cell>
          <cell r="D36">
            <v>2866.6729516564997</v>
          </cell>
          <cell r="E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</row>
        <row r="37">
          <cell r="A37">
            <v>210037</v>
          </cell>
          <cell r="B37">
            <v>1015.2240569031978</v>
          </cell>
          <cell r="C37">
            <v>1022.0668489406987</v>
          </cell>
          <cell r="D37">
            <v>2037.2909058439002</v>
          </cell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</row>
        <row r="38">
          <cell r="A38">
            <v>210038</v>
          </cell>
          <cell r="B38">
            <v>1474.6930415746967</v>
          </cell>
          <cell r="C38">
            <v>1467.3613365249962</v>
          </cell>
          <cell r="D38">
            <v>2942.0543780996904</v>
          </cell>
          <cell r="E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</row>
        <row r="39">
          <cell r="A39">
            <v>210039</v>
          </cell>
          <cell r="B39">
            <v>1227.4702701325991</v>
          </cell>
          <cell r="C39">
            <v>1272.0210113930978</v>
          </cell>
          <cell r="D39">
            <v>2499.4912815256994</v>
          </cell>
          <cell r="E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</row>
        <row r="40">
          <cell r="A40">
            <v>210040</v>
          </cell>
          <cell r="B40">
            <v>2696.82271167719</v>
          </cell>
          <cell r="C40">
            <v>2299.1827363645912</v>
          </cell>
          <cell r="D40">
            <v>4996.0054480418012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</row>
        <row r="41">
          <cell r="A41">
            <v>210043</v>
          </cell>
          <cell r="B41">
            <v>4586.4375776548022</v>
          </cell>
          <cell r="C41">
            <v>4470.1438719765083</v>
          </cell>
          <cell r="D41">
            <v>9056.5814496313178</v>
          </cell>
          <cell r="E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</row>
        <row r="42">
          <cell r="A42">
            <v>210044</v>
          </cell>
          <cell r="B42">
            <v>3091.2282829670908</v>
          </cell>
          <cell r="C42">
            <v>2367.8462357628914</v>
          </cell>
          <cell r="D42">
            <v>5459.0745187299999</v>
          </cell>
          <cell r="E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</row>
        <row r="43">
          <cell r="A43">
            <v>210045</v>
          </cell>
          <cell r="B43">
            <v>46.608806271999995</v>
          </cell>
          <cell r="C43"/>
          <cell r="D43">
            <v>46.608806271999995</v>
          </cell>
          <cell r="E43"/>
          <cell r="G43"/>
          <cell r="H43"/>
          <cell r="I43"/>
          <cell r="J43"/>
          <cell r="K43"/>
          <cell r="L43"/>
          <cell r="N43"/>
          <cell r="O43"/>
          <cell r="P43"/>
          <cell r="Q43"/>
          <cell r="R43"/>
        </row>
        <row r="44">
          <cell r="A44">
            <v>210048</v>
          </cell>
          <cell r="B44">
            <v>3277.7800090516921</v>
          </cell>
          <cell r="C44">
            <v>2720.0134428092947</v>
          </cell>
          <cell r="D44">
            <v>5997.7934518610018</v>
          </cell>
          <cell r="E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</row>
        <row r="45">
          <cell r="A45">
            <v>210049</v>
          </cell>
          <cell r="B45">
            <v>3491.4687442925979</v>
          </cell>
          <cell r="C45">
            <v>2880.3275727416958</v>
          </cell>
          <cell r="D45">
            <v>6371.7963170343055</v>
          </cell>
          <cell r="E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</row>
        <row r="46">
          <cell r="A46">
            <v>210051</v>
          </cell>
          <cell r="B46">
            <v>3348.3110194602905</v>
          </cell>
          <cell r="C46">
            <v>2980.0995933190934</v>
          </cell>
          <cell r="D46">
            <v>6328.4106127794075</v>
          </cell>
          <cell r="E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</row>
        <row r="47">
          <cell r="A47">
            <v>210055</v>
          </cell>
          <cell r="B47">
            <v>348.19438102610025</v>
          </cell>
          <cell r="C47">
            <v>88.325514514600016</v>
          </cell>
          <cell r="D47">
            <v>436.51989554070019</v>
          </cell>
          <cell r="E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</row>
        <row r="48">
          <cell r="A48">
            <v>210056</v>
          </cell>
          <cell r="B48">
            <v>2945.1617371137977</v>
          </cell>
          <cell r="C48">
            <v>2983.8281873377932</v>
          </cell>
          <cell r="D48">
            <v>5928.9899244516109</v>
          </cell>
          <cell r="E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</row>
        <row r="49">
          <cell r="A49">
            <v>210057</v>
          </cell>
          <cell r="B49">
            <v>3012.5100125091967</v>
          </cell>
          <cell r="C49">
            <v>2925.4046590022936</v>
          </cell>
          <cell r="D49">
            <v>5937.9146715115157</v>
          </cell>
          <cell r="E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</row>
        <row r="50">
          <cell r="A50">
            <v>210058</v>
          </cell>
          <cell r="B50">
            <v>8.7267680507000005</v>
          </cell>
          <cell r="C50">
            <v>8.1299420473000001</v>
          </cell>
          <cell r="D50">
            <v>16.856710097999997</v>
          </cell>
          <cell r="E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</row>
        <row r="51">
          <cell r="A51">
            <v>210060</v>
          </cell>
          <cell r="B51">
            <v>664.89827486819968</v>
          </cell>
          <cell r="C51">
            <v>497.7353208958005</v>
          </cell>
          <cell r="D51">
            <v>1162.6335957639976</v>
          </cell>
          <cell r="E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</row>
        <row r="52">
          <cell r="A52">
            <v>210061</v>
          </cell>
          <cell r="B52">
            <v>872.96571807049907</v>
          </cell>
          <cell r="C52">
            <v>849.23535693359941</v>
          </cell>
          <cell r="D52">
            <v>1722.2010750041004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</row>
        <row r="53">
          <cell r="A53">
            <v>210062</v>
          </cell>
          <cell r="B53">
            <v>2661.4657004750943</v>
          </cell>
          <cell r="C53">
            <v>2514.1392066113908</v>
          </cell>
          <cell r="D53">
            <v>5175.6049070865029</v>
          </cell>
          <cell r="E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</row>
        <row r="54">
          <cell r="A54">
            <v>210063</v>
          </cell>
          <cell r="B54">
            <v>2337.1641495866979</v>
          </cell>
          <cell r="C54">
            <v>2428.8663051156959</v>
          </cell>
          <cell r="D54">
            <v>4766.0304547024061</v>
          </cell>
          <cell r="E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</row>
        <row r="55">
          <cell r="A55">
            <v>210065</v>
          </cell>
          <cell r="B55">
            <v>1061.6008971703991</v>
          </cell>
          <cell r="C55">
            <v>1004.9758348410996</v>
          </cell>
          <cell r="D55">
            <v>2066.5767320114974</v>
          </cell>
          <cell r="E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</row>
        <row r="56">
          <cell r="A56">
            <v>210089</v>
          </cell>
          <cell r="B56"/>
          <cell r="C56">
            <v>4.6846490272999999</v>
          </cell>
          <cell r="D56">
            <v>4.6846490272999999</v>
          </cell>
          <cell r="E56"/>
          <cell r="G56"/>
          <cell r="H56"/>
          <cell r="I56"/>
          <cell r="J56"/>
          <cell r="K56"/>
          <cell r="L56"/>
          <cell r="N56"/>
          <cell r="O56"/>
          <cell r="P56"/>
          <cell r="Q56"/>
          <cell r="R56"/>
        </row>
        <row r="57">
          <cell r="A57">
            <v>213028</v>
          </cell>
          <cell r="B57">
            <v>10.611322061599999</v>
          </cell>
          <cell r="C57">
            <v>5.1482390298999992</v>
          </cell>
          <cell r="D57">
            <v>15.759561091499998</v>
          </cell>
          <cell r="E57"/>
          <cell r="G57"/>
          <cell r="H57"/>
          <cell r="I57"/>
          <cell r="J57"/>
          <cell r="K57"/>
          <cell r="L57"/>
          <cell r="N57"/>
          <cell r="O57"/>
          <cell r="P57"/>
          <cell r="Q57"/>
          <cell r="R57"/>
        </row>
        <row r="58">
          <cell r="A58">
            <v>213029</v>
          </cell>
          <cell r="B58">
            <v>7.9773070465</v>
          </cell>
          <cell r="C58">
            <v>4.3093610251999994</v>
          </cell>
          <cell r="D58">
            <v>12.286668071699999</v>
          </cell>
          <cell r="E58"/>
          <cell r="G58"/>
          <cell r="H58"/>
          <cell r="I58"/>
          <cell r="J58"/>
          <cell r="K58"/>
          <cell r="L58"/>
          <cell r="N58"/>
          <cell r="O58"/>
          <cell r="P58"/>
          <cell r="Q58"/>
          <cell r="R58"/>
        </row>
        <row r="59">
          <cell r="A59">
            <v>213300</v>
          </cell>
          <cell r="B59">
            <v>13.2730030773</v>
          </cell>
          <cell r="C59">
            <v>17.530710101900006</v>
          </cell>
          <cell r="D59">
            <v>30.803713179199995</v>
          </cell>
          <cell r="E59"/>
          <cell r="G59"/>
          <cell r="H59"/>
          <cell r="I59"/>
          <cell r="J59"/>
          <cell r="K59"/>
          <cell r="N59"/>
          <cell r="O59"/>
          <cell r="P59"/>
          <cell r="Q59"/>
          <cell r="R59"/>
        </row>
        <row r="60">
          <cell r="A60">
            <v>218992</v>
          </cell>
          <cell r="B60">
            <v>569.18002530659999</v>
          </cell>
          <cell r="C60">
            <v>338.90116696910002</v>
          </cell>
          <cell r="D60">
            <v>908.08119227570023</v>
          </cell>
          <cell r="E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</row>
        <row r="61">
          <cell r="A61" t="str">
            <v>Grand Total</v>
          </cell>
          <cell r="B61">
            <v>114720.16526775074</v>
          </cell>
          <cell r="C61">
            <v>103603.64563110398</v>
          </cell>
          <cell r="D61">
            <v>218323.81089885664</v>
          </cell>
          <cell r="E61"/>
          <cell r="G61"/>
          <cell r="H61"/>
          <cell r="I61"/>
          <cell r="J61"/>
          <cell r="K61"/>
          <cell r="L61"/>
          <cell r="N61"/>
          <cell r="O61"/>
          <cell r="P61"/>
          <cell r="Q61"/>
          <cell r="R61"/>
        </row>
        <row r="62">
          <cell r="D62"/>
          <cell r="E62"/>
          <cell r="G62"/>
          <cell r="H62"/>
          <cell r="I62"/>
          <cell r="J62"/>
          <cell r="K62"/>
          <cell r="L62"/>
          <cell r="N62"/>
          <cell r="O62"/>
          <cell r="P62"/>
          <cell r="Q62"/>
          <cell r="R62"/>
        </row>
        <row r="63">
          <cell r="D63"/>
          <cell r="E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</row>
        <row r="64">
          <cell r="D64"/>
          <cell r="E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</row>
        <row r="65">
          <cell r="D65"/>
          <cell r="E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</row>
        <row r="66">
          <cell r="D66"/>
          <cell r="E66"/>
          <cell r="G66"/>
          <cell r="H66"/>
          <cell r="I66"/>
          <cell r="J66"/>
          <cell r="K66"/>
        </row>
        <row r="67">
          <cell r="D67"/>
          <cell r="E67"/>
          <cell r="G67"/>
          <cell r="H67"/>
          <cell r="I67"/>
          <cell r="J67"/>
          <cell r="K67"/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spital Total (FY)"/>
      <sheetName val="Hospital ICC (FY)"/>
      <sheetName val="Oncoloy Drugs"/>
      <sheetName val="Chronic"/>
      <sheetName val="Innovation !"/>
      <sheetName val="Categoricals"/>
      <sheetName val="Innovation and Categoricals"/>
      <sheetName val="PAU"/>
      <sheetName val="COVID Lab"/>
      <sheetName val="DRG 137"/>
      <sheetName val="Half the Questionable DRGS"/>
      <sheetName val="Hospital (CY)"/>
      <sheetName val="Hospital (FY visits)"/>
      <sheetName val="Meritus"/>
      <sheetName val="PRMC"/>
      <sheetName val="Meritus (2)"/>
      <sheetName val="Hospital ICC (CY)"/>
      <sheetName val="Oncoloy Drugs (CY)"/>
      <sheetName val="COVID Lab (CY)"/>
    </sheetNames>
    <sheetDataSet>
      <sheetData sheetId="0">
        <row r="1">
          <cell r="A1" t="str">
            <v>FYEAR</v>
          </cell>
          <cell r="B1" t="str">
            <v>2022</v>
          </cell>
        </row>
        <row r="2">
          <cell r="A2" t="str">
            <v>INNOVATION_FLAG</v>
          </cell>
          <cell r="B2" t="str">
            <v>All</v>
          </cell>
        </row>
        <row r="3">
          <cell r="A3" t="str">
            <v>categorical</v>
          </cell>
          <cell r="B3" t="str">
            <v>All</v>
          </cell>
        </row>
        <row r="4">
          <cell r="A4" t="str">
            <v>PROD_CAT</v>
          </cell>
          <cell r="B4" t="str">
            <v>All</v>
          </cell>
        </row>
        <row r="5">
          <cell r="A5" t="str">
            <v>type</v>
          </cell>
          <cell r="B5" t="str">
            <v>All</v>
          </cell>
        </row>
        <row r="7">
          <cell r="A7" t="str">
            <v>Row Labels</v>
          </cell>
          <cell r="B7" t="str">
            <v>Ecmad</v>
          </cell>
          <cell r="C7" t="str">
            <v>Total Charge</v>
          </cell>
        </row>
        <row r="8">
          <cell r="A8">
            <v>210001</v>
          </cell>
          <cell r="B8">
            <v>31623.718335406957</v>
          </cell>
          <cell r="C8">
            <v>428440467.56999999</v>
          </cell>
        </row>
        <row r="9">
          <cell r="A9">
            <v>210002</v>
          </cell>
          <cell r="B9">
            <v>73328.827395536166</v>
          </cell>
          <cell r="C9">
            <v>1764276891.6700001</v>
          </cell>
        </row>
        <row r="10">
          <cell r="A10">
            <v>210003</v>
          </cell>
          <cell r="B10">
            <v>16691.920474072991</v>
          </cell>
          <cell r="C10">
            <v>389265489.22000003</v>
          </cell>
        </row>
        <row r="11">
          <cell r="A11">
            <v>210004</v>
          </cell>
          <cell r="B11">
            <v>35580.146459358883</v>
          </cell>
          <cell r="C11">
            <v>576069470.96000004</v>
          </cell>
        </row>
        <row r="12">
          <cell r="A12">
            <v>210005</v>
          </cell>
          <cell r="B12">
            <v>24679.635436322013</v>
          </cell>
          <cell r="C12">
            <v>395399477.69</v>
          </cell>
        </row>
        <row r="13">
          <cell r="A13">
            <v>210006</v>
          </cell>
          <cell r="B13">
            <v>6428.5974975520039</v>
          </cell>
          <cell r="C13">
            <v>119042126.78</v>
          </cell>
        </row>
        <row r="14">
          <cell r="A14">
            <v>210008</v>
          </cell>
          <cell r="B14">
            <v>39213.994149452934</v>
          </cell>
          <cell r="C14">
            <v>627665746.37</v>
          </cell>
        </row>
        <row r="15">
          <cell r="A15">
            <v>210009</v>
          </cell>
          <cell r="B15">
            <v>126804.76062676703</v>
          </cell>
          <cell r="C15">
            <v>2801201920.5100002</v>
          </cell>
        </row>
        <row r="16">
          <cell r="A16">
            <v>210010</v>
          </cell>
          <cell r="B16">
            <v>1186.6877829750006</v>
          </cell>
          <cell r="C16">
            <v>21861750.18</v>
          </cell>
        </row>
        <row r="17">
          <cell r="A17">
            <v>210011</v>
          </cell>
          <cell r="B17">
            <v>25612.561942375025</v>
          </cell>
          <cell r="C17">
            <v>465580404.66000003</v>
          </cell>
        </row>
        <row r="18">
          <cell r="A18">
            <v>210012</v>
          </cell>
          <cell r="B18">
            <v>43206.251628994971</v>
          </cell>
          <cell r="C18">
            <v>935895781.27999997</v>
          </cell>
        </row>
        <row r="19">
          <cell r="A19">
            <v>210013</v>
          </cell>
          <cell r="B19">
            <v>1612.6049203259993</v>
          </cell>
          <cell r="C19">
            <v>34372644.210000001</v>
          </cell>
        </row>
        <row r="20">
          <cell r="A20">
            <v>210015</v>
          </cell>
          <cell r="B20">
            <v>40196.110824007985</v>
          </cell>
          <cell r="C20">
            <v>608313462.71000004</v>
          </cell>
        </row>
        <row r="21">
          <cell r="A21">
            <v>210016</v>
          </cell>
          <cell r="B21">
            <v>19618.523454216054</v>
          </cell>
          <cell r="C21">
            <v>340970877.32999998</v>
          </cell>
        </row>
        <row r="22">
          <cell r="A22">
            <v>210017</v>
          </cell>
          <cell r="B22">
            <v>6239.5698150800026</v>
          </cell>
          <cell r="C22">
            <v>70503452.930000007</v>
          </cell>
        </row>
        <row r="23">
          <cell r="A23">
            <v>210018</v>
          </cell>
          <cell r="B23">
            <v>12443.738462462003</v>
          </cell>
          <cell r="C23">
            <v>191779220.71000001</v>
          </cell>
        </row>
        <row r="24">
          <cell r="A24">
            <v>210019</v>
          </cell>
          <cell r="B24">
            <v>36994.034626080036</v>
          </cell>
          <cell r="C24">
            <v>519451696.60000002</v>
          </cell>
        </row>
        <row r="25">
          <cell r="A25">
            <v>210022</v>
          </cell>
          <cell r="B25">
            <v>25347.754348235998</v>
          </cell>
          <cell r="C25">
            <v>391434960.41000003</v>
          </cell>
        </row>
        <row r="26">
          <cell r="A26">
            <v>210023</v>
          </cell>
          <cell r="B26">
            <v>49528.580089216863</v>
          </cell>
          <cell r="C26">
            <v>722271838.95000005</v>
          </cell>
        </row>
        <row r="27">
          <cell r="A27">
            <v>210024</v>
          </cell>
          <cell r="B27">
            <v>27024.84999533301</v>
          </cell>
          <cell r="C27">
            <v>440966331.88999999</v>
          </cell>
        </row>
        <row r="28">
          <cell r="A28">
            <v>210027</v>
          </cell>
          <cell r="B28">
            <v>24325.099394108009</v>
          </cell>
          <cell r="C28">
            <v>361916515.41000003</v>
          </cell>
        </row>
        <row r="29">
          <cell r="A29">
            <v>210028</v>
          </cell>
          <cell r="B29">
            <v>15205.591653996004</v>
          </cell>
          <cell r="C29">
            <v>204496807.53</v>
          </cell>
        </row>
        <row r="30">
          <cell r="A30">
            <v>210029</v>
          </cell>
          <cell r="B30">
            <v>39380.839934114985</v>
          </cell>
          <cell r="C30">
            <v>780812247.20000005</v>
          </cell>
        </row>
        <row r="31">
          <cell r="A31">
            <v>210030</v>
          </cell>
          <cell r="B31">
            <v>2198.8372439419982</v>
          </cell>
          <cell r="C31">
            <v>52352200.579999998</v>
          </cell>
        </row>
        <row r="32">
          <cell r="A32">
            <v>210032</v>
          </cell>
          <cell r="B32">
            <v>11585.575139715011</v>
          </cell>
          <cell r="C32">
            <v>178274624.69999999</v>
          </cell>
        </row>
        <row r="33">
          <cell r="A33">
            <v>210033</v>
          </cell>
          <cell r="B33">
            <v>16476.621894403012</v>
          </cell>
          <cell r="C33">
            <v>257385670.19999999</v>
          </cell>
        </row>
        <row r="34">
          <cell r="A34">
            <v>210034</v>
          </cell>
          <cell r="B34">
            <v>11688.854737428017</v>
          </cell>
          <cell r="C34">
            <v>201446777.34</v>
          </cell>
        </row>
        <row r="35">
          <cell r="A35">
            <v>210035</v>
          </cell>
          <cell r="B35">
            <v>12334.938520336003</v>
          </cell>
          <cell r="C35">
            <v>175266910.41999999</v>
          </cell>
        </row>
        <row r="36">
          <cell r="A36">
            <v>210037</v>
          </cell>
          <cell r="B36">
            <v>14965.427151758027</v>
          </cell>
          <cell r="C36">
            <v>287354593.13999999</v>
          </cell>
        </row>
        <row r="37">
          <cell r="A37">
            <v>210038</v>
          </cell>
          <cell r="B37">
            <v>11100.536268111015</v>
          </cell>
          <cell r="C37">
            <v>242290219</v>
          </cell>
        </row>
        <row r="38">
          <cell r="A38">
            <v>210039</v>
          </cell>
          <cell r="B38">
            <v>10983.462528887996</v>
          </cell>
          <cell r="C38">
            <v>170282074.96000001</v>
          </cell>
        </row>
        <row r="39">
          <cell r="A39">
            <v>210040</v>
          </cell>
          <cell r="B39">
            <v>16487.127439533015</v>
          </cell>
          <cell r="C39">
            <v>301284044.13</v>
          </cell>
        </row>
        <row r="40">
          <cell r="A40">
            <v>210043</v>
          </cell>
          <cell r="B40">
            <v>31371.817887967023</v>
          </cell>
          <cell r="C40">
            <v>511630556.13</v>
          </cell>
        </row>
        <row r="41">
          <cell r="A41">
            <v>210044</v>
          </cell>
          <cell r="B41">
            <v>31646.050151308027</v>
          </cell>
          <cell r="C41">
            <v>492220623.76999998</v>
          </cell>
        </row>
        <row r="42">
          <cell r="A42">
            <v>210045</v>
          </cell>
          <cell r="B42">
            <v>601.37826428800031</v>
          </cell>
          <cell r="C42">
            <v>5228782.72</v>
          </cell>
        </row>
        <row r="43">
          <cell r="A43">
            <v>210048</v>
          </cell>
          <cell r="B43">
            <v>25295.747481695998</v>
          </cell>
          <cell r="C43">
            <v>345110522.88999999</v>
          </cell>
        </row>
        <row r="44">
          <cell r="A44">
            <v>210049</v>
          </cell>
          <cell r="B44">
            <v>24336.68762479402</v>
          </cell>
          <cell r="C44">
            <v>366648303.98000002</v>
          </cell>
        </row>
        <row r="45">
          <cell r="A45">
            <v>210051</v>
          </cell>
          <cell r="B45">
            <v>16087.659476919027</v>
          </cell>
          <cell r="C45">
            <v>259241775.94</v>
          </cell>
        </row>
        <row r="46">
          <cell r="A46">
            <v>210055</v>
          </cell>
          <cell r="B46">
            <v>1986.7155552619963</v>
          </cell>
          <cell r="C46">
            <v>34096100.859999999</v>
          </cell>
        </row>
        <row r="47">
          <cell r="A47">
            <v>210056</v>
          </cell>
          <cell r="B47">
            <v>16915.950170119999</v>
          </cell>
          <cell r="C47">
            <v>289012682.44</v>
          </cell>
        </row>
        <row r="48">
          <cell r="A48">
            <v>210057</v>
          </cell>
          <cell r="B48">
            <v>29747.360359551036</v>
          </cell>
          <cell r="C48">
            <v>507227771.44</v>
          </cell>
        </row>
        <row r="49">
          <cell r="A49">
            <v>210058</v>
          </cell>
          <cell r="B49">
            <v>6047.2489919200034</v>
          </cell>
          <cell r="C49">
            <v>132877580.38</v>
          </cell>
        </row>
        <row r="50">
          <cell r="A50">
            <v>210060</v>
          </cell>
          <cell r="B50">
            <v>3722.2358816500018</v>
          </cell>
          <cell r="C50">
            <v>67385279.329999998</v>
          </cell>
        </row>
        <row r="51">
          <cell r="A51">
            <v>210061</v>
          </cell>
          <cell r="B51">
            <v>9035.8712175250039</v>
          </cell>
          <cell r="C51">
            <v>124945709.09999999</v>
          </cell>
        </row>
        <row r="52">
          <cell r="A52">
            <v>210062</v>
          </cell>
          <cell r="B52">
            <v>17498.725363005029</v>
          </cell>
          <cell r="C52">
            <v>298015022.06</v>
          </cell>
        </row>
        <row r="53">
          <cell r="A53">
            <v>210063</v>
          </cell>
          <cell r="B53">
            <v>27333.955835575012</v>
          </cell>
          <cell r="C53">
            <v>430815368.43000001</v>
          </cell>
        </row>
        <row r="54">
          <cell r="A54">
            <v>210064</v>
          </cell>
          <cell r="B54">
            <v>1687.3072003519987</v>
          </cell>
          <cell r="C54">
            <v>66783155.310000002</v>
          </cell>
        </row>
        <row r="55">
          <cell r="A55">
            <v>210065</v>
          </cell>
          <cell r="B55">
            <v>9808.5127385100077</v>
          </cell>
          <cell r="C55">
            <v>145500726.12</v>
          </cell>
        </row>
        <row r="56">
          <cell r="A56">
            <v>210068</v>
          </cell>
          <cell r="B56">
            <v>219.56556010299977</v>
          </cell>
          <cell r="C56">
            <v>1358522.15</v>
          </cell>
        </row>
        <row r="57">
          <cell r="A57">
            <v>210087</v>
          </cell>
          <cell r="B57">
            <v>1272.2915720600004</v>
          </cell>
          <cell r="C57">
            <v>16794634.579999998</v>
          </cell>
        </row>
        <row r="58">
          <cell r="A58">
            <v>210088</v>
          </cell>
          <cell r="B58">
            <v>1051.8197793799995</v>
          </cell>
          <cell r="C58">
            <v>7676320.6200000001</v>
          </cell>
        </row>
        <row r="59">
          <cell r="A59">
            <v>210089</v>
          </cell>
          <cell r="B59">
            <v>495.77125600000016</v>
          </cell>
          <cell r="C59">
            <v>38808399.039999999</v>
          </cell>
        </row>
        <row r="60">
          <cell r="A60">
            <v>210333</v>
          </cell>
          <cell r="B60">
            <v>1310.1740618760002</v>
          </cell>
          <cell r="C60">
            <v>17493993.379999999</v>
          </cell>
        </row>
        <row r="61">
          <cell r="A61">
            <v>213028</v>
          </cell>
          <cell r="B61">
            <v>1015.1730335189989</v>
          </cell>
          <cell r="C61">
            <v>47308061.950000003</v>
          </cell>
        </row>
        <row r="62">
          <cell r="A62">
            <v>213029</v>
          </cell>
          <cell r="B62">
            <v>1099.3727105170001</v>
          </cell>
          <cell r="C62">
            <v>51018605.229999997</v>
          </cell>
        </row>
        <row r="63">
          <cell r="A63">
            <v>213300</v>
          </cell>
          <cell r="B63">
            <v>2471.3137870199967</v>
          </cell>
          <cell r="C63">
            <v>59242427.780000001</v>
          </cell>
        </row>
        <row r="64">
          <cell r="A64">
            <v>218992</v>
          </cell>
          <cell r="B64">
            <v>10474.143168839011</v>
          </cell>
          <cell r="C64">
            <v>295521080.48000002</v>
          </cell>
        </row>
        <row r="65">
          <cell r="A65" t="str">
            <v>Grand Total</v>
          </cell>
          <cell r="B65">
            <v>1102628.6292998614</v>
          </cell>
          <cell r="C65">
            <v>19669888703.349998</v>
          </cell>
        </row>
      </sheetData>
      <sheetData sheetId="1">
        <row r="2">
          <cell r="A2" t="str">
            <v>FYEAR</v>
          </cell>
          <cell r="B2" t="str">
            <v>2022</v>
          </cell>
        </row>
        <row r="3">
          <cell r="A3" t="str">
            <v>INNOVATION_FLAG</v>
          </cell>
          <cell r="B3" t="str">
            <v>N</v>
          </cell>
        </row>
        <row r="4">
          <cell r="A4" t="str">
            <v>categorical</v>
          </cell>
          <cell r="B4" t="str">
            <v>(Multiple Items)</v>
          </cell>
        </row>
        <row r="5">
          <cell r="A5" t="str">
            <v>PROD_CAT</v>
          </cell>
          <cell r="B5" t="str">
            <v>(Multiple Items)</v>
          </cell>
        </row>
        <row r="7">
          <cell r="B7" t="str">
            <v>Column Labels</v>
          </cell>
        </row>
        <row r="8">
          <cell r="B8" t="str">
            <v>Ecmad</v>
          </cell>
          <cell r="C8"/>
          <cell r="D8" t="str">
            <v>Total Charge</v>
          </cell>
          <cell r="E8"/>
          <cell r="F8" t="str">
            <v>Total Ecmad</v>
          </cell>
          <cell r="G8" t="str">
            <v>Total Total Charge</v>
          </cell>
        </row>
        <row r="9">
          <cell r="A9" t="str">
            <v>Row Labels</v>
          </cell>
          <cell r="B9" t="str">
            <v>IP</v>
          </cell>
          <cell r="D9" t="str">
            <v>IP</v>
          </cell>
        </row>
        <row r="10">
          <cell r="A10">
            <v>210001</v>
          </cell>
          <cell r="B10">
            <v>18151.548756999957</v>
          </cell>
          <cell r="C10">
            <v>11085.048466918999</v>
          </cell>
          <cell r="D10">
            <v>262709609.03999999</v>
          </cell>
          <cell r="E10">
            <v>144814497.72</v>
          </cell>
          <cell r="F10">
            <v>29236.597223918954</v>
          </cell>
          <cell r="G10">
            <v>407524106.75999999</v>
          </cell>
        </row>
        <row r="11">
          <cell r="A11">
            <v>210002</v>
          </cell>
          <cell r="B11">
            <v>33258.543709000107</v>
          </cell>
          <cell r="C11">
            <v>20843.278859405014</v>
          </cell>
          <cell r="D11">
            <v>871286435.58000004</v>
          </cell>
          <cell r="E11">
            <v>396916162.37</v>
          </cell>
          <cell r="F11">
            <v>54101.822568405114</v>
          </cell>
          <cell r="G11">
            <v>1268202597.95</v>
          </cell>
        </row>
        <row r="12">
          <cell r="A12">
            <v>210003</v>
          </cell>
          <cell r="B12">
            <v>13377.440997</v>
          </cell>
          <cell r="C12">
            <v>3301.9715334319935</v>
          </cell>
          <cell r="D12">
            <v>312598634.89999998</v>
          </cell>
          <cell r="E12">
            <v>76075759.260000005</v>
          </cell>
          <cell r="F12">
            <v>16679.412530431997</v>
          </cell>
          <cell r="G12">
            <v>388674394.16000003</v>
          </cell>
        </row>
        <row r="13">
          <cell r="A13">
            <v>210004</v>
          </cell>
          <cell r="B13">
            <v>26572.949642999898</v>
          </cell>
          <cell r="C13">
            <v>8903.7773320949964</v>
          </cell>
          <cell r="D13">
            <v>424777484.39999998</v>
          </cell>
          <cell r="E13">
            <v>146991517.69999999</v>
          </cell>
          <cell r="F13">
            <v>35476.726975094869</v>
          </cell>
          <cell r="G13">
            <v>571769002.10000002</v>
          </cell>
        </row>
        <row r="14">
          <cell r="A14">
            <v>210005</v>
          </cell>
          <cell r="B14">
            <v>17282.606574000012</v>
          </cell>
          <cell r="C14">
            <v>7395.5375679070012</v>
          </cell>
          <cell r="D14">
            <v>281006497.08999997</v>
          </cell>
          <cell r="E14">
            <v>113905143.12</v>
          </cell>
          <cell r="F14">
            <v>24678.144141907018</v>
          </cell>
          <cell r="G14">
            <v>394911640.20999998</v>
          </cell>
        </row>
        <row r="15">
          <cell r="A15">
            <v>210006</v>
          </cell>
          <cell r="B15">
            <v>4277.7990450000043</v>
          </cell>
          <cell r="C15">
            <v>2132.7927961059995</v>
          </cell>
          <cell r="D15">
            <v>81509290.120000005</v>
          </cell>
          <cell r="E15">
            <v>36643156.280000001</v>
          </cell>
          <cell r="F15">
            <v>6410.5918411060038</v>
          </cell>
          <cell r="G15">
            <v>118152446.40000001</v>
          </cell>
        </row>
        <row r="16">
          <cell r="A16">
            <v>210008</v>
          </cell>
          <cell r="B16">
            <v>13943.138108999965</v>
          </cell>
          <cell r="C16">
            <v>23278.299119044968</v>
          </cell>
          <cell r="D16">
            <v>233296486.86000001</v>
          </cell>
          <cell r="E16">
            <v>360599088.31999999</v>
          </cell>
          <cell r="F16">
            <v>37221.437228044932</v>
          </cell>
          <cell r="G16">
            <v>593895575.17999995</v>
          </cell>
        </row>
        <row r="17">
          <cell r="A17">
            <v>210009</v>
          </cell>
          <cell r="B17">
            <v>56184.437650000153</v>
          </cell>
          <cell r="C17">
            <v>49478.144461327975</v>
          </cell>
          <cell r="D17">
            <v>1433691606.6800001</v>
          </cell>
          <cell r="E17">
            <v>827638453.66999996</v>
          </cell>
          <cell r="F17">
            <v>105662.58211132814</v>
          </cell>
          <cell r="G17">
            <v>2261330060.3499999</v>
          </cell>
        </row>
        <row r="18">
          <cell r="A18">
            <v>210010</v>
          </cell>
          <cell r="B18">
            <v>87.130389999999935</v>
          </cell>
          <cell r="C18">
            <v>1099.0970069030009</v>
          </cell>
          <cell r="D18">
            <v>1500350.92</v>
          </cell>
          <cell r="E18">
            <v>20328068.109999999</v>
          </cell>
          <cell r="F18">
            <v>1186.2273969030007</v>
          </cell>
          <cell r="G18">
            <v>21828419.030000001</v>
          </cell>
        </row>
        <row r="19">
          <cell r="A19">
            <v>210011</v>
          </cell>
          <cell r="B19">
            <v>14198.487575000025</v>
          </cell>
          <cell r="C19">
            <v>10044.127060778996</v>
          </cell>
          <cell r="D19">
            <v>260314315.25</v>
          </cell>
          <cell r="E19">
            <v>174110064.59</v>
          </cell>
          <cell r="F19">
            <v>24242.614635779017</v>
          </cell>
          <cell r="G19">
            <v>434424379.83999997</v>
          </cell>
        </row>
        <row r="20">
          <cell r="A20">
            <v>210012</v>
          </cell>
          <cell r="B20">
            <v>23210.702706999975</v>
          </cell>
          <cell r="C20">
            <v>16709.955096069112</v>
          </cell>
          <cell r="D20">
            <v>538130313.53999996</v>
          </cell>
          <cell r="E20">
            <v>330771377.74000001</v>
          </cell>
          <cell r="F20">
            <v>39920.657803069073</v>
          </cell>
          <cell r="G20">
            <v>868901691.27999997</v>
          </cell>
        </row>
        <row r="21">
          <cell r="A21">
            <v>210013</v>
          </cell>
          <cell r="B21">
            <v>213.33211900000009</v>
          </cell>
          <cell r="C21">
            <v>1397.3552705499981</v>
          </cell>
          <cell r="D21">
            <v>2137490.83</v>
          </cell>
          <cell r="E21">
            <v>31789425.690000001</v>
          </cell>
          <cell r="F21">
            <v>1610.6873895499982</v>
          </cell>
          <cell r="G21">
            <v>33926916.520000003</v>
          </cell>
        </row>
        <row r="22">
          <cell r="A22">
            <v>210015</v>
          </cell>
          <cell r="B22">
            <v>23947.916111999948</v>
          </cell>
          <cell r="C22">
            <v>12974.034243164077</v>
          </cell>
          <cell r="D22">
            <v>375271223.91000003</v>
          </cell>
          <cell r="E22">
            <v>177849501.22</v>
          </cell>
          <cell r="F22">
            <v>36921.950355164023</v>
          </cell>
          <cell r="G22">
            <v>553120725.13</v>
          </cell>
        </row>
        <row r="23">
          <cell r="A23">
            <v>210016</v>
          </cell>
          <cell r="B23">
            <v>13048.423082000038</v>
          </cell>
          <cell r="C23">
            <v>6465.156535862996</v>
          </cell>
          <cell r="D23">
            <v>245956362.50999999</v>
          </cell>
          <cell r="E23">
            <v>93928695.700000003</v>
          </cell>
          <cell r="F23">
            <v>19513.579617863037</v>
          </cell>
          <cell r="G23">
            <v>339885058.20999998</v>
          </cell>
        </row>
        <row r="24">
          <cell r="A24">
            <v>210017</v>
          </cell>
          <cell r="B24">
            <v>2053.5804660000026</v>
          </cell>
          <cell r="C24">
            <v>3649.0207232530047</v>
          </cell>
          <cell r="D24">
            <v>27747852.52</v>
          </cell>
          <cell r="E24">
            <v>37227612.840000004</v>
          </cell>
          <cell r="F24">
            <v>5702.6011892530078</v>
          </cell>
          <cell r="G24">
            <v>64975465.359999999</v>
          </cell>
        </row>
        <row r="25">
          <cell r="A25">
            <v>210018</v>
          </cell>
          <cell r="B25">
            <v>6798.9200949999995</v>
          </cell>
          <cell r="C25">
            <v>5037.7989376479854</v>
          </cell>
          <cell r="D25">
            <v>100743224.31</v>
          </cell>
          <cell r="E25">
            <v>77470857.920000002</v>
          </cell>
          <cell r="F25">
            <v>11836.719032647985</v>
          </cell>
          <cell r="G25">
            <v>178214082.22999999</v>
          </cell>
        </row>
        <row r="26">
          <cell r="A26">
            <v>210019</v>
          </cell>
          <cell r="B26">
            <v>21452.376572000045</v>
          </cell>
          <cell r="C26">
            <v>14169.34725038195</v>
          </cell>
          <cell r="D26">
            <v>322948308.88</v>
          </cell>
          <cell r="E26">
            <v>179027416.16999999</v>
          </cell>
          <cell r="F26">
            <v>35621.723822381995</v>
          </cell>
          <cell r="G26">
            <v>501975725.05000001</v>
          </cell>
        </row>
        <row r="27">
          <cell r="A27">
            <v>210022</v>
          </cell>
          <cell r="B27">
            <v>16567.712772000003</v>
          </cell>
          <cell r="C27">
            <v>8777.1780056799871</v>
          </cell>
          <cell r="D27">
            <v>256531788.72999999</v>
          </cell>
          <cell r="E27">
            <v>134141557.79000001</v>
          </cell>
          <cell r="F27">
            <v>25344.890777679986</v>
          </cell>
          <cell r="G27">
            <v>390673346.51999998</v>
          </cell>
        </row>
        <row r="28">
          <cell r="A28">
            <v>210023</v>
          </cell>
          <cell r="B28">
            <v>27903.127565999941</v>
          </cell>
          <cell r="C28">
            <v>19908.730925801945</v>
          </cell>
          <cell r="D28">
            <v>402177283.30000001</v>
          </cell>
          <cell r="E28">
            <v>284547984.04000002</v>
          </cell>
          <cell r="F28">
            <v>47811.858491801875</v>
          </cell>
          <cell r="G28">
            <v>686725267.34000003</v>
          </cell>
        </row>
        <row r="29">
          <cell r="A29">
            <v>210024</v>
          </cell>
          <cell r="B29">
            <v>15389.945081000013</v>
          </cell>
          <cell r="C29">
            <v>11631.52385936011</v>
          </cell>
          <cell r="D29">
            <v>273123175.50999999</v>
          </cell>
          <cell r="E29">
            <v>166968159.41999999</v>
          </cell>
          <cell r="F29">
            <v>27021.468940360119</v>
          </cell>
          <cell r="G29">
            <v>440091334.93000001</v>
          </cell>
        </row>
        <row r="30">
          <cell r="A30">
            <v>210027</v>
          </cell>
          <cell r="B30">
            <v>13362.610494000002</v>
          </cell>
          <cell r="C30">
            <v>9361.2065175539828</v>
          </cell>
          <cell r="D30">
            <v>205528500.46000001</v>
          </cell>
          <cell r="E30">
            <v>119526786.5</v>
          </cell>
          <cell r="F30">
            <v>22723.817011553983</v>
          </cell>
          <cell r="G30">
            <v>325055286.95999998</v>
          </cell>
        </row>
        <row r="31">
          <cell r="A31">
            <v>210028</v>
          </cell>
          <cell r="B31">
            <v>7495.1566430000094</v>
          </cell>
          <cell r="C31">
            <v>7210.9680090829861</v>
          </cell>
          <cell r="D31">
            <v>102823683.23999999</v>
          </cell>
          <cell r="E31">
            <v>88910990.989999995</v>
          </cell>
          <cell r="F31">
            <v>14706.124652082995</v>
          </cell>
          <cell r="G31">
            <v>191734674.22999999</v>
          </cell>
        </row>
        <row r="32">
          <cell r="A32">
            <v>210029</v>
          </cell>
          <cell r="B32">
            <v>19973.96585099999</v>
          </cell>
          <cell r="C32">
            <v>16228.090821798072</v>
          </cell>
          <cell r="D32">
            <v>452817955.29000002</v>
          </cell>
          <cell r="E32">
            <v>234221721.84</v>
          </cell>
          <cell r="F32">
            <v>36202.056672798062</v>
          </cell>
          <cell r="G32">
            <v>687039677.13</v>
          </cell>
        </row>
        <row r="33">
          <cell r="A33">
            <v>210030</v>
          </cell>
          <cell r="B33">
            <v>393.25339200000002</v>
          </cell>
          <cell r="C33">
            <v>1786.8806577440005</v>
          </cell>
          <cell r="D33">
            <v>11221231.02</v>
          </cell>
          <cell r="E33">
            <v>40397871.880000003</v>
          </cell>
          <cell r="F33">
            <v>2180.1340497440005</v>
          </cell>
          <cell r="G33">
            <v>51619102.899999999</v>
          </cell>
        </row>
        <row r="34">
          <cell r="A34">
            <v>210032</v>
          </cell>
          <cell r="B34">
            <v>6105.5437250000223</v>
          </cell>
          <cell r="C34">
            <v>4823.0774397069899</v>
          </cell>
          <cell r="D34">
            <v>100928673.29000001</v>
          </cell>
          <cell r="E34">
            <v>63900718.93</v>
          </cell>
          <cell r="F34">
            <v>10928.621164707014</v>
          </cell>
          <cell r="G34">
            <v>164829392.22</v>
          </cell>
        </row>
        <row r="35">
          <cell r="A35">
            <v>210033</v>
          </cell>
          <cell r="B35">
            <v>11063.19863800002</v>
          </cell>
          <cell r="C35">
            <v>5402.8953067779785</v>
          </cell>
          <cell r="D35">
            <v>169955085.99000001</v>
          </cell>
          <cell r="E35">
            <v>86815712.189999998</v>
          </cell>
          <cell r="F35">
            <v>16466.093944777997</v>
          </cell>
          <cell r="G35">
            <v>256770798.18000001</v>
          </cell>
        </row>
        <row r="36">
          <cell r="A36">
            <v>210034</v>
          </cell>
          <cell r="B36">
            <v>7547.2695840000251</v>
          </cell>
          <cell r="C36">
            <v>4106.04802637599</v>
          </cell>
          <cell r="D36">
            <v>137791731.03999999</v>
          </cell>
          <cell r="E36">
            <v>62043789.18</v>
          </cell>
          <cell r="F36">
            <v>11653.317610376012</v>
          </cell>
          <cell r="G36">
            <v>199835520.22</v>
          </cell>
        </row>
        <row r="37">
          <cell r="A37">
            <v>210035</v>
          </cell>
          <cell r="B37">
            <v>7051.1743930000066</v>
          </cell>
          <cell r="C37">
            <v>5247.6352030029811</v>
          </cell>
          <cell r="D37">
            <v>103620139.31</v>
          </cell>
          <cell r="E37">
            <v>70850334.439999998</v>
          </cell>
          <cell r="F37">
            <v>12298.809596002984</v>
          </cell>
          <cell r="G37">
            <v>174470473.75</v>
          </cell>
        </row>
        <row r="38">
          <cell r="A38">
            <v>210037</v>
          </cell>
          <cell r="B38">
            <v>7526.6709260000125</v>
          </cell>
          <cell r="C38">
            <v>6810.9059137159702</v>
          </cell>
          <cell r="D38">
            <v>145898543.49000001</v>
          </cell>
          <cell r="E38">
            <v>124242047.83</v>
          </cell>
          <cell r="F38">
            <v>14337.576839715988</v>
          </cell>
          <cell r="G38">
            <v>270140591.31999999</v>
          </cell>
        </row>
        <row r="39">
          <cell r="A39">
            <v>210038</v>
          </cell>
          <cell r="B39">
            <v>5298.4710580000101</v>
          </cell>
          <cell r="C39">
            <v>5360.6902072469984</v>
          </cell>
          <cell r="D39">
            <v>118666048.83</v>
          </cell>
          <cell r="E39">
            <v>104597363.39</v>
          </cell>
          <cell r="F39">
            <v>10659.161265247007</v>
          </cell>
          <cell r="G39">
            <v>223263412.22</v>
          </cell>
        </row>
        <row r="40">
          <cell r="A40">
            <v>210039</v>
          </cell>
          <cell r="B40">
            <v>6114.6285870000047</v>
          </cell>
          <cell r="C40">
            <v>4304.8224236039687</v>
          </cell>
          <cell r="D40">
            <v>87070931.420000002</v>
          </cell>
          <cell r="E40">
            <v>70326631.069999993</v>
          </cell>
          <cell r="F40">
            <v>10419.451010603972</v>
          </cell>
          <cell r="G40">
            <v>157397562.49000001</v>
          </cell>
        </row>
        <row r="41">
          <cell r="A41">
            <v>210040</v>
          </cell>
          <cell r="B41">
            <v>9375.41693700002</v>
          </cell>
          <cell r="C41">
            <v>6602.8039851349731</v>
          </cell>
          <cell r="D41">
            <v>169180311.59999999</v>
          </cell>
          <cell r="E41">
            <v>116815544.95</v>
          </cell>
          <cell r="F41">
            <v>15978.220922134995</v>
          </cell>
          <cell r="G41">
            <v>285995856.55000001</v>
          </cell>
        </row>
        <row r="42">
          <cell r="A42">
            <v>210043</v>
          </cell>
          <cell r="B42">
            <v>20785.753339999981</v>
          </cell>
          <cell r="C42">
            <v>10488.919869394065</v>
          </cell>
          <cell r="D42">
            <v>359639664.22000003</v>
          </cell>
          <cell r="E42">
            <v>150243276.77000001</v>
          </cell>
          <cell r="F42">
            <v>31274.673209394034</v>
          </cell>
          <cell r="G42">
            <v>509882940.99000001</v>
          </cell>
        </row>
        <row r="43">
          <cell r="A43">
            <v>210044</v>
          </cell>
          <cell r="B43">
            <v>17479.191817000006</v>
          </cell>
          <cell r="C43">
            <v>14148.164944939057</v>
          </cell>
          <cell r="D43">
            <v>287118334.54000002</v>
          </cell>
          <cell r="E43">
            <v>204838251.97</v>
          </cell>
          <cell r="F43">
            <v>31627.356761939067</v>
          </cell>
          <cell r="G43">
            <v>491956586.50999999</v>
          </cell>
        </row>
        <row r="44">
          <cell r="A44">
            <v>210045</v>
          </cell>
          <cell r="B44"/>
          <cell r="C44">
            <v>584.02594742499934</v>
          </cell>
          <cell r="D44"/>
          <cell r="E44">
            <v>4931291.42</v>
          </cell>
          <cell r="F44">
            <v>584.02594742499946</v>
          </cell>
          <cell r="G44">
            <v>4931291.42</v>
          </cell>
        </row>
        <row r="45">
          <cell r="A45">
            <v>210048</v>
          </cell>
          <cell r="B45">
            <v>16340.183832000006</v>
          </cell>
          <cell r="C45">
            <v>8951.9534288020459</v>
          </cell>
          <cell r="D45">
            <v>231499516.25</v>
          </cell>
          <cell r="E45">
            <v>113450467.87</v>
          </cell>
          <cell r="F45">
            <v>25292.137260802036</v>
          </cell>
          <cell r="G45">
            <v>344949984.12</v>
          </cell>
        </row>
        <row r="46">
          <cell r="A46">
            <v>210049</v>
          </cell>
          <cell r="B46">
            <v>14906.412014000036</v>
          </cell>
          <cell r="C46">
            <v>9422.77853159402</v>
          </cell>
          <cell r="D46">
            <v>234019151.83000001</v>
          </cell>
          <cell r="E46">
            <v>132260376.31</v>
          </cell>
          <cell r="F46">
            <v>24329.190545594047</v>
          </cell>
          <cell r="G46">
            <v>366279528.13999999</v>
          </cell>
        </row>
        <row r="47">
          <cell r="A47">
            <v>210051</v>
          </cell>
          <cell r="B47">
            <v>10718.562947000013</v>
          </cell>
          <cell r="C47">
            <v>5355.4838919490039</v>
          </cell>
          <cell r="D47">
            <v>170492256.06999999</v>
          </cell>
          <cell r="E47">
            <v>87959136.599999994</v>
          </cell>
          <cell r="F47">
            <v>16074.046838949023</v>
          </cell>
          <cell r="G47">
            <v>258451392.66999999</v>
          </cell>
        </row>
        <row r="48">
          <cell r="A48">
            <v>210055</v>
          </cell>
          <cell r="B48">
            <v>0</v>
          </cell>
          <cell r="C48">
            <v>1986.2147132779965</v>
          </cell>
          <cell r="D48">
            <v>858234.33</v>
          </cell>
          <cell r="E48">
            <v>30533566.699999999</v>
          </cell>
          <cell r="F48">
            <v>1986.2147132779965</v>
          </cell>
          <cell r="G48">
            <v>31391801.030000001</v>
          </cell>
        </row>
        <row r="49">
          <cell r="A49">
            <v>210056</v>
          </cell>
          <cell r="B49">
            <v>11317.219895000017</v>
          </cell>
          <cell r="C49">
            <v>5579.2589585279984</v>
          </cell>
          <cell r="D49">
            <v>197993825</v>
          </cell>
          <cell r="E49">
            <v>89624464.5</v>
          </cell>
          <cell r="F49">
            <v>16896.478853528002</v>
          </cell>
          <cell r="G49">
            <v>287618289.5</v>
          </cell>
        </row>
        <row r="50">
          <cell r="A50">
            <v>210057</v>
          </cell>
          <cell r="B50">
            <v>20086.857581000022</v>
          </cell>
          <cell r="C50">
            <v>9492.605850658003</v>
          </cell>
          <cell r="D50">
            <v>358612949.98000002</v>
          </cell>
          <cell r="E50">
            <v>142457274.02000001</v>
          </cell>
          <cell r="F50">
            <v>29579.463431658045</v>
          </cell>
          <cell r="G50">
            <v>501070224</v>
          </cell>
        </row>
        <row r="51">
          <cell r="A51">
            <v>210058</v>
          </cell>
          <cell r="B51">
            <v>2281.4151910000014</v>
          </cell>
          <cell r="C51">
            <v>3075.4393930640035</v>
          </cell>
          <cell r="D51">
            <v>54355101.57</v>
          </cell>
          <cell r="E51">
            <v>59421733.789999999</v>
          </cell>
          <cell r="F51">
            <v>5356.8545840640054</v>
          </cell>
          <cell r="G51">
            <v>113776835.36</v>
          </cell>
        </row>
        <row r="52">
          <cell r="A52">
            <v>210060</v>
          </cell>
          <cell r="B52">
            <v>1992.2546980000006</v>
          </cell>
          <cell r="C52">
            <v>1729.9185784020001</v>
          </cell>
          <cell r="D52">
            <v>37109871.920000002</v>
          </cell>
          <cell r="E52">
            <v>30262843.600000001</v>
          </cell>
          <cell r="F52">
            <v>3722.1732764020016</v>
          </cell>
          <cell r="G52">
            <v>67372715.519999996</v>
          </cell>
        </row>
        <row r="53">
          <cell r="A53">
            <v>210061</v>
          </cell>
          <cell r="B53">
            <v>3702.986159000001</v>
          </cell>
          <cell r="C53">
            <v>5313.8792680469996</v>
          </cell>
          <cell r="D53">
            <v>54577377.549999997</v>
          </cell>
          <cell r="E53">
            <v>69873057.730000004</v>
          </cell>
          <cell r="F53">
            <v>9016.8654270470015</v>
          </cell>
          <cell r="G53">
            <v>124450435.28</v>
          </cell>
        </row>
        <row r="54">
          <cell r="A54">
            <v>210062</v>
          </cell>
          <cell r="B54">
            <v>12053.547121000021</v>
          </cell>
          <cell r="C54">
            <v>5442.2316720300068</v>
          </cell>
          <cell r="D54">
            <v>203708738.03</v>
          </cell>
          <cell r="E54">
            <v>93150821.280000001</v>
          </cell>
          <cell r="F54">
            <v>17495.778793030029</v>
          </cell>
          <cell r="G54">
            <v>296859559.31</v>
          </cell>
        </row>
        <row r="55">
          <cell r="A55">
            <v>210063</v>
          </cell>
          <cell r="B55">
            <v>16691.175545000013</v>
          </cell>
          <cell r="C55">
            <v>10637.405967707004</v>
          </cell>
          <cell r="D55">
            <v>281881717.19</v>
          </cell>
          <cell r="E55">
            <v>148772314.91</v>
          </cell>
          <cell r="F55">
            <v>27328.581512707016</v>
          </cell>
          <cell r="G55">
            <v>430654032.10000002</v>
          </cell>
        </row>
        <row r="56">
          <cell r="A56">
            <v>210064</v>
          </cell>
          <cell r="B56"/>
          <cell r="C56">
            <v>115.10626035199998</v>
          </cell>
          <cell r="D56"/>
          <cell r="E56">
            <v>3882880.51</v>
          </cell>
          <cell r="F56">
            <v>115.10626035199998</v>
          </cell>
          <cell r="G56">
            <v>3882880.51</v>
          </cell>
        </row>
        <row r="57">
          <cell r="A57">
            <v>210065</v>
          </cell>
          <cell r="B57">
            <v>6469.6728530000128</v>
          </cell>
          <cell r="C57">
            <v>3337.2928945379981</v>
          </cell>
          <cell r="D57">
            <v>91786263.760000005</v>
          </cell>
          <cell r="E57">
            <v>53494032.229999997</v>
          </cell>
          <cell r="F57">
            <v>9806.9657475380081</v>
          </cell>
          <cell r="G57">
            <v>145280295.99000001</v>
          </cell>
        </row>
        <row r="58">
          <cell r="A58">
            <v>210068</v>
          </cell>
          <cell r="B58"/>
          <cell r="C58">
            <v>219.18992861499976</v>
          </cell>
          <cell r="D58"/>
          <cell r="E58">
            <v>1346957.35</v>
          </cell>
          <cell r="F58">
            <v>219.18992861499976</v>
          </cell>
          <cell r="G58">
            <v>1346957.35</v>
          </cell>
        </row>
        <row r="59">
          <cell r="A59">
            <v>210087</v>
          </cell>
          <cell r="B59"/>
          <cell r="C59">
            <v>1272.2915720600001</v>
          </cell>
          <cell r="D59"/>
          <cell r="E59">
            <v>16794634.579999998</v>
          </cell>
          <cell r="F59">
            <v>1272.2915720600004</v>
          </cell>
          <cell r="G59">
            <v>16794634.579999998</v>
          </cell>
        </row>
        <row r="60">
          <cell r="A60">
            <v>210088</v>
          </cell>
          <cell r="B60"/>
          <cell r="C60">
            <v>1051.8197793799998</v>
          </cell>
          <cell r="D60"/>
          <cell r="E60">
            <v>7676320.6200000001</v>
          </cell>
          <cell r="F60">
            <v>1051.8197793799998</v>
          </cell>
          <cell r="G60">
            <v>7676320.6200000001</v>
          </cell>
        </row>
        <row r="61">
          <cell r="A61">
            <v>210089</v>
          </cell>
          <cell r="B61">
            <v>495.77125600000016</v>
          </cell>
          <cell r="C61"/>
          <cell r="D61">
            <v>38808399.039999999</v>
          </cell>
          <cell r="E61"/>
          <cell r="F61">
            <v>495.77125600000016</v>
          </cell>
          <cell r="G61">
            <v>38808399.039999999</v>
          </cell>
        </row>
        <row r="62">
          <cell r="A62">
            <v>210333</v>
          </cell>
          <cell r="B62"/>
          <cell r="C62">
            <v>1310.1740618760002</v>
          </cell>
          <cell r="D62"/>
          <cell r="E62">
            <v>17493993.379999999</v>
          </cell>
          <cell r="F62">
            <v>1310.1740618760002</v>
          </cell>
          <cell r="G62">
            <v>17493993.379999999</v>
          </cell>
        </row>
        <row r="63">
          <cell r="A63">
            <v>213028</v>
          </cell>
          <cell r="B63">
            <v>988.83714199999895</v>
          </cell>
          <cell r="C63">
            <v>26.335891519</v>
          </cell>
          <cell r="D63">
            <v>47064935.520000003</v>
          </cell>
          <cell r="E63">
            <v>243126.43</v>
          </cell>
          <cell r="F63">
            <v>1015.1730335189989</v>
          </cell>
          <cell r="G63">
            <v>47308061.950000003</v>
          </cell>
        </row>
        <row r="64">
          <cell r="A64">
            <v>213029</v>
          </cell>
          <cell r="B64">
            <v>623.2038960000001</v>
          </cell>
          <cell r="C64">
            <v>476.16881451699993</v>
          </cell>
          <cell r="D64">
            <v>43395568.380000003</v>
          </cell>
          <cell r="E64">
            <v>7585735.5700000003</v>
          </cell>
          <cell r="F64">
            <v>1099.3727105170001</v>
          </cell>
          <cell r="G64">
            <v>50981303.950000003</v>
          </cell>
        </row>
        <row r="65">
          <cell r="A65">
            <v>213300</v>
          </cell>
          <cell r="B65">
            <v>599.95378400000004</v>
          </cell>
          <cell r="C65">
            <v>1868.2938391319965</v>
          </cell>
          <cell r="D65">
            <v>41763718.979999997</v>
          </cell>
          <cell r="E65">
            <v>17204509.309999999</v>
          </cell>
          <cell r="F65">
            <v>2468.2476231319965</v>
          </cell>
          <cell r="G65">
            <v>58968228.289999999</v>
          </cell>
        </row>
        <row r="66">
          <cell r="A66">
            <v>218992</v>
          </cell>
          <cell r="B66">
            <v>8649.2693020000152</v>
          </cell>
          <cell r="C66">
            <v>852.57788585599712</v>
          </cell>
          <cell r="D66">
            <v>230083558.05000001</v>
          </cell>
          <cell r="E66">
            <v>29746477.149999999</v>
          </cell>
          <cell r="F66">
            <v>9501.8471878560122</v>
          </cell>
          <cell r="G66">
            <v>259830035.19999999</v>
          </cell>
        </row>
        <row r="67">
          <cell r="A67" t="str">
            <v>Grand Total</v>
          </cell>
          <cell r="B67">
            <v>615409.74762199947</v>
          </cell>
          <cell r="C67">
            <v>418265.73150709696</v>
          </cell>
          <cell r="D67">
            <v>11477729752.07</v>
          </cell>
          <cell r="E67">
            <v>6507641557.46</v>
          </cell>
          <cell r="F67">
            <v>1033675.4791290971</v>
          </cell>
          <cell r="G67">
            <v>17985371309.529999</v>
          </cell>
        </row>
      </sheetData>
      <sheetData sheetId="2">
        <row r="2">
          <cell r="A2" t="str">
            <v>FYEAR</v>
          </cell>
          <cell r="B2" t="str">
            <v>2022</v>
          </cell>
        </row>
        <row r="3">
          <cell r="A3" t="str">
            <v>INNOVATION_FLAG</v>
          </cell>
          <cell r="B3" t="str">
            <v>N</v>
          </cell>
        </row>
        <row r="4">
          <cell r="A4" t="str">
            <v>categorical</v>
          </cell>
          <cell r="B4" t="str">
            <v>(Multiple Items)</v>
          </cell>
        </row>
        <row r="5">
          <cell r="A5" t="str">
            <v>PROD_CAT</v>
          </cell>
          <cell r="B5" t="str">
            <v>Onc &amp; Inf Drugs</v>
          </cell>
        </row>
        <row r="7">
          <cell r="A7" t="str">
            <v>Row Labels</v>
          </cell>
          <cell r="B7" t="str">
            <v>Ecmad</v>
          </cell>
          <cell r="C7" t="str">
            <v>Total Charge</v>
          </cell>
        </row>
        <row r="8">
          <cell r="A8">
            <v>210001</v>
          </cell>
          <cell r="B8">
            <v>2387.1211114879993</v>
          </cell>
          <cell r="C8">
            <v>20798536.559999999</v>
          </cell>
        </row>
        <row r="9">
          <cell r="A9">
            <v>210002</v>
          </cell>
          <cell r="B9">
            <v>9056.3757111309969</v>
          </cell>
          <cell r="C9">
            <v>185318832.72</v>
          </cell>
        </row>
        <row r="10">
          <cell r="A10">
            <v>210003</v>
          </cell>
          <cell r="B10">
            <v>12.507943640999999</v>
          </cell>
          <cell r="C10">
            <v>477804.64</v>
          </cell>
        </row>
        <row r="11">
          <cell r="A11">
            <v>210004</v>
          </cell>
          <cell r="B11">
            <v>103.419484264</v>
          </cell>
          <cell r="C11">
            <v>2579060.92</v>
          </cell>
        </row>
        <row r="12">
          <cell r="A12">
            <v>210005</v>
          </cell>
          <cell r="B12">
            <v>1.4912944150000003</v>
          </cell>
          <cell r="C12">
            <v>37035.07</v>
          </cell>
        </row>
        <row r="13">
          <cell r="A13">
            <v>210006</v>
          </cell>
          <cell r="B13">
            <v>18.005656446</v>
          </cell>
          <cell r="C13">
            <v>850768.73</v>
          </cell>
        </row>
        <row r="14">
          <cell r="A14">
            <v>210008</v>
          </cell>
          <cell r="B14">
            <v>1992.5569214080006</v>
          </cell>
          <cell r="C14">
            <v>31782394.100000001</v>
          </cell>
        </row>
        <row r="15">
          <cell r="A15">
            <v>210009</v>
          </cell>
          <cell r="B15">
            <v>11284.072982439</v>
          </cell>
          <cell r="C15">
            <v>255951316.00999999</v>
          </cell>
        </row>
        <row r="16">
          <cell r="A16">
            <v>210010</v>
          </cell>
          <cell r="B16">
            <v>0.46038607200000004</v>
          </cell>
          <cell r="C16">
            <v>17679.89</v>
          </cell>
        </row>
        <row r="17">
          <cell r="A17">
            <v>210011</v>
          </cell>
          <cell r="B17">
            <v>1369.9473065960001</v>
          </cell>
          <cell r="C17">
            <v>30675981.280000001</v>
          </cell>
        </row>
        <row r="18">
          <cell r="A18">
            <v>210012</v>
          </cell>
          <cell r="B18">
            <v>3285.5938259259997</v>
          </cell>
          <cell r="C18">
            <v>66383951.57</v>
          </cell>
        </row>
        <row r="19">
          <cell r="A19">
            <v>210013</v>
          </cell>
          <cell r="B19">
            <v>1.917530776</v>
          </cell>
          <cell r="C19">
            <v>66828.929999999993</v>
          </cell>
        </row>
        <row r="20">
          <cell r="A20">
            <v>210015</v>
          </cell>
          <cell r="B20">
            <v>3274.1604688440007</v>
          </cell>
          <cell r="C20">
            <v>54673908.729999997</v>
          </cell>
        </row>
        <row r="21">
          <cell r="A21">
            <v>210016</v>
          </cell>
          <cell r="B21">
            <v>104.94383635299999</v>
          </cell>
          <cell r="C21">
            <v>900257.87</v>
          </cell>
        </row>
        <row r="22">
          <cell r="A22">
            <v>210017</v>
          </cell>
          <cell r="B22">
            <v>536.96862582699987</v>
          </cell>
          <cell r="C22">
            <v>5506419.46</v>
          </cell>
        </row>
        <row r="23">
          <cell r="A23">
            <v>210018</v>
          </cell>
          <cell r="B23">
            <v>607.01942981400032</v>
          </cell>
          <cell r="C23">
            <v>13381626.49</v>
          </cell>
        </row>
        <row r="24">
          <cell r="A24">
            <v>210019</v>
          </cell>
          <cell r="B24">
            <v>1372.3108036979997</v>
          </cell>
          <cell r="C24">
            <v>16908895.199999999</v>
          </cell>
        </row>
        <row r="25">
          <cell r="A25">
            <v>210022</v>
          </cell>
          <cell r="B25">
            <v>2.8635705559999995</v>
          </cell>
          <cell r="C25">
            <v>47002.21</v>
          </cell>
        </row>
        <row r="26">
          <cell r="A26">
            <v>210023</v>
          </cell>
          <cell r="B26">
            <v>1716.7215974149992</v>
          </cell>
          <cell r="C26">
            <v>35107304.43</v>
          </cell>
        </row>
        <row r="27">
          <cell r="A27">
            <v>210024</v>
          </cell>
          <cell r="B27">
            <v>3.3810549730000004</v>
          </cell>
          <cell r="C27">
            <v>151865.18</v>
          </cell>
        </row>
        <row r="28">
          <cell r="A28">
            <v>210027</v>
          </cell>
          <cell r="B28">
            <v>1601.2823825540002</v>
          </cell>
          <cell r="C28">
            <v>36164018</v>
          </cell>
        </row>
        <row r="29">
          <cell r="A29">
            <v>210028</v>
          </cell>
          <cell r="B29">
            <v>499.46700191299999</v>
          </cell>
          <cell r="C29">
            <v>12138116.07</v>
          </cell>
        </row>
        <row r="30">
          <cell r="A30">
            <v>210029</v>
          </cell>
          <cell r="B30">
            <v>2546.4120123169996</v>
          </cell>
          <cell r="C30">
            <v>60983645.93</v>
          </cell>
        </row>
        <row r="31">
          <cell r="A31">
            <v>210030</v>
          </cell>
          <cell r="B31">
            <v>18.703194198000002</v>
          </cell>
          <cell r="C31">
            <v>732495.17</v>
          </cell>
        </row>
        <row r="32">
          <cell r="A32">
            <v>210032</v>
          </cell>
          <cell r="B32">
            <v>656.95397500800004</v>
          </cell>
          <cell r="C32">
            <v>12246496.039999999</v>
          </cell>
        </row>
        <row r="33">
          <cell r="A33">
            <v>210033</v>
          </cell>
          <cell r="B33">
            <v>10.527949625</v>
          </cell>
          <cell r="C33">
            <v>132035.15</v>
          </cell>
        </row>
        <row r="34">
          <cell r="A34">
            <v>210034</v>
          </cell>
          <cell r="B34">
            <v>35.537127052000002</v>
          </cell>
          <cell r="C34">
            <v>1284294.96</v>
          </cell>
        </row>
        <row r="35">
          <cell r="A35">
            <v>210035</v>
          </cell>
          <cell r="B35">
            <v>36.128924332999993</v>
          </cell>
          <cell r="C35">
            <v>453732.47</v>
          </cell>
        </row>
        <row r="36">
          <cell r="A36">
            <v>210037</v>
          </cell>
          <cell r="B36">
            <v>627.85031204200004</v>
          </cell>
          <cell r="C36">
            <v>17082714.57</v>
          </cell>
        </row>
        <row r="37">
          <cell r="A37">
            <v>210038</v>
          </cell>
          <cell r="B37">
            <v>88.257720864000007</v>
          </cell>
          <cell r="C37">
            <v>489842.6</v>
          </cell>
        </row>
        <row r="38">
          <cell r="A38">
            <v>210039</v>
          </cell>
          <cell r="B38">
            <v>564.01151828399998</v>
          </cell>
          <cell r="C38">
            <v>12806734.630000001</v>
          </cell>
        </row>
        <row r="39">
          <cell r="A39">
            <v>210040</v>
          </cell>
          <cell r="B39">
            <v>508.90651739799989</v>
          </cell>
          <cell r="C39">
            <v>15028431.33</v>
          </cell>
        </row>
        <row r="40">
          <cell r="A40">
            <v>210043</v>
          </cell>
          <cell r="B40">
            <v>97.144678573000007</v>
          </cell>
          <cell r="C40">
            <v>1551707.96</v>
          </cell>
        </row>
        <row r="41">
          <cell r="A41">
            <v>210044</v>
          </cell>
          <cell r="B41">
            <v>18.693389369000002</v>
          </cell>
          <cell r="C41">
            <v>246423.97</v>
          </cell>
        </row>
        <row r="42">
          <cell r="A42">
            <v>210045</v>
          </cell>
          <cell r="B42">
            <v>17.352316863000002</v>
          </cell>
          <cell r="C42">
            <v>285452.75</v>
          </cell>
        </row>
        <row r="43">
          <cell r="A43">
            <v>210048</v>
          </cell>
          <cell r="B43">
            <v>3.6102208940000011</v>
          </cell>
          <cell r="C43">
            <v>91871.360000000001</v>
          </cell>
        </row>
        <row r="44">
          <cell r="A44">
            <v>210049</v>
          </cell>
          <cell r="B44">
            <v>7.4970791999999991</v>
          </cell>
          <cell r="C44">
            <v>142682.85999999999</v>
          </cell>
        </row>
        <row r="45">
          <cell r="A45">
            <v>210051</v>
          </cell>
          <cell r="B45">
            <v>13.612637969999998</v>
          </cell>
          <cell r="C45">
            <v>348359.66</v>
          </cell>
        </row>
        <row r="46">
          <cell r="A46">
            <v>210055</v>
          </cell>
          <cell r="B46">
            <v>0.50084198400000002</v>
          </cell>
          <cell r="C46">
            <v>21825</v>
          </cell>
        </row>
        <row r="47">
          <cell r="A47">
            <v>210056</v>
          </cell>
          <cell r="B47">
            <v>19.471316592000001</v>
          </cell>
          <cell r="C47">
            <v>627569.64</v>
          </cell>
        </row>
        <row r="48">
          <cell r="A48">
            <v>210057</v>
          </cell>
          <cell r="B48">
            <v>167.89692789300003</v>
          </cell>
          <cell r="C48">
            <v>3994025.77</v>
          </cell>
        </row>
        <row r="49">
          <cell r="A49">
            <v>210058</v>
          </cell>
          <cell r="B49">
            <v>31.036120855999997</v>
          </cell>
          <cell r="C49">
            <v>1507140.35</v>
          </cell>
        </row>
        <row r="50">
          <cell r="A50">
            <v>210060</v>
          </cell>
          <cell r="B50">
            <v>6.2605248000000002E-2</v>
          </cell>
          <cell r="C50">
            <v>4471.4399999999996</v>
          </cell>
        </row>
        <row r="51">
          <cell r="A51">
            <v>210061</v>
          </cell>
          <cell r="B51">
            <v>19.005790477999998</v>
          </cell>
          <cell r="C51">
            <v>493932.95</v>
          </cell>
        </row>
        <row r="52">
          <cell r="A52">
            <v>210062</v>
          </cell>
          <cell r="B52">
            <v>2.9465699750000001</v>
          </cell>
          <cell r="C52">
            <v>25149.13</v>
          </cell>
        </row>
        <row r="53">
          <cell r="A53">
            <v>210063</v>
          </cell>
          <cell r="B53">
            <v>5.3743228680000001</v>
          </cell>
          <cell r="C53">
            <v>120586.89</v>
          </cell>
        </row>
        <row r="54">
          <cell r="A54">
            <v>210065</v>
          </cell>
          <cell r="B54">
            <v>1.5469909720000001</v>
          </cell>
          <cell r="C54">
            <v>24284.14</v>
          </cell>
        </row>
        <row r="55">
          <cell r="A55">
            <v>210068</v>
          </cell>
          <cell r="B55">
            <v>0.37563148800000001</v>
          </cell>
          <cell r="C55">
            <v>11564.8</v>
          </cell>
        </row>
        <row r="56">
          <cell r="A56">
            <v>213300</v>
          </cell>
          <cell r="B56">
            <v>3.0661638879999997</v>
          </cell>
          <cell r="C56">
            <v>100546.2</v>
          </cell>
        </row>
        <row r="57">
          <cell r="A57">
            <v>218992</v>
          </cell>
          <cell r="B57">
            <v>5.036870983</v>
          </cell>
          <cell r="C57">
            <v>67043.679999999993</v>
          </cell>
        </row>
        <row r="58">
          <cell r="A58" t="str">
            <v>Grand Total</v>
          </cell>
          <cell r="B58">
            <v>44740.108653764008</v>
          </cell>
          <cell r="C58">
            <v>900824665.46000004</v>
          </cell>
        </row>
      </sheetData>
      <sheetData sheetId="3">
        <row r="1">
          <cell r="A1" t="str">
            <v>FYEAR</v>
          </cell>
          <cell r="B1" t="str">
            <v>2022</v>
          </cell>
        </row>
        <row r="2">
          <cell r="A2" t="str">
            <v>INNOVATION_FLAG</v>
          </cell>
          <cell r="B2" t="str">
            <v>N</v>
          </cell>
        </row>
        <row r="3">
          <cell r="A3" t="str">
            <v>categorical</v>
          </cell>
          <cell r="B3" t="str">
            <v>(Multiple Items)</v>
          </cell>
        </row>
        <row r="4">
          <cell r="A4" t="str">
            <v>PROD_CAT</v>
          </cell>
          <cell r="B4" t="str">
            <v>All</v>
          </cell>
        </row>
        <row r="5">
          <cell r="A5" t="str">
            <v>type</v>
          </cell>
          <cell r="B5" t="str">
            <v>CR</v>
          </cell>
        </row>
        <row r="7">
          <cell r="A7" t="str">
            <v>Row Labels</v>
          </cell>
          <cell r="B7" t="str">
            <v>Ecmad</v>
          </cell>
          <cell r="C7" t="str">
            <v>Total Charge</v>
          </cell>
        </row>
        <row r="8">
          <cell r="A8">
            <v>210029</v>
          </cell>
          <cell r="B8">
            <v>212.39623699999999</v>
          </cell>
          <cell r="C8">
            <v>11010014.49</v>
          </cell>
        </row>
        <row r="9">
          <cell r="A9">
            <v>210038</v>
          </cell>
          <cell r="B9">
            <v>353.11728200000005</v>
          </cell>
          <cell r="C9">
            <v>17819418.710000001</v>
          </cell>
        </row>
        <row r="10">
          <cell r="A10">
            <v>210058</v>
          </cell>
          <cell r="B10">
            <v>659.3582869999999</v>
          </cell>
          <cell r="C10">
            <v>17564928.510000002</v>
          </cell>
        </row>
        <row r="11">
          <cell r="A11">
            <v>210064</v>
          </cell>
          <cell r="B11">
            <v>1572.2009399999993</v>
          </cell>
          <cell r="C11">
            <v>61954113.469999999</v>
          </cell>
        </row>
        <row r="12">
          <cell r="A12" t="str">
            <v>Grand Total</v>
          </cell>
          <cell r="B12">
            <v>2797.0727459999994</v>
          </cell>
          <cell r="C12">
            <v>108348475.18000001</v>
          </cell>
        </row>
      </sheetData>
      <sheetData sheetId="4"/>
      <sheetData sheetId="5"/>
      <sheetData sheetId="6">
        <row r="14">
          <cell r="A14">
            <v>210002</v>
          </cell>
          <cell r="B14">
            <v>10170.629116</v>
          </cell>
          <cell r="C14">
            <v>309778883.31</v>
          </cell>
        </row>
        <row r="15">
          <cell r="A15">
            <v>210009</v>
          </cell>
          <cell r="B15">
            <v>9858.1055330000036</v>
          </cell>
          <cell r="C15">
            <v>283218941.56</v>
          </cell>
        </row>
        <row r="16">
          <cell r="A16">
            <v>210029</v>
          </cell>
          <cell r="B16">
            <v>419.97501200000028</v>
          </cell>
          <cell r="C16">
            <v>20263860.219999999</v>
          </cell>
        </row>
        <row r="17">
          <cell r="A17">
            <v>218992</v>
          </cell>
          <cell r="B17">
            <v>1387.2341220000001</v>
          </cell>
          <cell r="C17">
            <v>55873385.420000002</v>
          </cell>
        </row>
      </sheetData>
      <sheetData sheetId="7">
        <row r="2">
          <cell r="A2" t="str">
            <v>PROD_CAT</v>
          </cell>
          <cell r="B2" t="str">
            <v>(Multiple Items)</v>
          </cell>
        </row>
        <row r="3">
          <cell r="A3" t="str">
            <v>PAU</v>
          </cell>
          <cell r="B3" t="str">
            <v>1</v>
          </cell>
        </row>
        <row r="4">
          <cell r="A4" t="str">
            <v>type</v>
          </cell>
          <cell r="B4" t="str">
            <v>(Multiple Items)</v>
          </cell>
        </row>
        <row r="5">
          <cell r="A5" t="str">
            <v>INNOVATION_FLAG</v>
          </cell>
          <cell r="B5" t="str">
            <v>N</v>
          </cell>
        </row>
        <row r="6">
          <cell r="A6" t="str">
            <v>categorical</v>
          </cell>
          <cell r="B6" t="str">
            <v>(Multiple Items)</v>
          </cell>
        </row>
        <row r="8">
          <cell r="A8" t="str">
            <v>Ecmad</v>
          </cell>
          <cell r="C8" t="str">
            <v>FYEAR</v>
          </cell>
        </row>
        <row r="9">
          <cell r="A9" t="str">
            <v>HOSPID</v>
          </cell>
          <cell r="B9" t="str">
            <v>HOSPITALNAME</v>
          </cell>
          <cell r="C9">
            <v>2019</v>
          </cell>
          <cell r="D9">
            <v>2021</v>
          </cell>
          <cell r="E9">
            <v>2022</v>
          </cell>
        </row>
        <row r="10">
          <cell r="A10">
            <v>210001</v>
          </cell>
          <cell r="B10" t="str">
            <v>Meritus</v>
          </cell>
          <cell r="C10">
            <v>3258.0123669999994</v>
          </cell>
          <cell r="D10">
            <v>3168.3302400000039</v>
          </cell>
          <cell r="E10">
            <v>3592.5540480000022</v>
          </cell>
        </row>
        <row r="11">
          <cell r="A11">
            <v>210002</v>
          </cell>
          <cell r="B11" t="str">
            <v>UMMC</v>
          </cell>
          <cell r="C11">
            <v>4568.5452600000026</v>
          </cell>
          <cell r="D11">
            <v>3699.0203809999994</v>
          </cell>
          <cell r="E11">
            <v>3641.8887980000018</v>
          </cell>
        </row>
        <row r="12">
          <cell r="A12">
            <v>210003</v>
          </cell>
          <cell r="B12" t="str">
            <v>UM-Capital Region Medical Center</v>
          </cell>
          <cell r="C12">
            <v>2490.1305500000026</v>
          </cell>
          <cell r="D12">
            <v>2052.2763910000003</v>
          </cell>
          <cell r="E12">
            <v>2040.4658880000006</v>
          </cell>
        </row>
        <row r="13">
          <cell r="A13">
            <v>210004</v>
          </cell>
          <cell r="B13" t="str">
            <v>Holy Cross</v>
          </cell>
          <cell r="C13">
            <v>3823.7533759999992</v>
          </cell>
          <cell r="D13">
            <v>3474.4849050000016</v>
          </cell>
          <cell r="E13">
            <v>3509.7232229999991</v>
          </cell>
        </row>
        <row r="14">
          <cell r="A14">
            <v>210005</v>
          </cell>
          <cell r="B14" t="str">
            <v>Frederick</v>
          </cell>
          <cell r="C14">
            <v>2933.3105329999989</v>
          </cell>
          <cell r="D14">
            <v>2720.1184050000047</v>
          </cell>
          <cell r="E14">
            <v>2908.4299120000023</v>
          </cell>
        </row>
        <row r="15">
          <cell r="A15">
            <v>210006</v>
          </cell>
          <cell r="B15" t="str">
            <v>UM-Harford</v>
          </cell>
          <cell r="C15">
            <v>1237.9350059999983</v>
          </cell>
          <cell r="D15">
            <v>1056.0241119999996</v>
          </cell>
          <cell r="E15">
            <v>998.80965599999945</v>
          </cell>
        </row>
        <row r="16">
          <cell r="A16">
            <v>210008</v>
          </cell>
          <cell r="B16" t="str">
            <v>Mercy</v>
          </cell>
          <cell r="C16">
            <v>2034.156656000001</v>
          </cell>
          <cell r="D16">
            <v>1871.5250839999983</v>
          </cell>
          <cell r="E16">
            <v>1741.2995080000001</v>
          </cell>
        </row>
        <row r="17">
          <cell r="A17">
            <v>210009</v>
          </cell>
          <cell r="B17" t="str">
            <v>Johns Hopkins</v>
          </cell>
          <cell r="C17">
            <v>7665.3715620000221</v>
          </cell>
          <cell r="D17">
            <v>6914.8797820000091</v>
          </cell>
          <cell r="E17">
            <v>7176.0667390000126</v>
          </cell>
        </row>
        <row r="18">
          <cell r="A18">
            <v>210010</v>
          </cell>
          <cell r="B18" t="str">
            <v>UM-Cambridge</v>
          </cell>
          <cell r="C18">
            <v>349.47779800000006</v>
          </cell>
          <cell r="D18">
            <v>176.23229500000005</v>
          </cell>
          <cell r="E18">
            <v>16.277204999999999</v>
          </cell>
        </row>
        <row r="19">
          <cell r="A19">
            <v>210011</v>
          </cell>
          <cell r="B19" t="str">
            <v>Ascension Saint Agnes Hospital</v>
          </cell>
          <cell r="C19">
            <v>3799.5901030000186</v>
          </cell>
          <cell r="D19">
            <v>3014.527366000008</v>
          </cell>
          <cell r="E19">
            <v>2756.6074900000062</v>
          </cell>
        </row>
        <row r="20">
          <cell r="A20">
            <v>210012</v>
          </cell>
          <cell r="B20" t="str">
            <v>Sinai</v>
          </cell>
          <cell r="C20">
            <v>3473.5892650000142</v>
          </cell>
          <cell r="D20">
            <v>3316.5388000000025</v>
          </cell>
          <cell r="E20">
            <v>3448.1347930000056</v>
          </cell>
        </row>
        <row r="21">
          <cell r="A21">
            <v>210013</v>
          </cell>
          <cell r="B21" t="str">
            <v>Grace Medical center</v>
          </cell>
          <cell r="C21">
            <v>801.60296800000015</v>
          </cell>
          <cell r="D21">
            <v>148.69145999999998</v>
          </cell>
          <cell r="E21">
            <v>81.936943000000014</v>
          </cell>
        </row>
        <row r="22">
          <cell r="A22">
            <v>210015</v>
          </cell>
          <cell r="B22" t="str">
            <v>MedStar Fr Square</v>
          </cell>
          <cell r="C22">
            <v>5395.4857790000069</v>
          </cell>
          <cell r="D22">
            <v>4953.8771650000208</v>
          </cell>
          <cell r="E22">
            <v>5071.7535080000234</v>
          </cell>
        </row>
        <row r="23">
          <cell r="A23">
            <v>210016</v>
          </cell>
          <cell r="B23" t="str">
            <v>Adventist White Oak</v>
          </cell>
          <cell r="C23">
            <v>2210.3500410000033</v>
          </cell>
          <cell r="D23">
            <v>2431.8639140000009</v>
          </cell>
          <cell r="E23">
            <v>2363.5709179999985</v>
          </cell>
        </row>
        <row r="24">
          <cell r="A24">
            <v>210017</v>
          </cell>
          <cell r="B24" t="str">
            <v>Garrett</v>
          </cell>
          <cell r="C24">
            <v>404.1551589999998</v>
          </cell>
          <cell r="D24">
            <v>303.08807999999999</v>
          </cell>
          <cell r="E24">
            <v>354.56923700000004</v>
          </cell>
        </row>
        <row r="25">
          <cell r="A25">
            <v>210018</v>
          </cell>
          <cell r="B25" t="str">
            <v>MedStar Montgomery</v>
          </cell>
          <cell r="C25">
            <v>1501.108751</v>
          </cell>
          <cell r="D25">
            <v>1375.7841670000014</v>
          </cell>
          <cell r="E25">
            <v>1476.5842530000009</v>
          </cell>
        </row>
        <row r="26">
          <cell r="A26">
            <v>210019</v>
          </cell>
          <cell r="B26" t="str">
            <v>Peninsula</v>
          </cell>
          <cell r="C26">
            <v>3392.2883690000117</v>
          </cell>
          <cell r="D26">
            <v>2870.9469260000028</v>
          </cell>
          <cell r="E26">
            <v>2955.4780580000006</v>
          </cell>
        </row>
        <row r="27">
          <cell r="A27">
            <v>210022</v>
          </cell>
          <cell r="B27" t="str">
            <v>Suburban</v>
          </cell>
          <cell r="C27">
            <v>2629.9746930000024</v>
          </cell>
          <cell r="D27">
            <v>2497.4334450000042</v>
          </cell>
          <cell r="E27">
            <v>2616.9349620000012</v>
          </cell>
        </row>
        <row r="28">
          <cell r="A28">
            <v>210023</v>
          </cell>
          <cell r="B28" t="str">
            <v>Anne Arundel</v>
          </cell>
          <cell r="C28">
            <v>4873.1690240000071</v>
          </cell>
          <cell r="D28">
            <v>4792.2949940000099</v>
          </cell>
          <cell r="E28">
            <v>5189.8339770000066</v>
          </cell>
        </row>
        <row r="29">
          <cell r="A29">
            <v>210024</v>
          </cell>
          <cell r="B29" t="str">
            <v>MedStar Union Mem</v>
          </cell>
          <cell r="C29">
            <v>2952.4637070000031</v>
          </cell>
          <cell r="D29">
            <v>2806.9778780000015</v>
          </cell>
          <cell r="E29">
            <v>2919.4280550000071</v>
          </cell>
        </row>
        <row r="30">
          <cell r="A30">
            <v>210027</v>
          </cell>
          <cell r="B30" t="str">
            <v>Western Maryland</v>
          </cell>
          <cell r="C30">
            <v>2434.9735990000017</v>
          </cell>
          <cell r="D30">
            <v>2184.6298020000036</v>
          </cell>
          <cell r="E30">
            <v>2445.0723620000044</v>
          </cell>
        </row>
        <row r="31">
          <cell r="A31">
            <v>210028</v>
          </cell>
          <cell r="B31" t="str">
            <v>MedStar St. Mary's</v>
          </cell>
          <cell r="C31">
            <v>1552.627015</v>
          </cell>
          <cell r="D31">
            <v>1326.0642049999997</v>
          </cell>
          <cell r="E31">
            <v>1541.975018000001</v>
          </cell>
        </row>
        <row r="32">
          <cell r="A32">
            <v>210029</v>
          </cell>
          <cell r="B32" t="str">
            <v>JH Bayview</v>
          </cell>
          <cell r="C32">
            <v>4123.0490440000176</v>
          </cell>
          <cell r="D32">
            <v>3721.9681830000145</v>
          </cell>
          <cell r="E32">
            <v>3805.5168390000135</v>
          </cell>
        </row>
        <row r="33">
          <cell r="A33">
            <v>210030</v>
          </cell>
          <cell r="B33" t="str">
            <v>UM-Chestertown</v>
          </cell>
          <cell r="C33">
            <v>153.33954199999994</v>
          </cell>
          <cell r="D33">
            <v>167.48033899999987</v>
          </cell>
          <cell r="E33">
            <v>114.13823999999995</v>
          </cell>
        </row>
        <row r="34">
          <cell r="A34">
            <v>210032</v>
          </cell>
          <cell r="B34" t="str">
            <v>ChristianaCare, Union</v>
          </cell>
          <cell r="C34">
            <v>1106.2582869999983</v>
          </cell>
          <cell r="D34">
            <v>1244.2819700000009</v>
          </cell>
          <cell r="E34">
            <v>1398.6968519999978</v>
          </cell>
        </row>
        <row r="35">
          <cell r="A35">
            <v>210033</v>
          </cell>
          <cell r="B35" t="str">
            <v>Carroll</v>
          </cell>
          <cell r="C35">
            <v>2392.3413210000022</v>
          </cell>
          <cell r="D35">
            <v>2117.4205160000047</v>
          </cell>
          <cell r="E35">
            <v>2467.1378350000005</v>
          </cell>
        </row>
        <row r="36">
          <cell r="A36">
            <v>210034</v>
          </cell>
          <cell r="B36" t="str">
            <v>MedStar Harbor</v>
          </cell>
          <cell r="C36">
            <v>1751.7675430000013</v>
          </cell>
          <cell r="D36">
            <v>1509.1810130000006</v>
          </cell>
          <cell r="E36">
            <v>1588.3814719999998</v>
          </cell>
        </row>
        <row r="37">
          <cell r="A37">
            <v>210035</v>
          </cell>
          <cell r="B37" t="str">
            <v>UM-Charles Regional</v>
          </cell>
          <cell r="C37">
            <v>1447.5568849999995</v>
          </cell>
          <cell r="D37">
            <v>1358.2581630000004</v>
          </cell>
          <cell r="E37">
            <v>1398.9303959999997</v>
          </cell>
        </row>
        <row r="38">
          <cell r="A38">
            <v>210037</v>
          </cell>
          <cell r="B38" t="str">
            <v>UM-Easton</v>
          </cell>
          <cell r="C38">
            <v>990.37016800000004</v>
          </cell>
          <cell r="D38">
            <v>995.85835699999973</v>
          </cell>
          <cell r="E38">
            <v>1244.1553340000014</v>
          </cell>
        </row>
        <row r="39">
          <cell r="A39">
            <v>210038</v>
          </cell>
          <cell r="B39" t="str">
            <v>UMMC Midtown</v>
          </cell>
          <cell r="C39">
            <v>1440.7734959999996</v>
          </cell>
          <cell r="D39">
            <v>1433.6614649999999</v>
          </cell>
          <cell r="E39">
            <v>1324.2455499999996</v>
          </cell>
        </row>
        <row r="40">
          <cell r="A40">
            <v>210039</v>
          </cell>
          <cell r="B40" t="str">
            <v>Calvert</v>
          </cell>
          <cell r="C40">
            <v>1190.0996379999992</v>
          </cell>
          <cell r="D40">
            <v>1241.3945340000012</v>
          </cell>
          <cell r="E40">
            <v>1189.3259950000015</v>
          </cell>
        </row>
        <row r="41">
          <cell r="A41">
            <v>210040</v>
          </cell>
          <cell r="B41" t="str">
            <v>Northwest</v>
          </cell>
          <cell r="C41">
            <v>2641.745982999998</v>
          </cell>
          <cell r="D41">
            <v>2249.9373370000017</v>
          </cell>
          <cell r="E41">
            <v>2482.3095930000004</v>
          </cell>
        </row>
        <row r="42">
          <cell r="A42">
            <v>210043</v>
          </cell>
          <cell r="B42" t="str">
            <v>UM-BWMC</v>
          </cell>
          <cell r="C42">
            <v>4494.7323590000051</v>
          </cell>
          <cell r="D42">
            <v>4394.7927940000072</v>
          </cell>
          <cell r="E42">
            <v>4296.0602540000054</v>
          </cell>
        </row>
        <row r="43">
          <cell r="A43">
            <v>210044</v>
          </cell>
          <cell r="B43" t="str">
            <v>GBMC</v>
          </cell>
          <cell r="C43">
            <v>3024.5061320000013</v>
          </cell>
          <cell r="D43">
            <v>2318.671452999999</v>
          </cell>
          <cell r="E43">
            <v>2517.9231270000009</v>
          </cell>
        </row>
        <row r="44">
          <cell r="A44">
            <v>210045</v>
          </cell>
          <cell r="B44" t="str">
            <v>McCready</v>
          </cell>
          <cell r="C44">
            <v>44.360804000000002</v>
          </cell>
          <cell r="D44"/>
          <cell r="E44"/>
        </row>
        <row r="45">
          <cell r="A45">
            <v>210048</v>
          </cell>
          <cell r="B45" t="str">
            <v>Howard County</v>
          </cell>
          <cell r="C45">
            <v>3215.5229980000026</v>
          </cell>
          <cell r="D45">
            <v>2668.644122000002</v>
          </cell>
          <cell r="E45">
            <v>2948.5023879999972</v>
          </cell>
        </row>
        <row r="46">
          <cell r="A46">
            <v>210049</v>
          </cell>
          <cell r="B46" t="str">
            <v>UM-Upper Chesapeake</v>
          </cell>
          <cell r="C46">
            <v>3414.9159159999981</v>
          </cell>
          <cell r="D46">
            <v>2822.216085</v>
          </cell>
          <cell r="E46">
            <v>2864.6350789999997</v>
          </cell>
        </row>
        <row r="47">
          <cell r="A47">
            <v>210051</v>
          </cell>
          <cell r="B47" t="str">
            <v>Doctors</v>
          </cell>
          <cell r="C47">
            <v>3289.4786470000063</v>
          </cell>
          <cell r="D47">
            <v>2929.3677970000012</v>
          </cell>
          <cell r="E47">
            <v>2908.4990629999988</v>
          </cell>
        </row>
        <row r="48">
          <cell r="A48">
            <v>210055</v>
          </cell>
          <cell r="B48" t="str">
            <v>UM-Laurel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210056</v>
          </cell>
          <cell r="B49" t="str">
            <v>MedStar Good Sam</v>
          </cell>
          <cell r="C49">
            <v>2877.5245909999981</v>
          </cell>
          <cell r="D49">
            <v>2923.3520390000062</v>
          </cell>
          <cell r="E49">
            <v>3103.7544600000047</v>
          </cell>
        </row>
        <row r="50">
          <cell r="A50">
            <v>210057</v>
          </cell>
          <cell r="B50" t="str">
            <v>Shady Grove</v>
          </cell>
          <cell r="C50">
            <v>2936.8537640000018</v>
          </cell>
          <cell r="D50">
            <v>2876.6599480000014</v>
          </cell>
          <cell r="E50">
            <v>3044.0376020000012</v>
          </cell>
        </row>
        <row r="51">
          <cell r="A51">
            <v>210058</v>
          </cell>
          <cell r="B51" t="str">
            <v>UMROI</v>
          </cell>
          <cell r="C51">
            <v>8.9115129999999994</v>
          </cell>
          <cell r="D51">
            <v>8.1700200000000009</v>
          </cell>
          <cell r="E51">
            <v>4.067863</v>
          </cell>
        </row>
        <row r="52">
          <cell r="A52">
            <v>210060</v>
          </cell>
          <cell r="B52" t="str">
            <v>Ft. Washington</v>
          </cell>
          <cell r="C52">
            <v>642.78874900000005</v>
          </cell>
          <cell r="D52">
            <v>483.82936599999994</v>
          </cell>
          <cell r="E52">
            <v>510.83840000000015</v>
          </cell>
        </row>
        <row r="53">
          <cell r="A53">
            <v>210061</v>
          </cell>
          <cell r="B53" t="str">
            <v>Atlantic General</v>
          </cell>
          <cell r="C53">
            <v>848.81041799999969</v>
          </cell>
          <cell r="D53">
            <v>831.14497699999924</v>
          </cell>
          <cell r="E53">
            <v>887.86639199999945</v>
          </cell>
        </row>
        <row r="54">
          <cell r="A54">
            <v>210062</v>
          </cell>
          <cell r="B54" t="str">
            <v>MedStar Southern MD</v>
          </cell>
          <cell r="C54">
            <v>2609.3549770000027</v>
          </cell>
          <cell r="D54">
            <v>2457.9252890000039</v>
          </cell>
          <cell r="E54">
            <v>2501.0170860000012</v>
          </cell>
        </row>
        <row r="55">
          <cell r="A55">
            <v>210063</v>
          </cell>
          <cell r="B55" t="str">
            <v>UM-St. Joe</v>
          </cell>
          <cell r="C55">
            <v>2294.6887340000039</v>
          </cell>
          <cell r="D55">
            <v>2389.6718280000005</v>
          </cell>
          <cell r="E55">
            <v>2444.8738650000023</v>
          </cell>
        </row>
        <row r="56">
          <cell r="A56">
            <v>210065</v>
          </cell>
          <cell r="B56" t="str">
            <v>HC-Germantown</v>
          </cell>
          <cell r="C56">
            <v>1043.0215119999996</v>
          </cell>
          <cell r="D56">
            <v>983.7591799999999</v>
          </cell>
          <cell r="E56">
            <v>967.01529999999934</v>
          </cell>
        </row>
        <row r="57">
          <cell r="A57">
            <v>210089</v>
          </cell>
          <cell r="B57" t="str">
            <v>Adventist Rehab</v>
          </cell>
          <cell r="C57"/>
          <cell r="D57">
            <v>4.6601040000000005</v>
          </cell>
          <cell r="E57">
            <v>4.3169210000000007</v>
          </cell>
        </row>
        <row r="58">
          <cell r="A58">
            <v>213028</v>
          </cell>
          <cell r="B58" t="str">
            <v>Chesapeake Rehab</v>
          </cell>
          <cell r="C58">
            <v>10.638702</v>
          </cell>
          <cell r="D58">
            <v>5.2120329999999999</v>
          </cell>
          <cell r="E58">
            <v>9.764894</v>
          </cell>
        </row>
        <row r="59">
          <cell r="A59">
            <v>213029</v>
          </cell>
          <cell r="B59" t="str">
            <v>Adventist Rehab</v>
          </cell>
          <cell r="C59">
            <v>8.0006760000000003</v>
          </cell>
          <cell r="D59">
            <v>4.2743029999999997</v>
          </cell>
          <cell r="E59">
            <v>4.9824169999999999</v>
          </cell>
        </row>
        <row r="60">
          <cell r="A60">
            <v>213300</v>
          </cell>
          <cell r="B60" t="str">
            <v>Mt. Washington Peds</v>
          </cell>
          <cell r="C60">
            <v>14.170612999999999</v>
          </cell>
          <cell r="D60">
            <v>17.842917999999997</v>
          </cell>
          <cell r="E60">
            <v>10.782306999999999</v>
          </cell>
        </row>
        <row r="61">
          <cell r="A61">
            <v>218992</v>
          </cell>
          <cell r="B61" t="str">
            <v>UM-Shock Trauma</v>
          </cell>
          <cell r="C61">
            <v>590.25084000000004</v>
          </cell>
          <cell r="D61">
            <v>349.9990269999999</v>
          </cell>
          <cell r="E61">
            <v>434.12464599999981</v>
          </cell>
        </row>
        <row r="62">
          <cell r="A62" t="str">
            <v>Grand Total</v>
          </cell>
          <cell r="C62">
            <v>112387.9054330014</v>
          </cell>
          <cell r="D62">
            <v>101665.24495700146</v>
          </cell>
          <cell r="E62">
            <v>105323.29472100137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</row>
        <row r="2">
          <cell r="A2" t="str">
            <v>HOSPID</v>
          </cell>
          <cell r="B2" t="str">
            <v>HOSPNAME</v>
          </cell>
          <cell r="C2" t="str">
            <v>PEER</v>
          </cell>
          <cell r="D2" t="str">
            <v>AMC PEER</v>
          </cell>
          <cell r="E2" t="str">
            <v>EIPC (No Longer in Use)</v>
          </cell>
          <cell r="F2" t="str">
            <v>TOTAL PERMANENT REVENUE</v>
          </cell>
          <cell r="G2" t="str">
            <v>ECMAD</v>
          </cell>
          <cell r="H2" t="str">
            <v>MARK_UP</v>
          </cell>
          <cell r="I2" t="str">
            <v>NO LONGER IN USE</v>
          </cell>
          <cell r="J2" t="str">
            <v>DEPRECI (No Longer in Use)</v>
          </cell>
          <cell r="K2" t="str">
            <v>INTEREST (No Longer in Use)</v>
          </cell>
          <cell r="L2" t="str">
            <v>LEASES (No Longer in Use)</v>
          </cell>
          <cell r="M2" t="str">
            <v>TOT_ACS (No Longer in Use)</v>
          </cell>
          <cell r="N2" t="str">
            <v>DME</v>
          </cell>
          <cell r="O2" t="str">
            <v>NURSE</v>
          </cell>
          <cell r="P2" t="str">
            <v>STANDBY</v>
          </cell>
          <cell r="Q2" t="str">
            <v>MIEMSS</v>
          </cell>
          <cell r="R2" t="str">
            <v>NET OPERATING REVENUE</v>
          </cell>
          <cell r="S2" t="str">
            <v>NET OPERATING PROFIT</v>
          </cell>
          <cell r="T2" t="str">
            <v>RESIDENT</v>
          </cell>
          <cell r="U2" t="str">
            <v>D_STRIP</v>
          </cell>
          <cell r="V2" t="str">
            <v>PER_SAL</v>
          </cell>
          <cell r="W2" t="str">
            <v>LMA</v>
          </cell>
          <cell r="X2" t="str">
            <v>PRORATED RESIDENTS</v>
          </cell>
          <cell r="Y2" t="str">
            <v>PRORATED DME</v>
          </cell>
          <cell r="Z2" t="str">
            <v>ADJUSTED DIRECT STRIP</v>
          </cell>
        </row>
        <row r="3">
          <cell r="A3">
            <v>210001</v>
          </cell>
          <cell r="B3" t="str">
            <v>MERITUS MEDICAL CENTER</v>
          </cell>
          <cell r="C3">
            <v>1</v>
          </cell>
          <cell r="D3">
            <v>3</v>
          </cell>
          <cell r="E3">
            <v>1</v>
          </cell>
          <cell r="F3">
            <v>396979712.79319161</v>
          </cell>
          <cell r="G3">
            <v>28273.182741000001</v>
          </cell>
          <cell r="H3">
            <v>1.1141497861488601</v>
          </cell>
          <cell r="I3">
            <v>0</v>
          </cell>
          <cell r="J3">
            <v>22564809</v>
          </cell>
          <cell r="K3">
            <v>2391233</v>
          </cell>
          <cell r="L3">
            <v>10912725</v>
          </cell>
          <cell r="M3">
            <v>306473359</v>
          </cell>
          <cell r="N3">
            <v>3502399.9999999995</v>
          </cell>
          <cell r="O3">
            <v>0</v>
          </cell>
          <cell r="P3">
            <v>977006.47627344169</v>
          </cell>
          <cell r="Q3">
            <v>2404647.8024677355</v>
          </cell>
          <cell r="R3">
            <v>391956733.33999997</v>
          </cell>
          <cell r="S3">
            <v>85483374.339999974</v>
          </cell>
          <cell r="T3">
            <v>0</v>
          </cell>
          <cell r="U3">
            <v>6884054.2787411772</v>
          </cell>
          <cell r="V3">
            <v>0.62382157981353614</v>
          </cell>
          <cell r="W3">
            <v>0.99671861092415948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210002</v>
          </cell>
          <cell r="B4" t="str">
            <v>UNIVERSITY OF MARYLAND MEDICAL CENTER</v>
          </cell>
          <cell r="C4">
            <v>5</v>
          </cell>
          <cell r="D4">
            <v>5</v>
          </cell>
          <cell r="E4">
            <v>1</v>
          </cell>
          <cell r="F4">
            <v>1661109530.9329116</v>
          </cell>
          <cell r="G4">
            <v>69193.191886999994</v>
          </cell>
          <cell r="H4">
            <v>1.1105551626804377</v>
          </cell>
          <cell r="I4">
            <v>0</v>
          </cell>
          <cell r="J4">
            <v>82402565.454563364</v>
          </cell>
          <cell r="K4">
            <v>12562900</v>
          </cell>
          <cell r="L4">
            <v>19947200</v>
          </cell>
          <cell r="M4">
            <v>1524984773.5277116</v>
          </cell>
          <cell r="N4">
            <v>114045363.44764023</v>
          </cell>
          <cell r="O4">
            <v>572000</v>
          </cell>
          <cell r="P4">
            <v>0</v>
          </cell>
          <cell r="Q4">
            <v>0</v>
          </cell>
          <cell r="R4">
            <v>1557730727.2611151</v>
          </cell>
          <cell r="S4">
            <v>32745953.732788097</v>
          </cell>
          <cell r="T4">
            <v>525.1</v>
          </cell>
          <cell r="U4">
            <v>114617363.44764023</v>
          </cell>
          <cell r="V4">
            <v>0.62261880903070577</v>
          </cell>
          <cell r="W4">
            <v>0.99671861092415948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210003</v>
          </cell>
          <cell r="B5" t="str">
            <v>PRINCE GEORGES HOSPITAL CENTER</v>
          </cell>
          <cell r="C5">
            <v>1</v>
          </cell>
          <cell r="D5">
            <v>5</v>
          </cell>
          <cell r="E5">
            <v>1</v>
          </cell>
          <cell r="F5">
            <v>352694233.83989376</v>
          </cell>
          <cell r="G5">
            <v>16375.218104</v>
          </cell>
          <cell r="H5">
            <v>1.113920844193528</v>
          </cell>
          <cell r="I5">
            <v>0</v>
          </cell>
          <cell r="J5">
            <v>11984950.038283611</v>
          </cell>
          <cell r="K5">
            <v>3577375.9416744201</v>
          </cell>
          <cell r="L5">
            <v>0</v>
          </cell>
          <cell r="M5">
            <v>293646668.60510916</v>
          </cell>
          <cell r="N5">
            <v>5622703.1750629637</v>
          </cell>
          <cell r="O5">
            <v>1141471.8330038895</v>
          </cell>
          <cell r="P5">
            <v>2011119.4216079991</v>
          </cell>
          <cell r="Q5">
            <v>2639022.2440712396</v>
          </cell>
          <cell r="R5">
            <v>333308055.85267615</v>
          </cell>
          <cell r="S5">
            <v>39661358.047566846</v>
          </cell>
          <cell r="T5">
            <v>48</v>
          </cell>
          <cell r="U5">
            <v>11414316.673746092</v>
          </cell>
          <cell r="V5">
            <v>0.46620348349564045</v>
          </cell>
          <cell r="W5">
            <v>1.0181752931904677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1</v>
          </cell>
          <cell r="E6">
            <v>1</v>
          </cell>
          <cell r="F6">
            <v>531916230.52446681</v>
          </cell>
          <cell r="G6">
            <v>35334.827504599998</v>
          </cell>
          <cell r="H6">
            <v>1.1052169218229495</v>
          </cell>
          <cell r="I6">
            <v>0</v>
          </cell>
          <cell r="J6">
            <v>25434683.610706121</v>
          </cell>
          <cell r="K6">
            <v>4015594.6199999996</v>
          </cell>
          <cell r="L6">
            <v>8382233.5392611185</v>
          </cell>
          <cell r="M6">
            <v>422978849.05854899</v>
          </cell>
          <cell r="N6">
            <v>2432375.1135000004</v>
          </cell>
          <cell r="O6">
            <v>0</v>
          </cell>
          <cell r="P6">
            <v>0</v>
          </cell>
          <cell r="Q6">
            <v>0</v>
          </cell>
          <cell r="R6">
            <v>498542175.91666681</v>
          </cell>
          <cell r="S6">
            <v>75563326.858117834</v>
          </cell>
          <cell r="T6">
            <v>19</v>
          </cell>
          <cell r="U6">
            <v>2432375.1135000004</v>
          </cell>
          <cell r="V6">
            <v>0.70378463318116491</v>
          </cell>
          <cell r="W6">
            <v>1.0181752931904677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210005</v>
          </cell>
          <cell r="B7" t="str">
            <v>FREDERICK MEMORIAL HOSPITAL</v>
          </cell>
          <cell r="C7">
            <v>1</v>
          </cell>
          <cell r="D7">
            <v>3</v>
          </cell>
          <cell r="E7">
            <v>1</v>
          </cell>
          <cell r="F7">
            <v>375189712.56920636</v>
          </cell>
          <cell r="G7">
            <v>23433.788162600002</v>
          </cell>
          <cell r="H7">
            <v>1.1076159869090776</v>
          </cell>
          <cell r="I7">
            <v>0</v>
          </cell>
          <cell r="J7">
            <v>20602900</v>
          </cell>
          <cell r="K7">
            <v>325399.99999999988</v>
          </cell>
          <cell r="L7">
            <v>5155000</v>
          </cell>
          <cell r="M7">
            <v>293127046.88464838</v>
          </cell>
          <cell r="N7">
            <v>0</v>
          </cell>
          <cell r="O7">
            <v>407907.3949999999</v>
          </cell>
          <cell r="P7">
            <v>0</v>
          </cell>
          <cell r="Q7">
            <v>0</v>
          </cell>
          <cell r="R7">
            <v>350340200</v>
          </cell>
          <cell r="S7">
            <v>57213153.115351625</v>
          </cell>
          <cell r="T7">
            <v>0</v>
          </cell>
          <cell r="U7">
            <v>407907.3949999999</v>
          </cell>
          <cell r="V7">
            <v>0.6501880763396708</v>
          </cell>
          <cell r="W7">
            <v>0.99671861092415948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210006</v>
          </cell>
          <cell r="B8" t="str">
            <v>UM-HARFORD MEMORIAL HOSPITAL</v>
          </cell>
          <cell r="C8">
            <v>1</v>
          </cell>
          <cell r="D8">
            <v>3</v>
          </cell>
          <cell r="E8">
            <v>1</v>
          </cell>
          <cell r="F8">
            <v>110664933.89728206</v>
          </cell>
          <cell r="G8">
            <v>6329.6425050999997</v>
          </cell>
          <cell r="H8">
            <v>1.1107552581455078</v>
          </cell>
          <cell r="I8">
            <v>0</v>
          </cell>
          <cell r="J8">
            <v>4753396</v>
          </cell>
          <cell r="K8">
            <v>1153600</v>
          </cell>
          <cell r="L8">
            <v>959028</v>
          </cell>
          <cell r="M8">
            <v>88026047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96869496.094489023</v>
          </cell>
          <cell r="S8">
            <v>8843496.0944890212</v>
          </cell>
          <cell r="T8">
            <v>0</v>
          </cell>
          <cell r="U8">
            <v>0</v>
          </cell>
          <cell r="V8">
            <v>0.61200227306037203</v>
          </cell>
          <cell r="W8">
            <v>0.99671861092415948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210008</v>
          </cell>
          <cell r="B9" t="str">
            <v>MERCY MEDICAL CENTER</v>
          </cell>
          <cell r="C9">
            <v>1</v>
          </cell>
          <cell r="D9">
            <v>4</v>
          </cell>
          <cell r="E9">
            <v>1</v>
          </cell>
          <cell r="F9">
            <v>588582448.77491951</v>
          </cell>
          <cell r="G9">
            <v>36305.346412999999</v>
          </cell>
          <cell r="H9">
            <v>1.1063637198023515</v>
          </cell>
          <cell r="I9">
            <v>0</v>
          </cell>
          <cell r="J9">
            <v>34581313.480000004</v>
          </cell>
          <cell r="K9">
            <v>2358981</v>
          </cell>
          <cell r="L9">
            <v>13715068.880000001</v>
          </cell>
          <cell r="M9">
            <v>497407597.04656214</v>
          </cell>
          <cell r="N9">
            <v>4927154.8262996497</v>
          </cell>
          <cell r="O9">
            <v>0</v>
          </cell>
          <cell r="P9">
            <v>0</v>
          </cell>
          <cell r="Q9">
            <v>0</v>
          </cell>
          <cell r="R9">
            <v>546521322.63999999</v>
          </cell>
          <cell r="S9">
            <v>49113725.59343791</v>
          </cell>
          <cell r="T9">
            <v>63</v>
          </cell>
          <cell r="U9">
            <v>4927154.8262996497</v>
          </cell>
          <cell r="V9">
            <v>0.54598995340031942</v>
          </cell>
          <cell r="W9">
            <v>0.99671861092415948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5</v>
          </cell>
          <cell r="E10">
            <v>1</v>
          </cell>
          <cell r="F10">
            <v>2632842394.9767604</v>
          </cell>
          <cell r="G10">
            <v>117150.48196600001</v>
          </cell>
          <cell r="H10">
            <v>1.1031384816116303</v>
          </cell>
          <cell r="I10">
            <v>0</v>
          </cell>
          <cell r="J10">
            <v>118515300</v>
          </cell>
          <cell r="K10">
            <v>12784900</v>
          </cell>
          <cell r="L10">
            <v>45748799.999999993</v>
          </cell>
          <cell r="M10">
            <v>2262771093.5349197</v>
          </cell>
          <cell r="N10">
            <v>125062232.0771354</v>
          </cell>
          <cell r="O10">
            <v>3944300</v>
          </cell>
          <cell r="P10">
            <v>1218210.8402992173</v>
          </cell>
          <cell r="Q10">
            <v>5107088.3660804983</v>
          </cell>
          <cell r="R10">
            <v>2358021102.9200001</v>
          </cell>
          <cell r="S10">
            <v>95250002.920000345</v>
          </cell>
          <cell r="T10">
            <v>868</v>
          </cell>
          <cell r="U10">
            <v>135331831.28351513</v>
          </cell>
          <cell r="V10">
            <v>0.5576224176520661</v>
          </cell>
          <cell r="W10">
            <v>0.99671861092415948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210010</v>
          </cell>
          <cell r="B11" t="str">
            <v>UM-SHORE REGIONAL HEALTH AT DORCHESTER</v>
          </cell>
          <cell r="C11">
            <v>1</v>
          </cell>
          <cell r="D11">
            <v>3</v>
          </cell>
          <cell r="E11">
            <v>1</v>
          </cell>
          <cell r="F11">
            <v>46684435.864955373</v>
          </cell>
          <cell r="G11">
            <v>2069.6962123200001</v>
          </cell>
          <cell r="H11">
            <v>1.1210070236873082</v>
          </cell>
          <cell r="I11">
            <v>0</v>
          </cell>
          <cell r="J11">
            <v>2163816.5764154261</v>
          </cell>
          <cell r="K11">
            <v>76762.692841801472</v>
          </cell>
          <cell r="L11">
            <v>96709.159999999974</v>
          </cell>
          <cell r="M11">
            <v>28082469.01752571</v>
          </cell>
          <cell r="N11">
            <v>0</v>
          </cell>
          <cell r="O11">
            <v>70400</v>
          </cell>
          <cell r="P11">
            <v>0</v>
          </cell>
          <cell r="Q11">
            <v>0</v>
          </cell>
          <cell r="R11">
            <v>35049385.359999999</v>
          </cell>
          <cell r="S11">
            <v>6966876.2635845738</v>
          </cell>
          <cell r="T11">
            <v>0</v>
          </cell>
          <cell r="U11">
            <v>70400</v>
          </cell>
          <cell r="V11">
            <v>0.62182870486940955</v>
          </cell>
          <cell r="W11">
            <v>0.99671861092415948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1</v>
          </cell>
          <cell r="E12">
            <v>1</v>
          </cell>
          <cell r="F12">
            <v>446503412.21112752</v>
          </cell>
          <cell r="G12">
            <v>23400.026626400002</v>
          </cell>
          <cell r="H12">
            <v>1.1145007346313778</v>
          </cell>
          <cell r="I12">
            <v>0</v>
          </cell>
          <cell r="J12">
            <v>19680249.669999998</v>
          </cell>
          <cell r="K12">
            <v>2418992.5499999998</v>
          </cell>
          <cell r="L12">
            <v>2368000</v>
          </cell>
          <cell r="M12">
            <v>319302548.10507941</v>
          </cell>
          <cell r="N12">
            <v>7395850.1604229715</v>
          </cell>
          <cell r="O12">
            <v>0</v>
          </cell>
          <cell r="P12">
            <v>0</v>
          </cell>
          <cell r="Q12">
            <v>0</v>
          </cell>
          <cell r="R12">
            <v>401111271.51836848</v>
          </cell>
          <cell r="S12">
            <v>81808723.413289115</v>
          </cell>
          <cell r="T12">
            <v>73</v>
          </cell>
          <cell r="U12">
            <v>7395850.1604229715</v>
          </cell>
          <cell r="V12">
            <v>0.71505279068477212</v>
          </cell>
          <cell r="W12">
            <v>0.99671861092415948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210012</v>
          </cell>
          <cell r="B13" t="str">
            <v>SINAI HOSPITAL</v>
          </cell>
          <cell r="C13">
            <v>1</v>
          </cell>
          <cell r="D13">
            <v>5</v>
          </cell>
          <cell r="E13">
            <v>1</v>
          </cell>
          <cell r="F13">
            <v>877343729.86884689</v>
          </cell>
          <cell r="G13">
            <v>41085.047327</v>
          </cell>
          <cell r="H13">
            <v>1.1140681619503976</v>
          </cell>
          <cell r="I13">
            <v>0</v>
          </cell>
          <cell r="J13">
            <v>41053244.609999992</v>
          </cell>
          <cell r="K13">
            <v>7043400</v>
          </cell>
          <cell r="L13">
            <v>10494400</v>
          </cell>
          <cell r="M13">
            <v>672695291.10193968</v>
          </cell>
          <cell r="N13">
            <v>19765397.76139779</v>
          </cell>
          <cell r="O13">
            <v>0</v>
          </cell>
          <cell r="P13">
            <v>1431026.0657287992</v>
          </cell>
          <cell r="Q13">
            <v>2483674.8337770118</v>
          </cell>
          <cell r="R13">
            <v>782812956.15999973</v>
          </cell>
          <cell r="S13">
            <v>110117664.85082638</v>
          </cell>
          <cell r="T13">
            <v>126</v>
          </cell>
          <cell r="U13">
            <v>23680098.660903599</v>
          </cell>
          <cell r="V13">
            <v>0.61743139615405473</v>
          </cell>
          <cell r="W13">
            <v>0.99671861092415948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210013</v>
          </cell>
          <cell r="B14" t="str">
            <v>BON SECOURS HOSPITAL</v>
          </cell>
          <cell r="C14" t="str">
            <v>NA</v>
          </cell>
          <cell r="D14">
            <v>4</v>
          </cell>
          <cell r="E14">
            <v>1</v>
          </cell>
          <cell r="F14">
            <v>42058648.054503791</v>
          </cell>
          <cell r="G14">
            <v>1675.2652873299999</v>
          </cell>
          <cell r="H14">
            <v>1.1233657734728308</v>
          </cell>
          <cell r="I14">
            <v>0</v>
          </cell>
          <cell r="J14">
            <v>7476100.1200000001</v>
          </cell>
          <cell r="K14">
            <v>85400.360000000102</v>
          </cell>
          <cell r="L14">
            <v>877500.25</v>
          </cell>
          <cell r="M14">
            <v>46732408.667158566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29826145.169999994</v>
          </cell>
          <cell r="S14">
            <v>-16906263.237458233</v>
          </cell>
          <cell r="T14">
            <v>0</v>
          </cell>
          <cell r="U14">
            <v>0</v>
          </cell>
          <cell r="V14">
            <v>0.47522344644994313</v>
          </cell>
          <cell r="W14">
            <v>0.99671861092415948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210015</v>
          </cell>
          <cell r="B15" t="str">
            <v>MEDSTAR FRANKLIN SQUARE</v>
          </cell>
          <cell r="C15">
            <v>1</v>
          </cell>
          <cell r="D15">
            <v>1</v>
          </cell>
          <cell r="E15">
            <v>1</v>
          </cell>
          <cell r="F15">
            <v>583976138.38305783</v>
          </cell>
          <cell r="G15">
            <v>38321.131923000001</v>
          </cell>
          <cell r="H15">
            <v>1.1151209479901063</v>
          </cell>
          <cell r="I15">
            <v>0</v>
          </cell>
          <cell r="J15">
            <v>25461933.969999999</v>
          </cell>
          <cell r="K15">
            <v>3894319.0000000005</v>
          </cell>
          <cell r="L15">
            <v>8042433</v>
          </cell>
          <cell r="M15">
            <v>468815664.96339208</v>
          </cell>
          <cell r="N15">
            <v>10893348.481193952</v>
          </cell>
          <cell r="O15">
            <v>0</v>
          </cell>
          <cell r="P15">
            <v>0</v>
          </cell>
          <cell r="Q15">
            <v>0</v>
          </cell>
          <cell r="R15">
            <v>514473044.5</v>
          </cell>
          <cell r="S15">
            <v>45657379.536607474</v>
          </cell>
          <cell r="T15">
            <v>78</v>
          </cell>
          <cell r="U15">
            <v>10893348.481193952</v>
          </cell>
          <cell r="V15">
            <v>0.65531393479654187</v>
          </cell>
          <cell r="W15">
            <v>0.99671861092415948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210016</v>
          </cell>
          <cell r="B16" t="str">
            <v>WASHINGTON ADVENTIST HOSPITAL</v>
          </cell>
          <cell r="C16">
            <v>1</v>
          </cell>
          <cell r="D16">
            <v>3</v>
          </cell>
          <cell r="E16">
            <v>1</v>
          </cell>
          <cell r="F16">
            <v>310511567.84132731</v>
          </cell>
          <cell r="G16">
            <v>18715.4534011</v>
          </cell>
          <cell r="H16">
            <v>1.1162574393031277</v>
          </cell>
          <cell r="I16">
            <v>0</v>
          </cell>
          <cell r="J16">
            <v>19278282.27</v>
          </cell>
          <cell r="K16">
            <v>1164705.5799999998</v>
          </cell>
          <cell r="L16">
            <v>15313800</v>
          </cell>
          <cell r="M16">
            <v>276626335.20000005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299193833.72478861</v>
          </cell>
          <cell r="S16">
            <v>22567500.183033116</v>
          </cell>
          <cell r="T16">
            <v>0</v>
          </cell>
          <cell r="U16">
            <v>0</v>
          </cell>
          <cell r="V16">
            <v>0.64061449826838102</v>
          </cell>
          <cell r="W16">
            <v>1.0181752931904677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210017</v>
          </cell>
          <cell r="B17" t="str">
            <v>GARRETT COUNTY MEMORIAL HOSPITAL</v>
          </cell>
          <cell r="C17">
            <v>1</v>
          </cell>
          <cell r="D17">
            <v>3</v>
          </cell>
          <cell r="E17">
            <v>1</v>
          </cell>
          <cell r="F17">
            <v>65205955.504200757</v>
          </cell>
          <cell r="G17">
            <v>5467.9816400999998</v>
          </cell>
          <cell r="H17">
            <v>1.1158577958774549</v>
          </cell>
          <cell r="I17">
            <v>0</v>
          </cell>
          <cell r="J17">
            <v>4204016.5544351991</v>
          </cell>
          <cell r="K17">
            <v>33473.06213807044</v>
          </cell>
          <cell r="L17">
            <v>456112</v>
          </cell>
          <cell r="M17">
            <v>50344812.82737653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60695079.537827</v>
          </cell>
          <cell r="S17">
            <v>10350242.046400366</v>
          </cell>
          <cell r="T17">
            <v>0</v>
          </cell>
          <cell r="U17">
            <v>0</v>
          </cell>
          <cell r="V17">
            <v>0.65152738782195418</v>
          </cell>
          <cell r="W17">
            <v>0.99671861092415948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210018</v>
          </cell>
          <cell r="B18" t="str">
            <v>MEDSTAR MONTGOMERY MEDICAL CENTER</v>
          </cell>
          <cell r="C18">
            <v>1</v>
          </cell>
          <cell r="D18">
            <v>3</v>
          </cell>
          <cell r="E18">
            <v>1</v>
          </cell>
          <cell r="F18">
            <v>183902261.90732968</v>
          </cell>
          <cell r="G18">
            <v>10806.659719399999</v>
          </cell>
          <cell r="H18">
            <v>1.1099167519492501</v>
          </cell>
          <cell r="I18">
            <v>0</v>
          </cell>
          <cell r="J18">
            <v>10574294.782317314</v>
          </cell>
          <cell r="K18">
            <v>760160.96117193974</v>
          </cell>
          <cell r="L18">
            <v>1197674.9752078352</v>
          </cell>
          <cell r="M18">
            <v>150594524.90560529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162584176.03000003</v>
          </cell>
          <cell r="S18">
            <v>11989651.124394789</v>
          </cell>
          <cell r="T18">
            <v>0</v>
          </cell>
          <cell r="U18">
            <v>0</v>
          </cell>
          <cell r="V18">
            <v>0.54787051949933263</v>
          </cell>
          <cell r="W18">
            <v>1.0181752931904677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210019</v>
          </cell>
          <cell r="B19" t="str">
            <v>PENINSULA REGIONAL MEDICAL CENTER</v>
          </cell>
          <cell r="C19">
            <v>1</v>
          </cell>
          <cell r="D19">
            <v>3</v>
          </cell>
          <cell r="E19">
            <v>1</v>
          </cell>
          <cell r="F19">
            <v>492139579.70773017</v>
          </cell>
          <cell r="G19">
            <v>33747.970901000001</v>
          </cell>
          <cell r="H19">
            <v>1.1171441388205088</v>
          </cell>
          <cell r="I19">
            <v>0</v>
          </cell>
          <cell r="J19">
            <v>27100400</v>
          </cell>
          <cell r="K19">
            <v>2613000</v>
          </cell>
          <cell r="L19">
            <v>5744900</v>
          </cell>
          <cell r="M19">
            <v>363703299.99999988</v>
          </cell>
          <cell r="N19">
            <v>0</v>
          </cell>
          <cell r="O19">
            <v>0</v>
          </cell>
          <cell r="P19">
            <v>0</v>
          </cell>
          <cell r="Q19">
            <v>1948389.8517444979</v>
          </cell>
          <cell r="R19">
            <v>452334028</v>
          </cell>
          <cell r="S19">
            <v>88630737.18599999</v>
          </cell>
          <cell r="T19">
            <v>0</v>
          </cell>
          <cell r="U19">
            <v>1948389.8517444979</v>
          </cell>
          <cell r="V19">
            <v>0.5623339906739111</v>
          </cell>
          <cell r="W19">
            <v>0.99671861092415948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1</v>
          </cell>
          <cell r="E20">
            <v>1</v>
          </cell>
          <cell r="F20">
            <v>362080106.95333821</v>
          </cell>
          <cell r="G20">
            <v>23491.3196384</v>
          </cell>
          <cell r="H20">
            <v>1.105478076072322</v>
          </cell>
          <cell r="I20">
            <v>0</v>
          </cell>
          <cell r="J20">
            <v>27677732.370000001</v>
          </cell>
          <cell r="K20">
            <v>262997</v>
          </cell>
          <cell r="L20">
            <v>4103898.4199999995</v>
          </cell>
          <cell r="M20">
            <v>297164042.52999961</v>
          </cell>
          <cell r="N20">
            <v>531821.10035620374</v>
          </cell>
          <cell r="O20">
            <v>0</v>
          </cell>
          <cell r="P20">
            <v>808569.83575766336</v>
          </cell>
          <cell r="Q20">
            <v>2913661.6593662133</v>
          </cell>
          <cell r="R20">
            <v>321331699.25</v>
          </cell>
          <cell r="S20">
            <v>24167678.04999993</v>
          </cell>
          <cell r="T20">
            <v>4</v>
          </cell>
          <cell r="U20">
            <v>4254052.5954800807</v>
          </cell>
          <cell r="V20">
            <v>0.5640361042297154</v>
          </cell>
          <cell r="W20">
            <v>1.0181752931904677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210023</v>
          </cell>
          <cell r="B21" t="str">
            <v>ANNE ARUNDEL MEDICAL CENTER</v>
          </cell>
          <cell r="C21">
            <v>1</v>
          </cell>
          <cell r="D21">
            <v>3</v>
          </cell>
          <cell r="E21">
            <v>1</v>
          </cell>
          <cell r="F21">
            <v>690707910.1492455</v>
          </cell>
          <cell r="G21">
            <v>45397.754295999999</v>
          </cell>
          <cell r="H21">
            <v>1.1022217221622292</v>
          </cell>
          <cell r="I21">
            <v>0</v>
          </cell>
          <cell r="J21">
            <v>25890799.999999996</v>
          </cell>
          <cell r="K21">
            <v>9399800</v>
          </cell>
          <cell r="L21">
            <v>9128100</v>
          </cell>
          <cell r="M21">
            <v>539078692.12851131</v>
          </cell>
          <cell r="N21">
            <v>4409353.3138142796</v>
          </cell>
          <cell r="O21">
            <v>0</v>
          </cell>
          <cell r="P21">
            <v>0</v>
          </cell>
          <cell r="Q21">
            <v>0</v>
          </cell>
          <cell r="R21">
            <v>629269093.60000002</v>
          </cell>
          <cell r="S21">
            <v>90190401.471488759</v>
          </cell>
          <cell r="T21">
            <v>0</v>
          </cell>
          <cell r="U21">
            <v>4409353.3138142796</v>
          </cell>
          <cell r="V21">
            <v>0.57048524070148743</v>
          </cell>
          <cell r="W21">
            <v>0.99671861092415948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210024</v>
          </cell>
          <cell r="B22" t="str">
            <v>MEDSTAR UNION MEMORIAL HOSPITAL</v>
          </cell>
          <cell r="C22">
            <v>1</v>
          </cell>
          <cell r="D22">
            <v>5</v>
          </cell>
          <cell r="E22">
            <v>1</v>
          </cell>
          <cell r="F22">
            <v>438238124.19537467</v>
          </cell>
          <cell r="G22">
            <v>24148.329668899998</v>
          </cell>
          <cell r="H22">
            <v>1.1153364418804246</v>
          </cell>
          <cell r="I22">
            <v>0</v>
          </cell>
          <cell r="J22">
            <v>15619210.604898153</v>
          </cell>
          <cell r="K22">
            <v>6659223.1402559336</v>
          </cell>
          <cell r="L22">
            <v>2640592.2270100717</v>
          </cell>
          <cell r="M22">
            <v>364574128.46947849</v>
          </cell>
          <cell r="N22">
            <v>11753121.060572768</v>
          </cell>
          <cell r="O22">
            <v>0</v>
          </cell>
          <cell r="P22">
            <v>0</v>
          </cell>
          <cell r="Q22">
            <v>0</v>
          </cell>
          <cell r="R22">
            <v>389830154.33999991</v>
          </cell>
          <cell r="S22">
            <v>25256042.24877397</v>
          </cell>
          <cell r="T22">
            <v>88</v>
          </cell>
          <cell r="U22">
            <v>11753121.060572768</v>
          </cell>
          <cell r="V22">
            <v>0.53216003055068473</v>
          </cell>
          <cell r="W22">
            <v>0.99671861092415948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210027</v>
          </cell>
          <cell r="B23" t="str">
            <v>WESTERN MARYLAND REGIONAL MEDICAL CENTER</v>
          </cell>
          <cell r="C23">
            <v>1</v>
          </cell>
          <cell r="D23">
            <v>3</v>
          </cell>
          <cell r="E23">
            <v>1</v>
          </cell>
          <cell r="F23">
            <v>347732938.48592621</v>
          </cell>
          <cell r="G23">
            <v>22691.930096399999</v>
          </cell>
          <cell r="H23">
            <v>1.1182380807567878</v>
          </cell>
          <cell r="I23">
            <v>0</v>
          </cell>
          <cell r="J23">
            <v>20452190</v>
          </cell>
          <cell r="K23">
            <v>5667600</v>
          </cell>
          <cell r="L23">
            <v>6188920</v>
          </cell>
          <cell r="M23">
            <v>237708127.87499997</v>
          </cell>
          <cell r="N23">
            <v>0</v>
          </cell>
          <cell r="O23">
            <v>0</v>
          </cell>
          <cell r="P23">
            <v>437716.01595394255</v>
          </cell>
          <cell r="Q23">
            <v>1334029.6616983681</v>
          </cell>
          <cell r="R23">
            <v>309729310</v>
          </cell>
          <cell r="S23">
            <v>72021182.125000015</v>
          </cell>
          <cell r="T23">
            <v>0</v>
          </cell>
          <cell r="U23">
            <v>1771745.6776523106</v>
          </cell>
          <cell r="V23">
            <v>0.55872884872338413</v>
          </cell>
          <cell r="W23">
            <v>0.99671861092415948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210028</v>
          </cell>
          <cell r="B24" t="str">
            <v xml:space="preserve">MEDSTAR ST. MARY'S HOSPITAL </v>
          </cell>
          <cell r="C24">
            <v>1</v>
          </cell>
          <cell r="D24">
            <v>3</v>
          </cell>
          <cell r="E24">
            <v>1</v>
          </cell>
          <cell r="F24">
            <v>197624284.488893</v>
          </cell>
          <cell r="G24">
            <v>14179.106249799999</v>
          </cell>
          <cell r="H24">
            <v>1.108155612752997</v>
          </cell>
          <cell r="I24">
            <v>0</v>
          </cell>
          <cell r="J24">
            <v>8956630.1743892096</v>
          </cell>
          <cell r="K24">
            <v>1071626.0387638998</v>
          </cell>
          <cell r="L24">
            <v>831519.6207105834</v>
          </cell>
          <cell r="M24">
            <v>143704996.64757082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177210224.16000003</v>
          </cell>
          <cell r="S24">
            <v>33505227.512429237</v>
          </cell>
          <cell r="T24">
            <v>0</v>
          </cell>
          <cell r="U24">
            <v>0</v>
          </cell>
          <cell r="V24">
            <v>0.58188815153562745</v>
          </cell>
          <cell r="W24">
            <v>0.99671861092415948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210029</v>
          </cell>
          <cell r="B25" t="str">
            <v>JOHNS HOPKINS BAYVIEW MEDICAL CENTER</v>
          </cell>
          <cell r="C25">
            <v>1</v>
          </cell>
          <cell r="D25">
            <v>5</v>
          </cell>
          <cell r="E25">
            <v>1</v>
          </cell>
          <cell r="F25">
            <v>726751755.03407121</v>
          </cell>
          <cell r="G25">
            <v>38264.274405999997</v>
          </cell>
          <cell r="H25">
            <v>1.1141231178647666</v>
          </cell>
          <cell r="I25">
            <v>0</v>
          </cell>
          <cell r="J25">
            <v>28971614.571778711</v>
          </cell>
          <cell r="K25">
            <v>8093300</v>
          </cell>
          <cell r="L25">
            <v>9255600</v>
          </cell>
          <cell r="M25">
            <v>637179346.24559069</v>
          </cell>
          <cell r="N25">
            <v>26685616.971474428</v>
          </cell>
          <cell r="O25">
            <v>0</v>
          </cell>
          <cell r="P25">
            <v>1932158.0532372135</v>
          </cell>
          <cell r="Q25">
            <v>1617171.7300050836</v>
          </cell>
          <cell r="R25">
            <v>633257376.5200001</v>
          </cell>
          <cell r="S25">
            <v>-3921969.8463996174</v>
          </cell>
          <cell r="T25">
            <v>147</v>
          </cell>
          <cell r="U25">
            <v>30234946.754716724</v>
          </cell>
          <cell r="V25">
            <v>0.73282589011689636</v>
          </cell>
          <cell r="W25">
            <v>0.99671861092415948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210030</v>
          </cell>
          <cell r="B26" t="str">
            <v>UM-SHORE REGIONAL HEALTH AT CHESTERTOWN</v>
          </cell>
          <cell r="C26">
            <v>1</v>
          </cell>
          <cell r="D26">
            <v>3</v>
          </cell>
          <cell r="E26">
            <v>1</v>
          </cell>
          <cell r="F26">
            <v>54158102.794749722</v>
          </cell>
          <cell r="G26">
            <v>2230.4656624899999</v>
          </cell>
          <cell r="H26">
            <v>1.1178325773056215</v>
          </cell>
          <cell r="I26">
            <v>0</v>
          </cell>
          <cell r="J26">
            <v>3098486.3110707654</v>
          </cell>
          <cell r="K26">
            <v>76147.860000000044</v>
          </cell>
          <cell r="L26">
            <v>123000</v>
          </cell>
          <cell r="M26">
            <v>37841701.506655164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36802445.370000005</v>
          </cell>
          <cell r="S26">
            <v>-1039255.959495451</v>
          </cell>
          <cell r="T26">
            <v>0</v>
          </cell>
          <cell r="U26">
            <v>0</v>
          </cell>
          <cell r="V26">
            <v>0.62219660767872587</v>
          </cell>
          <cell r="W26">
            <v>0.99671861092415948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210032</v>
          </cell>
          <cell r="B27" t="str">
            <v>UNION HOSPITAL OF CECIL COUNTY</v>
          </cell>
          <cell r="C27">
            <v>1</v>
          </cell>
          <cell r="D27">
            <v>3</v>
          </cell>
          <cell r="E27">
            <v>1</v>
          </cell>
          <cell r="F27">
            <v>172925690.97648051</v>
          </cell>
          <cell r="G27">
            <v>10059.747168600001</v>
          </cell>
          <cell r="H27">
            <v>1.1140685856836097</v>
          </cell>
          <cell r="I27">
            <v>0</v>
          </cell>
          <cell r="J27">
            <v>7858223.5299999993</v>
          </cell>
          <cell r="K27">
            <v>955054.59999999974</v>
          </cell>
          <cell r="L27">
            <v>1832625.25</v>
          </cell>
          <cell r="M27">
            <v>129107899.88704549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137508920.27000001</v>
          </cell>
          <cell r="S27">
            <v>8401028.1300000213</v>
          </cell>
          <cell r="T27">
            <v>0</v>
          </cell>
          <cell r="U27">
            <v>0</v>
          </cell>
          <cell r="V27">
            <v>0.62313393530207617</v>
          </cell>
          <cell r="W27">
            <v>0.99671861092415948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210033</v>
          </cell>
          <cell r="B28" t="str">
            <v>CARROLL HOSPITAL CENTER</v>
          </cell>
          <cell r="C28">
            <v>1</v>
          </cell>
          <cell r="D28">
            <v>3</v>
          </cell>
          <cell r="E28">
            <v>1</v>
          </cell>
          <cell r="F28">
            <v>242971535.41675964</v>
          </cell>
          <cell r="G28">
            <v>14289.5352702</v>
          </cell>
          <cell r="H28">
            <v>1.1115247749725947</v>
          </cell>
          <cell r="I28">
            <v>0</v>
          </cell>
          <cell r="J28">
            <v>14594610</v>
          </cell>
          <cell r="K28">
            <v>1467961</v>
          </cell>
          <cell r="L28">
            <v>6122300</v>
          </cell>
          <cell r="M28">
            <v>202086532.30826923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232098751</v>
          </cell>
          <cell r="S28">
            <v>30012219.027028825</v>
          </cell>
          <cell r="T28">
            <v>0</v>
          </cell>
          <cell r="U28">
            <v>0</v>
          </cell>
          <cell r="V28">
            <v>0.54480231543352931</v>
          </cell>
          <cell r="W28">
            <v>0.99671861092415948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210034</v>
          </cell>
          <cell r="B29" t="str">
            <v>MEDSTAR HARBOR HOSPITAL CENTER</v>
          </cell>
          <cell r="C29">
            <v>1</v>
          </cell>
          <cell r="D29">
            <v>4</v>
          </cell>
          <cell r="E29">
            <v>1</v>
          </cell>
          <cell r="F29">
            <v>195813676.92123276</v>
          </cell>
          <cell r="G29">
            <v>10715.497128499999</v>
          </cell>
          <cell r="H29">
            <v>1.1180960294119102</v>
          </cell>
          <cell r="I29">
            <v>0</v>
          </cell>
          <cell r="J29">
            <v>7907684</v>
          </cell>
          <cell r="K29">
            <v>212668.66000000003</v>
          </cell>
          <cell r="L29">
            <v>1280487</v>
          </cell>
          <cell r="M29">
            <v>157385193.53160509</v>
          </cell>
          <cell r="N29">
            <v>2296546.3570556282</v>
          </cell>
          <cell r="O29">
            <v>0</v>
          </cell>
          <cell r="P29">
            <v>0</v>
          </cell>
          <cell r="Q29">
            <v>0</v>
          </cell>
          <cell r="R29">
            <v>162948523.02999997</v>
          </cell>
          <cell r="S29">
            <v>5563329.4983948581</v>
          </cell>
          <cell r="T29">
            <v>46</v>
          </cell>
          <cell r="U29">
            <v>2296546.3570556282</v>
          </cell>
          <cell r="V29">
            <v>0.62343258804205115</v>
          </cell>
          <cell r="W29">
            <v>0.99671861092415948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210035</v>
          </cell>
          <cell r="B30" t="str">
            <v>UM-CHARLES REGIONAL MEDICAL CENTER</v>
          </cell>
          <cell r="C30">
            <v>1</v>
          </cell>
          <cell r="D30">
            <v>3</v>
          </cell>
          <cell r="E30">
            <v>1</v>
          </cell>
          <cell r="F30">
            <v>163911506.50979006</v>
          </cell>
          <cell r="G30">
            <v>11395.2275539</v>
          </cell>
          <cell r="H30">
            <v>1.1094499227741297</v>
          </cell>
          <cell r="I30">
            <v>0</v>
          </cell>
          <cell r="J30">
            <v>6979763.2335418426</v>
          </cell>
          <cell r="K30">
            <v>1168498.42</v>
          </cell>
          <cell r="L30">
            <v>1448367.2999999998</v>
          </cell>
          <cell r="M30">
            <v>126657282.19726135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151721456.47</v>
          </cell>
          <cell r="S30">
            <v>25064174.272738658</v>
          </cell>
          <cell r="T30">
            <v>0</v>
          </cell>
          <cell r="U30">
            <v>0</v>
          </cell>
          <cell r="V30">
            <v>0.63727675722986021</v>
          </cell>
          <cell r="W30">
            <v>0.99671861092415948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210037</v>
          </cell>
          <cell r="B31" t="str">
            <v>UM-SHORE REGIONAL HEALTH AT EASTON</v>
          </cell>
          <cell r="C31">
            <v>1</v>
          </cell>
          <cell r="D31">
            <v>3</v>
          </cell>
          <cell r="E31">
            <v>1</v>
          </cell>
          <cell r="F31">
            <v>235623551.73539445</v>
          </cell>
          <cell r="G31">
            <v>13130.003486599999</v>
          </cell>
          <cell r="H31">
            <v>1.1187748164974232</v>
          </cell>
          <cell r="I31">
            <v>0</v>
          </cell>
          <cell r="J31">
            <v>13468439.896701027</v>
          </cell>
          <cell r="K31">
            <v>583084.49449538067</v>
          </cell>
          <cell r="L31">
            <v>1616384.84</v>
          </cell>
          <cell r="M31">
            <v>160589636.18195093</v>
          </cell>
          <cell r="N31">
            <v>0</v>
          </cell>
          <cell r="O31">
            <v>1131100</v>
          </cell>
          <cell r="P31">
            <v>0</v>
          </cell>
          <cell r="Q31">
            <v>0</v>
          </cell>
          <cell r="R31">
            <v>219312121.3985633</v>
          </cell>
          <cell r="S31">
            <v>58722508.601862274</v>
          </cell>
          <cell r="T31">
            <v>0</v>
          </cell>
          <cell r="U31">
            <v>1131100</v>
          </cell>
          <cell r="V31">
            <v>0.63317701751000888</v>
          </cell>
          <cell r="W31">
            <v>0.99671861092415948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210038</v>
          </cell>
          <cell r="B32" t="str">
            <v>UMMC MIDTOWN CAMPUS</v>
          </cell>
          <cell r="C32">
            <v>1</v>
          </cell>
          <cell r="D32">
            <v>4</v>
          </cell>
          <cell r="E32">
            <v>1</v>
          </cell>
          <cell r="F32">
            <v>229865422.52370465</v>
          </cell>
          <cell r="G32">
            <v>10307.482532599999</v>
          </cell>
          <cell r="H32">
            <v>1.1211743847596074</v>
          </cell>
          <cell r="I32">
            <v>0</v>
          </cell>
          <cell r="J32">
            <v>13437806.080499606</v>
          </cell>
          <cell r="K32">
            <v>1164759.5999999999</v>
          </cell>
          <cell r="L32">
            <v>933000</v>
          </cell>
          <cell r="M32">
            <v>188617780.74117175</v>
          </cell>
          <cell r="N32">
            <v>3690815.6101339846</v>
          </cell>
          <cell r="O32">
            <v>0</v>
          </cell>
          <cell r="P32">
            <v>0</v>
          </cell>
          <cell r="Q32">
            <v>0</v>
          </cell>
          <cell r="R32">
            <v>195404371.63</v>
          </cell>
          <cell r="S32">
            <v>6786590.8888283009</v>
          </cell>
          <cell r="T32">
            <v>40</v>
          </cell>
          <cell r="U32">
            <v>3690815.6101339846</v>
          </cell>
          <cell r="V32">
            <v>0.56119142434660518</v>
          </cell>
          <cell r="W32">
            <v>0.99671861092415948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210039</v>
          </cell>
          <cell r="B33" t="str">
            <v>CALVERT MEMORIAL HOSPITAL</v>
          </cell>
          <cell r="C33">
            <v>1</v>
          </cell>
          <cell r="D33">
            <v>3</v>
          </cell>
          <cell r="E33">
            <v>1</v>
          </cell>
          <cell r="F33">
            <v>160708745.1251542</v>
          </cell>
          <cell r="G33">
            <v>10186.8377516</v>
          </cell>
          <cell r="H33">
            <v>1.1132138111988261</v>
          </cell>
          <cell r="I33">
            <v>0</v>
          </cell>
          <cell r="J33">
            <v>12321273.618422743</v>
          </cell>
          <cell r="K33">
            <v>1918968.6999999997</v>
          </cell>
          <cell r="L33">
            <v>2197949.81</v>
          </cell>
          <cell r="M33">
            <v>131597332.35704023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144771296.90999997</v>
          </cell>
          <cell r="S33">
            <v>13173964.552959748</v>
          </cell>
          <cell r="T33">
            <v>0</v>
          </cell>
          <cell r="U33">
            <v>0</v>
          </cell>
          <cell r="V33">
            <v>0.61107911546737015</v>
          </cell>
          <cell r="W33">
            <v>0.99671861092415948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210040</v>
          </cell>
          <cell r="B34" t="str">
            <v>NORTHWEST HOSPITAL CENTER</v>
          </cell>
          <cell r="C34">
            <v>1</v>
          </cell>
          <cell r="D34">
            <v>3</v>
          </cell>
          <cell r="E34">
            <v>1</v>
          </cell>
          <cell r="F34">
            <v>278622872.76149601</v>
          </cell>
          <cell r="G34">
            <v>15403.0189852</v>
          </cell>
          <cell r="H34">
            <v>1.1141571278152393</v>
          </cell>
          <cell r="I34">
            <v>0</v>
          </cell>
          <cell r="J34">
            <v>16565085.530000001</v>
          </cell>
          <cell r="K34">
            <v>644100.10000000021</v>
          </cell>
          <cell r="L34">
            <v>3535699.94</v>
          </cell>
          <cell r="M34">
            <v>222859888.94999999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249450182.29000285</v>
          </cell>
          <cell r="S34">
            <v>26590293.019366533</v>
          </cell>
          <cell r="T34">
            <v>0</v>
          </cell>
          <cell r="U34">
            <v>0</v>
          </cell>
          <cell r="V34">
            <v>0.64866657902555458</v>
          </cell>
          <cell r="W34">
            <v>0.99671861092415948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210043</v>
          </cell>
          <cell r="B35" t="str">
            <v>UM-BALTIMORE WASHINGTON MEDICAL CENTER</v>
          </cell>
          <cell r="C35">
            <v>1</v>
          </cell>
          <cell r="D35">
            <v>1</v>
          </cell>
          <cell r="E35">
            <v>1</v>
          </cell>
          <cell r="F35">
            <v>468969597.16976738</v>
          </cell>
          <cell r="G35">
            <v>32505.400627899999</v>
          </cell>
          <cell r="H35">
            <v>1.1114837273564122</v>
          </cell>
          <cell r="I35">
            <v>0</v>
          </cell>
          <cell r="J35">
            <v>26716233.333333332</v>
          </cell>
          <cell r="K35">
            <v>1728300</v>
          </cell>
          <cell r="L35">
            <v>4717000</v>
          </cell>
          <cell r="M35">
            <v>392614049.49497432</v>
          </cell>
          <cell r="N35">
            <v>730772.74507387949</v>
          </cell>
          <cell r="O35">
            <v>0</v>
          </cell>
          <cell r="P35">
            <v>0</v>
          </cell>
          <cell r="Q35">
            <v>0</v>
          </cell>
          <cell r="R35">
            <v>438598368.18101144</v>
          </cell>
          <cell r="S35">
            <v>45984318.68603716</v>
          </cell>
          <cell r="T35">
            <v>7</v>
          </cell>
          <cell r="U35">
            <v>730772.74507387949</v>
          </cell>
          <cell r="V35">
            <v>0.63694856280044099</v>
          </cell>
          <cell r="W35">
            <v>0.99671861092415948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1</v>
          </cell>
          <cell r="E36">
            <v>1</v>
          </cell>
          <cell r="F36">
            <v>501244787.0827924</v>
          </cell>
          <cell r="G36">
            <v>31672.125912000003</v>
          </cell>
          <cell r="H36">
            <v>1.1035926333106025</v>
          </cell>
          <cell r="I36">
            <v>0</v>
          </cell>
          <cell r="J36">
            <v>24045530.728841886</v>
          </cell>
          <cell r="K36">
            <v>11591259</v>
          </cell>
          <cell r="L36">
            <v>3718495.8392786225</v>
          </cell>
          <cell r="M36">
            <v>398388943.28077805</v>
          </cell>
          <cell r="N36">
            <v>8240479.3886016337</v>
          </cell>
          <cell r="O36">
            <v>0</v>
          </cell>
          <cell r="P36">
            <v>0</v>
          </cell>
          <cell r="Q36">
            <v>0</v>
          </cell>
          <cell r="R36">
            <v>471245859.00000006</v>
          </cell>
          <cell r="S36">
            <v>72856915.719222039</v>
          </cell>
          <cell r="T36">
            <v>58</v>
          </cell>
          <cell r="U36">
            <v>8240479.3886016337</v>
          </cell>
          <cell r="V36">
            <v>0.63797971493717465</v>
          </cell>
          <cell r="W36">
            <v>0.99671861092415948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210045</v>
          </cell>
          <cell r="B37" t="str">
            <v>MCCREADY MEMORIAL HOSPITAL</v>
          </cell>
          <cell r="C37" t="str">
            <v>NA</v>
          </cell>
          <cell r="D37">
            <v>3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766800</v>
          </cell>
          <cell r="L37">
            <v>0</v>
          </cell>
          <cell r="M37">
            <v>6906000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4415599</v>
          </cell>
          <cell r="S37">
            <v>-2490401.0000000009</v>
          </cell>
          <cell r="T37">
            <v>0</v>
          </cell>
          <cell r="U37">
            <v>0</v>
          </cell>
          <cell r="V37">
            <v>0.57866160133803912</v>
          </cell>
          <cell r="W37">
            <v>0.99671861092415948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210048</v>
          </cell>
          <cell r="B38" t="str">
            <v>HOWARD COUNTY GENERAL HOSPITAL</v>
          </cell>
          <cell r="C38">
            <v>1</v>
          </cell>
          <cell r="D38">
            <v>3</v>
          </cell>
          <cell r="E38">
            <v>1</v>
          </cell>
          <cell r="F38">
            <v>317328094.88947791</v>
          </cell>
          <cell r="G38">
            <v>25319.049191899998</v>
          </cell>
          <cell r="H38">
            <v>1.1025498858374603</v>
          </cell>
          <cell r="I38">
            <v>0</v>
          </cell>
          <cell r="J38">
            <v>14000220</v>
          </cell>
          <cell r="K38">
            <v>1196731</v>
          </cell>
          <cell r="L38">
            <v>6230361</v>
          </cell>
          <cell r="M38">
            <v>269575333.99999994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277692660.33000004</v>
          </cell>
          <cell r="S38">
            <v>8117352.227000054</v>
          </cell>
          <cell r="T38">
            <v>0</v>
          </cell>
          <cell r="U38">
            <v>0</v>
          </cell>
          <cell r="V38">
            <v>0.6221380279364499</v>
          </cell>
          <cell r="W38">
            <v>0.99671861092415948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210049</v>
          </cell>
          <cell r="B39" t="str">
            <v>UM-UPPER CHESAPEAKE MEDICAL CENTER</v>
          </cell>
          <cell r="C39">
            <v>1</v>
          </cell>
          <cell r="D39">
            <v>3</v>
          </cell>
          <cell r="E39">
            <v>1</v>
          </cell>
          <cell r="F39">
            <v>337143135.90880835</v>
          </cell>
          <cell r="G39">
            <v>23128.869922499998</v>
          </cell>
          <cell r="H39">
            <v>1.1072617895731318</v>
          </cell>
          <cell r="I39">
            <v>0</v>
          </cell>
          <cell r="J39">
            <v>19185854.233250193</v>
          </cell>
          <cell r="K39">
            <v>1063715</v>
          </cell>
          <cell r="L39">
            <v>5417039</v>
          </cell>
          <cell r="M39">
            <v>261461773.18048477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315775471.35947269</v>
          </cell>
          <cell r="S39">
            <v>54313689.178987816</v>
          </cell>
          <cell r="T39">
            <v>0</v>
          </cell>
          <cell r="U39">
            <v>0</v>
          </cell>
          <cell r="V39">
            <v>0.59421105330990376</v>
          </cell>
          <cell r="W39">
            <v>0.99671861092415948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210051</v>
          </cell>
          <cell r="B40" t="str">
            <v>DOCTORS COMMUNITY HOSPITAL</v>
          </cell>
          <cell r="C40">
            <v>1</v>
          </cell>
          <cell r="D40">
            <v>3</v>
          </cell>
          <cell r="E40">
            <v>1</v>
          </cell>
          <cell r="F40">
            <v>272557221.1961633</v>
          </cell>
          <cell r="G40">
            <v>16240.144338499998</v>
          </cell>
          <cell r="H40">
            <v>1.1096984548833317</v>
          </cell>
          <cell r="I40">
            <v>0</v>
          </cell>
          <cell r="J40">
            <v>12423800</v>
          </cell>
          <cell r="K40">
            <v>3182200</v>
          </cell>
          <cell r="L40">
            <v>4525400</v>
          </cell>
          <cell r="M40">
            <v>216637692.51902488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227997899.99999997</v>
          </cell>
          <cell r="S40">
            <v>11360207.480975077</v>
          </cell>
          <cell r="T40">
            <v>0</v>
          </cell>
          <cell r="U40">
            <v>0</v>
          </cell>
          <cell r="V40">
            <v>0.57766564458383873</v>
          </cell>
          <cell r="W40">
            <v>1.0181752931904677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210055</v>
          </cell>
          <cell r="B41" t="str">
            <v>LAUREL REGIONAL HOSPITAL</v>
          </cell>
          <cell r="C41" t="str">
            <v>NA</v>
          </cell>
          <cell r="D41">
            <v>3</v>
          </cell>
          <cell r="E41">
            <v>1</v>
          </cell>
          <cell r="F41">
            <v>34009727.213613033</v>
          </cell>
          <cell r="G41">
            <v>1606.5998901800001</v>
          </cell>
          <cell r="H41">
            <v>1.1063628966763606</v>
          </cell>
          <cell r="I41">
            <v>0</v>
          </cell>
          <cell r="J41">
            <v>2817884.8334657475</v>
          </cell>
          <cell r="K41">
            <v>45239.460000000006</v>
          </cell>
          <cell r="L41">
            <v>0</v>
          </cell>
          <cell r="M41">
            <v>33033322.432273738</v>
          </cell>
          <cell r="N41">
            <v>0</v>
          </cell>
          <cell r="O41">
            <v>133099.74379313178</v>
          </cell>
          <cell r="P41">
            <v>0</v>
          </cell>
          <cell r="Q41">
            <v>0</v>
          </cell>
          <cell r="R41">
            <v>22001030.820000004</v>
          </cell>
          <cell r="S41">
            <v>-11032275.15227372</v>
          </cell>
          <cell r="T41">
            <v>0</v>
          </cell>
          <cell r="U41">
            <v>133099.74379313178</v>
          </cell>
          <cell r="V41">
            <v>0.72697099034761647</v>
          </cell>
          <cell r="W41">
            <v>1.0181752931904677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210056</v>
          </cell>
          <cell r="B42" t="str">
            <v>MEDSTAR GOOD SAMARITAN</v>
          </cell>
          <cell r="C42">
            <v>1</v>
          </cell>
          <cell r="D42">
            <v>1</v>
          </cell>
          <cell r="E42">
            <v>1</v>
          </cell>
          <cell r="F42">
            <v>279030460.71680474</v>
          </cell>
          <cell r="G42">
            <v>16195.374051499999</v>
          </cell>
          <cell r="H42">
            <v>1.1217650008286368</v>
          </cell>
          <cell r="I42">
            <v>0</v>
          </cell>
          <cell r="J42">
            <v>12870382.108180756</v>
          </cell>
          <cell r="K42">
            <v>3986316.4165563863</v>
          </cell>
          <cell r="L42">
            <v>1952821.4376057179</v>
          </cell>
          <cell r="M42">
            <v>226292443.62923938</v>
          </cell>
          <cell r="N42">
            <v>2978443.0441355696</v>
          </cell>
          <cell r="O42">
            <v>0</v>
          </cell>
          <cell r="P42">
            <v>0</v>
          </cell>
          <cell r="Q42">
            <v>0</v>
          </cell>
          <cell r="R42">
            <v>238502334.33999991</v>
          </cell>
          <cell r="S42">
            <v>12209890.710760575</v>
          </cell>
          <cell r="T42">
            <v>41</v>
          </cell>
          <cell r="U42">
            <v>2978443.0441355696</v>
          </cell>
          <cell r="V42">
            <v>0.56968801901759858</v>
          </cell>
          <cell r="W42">
            <v>0.99671861092415948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210057</v>
          </cell>
          <cell r="B43" t="str">
            <v>SHADY GROVE ADVENTIST HOSPITAL</v>
          </cell>
          <cell r="C43">
            <v>1</v>
          </cell>
          <cell r="D43">
            <v>3</v>
          </cell>
          <cell r="E43">
            <v>1</v>
          </cell>
          <cell r="F43">
            <v>477081179.77056146</v>
          </cell>
          <cell r="G43">
            <v>27490.2939324</v>
          </cell>
          <cell r="H43">
            <v>1.1050573495968667</v>
          </cell>
          <cell r="I43">
            <v>0</v>
          </cell>
          <cell r="J43">
            <v>20481360</v>
          </cell>
          <cell r="K43">
            <v>4588225</v>
          </cell>
          <cell r="L43">
            <v>4958800</v>
          </cell>
          <cell r="M43">
            <v>385177272.63999999</v>
          </cell>
          <cell r="N43">
            <v>20870</v>
          </cell>
          <cell r="O43">
            <v>0</v>
          </cell>
          <cell r="P43">
            <v>0</v>
          </cell>
          <cell r="Q43">
            <v>0</v>
          </cell>
          <cell r="R43">
            <v>439374981</v>
          </cell>
          <cell r="S43">
            <v>54197743.35999997</v>
          </cell>
          <cell r="T43">
            <v>0</v>
          </cell>
          <cell r="U43">
            <v>20870</v>
          </cell>
          <cell r="V43">
            <v>0.66800000000000004</v>
          </cell>
          <cell r="W43">
            <v>1.0181752931904677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210058</v>
          </cell>
          <cell r="B44" t="str">
            <v>UM-REHABILITATION &amp; ORTHOPAEDIC INSTITUTE</v>
          </cell>
          <cell r="C44">
            <v>1</v>
          </cell>
          <cell r="D44">
            <v>1</v>
          </cell>
          <cell r="E44">
            <v>1</v>
          </cell>
          <cell r="F44">
            <v>130680697.96575283</v>
          </cell>
          <cell r="G44">
            <v>5966.9994036000007</v>
          </cell>
          <cell r="H44">
            <v>1.1074274776874236</v>
          </cell>
          <cell r="I44">
            <v>0</v>
          </cell>
          <cell r="J44">
            <v>7260570.7800000003</v>
          </cell>
          <cell r="K44">
            <v>284999.99999999965</v>
          </cell>
          <cell r="L44">
            <v>371646.6</v>
          </cell>
          <cell r="M44">
            <v>106775081.09437317</v>
          </cell>
          <cell r="N44">
            <v>4095450.6815999993</v>
          </cell>
          <cell r="O44">
            <v>0</v>
          </cell>
          <cell r="P44">
            <v>0</v>
          </cell>
          <cell r="Q44">
            <v>0</v>
          </cell>
          <cell r="R44">
            <v>118020532.95952396</v>
          </cell>
          <cell r="S44">
            <v>11245451.865150826</v>
          </cell>
          <cell r="T44">
            <v>15</v>
          </cell>
          <cell r="U44">
            <v>4095450.6815999993</v>
          </cell>
          <cell r="V44">
            <v>0.63696098127508327</v>
          </cell>
          <cell r="W44">
            <v>0.99671861092415948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210060</v>
          </cell>
          <cell r="B45" t="str">
            <v>FORT WASHINGTON MEDICAL CENTER</v>
          </cell>
          <cell r="C45">
            <v>1</v>
          </cell>
          <cell r="D45">
            <v>3</v>
          </cell>
          <cell r="E45">
            <v>1</v>
          </cell>
          <cell r="F45">
            <v>53507790.388608485</v>
          </cell>
          <cell r="G45">
            <v>3189.8937762</v>
          </cell>
          <cell r="H45">
            <v>1.1175211412810639</v>
          </cell>
          <cell r="I45">
            <v>0</v>
          </cell>
          <cell r="J45">
            <v>1011152.0919983257</v>
          </cell>
          <cell r="K45">
            <v>437796.98</v>
          </cell>
          <cell r="L45">
            <v>323201.51370070927</v>
          </cell>
          <cell r="M45">
            <v>54926570.963027142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59951705.44180958</v>
          </cell>
          <cell r="S45">
            <v>5025121.4054733133</v>
          </cell>
          <cell r="T45">
            <v>0</v>
          </cell>
          <cell r="U45">
            <v>0</v>
          </cell>
          <cell r="V45">
            <v>0.68899999999999995</v>
          </cell>
          <cell r="W45">
            <v>1.0181752931904677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210061</v>
          </cell>
          <cell r="B46" t="str">
            <v>ATLANTIC GENERAL HOSPITAL</v>
          </cell>
          <cell r="C46">
            <v>1</v>
          </cell>
          <cell r="D46">
            <v>3</v>
          </cell>
          <cell r="E46">
            <v>1</v>
          </cell>
          <cell r="F46">
            <v>116195468.69366743</v>
          </cell>
          <cell r="G46">
            <v>7733.3351762000002</v>
          </cell>
          <cell r="H46">
            <v>1.1101746119123399</v>
          </cell>
          <cell r="I46">
            <v>0</v>
          </cell>
          <cell r="J46">
            <v>5954300</v>
          </cell>
          <cell r="K46">
            <v>815500</v>
          </cell>
          <cell r="L46">
            <v>1118600</v>
          </cell>
          <cell r="M46">
            <v>84975441.079871997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108743868.66999999</v>
          </cell>
          <cell r="S46">
            <v>23768407.107773047</v>
          </cell>
          <cell r="T46">
            <v>0</v>
          </cell>
          <cell r="U46">
            <v>0</v>
          </cell>
          <cell r="V46">
            <v>0.59006325599657761</v>
          </cell>
          <cell r="W46">
            <v>0.99671861092415948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210062</v>
          </cell>
          <cell r="B47" t="str">
            <v>MEDSTAR SOUTHERN MARYLAND HOSPITAL CENTER</v>
          </cell>
          <cell r="C47">
            <v>1</v>
          </cell>
          <cell r="D47">
            <v>3</v>
          </cell>
          <cell r="E47">
            <v>1</v>
          </cell>
          <cell r="F47">
            <v>288214724.30399251</v>
          </cell>
          <cell r="G47">
            <v>16518.231224900002</v>
          </cell>
          <cell r="H47">
            <v>1.1119327545391331</v>
          </cell>
          <cell r="I47">
            <v>0</v>
          </cell>
          <cell r="J47">
            <v>12947098.039573411</v>
          </cell>
          <cell r="K47">
            <v>1822305.5764276201</v>
          </cell>
          <cell r="L47">
            <v>6130292.8611856382</v>
          </cell>
          <cell r="M47">
            <v>226206854.04247209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247440556.48999998</v>
          </cell>
          <cell r="S47">
            <v>21233690.032466024</v>
          </cell>
          <cell r="T47">
            <v>0</v>
          </cell>
          <cell r="U47">
            <v>0</v>
          </cell>
          <cell r="V47">
            <v>0.65616088551708718</v>
          </cell>
          <cell r="W47">
            <v>1.0181752931904677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210063</v>
          </cell>
          <cell r="B48" t="str">
            <v>UM-ST. JOSEPH MEDICAL CENTER</v>
          </cell>
          <cell r="C48">
            <v>1</v>
          </cell>
          <cell r="D48">
            <v>3</v>
          </cell>
          <cell r="E48">
            <v>1</v>
          </cell>
          <cell r="F48">
            <v>401396003.79041696</v>
          </cell>
          <cell r="G48">
            <v>26525.016051600003</v>
          </cell>
          <cell r="H48">
            <v>1.1069411425391098</v>
          </cell>
          <cell r="I48">
            <v>0</v>
          </cell>
          <cell r="J48">
            <v>22981326.881614454</v>
          </cell>
          <cell r="K48">
            <v>520984.85000000027</v>
          </cell>
          <cell r="L48">
            <v>8527079.4100000001</v>
          </cell>
          <cell r="M48">
            <v>305618333.4621467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369072350.21803159</v>
          </cell>
          <cell r="S48">
            <v>63454016.755884454</v>
          </cell>
          <cell r="T48">
            <v>0</v>
          </cell>
          <cell r="U48">
            <v>0</v>
          </cell>
          <cell r="V48">
            <v>0.69549510962113892</v>
          </cell>
          <cell r="W48">
            <v>0.99671861092415948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210065</v>
          </cell>
          <cell r="B49" t="str">
            <v>HOLY CROSS HOSPITAL-GERMANTOWN</v>
          </cell>
          <cell r="C49" t="str">
            <v>NA</v>
          </cell>
          <cell r="D49">
            <v>3</v>
          </cell>
          <cell r="E49">
            <v>1</v>
          </cell>
          <cell r="F49">
            <v>121832129.51616058</v>
          </cell>
          <cell r="G49">
            <v>8996.389480400001</v>
          </cell>
          <cell r="H49">
            <v>1.1064628607607305</v>
          </cell>
          <cell r="I49">
            <v>0</v>
          </cell>
          <cell r="J49">
            <v>8742142.6718633622</v>
          </cell>
          <cell r="K49">
            <v>494500</v>
          </cell>
          <cell r="L49">
            <v>5485747.1693793191</v>
          </cell>
          <cell r="M49">
            <v>113817013.98352574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120861308.48</v>
          </cell>
          <cell r="S49">
            <v>7044294.4964742493</v>
          </cell>
          <cell r="T49">
            <v>0</v>
          </cell>
          <cell r="U49">
            <v>0</v>
          </cell>
          <cell r="V49">
            <v>0.70378463318116491</v>
          </cell>
          <cell r="W49">
            <v>1.0181752931904677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910003</v>
          </cell>
          <cell r="B50" t="str">
            <v>Prince Georges Hospital</v>
          </cell>
          <cell r="C50">
            <v>4</v>
          </cell>
          <cell r="D50">
            <v>5</v>
          </cell>
          <cell r="E50">
            <v>1</v>
          </cell>
          <cell r="F50">
            <v>352694233.83989376</v>
          </cell>
          <cell r="G50">
            <v>16375.218104</v>
          </cell>
          <cell r="H50">
            <v>1.113920844193528</v>
          </cell>
          <cell r="I50">
            <v>0</v>
          </cell>
          <cell r="J50">
            <v>11984950.038283611</v>
          </cell>
          <cell r="K50">
            <v>3577375.9416744201</v>
          </cell>
          <cell r="L50">
            <v>0</v>
          </cell>
          <cell r="M50">
            <v>293646668.60510916</v>
          </cell>
          <cell r="N50">
            <v>5622703.1750629637</v>
          </cell>
          <cell r="O50">
            <v>1141471.8330038895</v>
          </cell>
          <cell r="P50">
            <v>2011119.4216079991</v>
          </cell>
          <cell r="Q50">
            <v>2639022.2440712396</v>
          </cell>
          <cell r="R50">
            <v>333308055.85267615</v>
          </cell>
          <cell r="S50">
            <v>39661358.047566846</v>
          </cell>
          <cell r="T50">
            <v>48</v>
          </cell>
          <cell r="U50">
            <v>11414316.673746092</v>
          </cell>
          <cell r="V50">
            <v>0.46620348349564045</v>
          </cell>
          <cell r="W50">
            <v>1.0181752931904677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910008</v>
          </cell>
          <cell r="B51" t="str">
            <v>Mercy Medical Center</v>
          </cell>
          <cell r="C51">
            <v>4</v>
          </cell>
          <cell r="D51">
            <v>5</v>
          </cell>
          <cell r="E51">
            <v>1</v>
          </cell>
          <cell r="F51">
            <v>588582448.77491951</v>
          </cell>
          <cell r="G51">
            <v>36305.346412999999</v>
          </cell>
          <cell r="H51">
            <v>1.1063637198023515</v>
          </cell>
          <cell r="I51">
            <v>0</v>
          </cell>
          <cell r="J51">
            <v>34581313.480000004</v>
          </cell>
          <cell r="K51">
            <v>2358981</v>
          </cell>
          <cell r="L51">
            <v>13715068.880000001</v>
          </cell>
          <cell r="M51">
            <v>497407597.04656214</v>
          </cell>
          <cell r="N51">
            <v>4927154.8262996497</v>
          </cell>
          <cell r="O51">
            <v>0</v>
          </cell>
          <cell r="P51">
            <v>0</v>
          </cell>
          <cell r="Q51">
            <v>0</v>
          </cell>
          <cell r="R51">
            <v>546521322.63999999</v>
          </cell>
          <cell r="S51">
            <v>49113725.59343791</v>
          </cell>
          <cell r="T51">
            <v>63</v>
          </cell>
          <cell r="U51">
            <v>4927154.8262996497</v>
          </cell>
          <cell r="V51">
            <v>0.54598995340031942</v>
          </cell>
          <cell r="W51">
            <v>0.99671861092415948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910012</v>
          </cell>
          <cell r="B52" t="str">
            <v>Sinai Hospital</v>
          </cell>
          <cell r="C52">
            <v>4</v>
          </cell>
          <cell r="D52">
            <v>5</v>
          </cell>
          <cell r="E52">
            <v>1</v>
          </cell>
          <cell r="F52">
            <v>877343729.86884689</v>
          </cell>
          <cell r="G52">
            <v>41085.047327</v>
          </cell>
          <cell r="H52">
            <v>1.1140681619503976</v>
          </cell>
          <cell r="I52">
            <v>0</v>
          </cell>
          <cell r="J52">
            <v>41053244.609999992</v>
          </cell>
          <cell r="K52">
            <v>7043400</v>
          </cell>
          <cell r="L52">
            <v>10494400</v>
          </cell>
          <cell r="M52">
            <v>672695291.10193968</v>
          </cell>
          <cell r="N52">
            <v>19765397.76139779</v>
          </cell>
          <cell r="O52">
            <v>0</v>
          </cell>
          <cell r="P52">
            <v>1431026.0657287992</v>
          </cell>
          <cell r="Q52">
            <v>2483674.8337770118</v>
          </cell>
          <cell r="R52">
            <v>782812956.15999973</v>
          </cell>
          <cell r="S52">
            <v>110117664.85082638</v>
          </cell>
          <cell r="T52">
            <v>126</v>
          </cell>
          <cell r="U52">
            <v>23680098.660903599</v>
          </cell>
          <cell r="V52">
            <v>0.61743139615405473</v>
          </cell>
          <cell r="W52">
            <v>0.99671861092415948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910024</v>
          </cell>
          <cell r="B53" t="str">
            <v>Union Memorial Hospital</v>
          </cell>
          <cell r="C53">
            <v>4</v>
          </cell>
          <cell r="D53">
            <v>5</v>
          </cell>
          <cell r="E53">
            <v>1</v>
          </cell>
          <cell r="F53">
            <v>438238124.19537467</v>
          </cell>
          <cell r="G53">
            <v>24148.329668899998</v>
          </cell>
          <cell r="H53">
            <v>1.1153364418804246</v>
          </cell>
          <cell r="I53">
            <v>0</v>
          </cell>
          <cell r="J53">
            <v>15619210.604898153</v>
          </cell>
          <cell r="K53">
            <v>6659223.1402559336</v>
          </cell>
          <cell r="L53">
            <v>2640592.2270100717</v>
          </cell>
          <cell r="M53">
            <v>364574128.46947849</v>
          </cell>
          <cell r="N53">
            <v>11753121.060572768</v>
          </cell>
          <cell r="O53">
            <v>0</v>
          </cell>
          <cell r="P53">
            <v>0</v>
          </cell>
          <cell r="Q53">
            <v>0</v>
          </cell>
          <cell r="R53">
            <v>389830154.33999991</v>
          </cell>
          <cell r="S53">
            <v>25256042.24877397</v>
          </cell>
          <cell r="T53">
            <v>88</v>
          </cell>
          <cell r="U53">
            <v>11753121.060572768</v>
          </cell>
          <cell r="V53">
            <v>0.53216003055068473</v>
          </cell>
          <cell r="W53">
            <v>0.99671861092415948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910029</v>
          </cell>
          <cell r="B54" t="str">
            <v>Johns Hopkins Bayview Medical Center</v>
          </cell>
          <cell r="C54">
            <v>4</v>
          </cell>
          <cell r="D54">
            <v>5</v>
          </cell>
          <cell r="E54">
            <v>1</v>
          </cell>
          <cell r="F54">
            <v>726751755.03407121</v>
          </cell>
          <cell r="G54">
            <v>38264.274405999997</v>
          </cell>
          <cell r="H54">
            <v>1.1141231178647666</v>
          </cell>
          <cell r="I54">
            <v>0</v>
          </cell>
          <cell r="J54">
            <v>28971614.571778711</v>
          </cell>
          <cell r="K54">
            <v>8093300</v>
          </cell>
          <cell r="L54">
            <v>9255600</v>
          </cell>
          <cell r="M54">
            <v>637179346.24559069</v>
          </cell>
          <cell r="N54">
            <v>26685616.971474428</v>
          </cell>
          <cell r="O54">
            <v>0</v>
          </cell>
          <cell r="P54">
            <v>1932158.0532372135</v>
          </cell>
          <cell r="Q54">
            <v>1617171.7300050836</v>
          </cell>
          <cell r="R54">
            <v>633257376.5200001</v>
          </cell>
          <cell r="S54">
            <v>-3921969.8463996174</v>
          </cell>
          <cell r="T54">
            <v>147</v>
          </cell>
          <cell r="U54">
            <v>30234946.754716724</v>
          </cell>
          <cell r="V54">
            <v>0.73282589011689636</v>
          </cell>
          <cell r="W54">
            <v>0.99671861092415948</v>
          </cell>
          <cell r="X54">
            <v>0</v>
          </cell>
          <cell r="Y54">
            <v>0</v>
          </cell>
          <cell r="Z54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Hospital ID</v>
          </cell>
          <cell r="C3" t="str">
            <v>Hospital Name</v>
          </cell>
          <cell r="D3" t="str">
            <v>FY23 Markup</v>
          </cell>
        </row>
        <row r="4">
          <cell r="B4">
            <v>210001</v>
          </cell>
          <cell r="C4" t="str">
            <v>Meritus</v>
          </cell>
          <cell r="D4">
            <v>1.1196537153887776</v>
          </cell>
        </row>
        <row r="5">
          <cell r="B5">
            <v>210002</v>
          </cell>
          <cell r="C5" t="str">
            <v>UMMC</v>
          </cell>
          <cell r="D5">
            <v>1.1149630516096494</v>
          </cell>
        </row>
        <row r="6">
          <cell r="B6">
            <v>210003</v>
          </cell>
          <cell r="C6" t="str">
            <v>UM-Capital Region</v>
          </cell>
          <cell r="D6">
            <v>1.1150592197193865</v>
          </cell>
        </row>
        <row r="7">
          <cell r="B7">
            <v>210004</v>
          </cell>
          <cell r="C7" t="str">
            <v>Holy Cross</v>
          </cell>
          <cell r="D7">
            <v>1.1099846191041804</v>
          </cell>
        </row>
        <row r="8">
          <cell r="B8">
            <v>210005</v>
          </cell>
          <cell r="C8" t="str">
            <v>Frederick</v>
          </cell>
          <cell r="D8">
            <v>1.1133096880777904</v>
          </cell>
        </row>
        <row r="9">
          <cell r="B9">
            <v>210006</v>
          </cell>
          <cell r="C9" t="str">
            <v>UM-Harford</v>
          </cell>
          <cell r="D9">
            <v>1.1180012832443968</v>
          </cell>
        </row>
        <row r="10">
          <cell r="B10">
            <v>210008</v>
          </cell>
          <cell r="C10" t="str">
            <v>Mercy</v>
          </cell>
          <cell r="D10">
            <v>1.1102695565875482</v>
          </cell>
        </row>
        <row r="11">
          <cell r="B11">
            <v>210009</v>
          </cell>
          <cell r="C11" t="str">
            <v>Johns Hopkins</v>
          </cell>
          <cell r="D11">
            <v>1.106052155233989</v>
          </cell>
        </row>
        <row r="12">
          <cell r="B12">
            <v>210010</v>
          </cell>
          <cell r="C12" t="str">
            <v>UM-Cambridge</v>
          </cell>
          <cell r="D12">
            <v>1.1237799950517624</v>
          </cell>
        </row>
        <row r="13">
          <cell r="B13">
            <v>210011</v>
          </cell>
          <cell r="C13" t="str">
            <v>St Agnes</v>
          </cell>
          <cell r="D13">
            <v>1.1208321340194023</v>
          </cell>
        </row>
        <row r="14">
          <cell r="B14">
            <v>210012</v>
          </cell>
          <cell r="C14" t="str">
            <v>Sinai</v>
          </cell>
          <cell r="D14">
            <v>1.1214469245143464</v>
          </cell>
        </row>
        <row r="15">
          <cell r="B15">
            <v>210013</v>
          </cell>
          <cell r="C15" t="str">
            <v>Grace Medical Center</v>
          </cell>
          <cell r="D15">
            <v>1.1357641348932981</v>
          </cell>
        </row>
        <row r="16">
          <cell r="B16">
            <v>210015</v>
          </cell>
          <cell r="C16" t="str">
            <v>MedStar Franklin Sq</v>
          </cell>
          <cell r="D16">
            <v>1.1215228084765592</v>
          </cell>
        </row>
        <row r="17">
          <cell r="B17">
            <v>210016</v>
          </cell>
          <cell r="C17" t="str">
            <v>Adventist White Oak</v>
          </cell>
          <cell r="D17">
            <v>1.1206186736274211</v>
          </cell>
        </row>
        <row r="18">
          <cell r="B18">
            <v>210017</v>
          </cell>
          <cell r="C18" t="str">
            <v>Garrett</v>
          </cell>
          <cell r="D18">
            <v>1.1207568789217148</v>
          </cell>
        </row>
        <row r="19">
          <cell r="B19">
            <v>210018</v>
          </cell>
          <cell r="C19" t="str">
            <v>MedStar Montgomery</v>
          </cell>
          <cell r="D19">
            <v>1.1159266108518389</v>
          </cell>
        </row>
        <row r="20">
          <cell r="B20">
            <v>210019</v>
          </cell>
          <cell r="C20" t="str">
            <v>Peninsula</v>
          </cell>
          <cell r="D20">
            <v>1.1235285459397526</v>
          </cell>
        </row>
        <row r="21">
          <cell r="B21">
            <v>210022</v>
          </cell>
          <cell r="C21" t="str">
            <v>Suburban</v>
          </cell>
          <cell r="D21">
            <v>1.106961162419857</v>
          </cell>
        </row>
        <row r="22">
          <cell r="B22">
            <v>210023</v>
          </cell>
          <cell r="C22" t="str">
            <v>Anne Arundel</v>
          </cell>
          <cell r="D22">
            <v>1.1086069567461017</v>
          </cell>
        </row>
        <row r="23">
          <cell r="B23">
            <v>210024</v>
          </cell>
          <cell r="C23" t="str">
            <v>MedStar Union</v>
          </cell>
          <cell r="D23">
            <v>1.1223202362274129</v>
          </cell>
        </row>
        <row r="24">
          <cell r="B24">
            <v>210027</v>
          </cell>
          <cell r="C24" t="str">
            <v>Western MD</v>
          </cell>
          <cell r="D24">
            <v>1.1268001645719641</v>
          </cell>
        </row>
        <row r="25">
          <cell r="B25">
            <v>210028</v>
          </cell>
          <cell r="C25" t="str">
            <v>MedStar St Mary's</v>
          </cell>
          <cell r="D25">
            <v>1.1136722213908725</v>
          </cell>
        </row>
        <row r="26">
          <cell r="B26">
            <v>210029</v>
          </cell>
          <cell r="C26" t="str">
            <v>JH - Bayview</v>
          </cell>
          <cell r="D26">
            <v>1.1160480491569686</v>
          </cell>
        </row>
        <row r="27">
          <cell r="B27">
            <v>210030</v>
          </cell>
          <cell r="C27" t="str">
            <v>UM-Chestertown</v>
          </cell>
          <cell r="D27">
            <v>1.1237498376689119</v>
          </cell>
        </row>
        <row r="28">
          <cell r="B28">
            <v>210032</v>
          </cell>
          <cell r="C28" t="str">
            <v>ChristianaCare, Union</v>
          </cell>
          <cell r="D28">
            <v>1.1182795268578634</v>
          </cell>
        </row>
        <row r="29">
          <cell r="B29">
            <v>210033</v>
          </cell>
          <cell r="C29" t="str">
            <v>Carroll</v>
          </cell>
          <cell r="D29">
            <v>1.1165021686409196</v>
          </cell>
        </row>
        <row r="30">
          <cell r="B30">
            <v>210034</v>
          </cell>
          <cell r="C30" t="str">
            <v>MedStar Harbor</v>
          </cell>
          <cell r="D30">
            <v>1.1252449607173489</v>
          </cell>
        </row>
        <row r="31">
          <cell r="B31">
            <v>210035</v>
          </cell>
          <cell r="C31" t="str">
            <v>UM-Charles Regional</v>
          </cell>
          <cell r="D31">
            <v>1.1148847928711076</v>
          </cell>
        </row>
        <row r="32">
          <cell r="B32">
            <v>210037</v>
          </cell>
          <cell r="C32" t="str">
            <v>UM-Easton</v>
          </cell>
          <cell r="D32">
            <v>1.1240965147015685</v>
          </cell>
        </row>
        <row r="33">
          <cell r="B33">
            <v>210038</v>
          </cell>
          <cell r="C33" t="str">
            <v>UM-Midtown</v>
          </cell>
          <cell r="D33">
            <v>1.1259331913445376</v>
          </cell>
        </row>
        <row r="34">
          <cell r="B34">
            <v>210039</v>
          </cell>
          <cell r="C34" t="str">
            <v>Calvert</v>
          </cell>
          <cell r="D34">
            <v>1.1205505604288228</v>
          </cell>
        </row>
        <row r="35">
          <cell r="B35">
            <v>210040</v>
          </cell>
          <cell r="C35" t="str">
            <v>Northwest</v>
          </cell>
          <cell r="D35">
            <v>1.120710322524318</v>
          </cell>
        </row>
        <row r="36">
          <cell r="B36">
            <v>210043</v>
          </cell>
          <cell r="C36" t="str">
            <v>UM-BWMC</v>
          </cell>
          <cell r="D36">
            <v>1.1174861425645124</v>
          </cell>
        </row>
        <row r="37">
          <cell r="B37">
            <v>210044</v>
          </cell>
          <cell r="C37" t="str">
            <v>GBMC</v>
          </cell>
          <cell r="D37">
            <v>1.1074866213835981</v>
          </cell>
        </row>
        <row r="38">
          <cell r="B38">
            <v>210045</v>
          </cell>
          <cell r="C38" t="str">
            <v>McCready</v>
          </cell>
          <cell r="D38">
            <v>1.1235285459397526</v>
          </cell>
        </row>
        <row r="39">
          <cell r="B39">
            <v>210048</v>
          </cell>
          <cell r="C39" t="str">
            <v>Howard County</v>
          </cell>
          <cell r="D39">
            <v>1.1035189993630976</v>
          </cell>
        </row>
        <row r="40">
          <cell r="B40">
            <v>210049</v>
          </cell>
          <cell r="C40" t="str">
            <v>UM-Upper Chesapeake</v>
          </cell>
          <cell r="D40">
            <v>1.1147926720978587</v>
          </cell>
        </row>
        <row r="41">
          <cell r="B41">
            <v>210051</v>
          </cell>
          <cell r="C41" t="str">
            <v>Doctors</v>
          </cell>
          <cell r="D41">
            <v>1.1175427593245362</v>
          </cell>
        </row>
        <row r="42">
          <cell r="B42">
            <v>210055</v>
          </cell>
          <cell r="C42" t="str">
            <v>UM-Laurel</v>
          </cell>
          <cell r="D42">
            <v>1.2317684965243516</v>
          </cell>
        </row>
        <row r="43">
          <cell r="B43">
            <v>210060</v>
          </cell>
          <cell r="C43" t="str">
            <v>Ft Washington</v>
          </cell>
          <cell r="D43">
            <v>1.1180896691644482</v>
          </cell>
        </row>
        <row r="44">
          <cell r="B44">
            <v>210061</v>
          </cell>
          <cell r="C44" t="str">
            <v>Atlantic General</v>
          </cell>
          <cell r="D44">
            <v>1.1146605541082666</v>
          </cell>
        </row>
        <row r="45">
          <cell r="B45">
            <v>210062</v>
          </cell>
          <cell r="C45" t="str">
            <v>MedStar Southern MD</v>
          </cell>
          <cell r="D45">
            <v>1.1171440000317876</v>
          </cell>
        </row>
        <row r="46">
          <cell r="B46">
            <v>210063</v>
          </cell>
          <cell r="C46" t="str">
            <v>UM-St Joe</v>
          </cell>
          <cell r="D46">
            <v>1.1140199775247721</v>
          </cell>
        </row>
        <row r="47">
          <cell r="B47">
            <v>210065</v>
          </cell>
          <cell r="C47" t="str">
            <v>HC Germantown</v>
          </cell>
          <cell r="D47">
            <v>1.1083143930424924</v>
          </cell>
        </row>
        <row r="48">
          <cell r="B48">
            <v>210087</v>
          </cell>
          <cell r="C48" t="str">
            <v>Germantown ED</v>
          </cell>
          <cell r="D48">
            <v>1.3856761673391242</v>
          </cell>
        </row>
        <row r="49">
          <cell r="B49">
            <v>210088</v>
          </cell>
          <cell r="C49" t="str">
            <v>UM-Queen Anne's ED</v>
          </cell>
          <cell r="D49">
            <v>1.2247797584303444</v>
          </cell>
        </row>
        <row r="50">
          <cell r="B50">
            <v>210333</v>
          </cell>
          <cell r="C50" t="str">
            <v>UM-Bowie ED</v>
          </cell>
          <cell r="D50">
            <v>1.2565526897653194</v>
          </cell>
        </row>
        <row r="51">
          <cell r="B51">
            <v>210058</v>
          </cell>
          <cell r="C51" t="str">
            <v>UMROI</v>
          </cell>
          <cell r="D51">
            <v>1.1120223070717381</v>
          </cell>
        </row>
        <row r="52">
          <cell r="B52">
            <v>210056</v>
          </cell>
          <cell r="C52" t="str">
            <v>MedStar Good Sam</v>
          </cell>
          <cell r="D52">
            <v>1.1293262174048309</v>
          </cell>
        </row>
        <row r="53">
          <cell r="B53">
            <v>210064</v>
          </cell>
          <cell r="C53" t="str">
            <v>Levindale</v>
          </cell>
          <cell r="D53">
            <v>1.1369288944143321</v>
          </cell>
        </row>
        <row r="54">
          <cell r="B54">
            <v>210057</v>
          </cell>
          <cell r="C54" t="str">
            <v>Shady Grove</v>
          </cell>
          <cell r="D54">
            <v>1.1115105879568932</v>
          </cell>
        </row>
        <row r="55">
          <cell r="B55">
            <v>218992</v>
          </cell>
          <cell r="C55" t="str">
            <v>UM-Shock Trauma</v>
          </cell>
          <cell r="D55">
            <v>1.1154927121354719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TOTAL ADJUSTED EXPENSES FOR NURSING PROGRAMS (From Schedule F02 for FY2022)</v>
          </cell>
        </row>
        <row r="2">
          <cell r="A2" t="str">
            <v>HOSPID</v>
          </cell>
          <cell r="B2" t="str">
            <v>HOSPITAL NAME</v>
          </cell>
          <cell r="C2" t="str">
            <v>TOTAL ADJUSTED EXPENSES</v>
          </cell>
        </row>
        <row r="3">
          <cell r="A3">
            <v>210002</v>
          </cell>
          <cell r="B3" t="str">
            <v>UNIVERSITY OF MARYLAND MEDICAL CENTER</v>
          </cell>
          <cell r="C3">
            <v>555300</v>
          </cell>
        </row>
        <row r="4">
          <cell r="A4">
            <v>210003</v>
          </cell>
          <cell r="B4" t="str">
            <v>UM CAPITAL REGION MEDICAL CENTER</v>
          </cell>
          <cell r="C4">
            <v>1208431.1355900336</v>
          </cell>
        </row>
        <row r="5">
          <cell r="A5">
            <v>210005</v>
          </cell>
          <cell r="B5" t="str">
            <v>FREDERICK HEALTH HOSPITAL, INC</v>
          </cell>
          <cell r="C5">
            <v>424862.3280000001</v>
          </cell>
        </row>
        <row r="6">
          <cell r="A6">
            <v>210009</v>
          </cell>
          <cell r="B6" t="str">
            <v>JOHNS HOPKINS HOSPITAL</v>
          </cell>
          <cell r="C6">
            <v>5711800</v>
          </cell>
        </row>
        <row r="7">
          <cell r="A7">
            <v>210010</v>
          </cell>
          <cell r="B7" t="str">
            <v>UM-SHORE REGIONAL HEALTH AT DORCHESTER</v>
          </cell>
          <cell r="C7">
            <v>62612.300276631235</v>
          </cell>
        </row>
        <row r="8">
          <cell r="A8">
            <v>210023</v>
          </cell>
          <cell r="B8" t="str">
            <v>ANNE ARUNDEL MEDICAL CENTER</v>
          </cell>
          <cell r="C8">
            <v>723549.91288524587</v>
          </cell>
        </row>
        <row r="9">
          <cell r="A9">
            <v>210030</v>
          </cell>
          <cell r="B9" t="str">
            <v>UM-SHORE REGIONAL HEALTH AT CHESTERTOW</v>
          </cell>
          <cell r="C9">
            <v>208535.14400062207</v>
          </cell>
        </row>
        <row r="10">
          <cell r="A10">
            <v>210037</v>
          </cell>
          <cell r="B10" t="str">
            <v>UM-SHORE REGIONAL HEALTH AT EASTON</v>
          </cell>
          <cell r="C10">
            <v>832816.3072470203</v>
          </cell>
        </row>
        <row r="11">
          <cell r="A11">
            <v>210038</v>
          </cell>
          <cell r="B11" t="str">
            <v>UMMC MIDTOWN CAMPUS</v>
          </cell>
          <cell r="C11">
            <v>0</v>
          </cell>
        </row>
        <row r="12">
          <cell r="A12">
            <v>210055</v>
          </cell>
          <cell r="B12" t="str">
            <v>LAUREL REGIONAL HOSPITAL</v>
          </cell>
          <cell r="C12">
            <v>141502.60406345228</v>
          </cell>
        </row>
        <row r="13">
          <cell r="A13">
            <v>210088</v>
          </cell>
          <cell r="B13" t="str">
            <v>UM-QUEEN ANNE'S FREESTANDING EMERGENCY CENTER</v>
          </cell>
          <cell r="C13">
            <v>13900</v>
          </cell>
        </row>
        <row r="14">
          <cell r="A14">
            <v>210333</v>
          </cell>
          <cell r="B14" t="str">
            <v>UM-BOWIE HEALTH CENTER</v>
          </cell>
          <cell r="C14">
            <v>67699.999999999985</v>
          </cell>
        </row>
        <row r="15">
          <cell r="A15">
            <v>213300</v>
          </cell>
          <cell r="B15" t="str">
            <v>MT. WASHINGTON PEDIATRIC HOSPITAL</v>
          </cell>
          <cell r="C15">
            <v>418671.85026802676</v>
          </cell>
        </row>
        <row r="16">
          <cell r="A16">
            <v>214000</v>
          </cell>
          <cell r="B16" t="str">
            <v xml:space="preserve">SHEPPARD-ENOCH PRATT HOSPITAL </v>
          </cell>
          <cell r="C16">
            <v>16600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MIEMSS AND STANDBY COSTS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</row>
        <row r="2">
          <cell r="A2" t="str">
            <v>HOSPID(6 Digits)</v>
          </cell>
          <cell r="B2" t="str">
            <v>HOSPITAL NAME</v>
          </cell>
          <cell r="C2" t="str">
            <v>HOSPID</v>
          </cell>
          <cell r="D2" t="str">
            <v>FY 2003 STANDBY COSTS</v>
          </cell>
          <cell r="E2" t="str">
            <v>FY 2003 MIEMSS COSTS</v>
          </cell>
          <cell r="F2" t="str">
            <v>FY 2004 UPDATE FACTOR</v>
          </cell>
          <cell r="G2" t="str">
            <v>FY 2005 UPDATE FACTOR</v>
          </cell>
          <cell r="H2" t="str">
            <v>FY 2006 UPDATE FACTOR</v>
          </cell>
          <cell r="I2" t="str">
            <v>FY 2007 UPDATE FACTOR</v>
          </cell>
          <cell r="J2" t="str">
            <v>FY 2008 UPDATE FACTOR</v>
          </cell>
          <cell r="K2" t="str">
            <v>FY 2009 UPDATE FACTOR</v>
          </cell>
          <cell r="L2" t="str">
            <v>FY 2010 UPDATE FACTOR</v>
          </cell>
          <cell r="M2" t="str">
            <v>FY 2011 UPDATE FACTOR</v>
          </cell>
          <cell r="N2" t="str">
            <v>FY 2012 UPDATE FACTOR</v>
          </cell>
          <cell r="O2" t="str">
            <v>FY 2013 UPDATE FACTOR</v>
          </cell>
          <cell r="P2" t="str">
            <v>FY 2014 UPDATE FACTOR</v>
          </cell>
          <cell r="Q2" t="str">
            <v>FY 2015 UPDATE FACTOR</v>
          </cell>
          <cell r="R2" t="str">
            <v>FY 2016 UPDATE FACTOR</v>
          </cell>
          <cell r="S2" t="str">
            <v>FY 2017 UPDATE FACTOR</v>
          </cell>
          <cell r="T2" t="str">
            <v>FY 2018 UPDATE FACTOR</v>
          </cell>
          <cell r="U2" t="str">
            <v>FY 2019 UPDATE FACTOR</v>
          </cell>
          <cell r="V2" t="str">
            <v>FY 2020 UPDATE FACTOR</v>
          </cell>
          <cell r="W2" t="str">
            <v>FY 2021 UPDATE FACTOR</v>
          </cell>
          <cell r="X2" t="str">
            <v>FY 20222 UPDATE FACTOR</v>
          </cell>
          <cell r="Y2" t="str">
            <v>FY 2023 UPDATE FACTOR</v>
          </cell>
          <cell r="Z2" t="str">
            <v>FY 2023 UPDATED STANDBY COSTS</v>
          </cell>
          <cell r="AA2" t="str">
            <v>FY 2023 UPDATED MIEMSS COSTS</v>
          </cell>
        </row>
        <row r="3">
          <cell r="A3">
            <v>210001</v>
          </cell>
          <cell r="B3" t="str">
            <v>MERITUS MEDICAL CENTER</v>
          </cell>
          <cell r="C3">
            <v>1</v>
          </cell>
          <cell r="D3">
            <v>569046</v>
          </cell>
          <cell r="E3">
            <v>1400559</v>
          </cell>
          <cell r="F3">
            <v>5.33E-2</v>
          </cell>
          <cell r="G3">
            <v>4.7800000000000002E-2</v>
          </cell>
          <cell r="H3">
            <v>4.9799999999999997E-2</v>
          </cell>
          <cell r="I3">
            <v>3.56E-2</v>
          </cell>
          <cell r="J3">
            <v>3.8100000000000002E-2</v>
          </cell>
          <cell r="K3">
            <v>4.2000000000000003E-2</v>
          </cell>
          <cell r="L3">
            <v>1.49E-2</v>
          </cell>
          <cell r="M3">
            <v>2.4E-2</v>
          </cell>
          <cell r="N3">
            <v>3.2199999999999999E-2</v>
          </cell>
          <cell r="O3">
            <v>1.2999999999999999E-3</v>
          </cell>
          <cell r="P3">
            <v>1.4500000000000001E-2</v>
          </cell>
          <cell r="Q3">
            <v>2.2681077219534301E-2</v>
          </cell>
          <cell r="R3">
            <v>2.4E-2</v>
          </cell>
          <cell r="S3">
            <v>2.4899999999999999E-2</v>
          </cell>
          <cell r="T3">
            <v>3.1399999999999997E-2</v>
          </cell>
          <cell r="U3">
            <v>1.83E-2</v>
          </cell>
          <cell r="V3">
            <v>4.7899999999999998E-2</v>
          </cell>
          <cell r="W3">
            <v>3.5200000000000002E-2</v>
          </cell>
          <cell r="X3">
            <v>2.4400000000000002E-2</v>
          </cell>
          <cell r="Y3">
            <v>3.2500000000000001E-2</v>
          </cell>
          <cell r="Z3">
            <v>1040914.3109595065</v>
          </cell>
          <cell r="AA3">
            <v>2561940.3465504288</v>
          </cell>
        </row>
        <row r="4">
          <cell r="A4">
            <v>210002</v>
          </cell>
          <cell r="B4" t="str">
            <v>UNIVERSITY OF MARYLAND MEDICAL CENTER</v>
          </cell>
          <cell r="C4">
            <v>2</v>
          </cell>
          <cell r="D4">
            <v>0</v>
          </cell>
          <cell r="E4">
            <v>0</v>
          </cell>
          <cell r="F4">
            <v>5.33E-2</v>
          </cell>
          <cell r="G4">
            <v>4.7800000000000002E-2</v>
          </cell>
          <cell r="H4">
            <v>4.9799999999999997E-2</v>
          </cell>
          <cell r="I4">
            <v>3.56E-2</v>
          </cell>
          <cell r="J4">
            <v>3.8100000000000002E-2</v>
          </cell>
          <cell r="K4">
            <v>4.2000000000000003E-2</v>
          </cell>
          <cell r="L4">
            <v>1.49E-2</v>
          </cell>
          <cell r="M4">
            <v>1.55E-2</v>
          </cell>
          <cell r="N4">
            <v>1.5599999999999999E-2</v>
          </cell>
          <cell r="O4">
            <v>1.2999999999999999E-3</v>
          </cell>
          <cell r="P4">
            <v>1.4500000000000001E-2</v>
          </cell>
          <cell r="Q4">
            <v>2.2437310879557099E-2</v>
          </cell>
          <cell r="R4">
            <v>2.4E-2</v>
          </cell>
          <cell r="S4">
            <v>2.4899999999999999E-2</v>
          </cell>
          <cell r="T4">
            <v>3.1399999999999997E-2</v>
          </cell>
          <cell r="U4">
            <v>1.83E-2</v>
          </cell>
          <cell r="V4">
            <v>4.7899999999999998E-2</v>
          </cell>
          <cell r="W4">
            <v>3.5200000000000002E-2</v>
          </cell>
          <cell r="X4">
            <v>2.4400000000000002E-2</v>
          </cell>
          <cell r="Y4">
            <v>3.2500000000000001E-2</v>
          </cell>
          <cell r="Z4">
            <v>0</v>
          </cell>
          <cell r="AA4">
            <v>0</v>
          </cell>
        </row>
        <row r="5">
          <cell r="A5">
            <v>210003</v>
          </cell>
          <cell r="B5" t="str">
            <v>PRINCE GEORGES HOSPITAL CENTER</v>
          </cell>
          <cell r="C5">
            <v>3</v>
          </cell>
          <cell r="D5">
            <v>1204437</v>
          </cell>
          <cell r="E5">
            <v>1580481</v>
          </cell>
          <cell r="F5">
            <v>5.33E-2</v>
          </cell>
          <cell r="G5">
            <v>4.7800000000000002E-2</v>
          </cell>
          <cell r="H5">
            <v>4.9799999999999997E-2</v>
          </cell>
          <cell r="I5">
            <v>3.56E-2</v>
          </cell>
          <cell r="J5">
            <v>3.8100000000000002E-2</v>
          </cell>
          <cell r="K5">
            <v>4.2000000000000003E-2</v>
          </cell>
          <cell r="L5">
            <v>1.49E-2</v>
          </cell>
          <cell r="M5">
            <v>1.24E-2</v>
          </cell>
          <cell r="N5">
            <v>1.5599999999999999E-2</v>
          </cell>
          <cell r="O5">
            <v>1.2999999999999999E-3</v>
          </cell>
          <cell r="P5">
            <v>1.4999999999999999E-2</v>
          </cell>
          <cell r="Q5">
            <v>2.1924746548515919E-2</v>
          </cell>
          <cell r="R5">
            <v>2.4E-2</v>
          </cell>
          <cell r="S5">
            <v>2.4899999999999999E-2</v>
          </cell>
          <cell r="T5">
            <v>3.1399999999999997E-2</v>
          </cell>
          <cell r="U5">
            <v>1.83E-2</v>
          </cell>
          <cell r="V5">
            <v>4.7899999999999998E-2</v>
          </cell>
          <cell r="W5">
            <v>3.5200000000000002E-2</v>
          </cell>
          <cell r="X5">
            <v>2.4400000000000002E-2</v>
          </cell>
          <cell r="Y5">
            <v>3.2500000000000001E-2</v>
          </cell>
          <cell r="Z5">
            <v>2142670.532732965</v>
          </cell>
          <cell r="AA5">
            <v>2811645.6620348995</v>
          </cell>
        </row>
        <row r="6">
          <cell r="A6">
            <v>210004</v>
          </cell>
          <cell r="B6" t="str">
            <v>HOLY CROSS HOSPITAL</v>
          </cell>
          <cell r="C6">
            <v>4</v>
          </cell>
          <cell r="D6">
            <v>0</v>
          </cell>
          <cell r="E6">
            <v>0</v>
          </cell>
          <cell r="F6">
            <v>5.33E-2</v>
          </cell>
          <cell r="G6">
            <v>4.7800000000000002E-2</v>
          </cell>
          <cell r="H6">
            <v>4.9799999999999997E-2</v>
          </cell>
          <cell r="I6">
            <v>3.56E-2</v>
          </cell>
          <cell r="J6">
            <v>3.8100000000000002E-2</v>
          </cell>
          <cell r="K6">
            <v>4.2000000000000003E-2</v>
          </cell>
          <cell r="L6">
            <v>1.49E-2</v>
          </cell>
          <cell r="M6">
            <v>1.55E-2</v>
          </cell>
          <cell r="N6">
            <v>1.5599999999999999E-2</v>
          </cell>
          <cell r="O6">
            <v>1.2999999999999999E-3</v>
          </cell>
          <cell r="P6">
            <v>1.4500000000000001E-2</v>
          </cell>
          <cell r="Q6">
            <v>2.1600000000000001E-2</v>
          </cell>
          <cell r="R6">
            <v>2.4E-2</v>
          </cell>
          <cell r="S6">
            <v>2.4899999999999999E-2</v>
          </cell>
          <cell r="T6">
            <v>3.1399999999999997E-2</v>
          </cell>
          <cell r="U6">
            <v>1.83E-2</v>
          </cell>
          <cell r="V6">
            <v>4.7899999999999998E-2</v>
          </cell>
          <cell r="W6">
            <v>3.5200000000000002E-2</v>
          </cell>
          <cell r="X6">
            <v>2.4400000000000002E-2</v>
          </cell>
          <cell r="Y6">
            <v>3.2500000000000001E-2</v>
          </cell>
          <cell r="Z6">
            <v>0</v>
          </cell>
          <cell r="AA6">
            <v>0</v>
          </cell>
        </row>
        <row r="7">
          <cell r="A7">
            <v>210005</v>
          </cell>
          <cell r="B7" t="str">
            <v>FREDERICK MEMORIAL HOSPITAL</v>
          </cell>
          <cell r="C7">
            <v>5</v>
          </cell>
          <cell r="D7">
            <v>0</v>
          </cell>
          <cell r="E7">
            <v>0</v>
          </cell>
          <cell r="F7">
            <v>5.33E-2</v>
          </cell>
          <cell r="G7">
            <v>4.7800000000000002E-2</v>
          </cell>
          <cell r="H7">
            <v>4.9799999999999997E-2</v>
          </cell>
          <cell r="I7">
            <v>3.56E-2</v>
          </cell>
          <cell r="J7">
            <v>3.8100000000000002E-2</v>
          </cell>
          <cell r="K7">
            <v>4.2000000000000003E-2</v>
          </cell>
          <cell r="L7">
            <v>1.49E-2</v>
          </cell>
          <cell r="M7">
            <v>1.55E-2</v>
          </cell>
          <cell r="N7">
            <v>1.5599999999999999E-2</v>
          </cell>
          <cell r="O7">
            <v>1.2999999999999999E-3</v>
          </cell>
          <cell r="P7">
            <v>1.4500000000000001E-2</v>
          </cell>
          <cell r="Q7">
            <v>2.296424739522418E-2</v>
          </cell>
          <cell r="R7">
            <v>2.4E-2</v>
          </cell>
          <cell r="S7">
            <v>2.4899999999999999E-2</v>
          </cell>
          <cell r="T7">
            <v>3.1399999999999997E-2</v>
          </cell>
          <cell r="U7">
            <v>1.83E-2</v>
          </cell>
          <cell r="V7">
            <v>4.7899999999999998E-2</v>
          </cell>
          <cell r="W7">
            <v>3.5200000000000002E-2</v>
          </cell>
          <cell r="X7">
            <v>2.4400000000000002E-2</v>
          </cell>
          <cell r="Y7">
            <v>3.2500000000000001E-2</v>
          </cell>
          <cell r="Z7">
            <v>0</v>
          </cell>
          <cell r="AA7">
            <v>0</v>
          </cell>
        </row>
        <row r="8">
          <cell r="A8">
            <v>210006</v>
          </cell>
          <cell r="B8" t="str">
            <v>UM-HARFORD MEMORIAL HOSPITAL</v>
          </cell>
          <cell r="C8">
            <v>6</v>
          </cell>
          <cell r="D8">
            <v>0</v>
          </cell>
          <cell r="E8">
            <v>0</v>
          </cell>
          <cell r="F8">
            <v>5.33E-2</v>
          </cell>
          <cell r="G8">
            <v>4.7800000000000002E-2</v>
          </cell>
          <cell r="H8">
            <v>4.9799999999999997E-2</v>
          </cell>
          <cell r="I8">
            <v>3.56E-2</v>
          </cell>
          <cell r="J8">
            <v>3.8100000000000002E-2</v>
          </cell>
          <cell r="K8">
            <v>4.2000000000000003E-2</v>
          </cell>
          <cell r="L8">
            <v>1.49E-2</v>
          </cell>
          <cell r="M8">
            <v>1.55E-2</v>
          </cell>
          <cell r="N8">
            <v>1.5599999999999999E-2</v>
          </cell>
          <cell r="O8">
            <v>1.2999999999999999E-3</v>
          </cell>
          <cell r="P8">
            <v>1.4500000000000001E-2</v>
          </cell>
          <cell r="Q8">
            <v>2.2352217051566578E-2</v>
          </cell>
          <cell r="R8">
            <v>2.4E-2</v>
          </cell>
          <cell r="S8">
            <v>2.4899999999999999E-2</v>
          </cell>
          <cell r="T8">
            <v>3.1399999999999997E-2</v>
          </cell>
          <cell r="U8">
            <v>1.83E-2</v>
          </cell>
          <cell r="V8">
            <v>4.7899999999999998E-2</v>
          </cell>
          <cell r="W8">
            <v>3.5200000000000002E-2</v>
          </cell>
          <cell r="X8">
            <v>2.4400000000000002E-2</v>
          </cell>
          <cell r="Y8">
            <v>3.2500000000000001E-2</v>
          </cell>
          <cell r="Z8">
            <v>0</v>
          </cell>
          <cell r="AA8">
            <v>0</v>
          </cell>
        </row>
        <row r="9">
          <cell r="A9">
            <v>210007</v>
          </cell>
          <cell r="B9" t="str">
            <v>OLD ST. JOSEPH MEDICAL CENTER</v>
          </cell>
          <cell r="C9">
            <v>7</v>
          </cell>
          <cell r="D9">
            <v>0</v>
          </cell>
          <cell r="E9">
            <v>0</v>
          </cell>
          <cell r="F9">
            <v>5.33E-2</v>
          </cell>
          <cell r="G9">
            <v>4.7800000000000002E-2</v>
          </cell>
          <cell r="H9">
            <v>4.9799999999999997E-2</v>
          </cell>
          <cell r="I9">
            <v>3.56E-2</v>
          </cell>
          <cell r="J9">
            <v>3.8100000000000002E-2</v>
          </cell>
          <cell r="K9">
            <v>4.2000000000000003E-2</v>
          </cell>
          <cell r="L9">
            <v>1.49E-2</v>
          </cell>
          <cell r="M9">
            <v>1.55E-2</v>
          </cell>
          <cell r="N9">
            <v>1.5599999999999999E-2</v>
          </cell>
          <cell r="O9">
            <v>1.2999999999999999E-3</v>
          </cell>
          <cell r="P9">
            <v>1.4500000000000001E-2</v>
          </cell>
          <cell r="Q9">
            <v>2.2054987745022278E-2</v>
          </cell>
          <cell r="R9">
            <v>2.4E-2</v>
          </cell>
          <cell r="S9">
            <v>2.4899999999999999E-2</v>
          </cell>
          <cell r="T9">
            <v>3.1399999999999997E-2</v>
          </cell>
          <cell r="U9">
            <v>1.83E-2</v>
          </cell>
          <cell r="V9">
            <v>4.7899999999999998E-2</v>
          </cell>
          <cell r="W9">
            <v>3.5200000000000002E-2</v>
          </cell>
          <cell r="X9">
            <v>2.4400000000000002E-2</v>
          </cell>
          <cell r="Y9">
            <v>3.2500000000000001E-2</v>
          </cell>
          <cell r="Z9">
            <v>0</v>
          </cell>
          <cell r="AA9">
            <v>0</v>
          </cell>
        </row>
        <row r="10">
          <cell r="A10">
            <v>210008</v>
          </cell>
          <cell r="B10" t="str">
            <v>MERCY MEDICAL CENTER</v>
          </cell>
          <cell r="C10">
            <v>8</v>
          </cell>
          <cell r="D10">
            <v>0</v>
          </cell>
          <cell r="E10">
            <v>0</v>
          </cell>
          <cell r="F10">
            <v>5.33E-2</v>
          </cell>
          <cell r="G10">
            <v>4.7800000000000002E-2</v>
          </cell>
          <cell r="H10">
            <v>4.9799999999999997E-2</v>
          </cell>
          <cell r="I10">
            <v>3.56E-2</v>
          </cell>
          <cell r="J10">
            <v>3.8100000000000002E-2</v>
          </cell>
          <cell r="K10">
            <v>4.2000000000000003E-2</v>
          </cell>
          <cell r="L10">
            <v>1.49E-2</v>
          </cell>
          <cell r="M10">
            <v>1.55E-2</v>
          </cell>
          <cell r="N10">
            <v>1.5599999999999999E-2</v>
          </cell>
          <cell r="O10">
            <v>1.2999999999999999E-3</v>
          </cell>
          <cell r="P10">
            <v>1.4500000000000001E-2</v>
          </cell>
          <cell r="Q10">
            <v>2.1725171648606764E-2</v>
          </cell>
          <cell r="R10">
            <v>2.4E-2</v>
          </cell>
          <cell r="S10">
            <v>2.4899999999999999E-2</v>
          </cell>
          <cell r="T10">
            <v>3.1399999999999997E-2</v>
          </cell>
          <cell r="U10">
            <v>1.83E-2</v>
          </cell>
          <cell r="V10">
            <v>4.7899999999999998E-2</v>
          </cell>
          <cell r="W10">
            <v>3.5200000000000002E-2</v>
          </cell>
          <cell r="X10">
            <v>2.4400000000000002E-2</v>
          </cell>
          <cell r="Y10">
            <v>3.2500000000000001E-2</v>
          </cell>
          <cell r="Z10">
            <v>0</v>
          </cell>
          <cell r="AA10">
            <v>0</v>
          </cell>
        </row>
        <row r="11">
          <cell r="A11">
            <v>210009</v>
          </cell>
          <cell r="B11" t="str">
            <v>JOHNS HOPKINS HOSPITAL</v>
          </cell>
          <cell r="C11">
            <v>9</v>
          </cell>
          <cell r="D11">
            <v>735477</v>
          </cell>
          <cell r="E11">
            <v>3083330</v>
          </cell>
          <cell r="F11">
            <v>5.33E-2</v>
          </cell>
          <cell r="G11">
            <v>4.7800000000000002E-2</v>
          </cell>
          <cell r="H11">
            <v>4.9799999999999997E-2</v>
          </cell>
          <cell r="I11">
            <v>3.56E-2</v>
          </cell>
          <cell r="J11">
            <v>3.8100000000000002E-2</v>
          </cell>
          <cell r="K11">
            <v>4.2000000000000003E-2</v>
          </cell>
          <cell r="L11">
            <v>1.49E-2</v>
          </cell>
          <cell r="M11">
            <v>9.5999999999999992E-3</v>
          </cell>
          <cell r="N11">
            <v>1.32E-2</v>
          </cell>
          <cell r="O11">
            <v>1.2999999999999999E-3</v>
          </cell>
          <cell r="P11">
            <v>1.44E-2</v>
          </cell>
          <cell r="Q11">
            <v>1.9543160635062371E-2</v>
          </cell>
          <cell r="R11">
            <v>2.4E-2</v>
          </cell>
          <cell r="S11">
            <v>2.4899999999999999E-2</v>
          </cell>
          <cell r="T11">
            <v>3.1399999999999997E-2</v>
          </cell>
          <cell r="U11">
            <v>1.83E-2</v>
          </cell>
          <cell r="V11">
            <v>4.7899999999999998E-2</v>
          </cell>
          <cell r="W11">
            <v>3.5200000000000002E-2</v>
          </cell>
          <cell r="X11">
            <v>2.4400000000000002E-2</v>
          </cell>
          <cell r="Y11">
            <v>3.2500000000000001E-2</v>
          </cell>
          <cell r="Z11">
            <v>1297896.3069622093</v>
          </cell>
          <cell r="AA11">
            <v>5441152.6399136754</v>
          </cell>
        </row>
        <row r="12">
          <cell r="A12">
            <v>210010</v>
          </cell>
          <cell r="B12" t="str">
            <v>UM-SHORE REGIONAL HEALTH AT DORCHESTER</v>
          </cell>
          <cell r="C12">
            <v>10</v>
          </cell>
          <cell r="D12">
            <v>0</v>
          </cell>
          <cell r="E12">
            <v>0</v>
          </cell>
          <cell r="F12">
            <v>5.33E-2</v>
          </cell>
          <cell r="G12">
            <v>4.7800000000000002E-2</v>
          </cell>
          <cell r="H12">
            <v>4.9799999999999997E-2</v>
          </cell>
          <cell r="I12">
            <v>3.56E-2</v>
          </cell>
          <cell r="J12">
            <v>3.8100000000000002E-2</v>
          </cell>
          <cell r="K12">
            <v>4.2000000000000003E-2</v>
          </cell>
          <cell r="L12">
            <v>1.49E-2</v>
          </cell>
          <cell r="M12">
            <v>1.55E-2</v>
          </cell>
          <cell r="N12">
            <v>1.5599999999999999E-2</v>
          </cell>
          <cell r="O12">
            <v>1.2999999999999999E-3</v>
          </cell>
          <cell r="P12">
            <v>1.4500000000000001E-2</v>
          </cell>
          <cell r="Q12">
            <v>2.2719463588864758E-2</v>
          </cell>
          <cell r="R12">
            <v>2.4E-2</v>
          </cell>
          <cell r="S12">
            <v>2.4899999999999999E-2</v>
          </cell>
          <cell r="T12">
            <v>3.1399999999999997E-2</v>
          </cell>
          <cell r="U12">
            <v>1.83E-2</v>
          </cell>
          <cell r="V12">
            <v>4.7899999999999998E-2</v>
          </cell>
          <cell r="W12">
            <v>3.5200000000000002E-2</v>
          </cell>
          <cell r="X12">
            <v>2.4400000000000002E-2</v>
          </cell>
          <cell r="Y12">
            <v>3.2500000000000001E-2</v>
          </cell>
          <cell r="Z12">
            <v>0</v>
          </cell>
          <cell r="AA12">
            <v>0</v>
          </cell>
        </row>
        <row r="13">
          <cell r="A13">
            <v>210011</v>
          </cell>
          <cell r="B13" t="str">
            <v>ST. AGNES HOSPITAL</v>
          </cell>
          <cell r="C13">
            <v>11</v>
          </cell>
          <cell r="D13">
            <v>0</v>
          </cell>
          <cell r="E13">
            <v>0</v>
          </cell>
          <cell r="F13">
            <v>5.33E-2</v>
          </cell>
          <cell r="G13">
            <v>4.7800000000000002E-2</v>
          </cell>
          <cell r="H13">
            <v>4.9799999999999997E-2</v>
          </cell>
          <cell r="I13">
            <v>3.56E-2</v>
          </cell>
          <cell r="J13">
            <v>3.8100000000000002E-2</v>
          </cell>
          <cell r="K13">
            <v>4.2000000000000003E-2</v>
          </cell>
          <cell r="L13">
            <v>1.49E-2</v>
          </cell>
          <cell r="M13">
            <v>1.55E-2</v>
          </cell>
          <cell r="N13">
            <v>1.5599999999999999E-2</v>
          </cell>
          <cell r="O13">
            <v>1.2999999999999999E-3</v>
          </cell>
          <cell r="P13">
            <v>1.4500000000000001E-2</v>
          </cell>
          <cell r="Q13">
            <v>2.1863226650174598E-2</v>
          </cell>
          <cell r="R13">
            <v>2.4E-2</v>
          </cell>
          <cell r="S13">
            <v>2.4899999999999999E-2</v>
          </cell>
          <cell r="T13">
            <v>3.1399999999999997E-2</v>
          </cell>
          <cell r="U13">
            <v>1.83E-2</v>
          </cell>
          <cell r="V13">
            <v>4.7899999999999998E-2</v>
          </cell>
          <cell r="W13">
            <v>3.5200000000000002E-2</v>
          </cell>
          <cell r="X13">
            <v>2.4400000000000002E-2</v>
          </cell>
          <cell r="Y13">
            <v>3.2500000000000001E-2</v>
          </cell>
          <cell r="Z13">
            <v>0</v>
          </cell>
          <cell r="AA13">
            <v>0</v>
          </cell>
        </row>
        <row r="14">
          <cell r="A14">
            <v>210012</v>
          </cell>
          <cell r="B14" t="str">
            <v>SINAI HOSPITAL</v>
          </cell>
          <cell r="C14">
            <v>12</v>
          </cell>
          <cell r="D14">
            <v>858826</v>
          </cell>
          <cell r="E14">
            <v>1490570</v>
          </cell>
          <cell r="F14">
            <v>5.33E-2</v>
          </cell>
          <cell r="G14">
            <v>4.7800000000000002E-2</v>
          </cell>
          <cell r="H14">
            <v>4.9799999999999997E-2</v>
          </cell>
          <cell r="I14">
            <v>3.56E-2</v>
          </cell>
          <cell r="J14">
            <v>3.8100000000000002E-2</v>
          </cell>
          <cell r="K14">
            <v>4.2000000000000003E-2</v>
          </cell>
          <cell r="L14">
            <v>1.49E-2</v>
          </cell>
          <cell r="M14">
            <v>1.0800000000000001E-2</v>
          </cell>
          <cell r="N14">
            <v>1.5599999999999999E-2</v>
          </cell>
          <cell r="O14">
            <v>1.2999999999999999E-3</v>
          </cell>
          <cell r="P14">
            <v>1.4500000000000001E-2</v>
          </cell>
          <cell r="Q14">
            <v>2.1899999999999999E-2</v>
          </cell>
          <cell r="R14">
            <v>2.4E-2</v>
          </cell>
          <cell r="S14">
            <v>2.4899999999999999E-2</v>
          </cell>
          <cell r="T14">
            <v>3.1399999999999997E-2</v>
          </cell>
          <cell r="U14">
            <v>1.83E-2</v>
          </cell>
          <cell r="V14">
            <v>4.7899999999999998E-2</v>
          </cell>
          <cell r="W14">
            <v>3.5200000000000002E-2</v>
          </cell>
          <cell r="X14">
            <v>2.4400000000000002E-2</v>
          </cell>
          <cell r="Y14">
            <v>3.2500000000000001E-2</v>
          </cell>
          <cell r="Z14">
            <v>1524632.17731659</v>
          </cell>
          <cell r="AA14">
            <v>2646136.6848963457</v>
          </cell>
        </row>
        <row r="15">
          <cell r="A15">
            <v>210013</v>
          </cell>
          <cell r="B15" t="str">
            <v>BON SECOURS HOSPITAL</v>
          </cell>
          <cell r="C15">
            <v>13</v>
          </cell>
          <cell r="D15">
            <v>0</v>
          </cell>
          <cell r="E15">
            <v>0</v>
          </cell>
          <cell r="F15">
            <v>5.33E-2</v>
          </cell>
          <cell r="G15">
            <v>4.7800000000000002E-2</v>
          </cell>
          <cell r="H15">
            <v>4.9799999999999997E-2</v>
          </cell>
          <cell r="I15">
            <v>3.56E-2</v>
          </cell>
          <cell r="J15">
            <v>3.8100000000000002E-2</v>
          </cell>
          <cell r="K15">
            <v>4.2000000000000003E-2</v>
          </cell>
          <cell r="L15">
            <v>1.49E-2</v>
          </cell>
          <cell r="M15">
            <v>1.55E-2</v>
          </cell>
          <cell r="N15">
            <v>1.5599999999999999E-2</v>
          </cell>
          <cell r="O15">
            <v>1.2999999999999999E-3</v>
          </cell>
          <cell r="P15">
            <v>1.4500000000000001E-2</v>
          </cell>
          <cell r="Q15">
            <v>-2E-3</v>
          </cell>
          <cell r="R15">
            <v>2.4E-2</v>
          </cell>
          <cell r="S15">
            <v>2.4899999999999999E-2</v>
          </cell>
          <cell r="T15">
            <v>3.1399999999999997E-2</v>
          </cell>
          <cell r="U15">
            <v>1.83E-2</v>
          </cell>
          <cell r="V15">
            <v>4.7899999999999998E-2</v>
          </cell>
          <cell r="W15">
            <v>3.5200000000000002E-2</v>
          </cell>
          <cell r="X15">
            <v>2.4400000000000002E-2</v>
          </cell>
          <cell r="Y15">
            <v>3.2500000000000001E-2</v>
          </cell>
          <cell r="Z15">
            <v>0</v>
          </cell>
          <cell r="AA15">
            <v>0</v>
          </cell>
        </row>
        <row r="16">
          <cell r="A16">
            <v>210015</v>
          </cell>
          <cell r="B16" t="str">
            <v>MEDSTAR FRANKLIN SQUARE</v>
          </cell>
          <cell r="C16">
            <v>15</v>
          </cell>
          <cell r="D16">
            <v>0</v>
          </cell>
          <cell r="E16">
            <v>0</v>
          </cell>
          <cell r="F16">
            <v>5.33E-2</v>
          </cell>
          <cell r="G16">
            <v>4.7800000000000002E-2</v>
          </cell>
          <cell r="H16">
            <v>4.9799999999999997E-2</v>
          </cell>
          <cell r="I16">
            <v>3.56E-2</v>
          </cell>
          <cell r="J16">
            <v>3.8100000000000002E-2</v>
          </cell>
          <cell r="K16">
            <v>4.2000000000000003E-2</v>
          </cell>
          <cell r="L16">
            <v>1.49E-2</v>
          </cell>
          <cell r="M16">
            <v>1.55E-2</v>
          </cell>
          <cell r="N16">
            <v>1.5599999999999999E-2</v>
          </cell>
          <cell r="O16">
            <v>1.2999999999999999E-3</v>
          </cell>
          <cell r="P16">
            <v>1.4500000000000001E-2</v>
          </cell>
          <cell r="Q16">
            <v>2.23E-2</v>
          </cell>
          <cell r="R16">
            <v>2.4E-2</v>
          </cell>
          <cell r="S16">
            <v>2.4899999999999999E-2</v>
          </cell>
          <cell r="T16">
            <v>3.1399999999999997E-2</v>
          </cell>
          <cell r="U16">
            <v>1.83E-2</v>
          </cell>
          <cell r="V16">
            <v>4.7899999999999998E-2</v>
          </cell>
          <cell r="W16">
            <v>3.5200000000000002E-2</v>
          </cell>
          <cell r="X16">
            <v>2.4400000000000002E-2</v>
          </cell>
          <cell r="Y16">
            <v>3.2500000000000001E-2</v>
          </cell>
          <cell r="Z16">
            <v>0</v>
          </cell>
          <cell r="AA16">
            <v>0</v>
          </cell>
        </row>
        <row r="17">
          <cell r="A17">
            <v>210016</v>
          </cell>
          <cell r="B17" t="str">
            <v>WASHINGTON ADVENTIST HOSPITAL</v>
          </cell>
          <cell r="C17">
            <v>16</v>
          </cell>
          <cell r="D17">
            <v>0</v>
          </cell>
          <cell r="E17">
            <v>0</v>
          </cell>
          <cell r="F17">
            <v>5.33E-2</v>
          </cell>
          <cell r="G17">
            <v>4.7800000000000002E-2</v>
          </cell>
          <cell r="H17">
            <v>4.9799999999999997E-2</v>
          </cell>
          <cell r="I17">
            <v>3.56E-2</v>
          </cell>
          <cell r="J17">
            <v>3.8100000000000002E-2</v>
          </cell>
          <cell r="K17">
            <v>4.2000000000000003E-2</v>
          </cell>
          <cell r="L17">
            <v>1.49E-2</v>
          </cell>
          <cell r="M17">
            <v>1.55E-2</v>
          </cell>
          <cell r="N17">
            <v>1.5599999999999999E-2</v>
          </cell>
          <cell r="O17">
            <v>1.2999999999999999E-3</v>
          </cell>
          <cell r="P17">
            <v>1.4500000000000001E-2</v>
          </cell>
          <cell r="Q17">
            <v>2.1700000000000001E-2</v>
          </cell>
          <cell r="R17">
            <v>2.4E-2</v>
          </cell>
          <cell r="S17">
            <v>2.4899999999999999E-2</v>
          </cell>
          <cell r="T17">
            <v>3.1399999999999997E-2</v>
          </cell>
          <cell r="U17">
            <v>1.83E-2</v>
          </cell>
          <cell r="V17">
            <v>4.7899999999999998E-2</v>
          </cell>
          <cell r="W17">
            <v>3.5200000000000002E-2</v>
          </cell>
          <cell r="X17">
            <v>2.4400000000000002E-2</v>
          </cell>
          <cell r="Y17">
            <v>3.2500000000000001E-2</v>
          </cell>
          <cell r="Z17">
            <v>0</v>
          </cell>
          <cell r="AA17">
            <v>0</v>
          </cell>
        </row>
        <row r="18">
          <cell r="A18">
            <v>210017</v>
          </cell>
          <cell r="B18" t="str">
            <v>GARRETT COUNTY MEMORIAL HOSPITAL</v>
          </cell>
          <cell r="C18">
            <v>17</v>
          </cell>
          <cell r="D18">
            <v>0</v>
          </cell>
          <cell r="E18">
            <v>0</v>
          </cell>
          <cell r="F18">
            <v>5.33E-2</v>
          </cell>
          <cell r="G18">
            <v>4.7800000000000002E-2</v>
          </cell>
          <cell r="H18">
            <v>4.9799999999999997E-2</v>
          </cell>
          <cell r="I18">
            <v>3.56E-2</v>
          </cell>
          <cell r="J18">
            <v>3.8100000000000002E-2</v>
          </cell>
          <cell r="K18">
            <v>4.2000000000000003E-2</v>
          </cell>
          <cell r="L18">
            <v>1.49E-2</v>
          </cell>
          <cell r="M18">
            <v>1.55E-2</v>
          </cell>
          <cell r="N18">
            <v>1.5599999999999999E-2</v>
          </cell>
          <cell r="O18">
            <v>1.2999999999999999E-3</v>
          </cell>
          <cell r="P18">
            <v>1.4500000000000001E-2</v>
          </cell>
          <cell r="Q18">
            <v>2.3345853381129454E-2</v>
          </cell>
          <cell r="R18">
            <v>2.4E-2</v>
          </cell>
          <cell r="S18">
            <v>2.4899999999999999E-2</v>
          </cell>
          <cell r="T18">
            <v>3.1399999999999997E-2</v>
          </cell>
          <cell r="U18">
            <v>1.83E-2</v>
          </cell>
          <cell r="V18">
            <v>4.7899999999999998E-2</v>
          </cell>
          <cell r="W18">
            <v>3.5200000000000002E-2</v>
          </cell>
          <cell r="X18">
            <v>2.4400000000000002E-2</v>
          </cell>
          <cell r="Y18">
            <v>3.2500000000000001E-2</v>
          </cell>
          <cell r="Z18">
            <v>0</v>
          </cell>
          <cell r="AA18">
            <v>0</v>
          </cell>
        </row>
        <row r="19">
          <cell r="A19">
            <v>210018</v>
          </cell>
          <cell r="B19" t="str">
            <v>MEDSTAR MONTGOMERY MEDICAL CENTER</v>
          </cell>
          <cell r="C19">
            <v>18</v>
          </cell>
          <cell r="D19">
            <v>0</v>
          </cell>
          <cell r="E19">
            <v>0</v>
          </cell>
          <cell r="F19">
            <v>5.33E-2</v>
          </cell>
          <cell r="G19">
            <v>4.7800000000000002E-2</v>
          </cell>
          <cell r="H19">
            <v>4.9799999999999997E-2</v>
          </cell>
          <cell r="I19">
            <v>3.56E-2</v>
          </cell>
          <cell r="J19">
            <v>3.8100000000000002E-2</v>
          </cell>
          <cell r="K19">
            <v>4.2000000000000003E-2</v>
          </cell>
          <cell r="L19">
            <v>1.49E-2</v>
          </cell>
          <cell r="M19">
            <v>1.55E-2</v>
          </cell>
          <cell r="N19">
            <v>1.5599999999999999E-2</v>
          </cell>
          <cell r="O19">
            <v>1.2999999999999999E-3</v>
          </cell>
          <cell r="P19">
            <v>1.4500000000000001E-2</v>
          </cell>
          <cell r="Q19">
            <v>2.2489032698757204E-2</v>
          </cell>
          <cell r="R19">
            <v>2.4E-2</v>
          </cell>
          <cell r="S19">
            <v>2.4899999999999999E-2</v>
          </cell>
          <cell r="T19">
            <v>3.1399999999999997E-2</v>
          </cell>
          <cell r="U19">
            <v>1.83E-2</v>
          </cell>
          <cell r="V19">
            <v>4.7899999999999998E-2</v>
          </cell>
          <cell r="W19">
            <v>3.5200000000000002E-2</v>
          </cell>
          <cell r="X19">
            <v>2.4400000000000002E-2</v>
          </cell>
          <cell r="Y19">
            <v>3.2500000000000001E-2</v>
          </cell>
          <cell r="Z19">
            <v>0</v>
          </cell>
          <cell r="AA19">
            <v>0</v>
          </cell>
        </row>
        <row r="20">
          <cell r="A20">
            <v>210019</v>
          </cell>
          <cell r="B20" t="str">
            <v>PENINSULA REGIONAL MEDICAL CENTER</v>
          </cell>
          <cell r="C20">
            <v>19</v>
          </cell>
          <cell r="D20">
            <v>0</v>
          </cell>
          <cell r="E20">
            <v>1162851</v>
          </cell>
          <cell r="F20">
            <v>5.33E-2</v>
          </cell>
          <cell r="G20">
            <v>4.7800000000000002E-2</v>
          </cell>
          <cell r="H20">
            <v>4.9799999999999997E-2</v>
          </cell>
          <cell r="I20">
            <v>3.56E-2</v>
          </cell>
          <cell r="J20">
            <v>3.8100000000000002E-2</v>
          </cell>
          <cell r="K20">
            <v>4.2000000000000003E-2</v>
          </cell>
          <cell r="L20">
            <v>1.49E-2</v>
          </cell>
          <cell r="M20">
            <v>1.55E-2</v>
          </cell>
          <cell r="N20">
            <v>1.5599999999999999E-2</v>
          </cell>
          <cell r="O20">
            <v>1.2999999999999999E-3</v>
          </cell>
          <cell r="P20">
            <v>1.4500000000000001E-2</v>
          </cell>
          <cell r="Q20">
            <v>2.2829233726876112E-2</v>
          </cell>
          <cell r="R20">
            <v>2.4E-2</v>
          </cell>
          <cell r="S20">
            <v>2.4899999999999999E-2</v>
          </cell>
          <cell r="T20">
            <v>3.1399999999999997E-2</v>
          </cell>
          <cell r="U20">
            <v>1.83E-2</v>
          </cell>
          <cell r="V20">
            <v>4.7899999999999998E-2</v>
          </cell>
          <cell r="W20">
            <v>3.5200000000000002E-2</v>
          </cell>
          <cell r="X20">
            <v>2.4400000000000002E-2</v>
          </cell>
          <cell r="Y20">
            <v>3.2500000000000001E-2</v>
          </cell>
          <cell r="Z20">
            <v>0</v>
          </cell>
          <cell r="AA20">
            <v>2075837.7034969607</v>
          </cell>
        </row>
        <row r="21">
          <cell r="A21">
            <v>210022</v>
          </cell>
          <cell r="B21" t="str">
            <v>SUBURBAN HOSPITAL</v>
          </cell>
          <cell r="C21">
            <v>22</v>
          </cell>
          <cell r="D21">
            <v>484926</v>
          </cell>
          <cell r="E21">
            <v>1747419</v>
          </cell>
          <cell r="F21">
            <v>5.33E-2</v>
          </cell>
          <cell r="G21">
            <v>4.7800000000000002E-2</v>
          </cell>
          <cell r="H21">
            <v>4.9799999999999997E-2</v>
          </cell>
          <cell r="I21">
            <v>3.56E-2</v>
          </cell>
          <cell r="J21">
            <v>3.8100000000000002E-2</v>
          </cell>
          <cell r="K21">
            <v>4.2000000000000003E-2</v>
          </cell>
          <cell r="L21">
            <v>1.49E-2</v>
          </cell>
          <cell r="M21">
            <v>1.04E-2</v>
          </cell>
          <cell r="N21">
            <v>1.7000000000000001E-2</v>
          </cell>
          <cell r="O21">
            <v>1.2999999999999999E-3</v>
          </cell>
          <cell r="P21">
            <v>1.4800000000000001E-2</v>
          </cell>
          <cell r="Q21">
            <v>2.1299999999999999E-2</v>
          </cell>
          <cell r="R21">
            <v>2.4E-2</v>
          </cell>
          <cell r="S21">
            <v>2.4899999999999999E-2</v>
          </cell>
          <cell r="T21">
            <v>3.1399999999999997E-2</v>
          </cell>
          <cell r="U21">
            <v>1.83E-2</v>
          </cell>
          <cell r="V21">
            <v>4.7899999999999998E-2</v>
          </cell>
          <cell r="W21">
            <v>3.5200000000000002E-2</v>
          </cell>
          <cell r="X21">
            <v>2.4400000000000002E-2</v>
          </cell>
          <cell r="Y21">
            <v>3.2500000000000001E-2</v>
          </cell>
          <cell r="Z21">
            <v>861459.91238523833</v>
          </cell>
          <cell r="AA21">
            <v>3104249.7590153981</v>
          </cell>
        </row>
        <row r="22">
          <cell r="A22">
            <v>210023</v>
          </cell>
          <cell r="B22" t="str">
            <v>ANNE ARUNDEL MEDICAL CENTER</v>
          </cell>
          <cell r="C22">
            <v>23</v>
          </cell>
          <cell r="D22">
            <v>0</v>
          </cell>
          <cell r="E22">
            <v>0</v>
          </cell>
          <cell r="F22">
            <v>5.33E-2</v>
          </cell>
          <cell r="G22">
            <v>4.7800000000000002E-2</v>
          </cell>
          <cell r="H22">
            <v>4.9799999999999997E-2</v>
          </cell>
          <cell r="I22">
            <v>3.56E-2</v>
          </cell>
          <cell r="J22">
            <v>3.8100000000000002E-2</v>
          </cell>
          <cell r="K22">
            <v>4.2000000000000003E-2</v>
          </cell>
          <cell r="L22">
            <v>1.49E-2</v>
          </cell>
          <cell r="M22">
            <v>1.55E-2</v>
          </cell>
          <cell r="N22">
            <v>1.5599999999999999E-2</v>
          </cell>
          <cell r="O22">
            <v>1.2999999999999999E-3</v>
          </cell>
          <cell r="P22">
            <v>1.4500000000000001E-2</v>
          </cell>
          <cell r="Q22">
            <v>2.2700000000000001E-2</v>
          </cell>
          <cell r="R22">
            <v>2.4E-2</v>
          </cell>
          <cell r="S22">
            <v>2.4899999999999999E-2</v>
          </cell>
          <cell r="T22">
            <v>3.1399999999999997E-2</v>
          </cell>
          <cell r="U22">
            <v>1.83E-2</v>
          </cell>
          <cell r="V22">
            <v>4.7899999999999998E-2</v>
          </cell>
          <cell r="W22">
            <v>3.5200000000000002E-2</v>
          </cell>
          <cell r="X22">
            <v>2.4400000000000002E-2</v>
          </cell>
          <cell r="Y22">
            <v>3.2500000000000001E-2</v>
          </cell>
          <cell r="Z22">
            <v>0</v>
          </cell>
          <cell r="AA22">
            <v>0</v>
          </cell>
        </row>
        <row r="23">
          <cell r="A23">
            <v>210024</v>
          </cell>
          <cell r="B23" t="str">
            <v>MEDSTAR UNION MEMORIAL HOSPITAL</v>
          </cell>
          <cell r="C23">
            <v>24</v>
          </cell>
          <cell r="D23">
            <v>0</v>
          </cell>
          <cell r="E23">
            <v>0</v>
          </cell>
          <cell r="F23">
            <v>5.33E-2</v>
          </cell>
          <cell r="G23">
            <v>4.7800000000000002E-2</v>
          </cell>
          <cell r="H23">
            <v>4.9799999999999997E-2</v>
          </cell>
          <cell r="I23">
            <v>3.56E-2</v>
          </cell>
          <cell r="J23">
            <v>3.8100000000000002E-2</v>
          </cell>
          <cell r="K23">
            <v>4.2000000000000003E-2</v>
          </cell>
          <cell r="L23">
            <v>1.49E-2</v>
          </cell>
          <cell r="M23">
            <v>1.55E-2</v>
          </cell>
          <cell r="N23">
            <v>1.5599999999999999E-2</v>
          </cell>
          <cell r="O23">
            <v>1.2999999999999999E-3</v>
          </cell>
          <cell r="P23">
            <v>1.4500000000000001E-2</v>
          </cell>
          <cell r="Q23">
            <v>2.1400000000000002E-2</v>
          </cell>
          <cell r="R23">
            <v>2.4E-2</v>
          </cell>
          <cell r="S23">
            <v>2.4899999999999999E-2</v>
          </cell>
          <cell r="T23">
            <v>3.1399999999999997E-2</v>
          </cell>
          <cell r="U23">
            <v>1.83E-2</v>
          </cell>
          <cell r="V23">
            <v>4.7899999999999998E-2</v>
          </cell>
          <cell r="W23">
            <v>3.5200000000000002E-2</v>
          </cell>
          <cell r="X23">
            <v>2.4400000000000002E-2</v>
          </cell>
          <cell r="Y23">
            <v>3.2500000000000001E-2</v>
          </cell>
          <cell r="Z23">
            <v>0</v>
          </cell>
          <cell r="AA23">
            <v>0</v>
          </cell>
        </row>
        <row r="24">
          <cell r="A24">
            <v>210027</v>
          </cell>
          <cell r="B24" t="str">
            <v>WESTERN MARYLAND REGIONAL MEDICAL CENTER</v>
          </cell>
          <cell r="C24">
            <v>27</v>
          </cell>
          <cell r="D24">
            <v>262232</v>
          </cell>
          <cell r="E24">
            <v>799206</v>
          </cell>
          <cell r="F24">
            <v>5.33E-2</v>
          </cell>
          <cell r="G24">
            <v>4.7800000000000002E-2</v>
          </cell>
          <cell r="H24">
            <v>4.9799999999999997E-2</v>
          </cell>
          <cell r="I24">
            <v>3.56E-2</v>
          </cell>
          <cell r="J24">
            <v>3.8100000000000002E-2</v>
          </cell>
          <cell r="K24">
            <v>4.2000000000000003E-2</v>
          </cell>
          <cell r="L24">
            <v>1.49E-2</v>
          </cell>
          <cell r="M24">
            <v>1.18E-2</v>
          </cell>
          <cell r="N24">
            <v>1.5599999999999999E-2</v>
          </cell>
          <cell r="O24">
            <v>1.2999999999999999E-3</v>
          </cell>
          <cell r="P24">
            <v>1.41E-2</v>
          </cell>
          <cell r="Q24">
            <v>2.3091828043435694E-2</v>
          </cell>
          <cell r="R24">
            <v>2.4E-2</v>
          </cell>
          <cell r="S24">
            <v>2.4899999999999999E-2</v>
          </cell>
          <cell r="T24">
            <v>3.1399999999999997E-2</v>
          </cell>
          <cell r="U24">
            <v>1.83E-2</v>
          </cell>
          <cell r="V24">
            <v>4.7899999999999998E-2</v>
          </cell>
          <cell r="W24">
            <v>3.5200000000000002E-2</v>
          </cell>
          <cell r="X24">
            <v>2.4400000000000002E-2</v>
          </cell>
          <cell r="Y24">
            <v>3.2500000000000001E-2</v>
          </cell>
          <cell r="Z24">
            <v>466347.84539045324</v>
          </cell>
          <cell r="AA24">
            <v>1421291.0557183044</v>
          </cell>
        </row>
        <row r="25">
          <cell r="A25">
            <v>210028</v>
          </cell>
          <cell r="B25" t="str">
            <v xml:space="preserve">MEDSTAR ST. MARY'S HOSPITAL </v>
          </cell>
          <cell r="C25">
            <v>28</v>
          </cell>
          <cell r="D25">
            <v>0</v>
          </cell>
          <cell r="E25">
            <v>0</v>
          </cell>
          <cell r="F25">
            <v>5.33E-2</v>
          </cell>
          <cell r="G25">
            <v>4.7800000000000002E-2</v>
          </cell>
          <cell r="H25">
            <v>4.9799999999999997E-2</v>
          </cell>
          <cell r="I25">
            <v>3.56E-2</v>
          </cell>
          <cell r="J25">
            <v>3.8100000000000002E-2</v>
          </cell>
          <cell r="K25">
            <v>4.2000000000000003E-2</v>
          </cell>
          <cell r="L25">
            <v>1.49E-2</v>
          </cell>
          <cell r="M25">
            <v>1.55E-2</v>
          </cell>
          <cell r="N25">
            <v>1.5599999999999999E-2</v>
          </cell>
          <cell r="O25">
            <v>1.2999999999999999E-3</v>
          </cell>
          <cell r="P25">
            <v>1.4500000000000001E-2</v>
          </cell>
          <cell r="Q25">
            <v>2.35E-2</v>
          </cell>
          <cell r="R25">
            <v>2.4E-2</v>
          </cell>
          <cell r="S25">
            <v>2.4899999999999999E-2</v>
          </cell>
          <cell r="T25">
            <v>3.1399999999999997E-2</v>
          </cell>
          <cell r="U25">
            <v>1.83E-2</v>
          </cell>
          <cell r="V25">
            <v>4.7899999999999998E-2</v>
          </cell>
          <cell r="W25">
            <v>3.5200000000000002E-2</v>
          </cell>
          <cell r="X25">
            <v>2.4400000000000002E-2</v>
          </cell>
          <cell r="Y25">
            <v>3.2500000000000001E-2</v>
          </cell>
          <cell r="Z25">
            <v>0</v>
          </cell>
          <cell r="AA25">
            <v>0</v>
          </cell>
        </row>
        <row r="26">
          <cell r="A26">
            <v>210029</v>
          </cell>
          <cell r="B26" t="str">
            <v>JOHNS HOPKINS BAYVIEW MEDICAL CENTER</v>
          </cell>
          <cell r="C26">
            <v>29</v>
          </cell>
          <cell r="D26">
            <v>1145752</v>
          </cell>
          <cell r="E26">
            <v>958968</v>
          </cell>
          <cell r="F26">
            <v>5.33E-2</v>
          </cell>
          <cell r="G26">
            <v>4.7800000000000002E-2</v>
          </cell>
          <cell r="H26">
            <v>4.9799999999999997E-2</v>
          </cell>
          <cell r="I26">
            <v>3.56E-2</v>
          </cell>
          <cell r="J26">
            <v>3.8100000000000002E-2</v>
          </cell>
          <cell r="K26">
            <v>4.2000000000000003E-2</v>
          </cell>
          <cell r="L26">
            <v>1.49E-2</v>
          </cell>
          <cell r="M26">
            <v>1.55E-2</v>
          </cell>
          <cell r="N26">
            <v>2.3300000000000001E-2</v>
          </cell>
          <cell r="O26">
            <v>1.2999999999999999E-3</v>
          </cell>
          <cell r="P26">
            <v>1.44E-2</v>
          </cell>
          <cell r="Q26">
            <v>2.18E-2</v>
          </cell>
          <cell r="R26">
            <v>2.4E-2</v>
          </cell>
          <cell r="S26">
            <v>2.4899999999999999E-2</v>
          </cell>
          <cell r="T26">
            <v>3.1399999999999997E-2</v>
          </cell>
          <cell r="U26">
            <v>1.83E-2</v>
          </cell>
          <cell r="V26">
            <v>4.7899999999999998E-2</v>
          </cell>
          <cell r="W26">
            <v>3.5200000000000002E-2</v>
          </cell>
          <cell r="X26">
            <v>2.4400000000000002E-2</v>
          </cell>
          <cell r="Y26">
            <v>3.2500000000000001E-2</v>
          </cell>
          <cell r="Z26">
            <v>2058544.1524620804</v>
          </cell>
          <cell r="AA26">
            <v>1722953.9802664598</v>
          </cell>
        </row>
        <row r="27">
          <cell r="A27">
            <v>210030</v>
          </cell>
          <cell r="B27" t="str">
            <v>UM-SHORE REGIONAL HEALTH AT CHESTERTOWN</v>
          </cell>
          <cell r="C27">
            <v>30</v>
          </cell>
          <cell r="D27">
            <v>0</v>
          </cell>
          <cell r="E27">
            <v>0</v>
          </cell>
          <cell r="F27">
            <v>5.33E-2</v>
          </cell>
          <cell r="G27">
            <v>4.7800000000000002E-2</v>
          </cell>
          <cell r="H27">
            <v>4.9799999999999997E-2</v>
          </cell>
          <cell r="I27">
            <v>3.56E-2</v>
          </cell>
          <cell r="J27">
            <v>3.8100000000000002E-2</v>
          </cell>
          <cell r="K27">
            <v>4.2000000000000003E-2</v>
          </cell>
          <cell r="L27">
            <v>1.49E-2</v>
          </cell>
          <cell r="M27">
            <v>1.55E-2</v>
          </cell>
          <cell r="N27">
            <v>1.5599999999999999E-2</v>
          </cell>
          <cell r="O27">
            <v>1.2999999999999999E-3</v>
          </cell>
          <cell r="P27">
            <v>1.4500000000000001E-2</v>
          </cell>
          <cell r="Q27">
            <v>2.286923548788759E-2</v>
          </cell>
          <cell r="R27">
            <v>2.4E-2</v>
          </cell>
          <cell r="S27">
            <v>2.4899999999999999E-2</v>
          </cell>
          <cell r="T27">
            <v>3.1399999999999997E-2</v>
          </cell>
          <cell r="U27">
            <v>1.83E-2</v>
          </cell>
          <cell r="V27">
            <v>4.7899999999999998E-2</v>
          </cell>
          <cell r="W27">
            <v>3.5200000000000002E-2</v>
          </cell>
          <cell r="X27">
            <v>2.4400000000000002E-2</v>
          </cell>
          <cell r="Y27">
            <v>3.2500000000000001E-2</v>
          </cell>
          <cell r="Z27">
            <v>0</v>
          </cell>
          <cell r="AA27">
            <v>0</v>
          </cell>
        </row>
        <row r="28">
          <cell r="A28">
            <v>210032</v>
          </cell>
          <cell r="B28" t="str">
            <v>UNION HOSPITAL OF CECIL COUNTY</v>
          </cell>
          <cell r="C28">
            <v>32</v>
          </cell>
          <cell r="D28">
            <v>0</v>
          </cell>
          <cell r="E28">
            <v>0</v>
          </cell>
          <cell r="F28">
            <v>5.33E-2</v>
          </cell>
          <cell r="G28">
            <v>4.7800000000000002E-2</v>
          </cell>
          <cell r="H28">
            <v>4.9799999999999997E-2</v>
          </cell>
          <cell r="I28">
            <v>3.56E-2</v>
          </cell>
          <cell r="J28">
            <v>3.8100000000000002E-2</v>
          </cell>
          <cell r="K28">
            <v>4.2000000000000003E-2</v>
          </cell>
          <cell r="L28">
            <v>1.49E-2</v>
          </cell>
          <cell r="M28">
            <v>1.55E-2</v>
          </cell>
          <cell r="N28">
            <v>1.5599999999999999E-2</v>
          </cell>
          <cell r="O28">
            <v>1.2999999999999999E-3</v>
          </cell>
          <cell r="P28">
            <v>1.4500000000000001E-2</v>
          </cell>
          <cell r="Q28">
            <v>2.3549001106739284E-2</v>
          </cell>
          <cell r="R28">
            <v>2.4E-2</v>
          </cell>
          <cell r="S28">
            <v>2.4899999999999999E-2</v>
          </cell>
          <cell r="T28">
            <v>3.1399999999999997E-2</v>
          </cell>
          <cell r="U28">
            <v>1.83E-2</v>
          </cell>
          <cell r="V28">
            <v>4.7899999999999998E-2</v>
          </cell>
          <cell r="W28">
            <v>3.5200000000000002E-2</v>
          </cell>
          <cell r="X28">
            <v>2.4400000000000002E-2</v>
          </cell>
          <cell r="Y28">
            <v>3.2500000000000001E-2</v>
          </cell>
          <cell r="Z28">
            <v>0</v>
          </cell>
          <cell r="AA28">
            <v>0</v>
          </cell>
        </row>
        <row r="29">
          <cell r="A29">
            <v>210033</v>
          </cell>
          <cell r="B29" t="str">
            <v>CARROLL HOSPITAL CENTER</v>
          </cell>
          <cell r="C29">
            <v>33</v>
          </cell>
          <cell r="D29">
            <v>0</v>
          </cell>
          <cell r="E29">
            <v>0</v>
          </cell>
          <cell r="F29">
            <v>5.33E-2</v>
          </cell>
          <cell r="G29">
            <v>4.7800000000000002E-2</v>
          </cell>
          <cell r="H29">
            <v>4.9799999999999997E-2</v>
          </cell>
          <cell r="I29">
            <v>3.56E-2</v>
          </cell>
          <cell r="J29">
            <v>3.8100000000000002E-2</v>
          </cell>
          <cell r="K29">
            <v>4.2000000000000003E-2</v>
          </cell>
          <cell r="L29">
            <v>1.49E-2</v>
          </cell>
          <cell r="M29">
            <v>1.55E-2</v>
          </cell>
          <cell r="N29">
            <v>1.5599999999999999E-2</v>
          </cell>
          <cell r="O29">
            <v>1.2999999999999999E-3</v>
          </cell>
          <cell r="P29">
            <v>1.4500000000000001E-2</v>
          </cell>
          <cell r="Q29">
            <v>2.2673436845236608E-2</v>
          </cell>
          <cell r="R29">
            <v>2.4E-2</v>
          </cell>
          <cell r="S29">
            <v>2.4899999999999999E-2</v>
          </cell>
          <cell r="T29">
            <v>3.1399999999999997E-2</v>
          </cell>
          <cell r="U29">
            <v>1.83E-2</v>
          </cell>
          <cell r="V29">
            <v>4.7899999999999998E-2</v>
          </cell>
          <cell r="W29">
            <v>3.5200000000000002E-2</v>
          </cell>
          <cell r="X29">
            <v>2.4400000000000002E-2</v>
          </cell>
          <cell r="Y29">
            <v>3.2500000000000001E-2</v>
          </cell>
          <cell r="Z29">
            <v>0</v>
          </cell>
          <cell r="AA29">
            <v>0</v>
          </cell>
        </row>
        <row r="30">
          <cell r="A30">
            <v>210034</v>
          </cell>
          <cell r="B30" t="str">
            <v>MEDSTAR HARBOR HOSPITAL CENTER</v>
          </cell>
          <cell r="C30">
            <v>34</v>
          </cell>
          <cell r="D30">
            <v>0</v>
          </cell>
          <cell r="E30">
            <v>0</v>
          </cell>
          <cell r="F30">
            <v>5.33E-2</v>
          </cell>
          <cell r="G30">
            <v>4.7800000000000002E-2</v>
          </cell>
          <cell r="H30">
            <v>4.9799999999999997E-2</v>
          </cell>
          <cell r="I30">
            <v>3.56E-2</v>
          </cell>
          <cell r="J30">
            <v>3.8100000000000002E-2</v>
          </cell>
          <cell r="K30">
            <v>4.2000000000000003E-2</v>
          </cell>
          <cell r="L30">
            <v>1.49E-2</v>
          </cell>
          <cell r="M30">
            <v>1.55E-2</v>
          </cell>
          <cell r="N30">
            <v>1.5599999999999999E-2</v>
          </cell>
          <cell r="O30">
            <v>1.2999999999999999E-3</v>
          </cell>
          <cell r="P30">
            <v>1.4500000000000001E-2</v>
          </cell>
          <cell r="Q30">
            <v>2.1899999999999999E-2</v>
          </cell>
          <cell r="R30">
            <v>2.4E-2</v>
          </cell>
          <cell r="S30">
            <v>2.4899999999999999E-2</v>
          </cell>
          <cell r="T30">
            <v>3.1399999999999997E-2</v>
          </cell>
          <cell r="U30">
            <v>1.83E-2</v>
          </cell>
          <cell r="V30">
            <v>4.7899999999999998E-2</v>
          </cell>
          <cell r="W30">
            <v>3.5200000000000002E-2</v>
          </cell>
          <cell r="X30">
            <v>2.4400000000000002E-2</v>
          </cell>
          <cell r="Y30">
            <v>3.2500000000000001E-2</v>
          </cell>
          <cell r="Z30">
            <v>0</v>
          </cell>
          <cell r="AA30">
            <v>0</v>
          </cell>
        </row>
        <row r="31">
          <cell r="A31">
            <v>210035</v>
          </cell>
          <cell r="B31" t="str">
            <v>UM-CHARLES REGIONAL MEDICAL CENTER</v>
          </cell>
          <cell r="C31">
            <v>35</v>
          </cell>
          <cell r="D31">
            <v>0</v>
          </cell>
          <cell r="E31">
            <v>0</v>
          </cell>
          <cell r="F31">
            <v>5.33E-2</v>
          </cell>
          <cell r="G31">
            <v>4.7800000000000002E-2</v>
          </cell>
          <cell r="H31">
            <v>4.9799999999999997E-2</v>
          </cell>
          <cell r="I31">
            <v>3.56E-2</v>
          </cell>
          <cell r="J31">
            <v>3.8100000000000002E-2</v>
          </cell>
          <cell r="K31">
            <v>4.2000000000000003E-2</v>
          </cell>
          <cell r="L31">
            <v>1.49E-2</v>
          </cell>
          <cell r="M31">
            <v>1.55E-2</v>
          </cell>
          <cell r="N31">
            <v>1.5599999999999999E-2</v>
          </cell>
          <cell r="O31">
            <v>1.2999999999999999E-3</v>
          </cell>
          <cell r="P31">
            <v>1.4500000000000001E-2</v>
          </cell>
          <cell r="Q31">
            <v>2.1999999999999999E-2</v>
          </cell>
          <cell r="R31">
            <v>2.4E-2</v>
          </cell>
          <cell r="S31">
            <v>2.4899999999999999E-2</v>
          </cell>
          <cell r="T31">
            <v>3.1399999999999997E-2</v>
          </cell>
          <cell r="U31">
            <v>1.83E-2</v>
          </cell>
          <cell r="V31">
            <v>4.7899999999999998E-2</v>
          </cell>
          <cell r="W31">
            <v>3.5200000000000002E-2</v>
          </cell>
          <cell r="X31">
            <v>2.4400000000000002E-2</v>
          </cell>
          <cell r="Y31">
            <v>3.2500000000000001E-2</v>
          </cell>
          <cell r="Z31">
            <v>0</v>
          </cell>
          <cell r="AA31">
            <v>0</v>
          </cell>
        </row>
        <row r="32">
          <cell r="A32">
            <v>210037</v>
          </cell>
          <cell r="B32" t="str">
            <v>UM-SHORE REGIONAL HEALTH AT EASTON</v>
          </cell>
          <cell r="C32">
            <v>37</v>
          </cell>
          <cell r="D32">
            <v>0</v>
          </cell>
          <cell r="E32">
            <v>0</v>
          </cell>
          <cell r="F32">
            <v>5.33E-2</v>
          </cell>
          <cell r="G32">
            <v>4.7800000000000002E-2</v>
          </cell>
          <cell r="H32">
            <v>4.9799999999999997E-2</v>
          </cell>
          <cell r="I32">
            <v>3.56E-2</v>
          </cell>
          <cell r="J32">
            <v>3.8100000000000002E-2</v>
          </cell>
          <cell r="K32">
            <v>4.2000000000000003E-2</v>
          </cell>
          <cell r="L32">
            <v>1.49E-2</v>
          </cell>
          <cell r="M32">
            <v>1.55E-2</v>
          </cell>
          <cell r="N32">
            <v>1.5599999999999999E-2</v>
          </cell>
          <cell r="O32">
            <v>1.2999999999999999E-3</v>
          </cell>
          <cell r="P32">
            <v>1.4500000000000001E-2</v>
          </cell>
          <cell r="Q32">
            <v>2.1875545812140747E-2</v>
          </cell>
          <cell r="R32">
            <v>2.4E-2</v>
          </cell>
          <cell r="S32">
            <v>2.4899999999999999E-2</v>
          </cell>
          <cell r="T32">
            <v>3.1399999999999997E-2</v>
          </cell>
          <cell r="U32">
            <v>1.83E-2</v>
          </cell>
          <cell r="V32">
            <v>4.7899999999999998E-2</v>
          </cell>
          <cell r="W32">
            <v>3.5200000000000002E-2</v>
          </cell>
          <cell r="X32">
            <v>2.4400000000000002E-2</v>
          </cell>
          <cell r="Y32">
            <v>3.2500000000000001E-2</v>
          </cell>
          <cell r="Z32">
            <v>0</v>
          </cell>
          <cell r="AA32">
            <v>0</v>
          </cell>
        </row>
        <row r="33">
          <cell r="A33">
            <v>210038</v>
          </cell>
          <cell r="B33" t="str">
            <v>UMMC MIDTOWN CAMPUS</v>
          </cell>
          <cell r="C33">
            <v>38</v>
          </cell>
          <cell r="D33">
            <v>0</v>
          </cell>
          <cell r="E33">
            <v>0</v>
          </cell>
          <cell r="F33">
            <v>5.33E-2</v>
          </cell>
          <cell r="G33">
            <v>4.7800000000000002E-2</v>
          </cell>
          <cell r="H33">
            <v>4.9799999999999997E-2</v>
          </cell>
          <cell r="I33">
            <v>3.56E-2</v>
          </cell>
          <cell r="J33">
            <v>3.8100000000000002E-2</v>
          </cell>
          <cell r="K33">
            <v>4.2000000000000003E-2</v>
          </cell>
          <cell r="L33">
            <v>1.49E-2</v>
          </cell>
          <cell r="M33">
            <v>1.55E-2</v>
          </cell>
          <cell r="N33">
            <v>1.5599999999999999E-2</v>
          </cell>
          <cell r="O33">
            <v>1.2999999999999999E-3</v>
          </cell>
          <cell r="P33">
            <v>1.4500000000000001E-2</v>
          </cell>
          <cell r="Q33">
            <v>2.1100000000000001E-2</v>
          </cell>
          <cell r="R33">
            <v>2.4E-2</v>
          </cell>
          <cell r="S33">
            <v>2.4899999999999999E-2</v>
          </cell>
          <cell r="T33">
            <v>3.1399999999999997E-2</v>
          </cell>
          <cell r="U33">
            <v>1.83E-2</v>
          </cell>
          <cell r="V33">
            <v>4.7899999999999998E-2</v>
          </cell>
          <cell r="W33">
            <v>3.5200000000000002E-2</v>
          </cell>
          <cell r="X33">
            <v>2.4400000000000002E-2</v>
          </cell>
          <cell r="Y33">
            <v>3.2500000000000001E-2</v>
          </cell>
          <cell r="Z33">
            <v>0</v>
          </cell>
          <cell r="AA33">
            <v>0</v>
          </cell>
        </row>
        <row r="34">
          <cell r="A34">
            <v>210039</v>
          </cell>
          <cell r="B34" t="str">
            <v>CALVERT MEMORIAL HOSPITAL</v>
          </cell>
          <cell r="C34">
            <v>39</v>
          </cell>
          <cell r="D34">
            <v>0</v>
          </cell>
          <cell r="E34">
            <v>0</v>
          </cell>
          <cell r="F34">
            <v>5.33E-2</v>
          </cell>
          <cell r="G34">
            <v>4.7800000000000002E-2</v>
          </cell>
          <cell r="H34">
            <v>4.9799999999999997E-2</v>
          </cell>
          <cell r="I34">
            <v>3.56E-2</v>
          </cell>
          <cell r="J34">
            <v>3.8100000000000002E-2</v>
          </cell>
          <cell r="K34">
            <v>4.2000000000000003E-2</v>
          </cell>
          <cell r="L34">
            <v>1.49E-2</v>
          </cell>
          <cell r="M34">
            <v>1.55E-2</v>
          </cell>
          <cell r="N34">
            <v>1.5599999999999999E-2</v>
          </cell>
          <cell r="O34">
            <v>1.2999999999999999E-3</v>
          </cell>
          <cell r="P34">
            <v>1.4500000000000001E-2</v>
          </cell>
          <cell r="Q34">
            <v>2.3368993533094653E-2</v>
          </cell>
          <cell r="R34">
            <v>2.4E-2</v>
          </cell>
          <cell r="S34">
            <v>2.4899999999999999E-2</v>
          </cell>
          <cell r="T34">
            <v>3.1399999999999997E-2</v>
          </cell>
          <cell r="U34">
            <v>1.83E-2</v>
          </cell>
          <cell r="V34">
            <v>4.7899999999999998E-2</v>
          </cell>
          <cell r="W34">
            <v>3.5200000000000002E-2</v>
          </cell>
          <cell r="X34">
            <v>2.4400000000000002E-2</v>
          </cell>
          <cell r="Y34">
            <v>3.2500000000000001E-2</v>
          </cell>
          <cell r="Z34">
            <v>0</v>
          </cell>
          <cell r="AA34">
            <v>0</v>
          </cell>
        </row>
        <row r="35">
          <cell r="A35">
            <v>210040</v>
          </cell>
          <cell r="B35" t="str">
            <v>NORTHWEST HOSPITAL CENTER</v>
          </cell>
          <cell r="C35">
            <v>40</v>
          </cell>
          <cell r="D35">
            <v>0</v>
          </cell>
          <cell r="E35">
            <v>0</v>
          </cell>
          <cell r="F35">
            <v>5.33E-2</v>
          </cell>
          <cell r="G35">
            <v>4.7800000000000002E-2</v>
          </cell>
          <cell r="H35">
            <v>4.9799999999999997E-2</v>
          </cell>
          <cell r="I35">
            <v>3.56E-2</v>
          </cell>
          <cell r="J35">
            <v>3.8100000000000002E-2</v>
          </cell>
          <cell r="K35">
            <v>4.2000000000000003E-2</v>
          </cell>
          <cell r="L35">
            <v>1.49E-2</v>
          </cell>
          <cell r="M35">
            <v>1.55E-2</v>
          </cell>
          <cell r="N35">
            <v>1.5599999999999999E-2</v>
          </cell>
          <cell r="O35">
            <v>1.2999999999999999E-3</v>
          </cell>
          <cell r="P35">
            <v>1.4500000000000001E-2</v>
          </cell>
          <cell r="Q35">
            <v>2.2499999999999999E-2</v>
          </cell>
          <cell r="R35">
            <v>2.4E-2</v>
          </cell>
          <cell r="S35">
            <v>2.4899999999999999E-2</v>
          </cell>
          <cell r="T35">
            <v>3.1399999999999997E-2</v>
          </cell>
          <cell r="U35">
            <v>1.83E-2</v>
          </cell>
          <cell r="V35">
            <v>4.7899999999999998E-2</v>
          </cell>
          <cell r="W35">
            <v>3.5200000000000002E-2</v>
          </cell>
          <cell r="X35">
            <v>2.4400000000000002E-2</v>
          </cell>
          <cell r="Y35">
            <v>3.2500000000000001E-2</v>
          </cell>
          <cell r="Z35">
            <v>0</v>
          </cell>
          <cell r="AA35">
            <v>0</v>
          </cell>
        </row>
        <row r="36">
          <cell r="A36">
            <v>210043</v>
          </cell>
          <cell r="B36" t="str">
            <v>UM-BALTIMORE WASHINGTON MEDICAL CENTER</v>
          </cell>
          <cell r="C36">
            <v>43</v>
          </cell>
          <cell r="D36">
            <v>0</v>
          </cell>
          <cell r="E36">
            <v>0</v>
          </cell>
          <cell r="F36">
            <v>5.33E-2</v>
          </cell>
          <cell r="G36">
            <v>4.7800000000000002E-2</v>
          </cell>
          <cell r="H36">
            <v>4.9799999999999997E-2</v>
          </cell>
          <cell r="I36">
            <v>3.56E-2</v>
          </cell>
          <cell r="J36">
            <v>3.8100000000000002E-2</v>
          </cell>
          <cell r="K36">
            <v>4.2000000000000003E-2</v>
          </cell>
          <cell r="L36">
            <v>1.49E-2</v>
          </cell>
          <cell r="M36">
            <v>1.55E-2</v>
          </cell>
          <cell r="N36">
            <v>1.5599999999999999E-2</v>
          </cell>
          <cell r="O36">
            <v>1.2999999999999999E-3</v>
          </cell>
          <cell r="P36">
            <v>1.4500000000000001E-2</v>
          </cell>
          <cell r="Q36">
            <v>2.1927067735519643E-2</v>
          </cell>
          <cell r="R36">
            <v>2.4E-2</v>
          </cell>
          <cell r="S36">
            <v>2.4899999999999999E-2</v>
          </cell>
          <cell r="T36">
            <v>3.1399999999999997E-2</v>
          </cell>
          <cell r="U36">
            <v>1.83E-2</v>
          </cell>
          <cell r="V36">
            <v>4.7899999999999998E-2</v>
          </cell>
          <cell r="W36">
            <v>3.5200000000000002E-2</v>
          </cell>
          <cell r="X36">
            <v>2.4400000000000002E-2</v>
          </cell>
          <cell r="Y36">
            <v>3.2500000000000001E-2</v>
          </cell>
          <cell r="Z36">
            <v>0</v>
          </cell>
          <cell r="AA36">
            <v>0</v>
          </cell>
        </row>
        <row r="37">
          <cell r="A37">
            <v>210044</v>
          </cell>
          <cell r="B37" t="str">
            <v>GREATER BALTIMORE MEDICAL CENTER</v>
          </cell>
          <cell r="C37">
            <v>44</v>
          </cell>
          <cell r="D37">
            <v>0</v>
          </cell>
          <cell r="E37">
            <v>0</v>
          </cell>
          <cell r="F37">
            <v>5.33E-2</v>
          </cell>
          <cell r="G37">
            <v>4.7800000000000002E-2</v>
          </cell>
          <cell r="H37">
            <v>4.9799999999999997E-2</v>
          </cell>
          <cell r="I37">
            <v>3.56E-2</v>
          </cell>
          <cell r="J37">
            <v>3.8100000000000002E-2</v>
          </cell>
          <cell r="K37">
            <v>4.2000000000000003E-2</v>
          </cell>
          <cell r="L37">
            <v>1.49E-2</v>
          </cell>
          <cell r="M37">
            <v>1.55E-2</v>
          </cell>
          <cell r="N37">
            <v>1.5599999999999999E-2</v>
          </cell>
          <cell r="O37">
            <v>1.2999999999999999E-3</v>
          </cell>
          <cell r="P37">
            <v>1.4500000000000001E-2</v>
          </cell>
          <cell r="Q37">
            <v>2.2600000000000002E-2</v>
          </cell>
          <cell r="R37">
            <v>2.4E-2</v>
          </cell>
          <cell r="S37">
            <v>2.4899999999999999E-2</v>
          </cell>
          <cell r="T37">
            <v>3.1399999999999997E-2</v>
          </cell>
          <cell r="U37">
            <v>1.83E-2</v>
          </cell>
          <cell r="V37">
            <v>4.7899999999999998E-2</v>
          </cell>
          <cell r="W37">
            <v>3.5200000000000002E-2</v>
          </cell>
          <cell r="X37">
            <v>2.4400000000000002E-2</v>
          </cell>
          <cell r="Y37">
            <v>3.2500000000000001E-2</v>
          </cell>
          <cell r="Z37">
            <v>0</v>
          </cell>
          <cell r="AA37">
            <v>0</v>
          </cell>
        </row>
        <row r="38">
          <cell r="A38">
            <v>210045</v>
          </cell>
          <cell r="B38" t="str">
            <v>MCCREADY MEMORIAL HOSPITAL</v>
          </cell>
          <cell r="C38">
            <v>45</v>
          </cell>
          <cell r="D38">
            <v>0</v>
          </cell>
          <cell r="E38">
            <v>0</v>
          </cell>
          <cell r="F38">
            <v>5.33E-2</v>
          </cell>
          <cell r="G38">
            <v>4.7800000000000002E-2</v>
          </cell>
          <cell r="H38">
            <v>4.9799999999999997E-2</v>
          </cell>
          <cell r="I38">
            <v>3.56E-2</v>
          </cell>
          <cell r="J38">
            <v>3.8100000000000002E-2</v>
          </cell>
          <cell r="K38">
            <v>4.2000000000000003E-2</v>
          </cell>
          <cell r="L38">
            <v>1.49E-2</v>
          </cell>
          <cell r="M38">
            <v>1.55E-2</v>
          </cell>
          <cell r="N38">
            <v>1.5599999999999999E-2</v>
          </cell>
          <cell r="O38">
            <v>1.2999999999999999E-3</v>
          </cell>
          <cell r="P38">
            <v>1.4500000000000001E-2</v>
          </cell>
          <cell r="Q38">
            <v>2.3106422164622255E-2</v>
          </cell>
          <cell r="R38">
            <v>2.4E-2</v>
          </cell>
          <cell r="S38">
            <v>2.4899999999999999E-2</v>
          </cell>
          <cell r="T38">
            <v>3.1399999999999997E-2</v>
          </cell>
          <cell r="U38">
            <v>1.83E-2</v>
          </cell>
          <cell r="V38">
            <v>4.7899999999999998E-2</v>
          </cell>
          <cell r="W38">
            <v>3.5200000000000002E-2</v>
          </cell>
          <cell r="X38">
            <v>2.4400000000000002E-2</v>
          </cell>
          <cell r="Y38">
            <v>3.2500000000000001E-2</v>
          </cell>
          <cell r="Z38">
            <v>0</v>
          </cell>
          <cell r="AA38">
            <v>0</v>
          </cell>
        </row>
        <row r="39">
          <cell r="A39">
            <v>210048</v>
          </cell>
          <cell r="B39" t="str">
            <v>HOWARD COUNTY GENERAL HOSPITAL</v>
          </cell>
          <cell r="C39">
            <v>48</v>
          </cell>
          <cell r="D39">
            <v>0</v>
          </cell>
          <cell r="E39">
            <v>0</v>
          </cell>
          <cell r="F39">
            <v>5.33E-2</v>
          </cell>
          <cell r="G39">
            <v>4.7800000000000002E-2</v>
          </cell>
          <cell r="H39">
            <v>4.9799999999999997E-2</v>
          </cell>
          <cell r="I39">
            <v>3.56E-2</v>
          </cell>
          <cell r="J39">
            <v>3.8100000000000002E-2</v>
          </cell>
          <cell r="K39">
            <v>4.2000000000000003E-2</v>
          </cell>
          <cell r="L39">
            <v>1.49E-2</v>
          </cell>
          <cell r="M39">
            <v>1.55E-2</v>
          </cell>
          <cell r="N39">
            <v>1.5599999999999999E-2</v>
          </cell>
          <cell r="O39">
            <v>1.2999999999999999E-3</v>
          </cell>
          <cell r="P39">
            <v>1.4500000000000001E-2</v>
          </cell>
          <cell r="Q39">
            <v>2.258754863340216E-2</v>
          </cell>
          <cell r="R39">
            <v>2.4E-2</v>
          </cell>
          <cell r="S39">
            <v>2.4899999999999999E-2</v>
          </cell>
          <cell r="T39">
            <v>3.1399999999999997E-2</v>
          </cell>
          <cell r="U39">
            <v>1.83E-2</v>
          </cell>
          <cell r="V39">
            <v>4.7899999999999998E-2</v>
          </cell>
          <cell r="W39">
            <v>3.5200000000000002E-2</v>
          </cell>
          <cell r="X39">
            <v>2.4400000000000002E-2</v>
          </cell>
          <cell r="Y39">
            <v>3.2500000000000001E-2</v>
          </cell>
          <cell r="Z39">
            <v>0</v>
          </cell>
          <cell r="AA39">
            <v>0</v>
          </cell>
        </row>
        <row r="40">
          <cell r="A40">
            <v>210049</v>
          </cell>
          <cell r="B40" t="str">
            <v>UM-UPPER CHESAPEAKE MEDICAL CENTER</v>
          </cell>
          <cell r="C40">
            <v>49</v>
          </cell>
          <cell r="D40">
            <v>0</v>
          </cell>
          <cell r="E40">
            <v>0</v>
          </cell>
          <cell r="F40">
            <v>5.33E-2</v>
          </cell>
          <cell r="G40">
            <v>4.7800000000000002E-2</v>
          </cell>
          <cell r="H40">
            <v>4.9799999999999997E-2</v>
          </cell>
          <cell r="I40">
            <v>3.56E-2</v>
          </cell>
          <cell r="J40">
            <v>3.8100000000000002E-2</v>
          </cell>
          <cell r="K40">
            <v>4.2000000000000003E-2</v>
          </cell>
          <cell r="L40">
            <v>1.49E-2</v>
          </cell>
          <cell r="M40">
            <v>1.55E-2</v>
          </cell>
          <cell r="N40">
            <v>1.5599999999999999E-2</v>
          </cell>
          <cell r="O40">
            <v>1.2999999999999999E-3</v>
          </cell>
          <cell r="P40">
            <v>1.4500000000000001E-2</v>
          </cell>
          <cell r="Q40">
            <v>2.228082774993485E-2</v>
          </cell>
          <cell r="R40">
            <v>2.4E-2</v>
          </cell>
          <cell r="S40">
            <v>2.4899999999999999E-2</v>
          </cell>
          <cell r="T40">
            <v>3.1399999999999997E-2</v>
          </cell>
          <cell r="U40">
            <v>1.83E-2</v>
          </cell>
          <cell r="V40">
            <v>4.7899999999999998E-2</v>
          </cell>
          <cell r="W40">
            <v>3.5200000000000002E-2</v>
          </cell>
          <cell r="X40">
            <v>2.4400000000000002E-2</v>
          </cell>
          <cell r="Y40">
            <v>3.2500000000000001E-2</v>
          </cell>
          <cell r="Z40">
            <v>0</v>
          </cell>
          <cell r="AA40">
            <v>0</v>
          </cell>
        </row>
        <row r="41">
          <cell r="A41">
            <v>210051</v>
          </cell>
          <cell r="B41" t="str">
            <v>DOCTORS COMMUNITY HOSPITAL</v>
          </cell>
          <cell r="C41">
            <v>51</v>
          </cell>
          <cell r="D41">
            <v>0</v>
          </cell>
          <cell r="E41">
            <v>0</v>
          </cell>
          <cell r="F41">
            <v>5.33E-2</v>
          </cell>
          <cell r="G41">
            <v>4.7800000000000002E-2</v>
          </cell>
          <cell r="H41">
            <v>4.9799999999999997E-2</v>
          </cell>
          <cell r="I41">
            <v>3.56E-2</v>
          </cell>
          <cell r="J41">
            <v>3.8100000000000002E-2</v>
          </cell>
          <cell r="K41">
            <v>4.2000000000000003E-2</v>
          </cell>
          <cell r="L41">
            <v>1.49E-2</v>
          </cell>
          <cell r="M41">
            <v>1.55E-2</v>
          </cell>
          <cell r="N41">
            <v>1.5599999999999999E-2</v>
          </cell>
          <cell r="O41">
            <v>1.2999999999999999E-3</v>
          </cell>
          <cell r="P41">
            <v>1.4500000000000001E-2</v>
          </cell>
          <cell r="Q41">
            <v>2.23E-2</v>
          </cell>
          <cell r="R41">
            <v>2.4E-2</v>
          </cell>
          <cell r="S41">
            <v>2.4899999999999999E-2</v>
          </cell>
          <cell r="T41">
            <v>3.1399999999999997E-2</v>
          </cell>
          <cell r="U41">
            <v>1.83E-2</v>
          </cell>
          <cell r="V41">
            <v>4.7899999999999998E-2</v>
          </cell>
          <cell r="W41">
            <v>3.5200000000000002E-2</v>
          </cell>
          <cell r="X41">
            <v>2.4400000000000002E-2</v>
          </cell>
          <cell r="Y41">
            <v>3.2500000000000001E-2</v>
          </cell>
          <cell r="Z41">
            <v>0</v>
          </cell>
          <cell r="AA41">
            <v>0</v>
          </cell>
        </row>
        <row r="42">
          <cell r="A42">
            <v>210054</v>
          </cell>
          <cell r="B42" t="str">
            <v>(OLD) SOUTHERN MARYLAND HOSPITAL</v>
          </cell>
          <cell r="C42">
            <v>54</v>
          </cell>
          <cell r="D42">
            <v>0</v>
          </cell>
          <cell r="E42">
            <v>0</v>
          </cell>
          <cell r="F42">
            <v>5.33E-2</v>
          </cell>
          <cell r="G42">
            <v>4.7800000000000002E-2</v>
          </cell>
          <cell r="H42">
            <v>4.9799999999999997E-2</v>
          </cell>
          <cell r="I42">
            <v>3.56E-2</v>
          </cell>
          <cell r="J42">
            <v>3.8100000000000002E-2</v>
          </cell>
          <cell r="K42">
            <v>4.2000000000000003E-2</v>
          </cell>
          <cell r="L42">
            <v>1.49E-2</v>
          </cell>
          <cell r="M42">
            <v>1.55E-2</v>
          </cell>
          <cell r="N42">
            <v>1.5599999999999999E-2</v>
          </cell>
          <cell r="O42">
            <v>1.2999999999999999E-3</v>
          </cell>
          <cell r="P42">
            <v>1.4500000000000001E-2</v>
          </cell>
          <cell r="Q42">
            <v>2.1999999999999999E-2</v>
          </cell>
          <cell r="R42">
            <v>2.4E-2</v>
          </cell>
          <cell r="S42">
            <v>2.4899999999999999E-2</v>
          </cell>
          <cell r="T42">
            <v>3.1399999999999997E-2</v>
          </cell>
          <cell r="U42">
            <v>1.83E-2</v>
          </cell>
          <cell r="V42">
            <v>4.7899999999999998E-2</v>
          </cell>
          <cell r="W42">
            <v>3.5200000000000002E-2</v>
          </cell>
          <cell r="X42">
            <v>2.4400000000000002E-2</v>
          </cell>
          <cell r="Y42">
            <v>3.2500000000000001E-2</v>
          </cell>
          <cell r="Z42">
            <v>0</v>
          </cell>
          <cell r="AA42">
            <v>0</v>
          </cell>
        </row>
        <row r="43">
          <cell r="A43">
            <v>210055</v>
          </cell>
          <cell r="B43" t="str">
            <v>LAUREL REGIONAL HOSPITAL</v>
          </cell>
          <cell r="C43">
            <v>55</v>
          </cell>
          <cell r="D43">
            <v>0</v>
          </cell>
          <cell r="E43">
            <v>0</v>
          </cell>
          <cell r="F43">
            <v>5.33E-2</v>
          </cell>
          <cell r="G43">
            <v>4.7800000000000002E-2</v>
          </cell>
          <cell r="H43">
            <v>4.9799999999999997E-2</v>
          </cell>
          <cell r="I43">
            <v>3.56E-2</v>
          </cell>
          <cell r="J43">
            <v>3.8100000000000002E-2</v>
          </cell>
          <cell r="K43">
            <v>4.2000000000000003E-2</v>
          </cell>
          <cell r="L43">
            <v>1.49E-2</v>
          </cell>
          <cell r="M43">
            <v>1.55E-2</v>
          </cell>
          <cell r="N43">
            <v>1.5599999999999999E-2</v>
          </cell>
          <cell r="O43">
            <v>1.2999999999999999E-3</v>
          </cell>
          <cell r="P43">
            <v>1.4500000000000001E-2</v>
          </cell>
          <cell r="Q43">
            <v>2.2051454093850377E-2</v>
          </cell>
          <cell r="R43">
            <v>2.4E-2</v>
          </cell>
          <cell r="S43">
            <v>2.4899999999999999E-2</v>
          </cell>
          <cell r="T43">
            <v>3.1399999999999997E-2</v>
          </cell>
          <cell r="U43">
            <v>1.83E-2</v>
          </cell>
          <cell r="V43">
            <v>4.7899999999999998E-2</v>
          </cell>
          <cell r="W43">
            <v>3.5200000000000002E-2</v>
          </cell>
          <cell r="X43">
            <v>2.4400000000000002E-2</v>
          </cell>
          <cell r="Y43">
            <v>3.2500000000000001E-2</v>
          </cell>
          <cell r="Z43">
            <v>0</v>
          </cell>
          <cell r="AA43">
            <v>0</v>
          </cell>
        </row>
        <row r="44">
          <cell r="A44">
            <v>210056</v>
          </cell>
          <cell r="B44" t="str">
            <v>MEDSTAR GOOD SAMARITAN</v>
          </cell>
          <cell r="C44">
            <v>56</v>
          </cell>
          <cell r="D44">
            <v>0</v>
          </cell>
          <cell r="E44">
            <v>0</v>
          </cell>
          <cell r="F44">
            <v>5.33E-2</v>
          </cell>
          <cell r="G44">
            <v>4.7800000000000002E-2</v>
          </cell>
          <cell r="H44">
            <v>4.9799999999999997E-2</v>
          </cell>
          <cell r="I44">
            <v>3.56E-2</v>
          </cell>
          <cell r="J44">
            <v>3.8100000000000002E-2</v>
          </cell>
          <cell r="K44">
            <v>4.2000000000000003E-2</v>
          </cell>
          <cell r="L44">
            <v>1.49E-2</v>
          </cell>
          <cell r="M44">
            <v>1.55E-2</v>
          </cell>
          <cell r="N44">
            <v>1.5599999999999999E-2</v>
          </cell>
          <cell r="O44">
            <v>1.2999999999999999E-3</v>
          </cell>
          <cell r="P44">
            <v>1.4500000000000001E-2</v>
          </cell>
          <cell r="Q44">
            <v>2.1600000000000001E-2</v>
          </cell>
          <cell r="R44">
            <v>2.4E-2</v>
          </cell>
          <cell r="S44">
            <v>2.4899999999999999E-2</v>
          </cell>
          <cell r="T44">
            <v>3.1399999999999997E-2</v>
          </cell>
          <cell r="U44">
            <v>1.83E-2</v>
          </cell>
          <cell r="V44">
            <v>4.7899999999999998E-2</v>
          </cell>
          <cell r="W44">
            <v>3.5200000000000002E-2</v>
          </cell>
          <cell r="X44">
            <v>2.4400000000000002E-2</v>
          </cell>
          <cell r="Y44">
            <v>3.2500000000000001E-2</v>
          </cell>
          <cell r="Z44">
            <v>0</v>
          </cell>
          <cell r="AA44">
            <v>0</v>
          </cell>
        </row>
        <row r="45">
          <cell r="A45">
            <v>210057</v>
          </cell>
          <cell r="B45" t="str">
            <v>SHADY GROVE ADVENTIST HOSPITAL</v>
          </cell>
          <cell r="C45">
            <v>57</v>
          </cell>
          <cell r="D45">
            <v>0</v>
          </cell>
          <cell r="E45">
            <v>0</v>
          </cell>
          <cell r="F45">
            <v>5.33E-2</v>
          </cell>
          <cell r="G45">
            <v>4.7800000000000002E-2</v>
          </cell>
          <cell r="H45">
            <v>4.9799999999999997E-2</v>
          </cell>
          <cell r="I45">
            <v>3.56E-2</v>
          </cell>
          <cell r="J45">
            <v>3.8100000000000002E-2</v>
          </cell>
          <cell r="K45">
            <v>4.2000000000000003E-2</v>
          </cell>
          <cell r="L45">
            <v>1.49E-2</v>
          </cell>
          <cell r="M45">
            <v>1.55E-2</v>
          </cell>
          <cell r="N45">
            <v>1.5599999999999999E-2</v>
          </cell>
          <cell r="O45">
            <v>1.2999999999999999E-3</v>
          </cell>
          <cell r="P45">
            <v>1.4500000000000001E-2</v>
          </cell>
          <cell r="Q45">
            <v>2.2600000000000002E-2</v>
          </cell>
          <cell r="R45">
            <v>2.4E-2</v>
          </cell>
          <cell r="S45">
            <v>2.4899999999999999E-2</v>
          </cell>
          <cell r="T45">
            <v>3.1399999999999997E-2</v>
          </cell>
          <cell r="U45">
            <v>1.83E-2</v>
          </cell>
          <cell r="V45">
            <v>4.7899999999999998E-2</v>
          </cell>
          <cell r="W45">
            <v>3.5200000000000002E-2</v>
          </cell>
          <cell r="X45">
            <v>2.4400000000000002E-2</v>
          </cell>
          <cell r="Y45">
            <v>3.2500000000000001E-2</v>
          </cell>
          <cell r="Z45">
            <v>0</v>
          </cell>
          <cell r="AA45">
            <v>0</v>
          </cell>
        </row>
        <row r="46">
          <cell r="A46">
            <v>210058</v>
          </cell>
          <cell r="B46" t="str">
            <v>UM-REHABILITATION &amp; ORTHOPAEDIC INSTITUTE</v>
          </cell>
          <cell r="C46">
            <v>58</v>
          </cell>
          <cell r="D46">
            <v>0</v>
          </cell>
          <cell r="E46">
            <v>0</v>
          </cell>
          <cell r="F46">
            <v>5.33E-2</v>
          </cell>
          <cell r="G46">
            <v>4.7800000000000002E-2</v>
          </cell>
          <cell r="H46">
            <v>4.9799999999999997E-2</v>
          </cell>
          <cell r="I46">
            <v>3.56E-2</v>
          </cell>
          <cell r="J46">
            <v>3.8100000000000002E-2</v>
          </cell>
          <cell r="K46">
            <v>4.2000000000000003E-2</v>
          </cell>
          <cell r="L46">
            <v>1.49E-2</v>
          </cell>
          <cell r="M46">
            <v>1.55E-2</v>
          </cell>
          <cell r="N46">
            <v>1.5599999999999999E-2</v>
          </cell>
          <cell r="O46">
            <v>1.2999999999999999E-3</v>
          </cell>
          <cell r="P46">
            <v>1.4500000000000001E-2</v>
          </cell>
          <cell r="Q46">
            <v>2.1500000000000002E-2</v>
          </cell>
          <cell r="R46">
            <v>2.4E-2</v>
          </cell>
          <cell r="S46">
            <v>2.4899999999999999E-2</v>
          </cell>
          <cell r="T46">
            <v>3.1399999999999997E-2</v>
          </cell>
          <cell r="U46">
            <v>1.83E-2</v>
          </cell>
          <cell r="V46">
            <v>4.7899999999999998E-2</v>
          </cell>
          <cell r="W46">
            <v>3.5200000000000002E-2</v>
          </cell>
          <cell r="X46">
            <v>2.4400000000000002E-2</v>
          </cell>
          <cell r="Y46">
            <v>3.2500000000000001E-2</v>
          </cell>
          <cell r="Z46">
            <v>0</v>
          </cell>
          <cell r="AA46">
            <v>0</v>
          </cell>
        </row>
        <row r="47">
          <cell r="A47">
            <v>210060</v>
          </cell>
          <cell r="B47" t="str">
            <v>FORT WASHINGTON MEDICAL CENTER</v>
          </cell>
          <cell r="C47">
            <v>60</v>
          </cell>
          <cell r="D47">
            <v>0</v>
          </cell>
          <cell r="E47">
            <v>0</v>
          </cell>
          <cell r="F47">
            <v>5.33E-2</v>
          </cell>
          <cell r="G47">
            <v>4.7800000000000002E-2</v>
          </cell>
          <cell r="H47">
            <v>4.9799999999999997E-2</v>
          </cell>
          <cell r="I47">
            <v>3.56E-2</v>
          </cell>
          <cell r="J47">
            <v>3.8100000000000002E-2</v>
          </cell>
          <cell r="K47">
            <v>4.2000000000000003E-2</v>
          </cell>
          <cell r="L47">
            <v>1.49E-2</v>
          </cell>
          <cell r="M47">
            <v>1.55E-2</v>
          </cell>
          <cell r="N47">
            <v>1.5599999999999999E-2</v>
          </cell>
          <cell r="O47">
            <v>1.2999999999999999E-3</v>
          </cell>
          <cell r="P47">
            <v>1.4500000000000001E-2</v>
          </cell>
          <cell r="Q47">
            <v>2.23E-2</v>
          </cell>
          <cell r="R47">
            <v>2.4E-2</v>
          </cell>
          <cell r="S47">
            <v>2.4899999999999999E-2</v>
          </cell>
          <cell r="T47">
            <v>3.1399999999999997E-2</v>
          </cell>
          <cell r="U47">
            <v>1.83E-2</v>
          </cell>
          <cell r="V47">
            <v>4.7899999999999998E-2</v>
          </cell>
          <cell r="W47">
            <v>3.5200000000000002E-2</v>
          </cell>
          <cell r="X47">
            <v>2.4400000000000002E-2</v>
          </cell>
          <cell r="Y47">
            <v>3.2500000000000001E-2</v>
          </cell>
          <cell r="Z47">
            <v>0</v>
          </cell>
          <cell r="AA47">
            <v>0</v>
          </cell>
        </row>
        <row r="48">
          <cell r="A48">
            <v>210061</v>
          </cell>
          <cell r="B48" t="str">
            <v>ATLANTIC GENERAL HOSPITAL</v>
          </cell>
          <cell r="C48">
            <v>61</v>
          </cell>
          <cell r="D48">
            <v>0</v>
          </cell>
          <cell r="E48">
            <v>0</v>
          </cell>
          <cell r="F48">
            <v>5.33E-2</v>
          </cell>
          <cell r="G48">
            <v>4.7800000000000002E-2</v>
          </cell>
          <cell r="H48">
            <v>4.9799999999999997E-2</v>
          </cell>
          <cell r="I48">
            <v>3.56E-2</v>
          </cell>
          <cell r="J48">
            <v>3.8100000000000002E-2</v>
          </cell>
          <cell r="K48">
            <v>4.2000000000000003E-2</v>
          </cell>
          <cell r="L48">
            <v>1.49E-2</v>
          </cell>
          <cell r="M48">
            <v>1.55E-2</v>
          </cell>
          <cell r="N48">
            <v>1.5599999999999999E-2</v>
          </cell>
          <cell r="O48">
            <v>1.2999999999999999E-3</v>
          </cell>
          <cell r="P48">
            <v>1.4500000000000001E-2</v>
          </cell>
          <cell r="Q48">
            <v>2.2700000000000001E-2</v>
          </cell>
          <cell r="R48">
            <v>2.4E-2</v>
          </cell>
          <cell r="S48">
            <v>2.4899999999999999E-2</v>
          </cell>
          <cell r="T48">
            <v>3.1399999999999997E-2</v>
          </cell>
          <cell r="U48">
            <v>1.83E-2</v>
          </cell>
          <cell r="V48">
            <v>4.7899999999999998E-2</v>
          </cell>
          <cell r="W48">
            <v>3.5200000000000002E-2</v>
          </cell>
          <cell r="X48">
            <v>2.4400000000000002E-2</v>
          </cell>
          <cell r="Y48">
            <v>3.2500000000000001E-2</v>
          </cell>
          <cell r="Z48">
            <v>0</v>
          </cell>
          <cell r="AA48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spital List"/>
      <sheetName val="Schedule Index"/>
      <sheetName val="RE-Schedule"/>
      <sheetName val="Sheet1"/>
      <sheetName val="RE-REGULATED"/>
      <sheetName val="RE-UNREGULATED"/>
      <sheetName val="RE-TOTAL"/>
    </sheetNames>
    <sheetDataSet>
      <sheetData sheetId="0"/>
      <sheetData sheetId="1"/>
      <sheetData sheetId="2"/>
      <sheetData sheetId="3">
        <row r="3">
          <cell r="A3" t="str">
            <v>Row Labels</v>
          </cell>
          <cell r="B3" t="str">
            <v>Sum of NET_O_RE</v>
          </cell>
          <cell r="C3" t="str">
            <v>Sum of OP_PROFT</v>
          </cell>
        </row>
        <row r="4">
          <cell r="A4">
            <v>210001</v>
          </cell>
          <cell r="B4">
            <v>378705.20182000002</v>
          </cell>
          <cell r="C4">
            <v>31271.038740954358</v>
          </cell>
        </row>
        <row r="5">
          <cell r="A5">
            <v>210002</v>
          </cell>
          <cell r="B5">
            <v>1589332.2216080274</v>
          </cell>
          <cell r="C5">
            <v>10042.381812670734</v>
          </cell>
        </row>
        <row r="6">
          <cell r="A6">
            <v>210003</v>
          </cell>
          <cell r="B6">
            <v>324936.17147121526</v>
          </cell>
          <cell r="C6">
            <v>14257.446284734468</v>
          </cell>
        </row>
        <row r="7">
          <cell r="A7">
            <v>210004</v>
          </cell>
          <cell r="B7">
            <v>499848.3186</v>
          </cell>
          <cell r="C7">
            <v>38479.723323848681</v>
          </cell>
        </row>
        <row r="8">
          <cell r="A8">
            <v>210005</v>
          </cell>
          <cell r="B8">
            <v>348560.18461000005</v>
          </cell>
          <cell r="C8">
            <v>15931.460598000034</v>
          </cell>
        </row>
        <row r="9">
          <cell r="A9">
            <v>210006</v>
          </cell>
          <cell r="B9">
            <v>103370</v>
          </cell>
          <cell r="C9">
            <v>7665.359635837739</v>
          </cell>
        </row>
        <row r="10">
          <cell r="A10">
            <v>210008</v>
          </cell>
          <cell r="B10">
            <v>569467.30561000004</v>
          </cell>
          <cell r="C10">
            <v>50206.124154442397</v>
          </cell>
        </row>
        <row r="11">
          <cell r="A11">
            <v>210009</v>
          </cell>
          <cell r="B11">
            <v>2441418.0166099998</v>
          </cell>
          <cell r="C11">
            <v>65683.916609999724</v>
          </cell>
        </row>
        <row r="12">
          <cell r="A12">
            <v>210010</v>
          </cell>
          <cell r="B12">
            <v>18990.635139999999</v>
          </cell>
          <cell r="C12">
            <v>-3146.9002792121864</v>
          </cell>
        </row>
        <row r="13">
          <cell r="A13">
            <v>210011</v>
          </cell>
          <cell r="B13">
            <v>411263.92617999989</v>
          </cell>
          <cell r="C13">
            <v>72479.205865565047</v>
          </cell>
        </row>
        <row r="14">
          <cell r="A14">
            <v>210012</v>
          </cell>
          <cell r="B14">
            <v>826179.06810999999</v>
          </cell>
          <cell r="C14">
            <v>110344.39703727933</v>
          </cell>
        </row>
        <row r="15">
          <cell r="A15">
            <v>210013</v>
          </cell>
          <cell r="B15">
            <v>23520.266450000006</v>
          </cell>
          <cell r="C15">
            <v>-6745.5472053897283</v>
          </cell>
        </row>
        <row r="16">
          <cell r="A16">
            <v>210015</v>
          </cell>
          <cell r="B16">
            <v>531867.30281999998</v>
          </cell>
          <cell r="C16">
            <v>19090.233860603417</v>
          </cell>
        </row>
        <row r="17">
          <cell r="A17">
            <v>210017</v>
          </cell>
          <cell r="B17">
            <v>64773.234867036219</v>
          </cell>
          <cell r="C17">
            <v>6690.3369098744079</v>
          </cell>
        </row>
        <row r="18">
          <cell r="A18">
            <v>210018</v>
          </cell>
          <cell r="B18">
            <v>167854.94622000004</v>
          </cell>
          <cell r="C18">
            <v>1905.9347849538024</v>
          </cell>
        </row>
        <row r="19">
          <cell r="A19">
            <v>210019</v>
          </cell>
          <cell r="B19">
            <v>446660.94300000003</v>
          </cell>
          <cell r="C19">
            <v>42281.020220000006</v>
          </cell>
        </row>
        <row r="20">
          <cell r="A20">
            <v>210022</v>
          </cell>
          <cell r="B20">
            <v>340441.89989</v>
          </cell>
          <cell r="C20">
            <v>24299.850930000015</v>
          </cell>
        </row>
        <row r="21">
          <cell r="A21">
            <v>210023</v>
          </cell>
          <cell r="B21">
            <v>639647.92535000003</v>
          </cell>
          <cell r="C21">
            <v>27523.805103730061</v>
          </cell>
        </row>
        <row r="22">
          <cell r="A22">
            <v>210024</v>
          </cell>
          <cell r="B22">
            <v>398636.76046000002</v>
          </cell>
          <cell r="C22">
            <v>14304.847484097992</v>
          </cell>
        </row>
        <row r="23">
          <cell r="A23">
            <v>210028</v>
          </cell>
          <cell r="B23">
            <v>181373.90457000001</v>
          </cell>
          <cell r="C23">
            <v>23188.603718870905</v>
          </cell>
        </row>
        <row r="24">
          <cell r="A24">
            <v>210029</v>
          </cell>
          <cell r="B24">
            <v>658221.10532490106</v>
          </cell>
          <cell r="C24">
            <v>-22336.231222475759</v>
          </cell>
        </row>
        <row r="25">
          <cell r="A25">
            <v>210030</v>
          </cell>
          <cell r="B25">
            <v>48441.671063762333</v>
          </cell>
          <cell r="C25">
            <v>12637.175567022372</v>
          </cell>
        </row>
        <row r="26">
          <cell r="A26">
            <v>210032</v>
          </cell>
          <cell r="B26">
            <v>148097.41714999999</v>
          </cell>
          <cell r="C26">
            <v>-11279.24310371402</v>
          </cell>
        </row>
        <row r="27">
          <cell r="A27">
            <v>210033</v>
          </cell>
          <cell r="B27">
            <v>233764.92336999995</v>
          </cell>
          <cell r="C27">
            <v>21479.304234615352</v>
          </cell>
        </row>
        <row r="28">
          <cell r="A28">
            <v>210034</v>
          </cell>
          <cell r="B28">
            <v>177084.0015112065</v>
          </cell>
          <cell r="C28">
            <v>8956.7829142427654</v>
          </cell>
        </row>
        <row r="29">
          <cell r="A29">
            <v>210035</v>
          </cell>
          <cell r="B29">
            <v>150694</v>
          </cell>
          <cell r="C29">
            <v>8214.744912756054</v>
          </cell>
        </row>
        <row r="30">
          <cell r="A30">
            <v>210037</v>
          </cell>
          <cell r="B30">
            <v>250878.25511754447</v>
          </cell>
          <cell r="C30">
            <v>70407.711424016714</v>
          </cell>
        </row>
        <row r="31">
          <cell r="A31">
            <v>210038</v>
          </cell>
          <cell r="B31">
            <v>202366.14087529405</v>
          </cell>
          <cell r="C31">
            <v>-4780.9697477925802</v>
          </cell>
        </row>
        <row r="32">
          <cell r="A32">
            <v>210039</v>
          </cell>
          <cell r="B32">
            <v>148723.76846000002</v>
          </cell>
          <cell r="C32">
            <v>13294.516398939566</v>
          </cell>
        </row>
        <row r="33">
          <cell r="A33">
            <v>210040</v>
          </cell>
          <cell r="B33">
            <v>266131.49900000001</v>
          </cell>
          <cell r="C33">
            <v>25384.957962994202</v>
          </cell>
        </row>
        <row r="34">
          <cell r="A34">
            <v>210043</v>
          </cell>
          <cell r="B34">
            <v>448519.98441000009</v>
          </cell>
          <cell r="C34">
            <v>42916.155134987843</v>
          </cell>
        </row>
        <row r="35">
          <cell r="A35">
            <v>210044</v>
          </cell>
          <cell r="B35">
            <v>439693.55</v>
          </cell>
          <cell r="C35">
            <v>43639.052052116778</v>
          </cell>
        </row>
        <row r="36">
          <cell r="A36">
            <v>210045</v>
          </cell>
          <cell r="B36">
            <v>4781.7749999999996</v>
          </cell>
          <cell r="C36">
            <v>-2295.0250000000015</v>
          </cell>
        </row>
        <row r="37">
          <cell r="A37">
            <v>210048</v>
          </cell>
          <cell r="B37">
            <v>300025.20695000002</v>
          </cell>
          <cell r="C37">
            <v>-8743.45119599998</v>
          </cell>
        </row>
        <row r="38">
          <cell r="A38">
            <v>210049</v>
          </cell>
          <cell r="B38">
            <v>322460.22439060232</v>
          </cell>
          <cell r="C38">
            <v>52259.448406550691</v>
          </cell>
        </row>
        <row r="39">
          <cell r="A39">
            <v>210051</v>
          </cell>
          <cell r="B39">
            <v>225247.82914752857</v>
          </cell>
          <cell r="C39">
            <v>-4674.6586080657435</v>
          </cell>
        </row>
        <row r="40">
          <cell r="A40">
            <v>210055</v>
          </cell>
          <cell r="B40">
            <v>23322.008020000012</v>
          </cell>
          <cell r="C40">
            <v>-8470.9893327046775</v>
          </cell>
        </row>
        <row r="41">
          <cell r="A41">
            <v>210056</v>
          </cell>
          <cell r="B41">
            <v>252066.01117999991</v>
          </cell>
          <cell r="C41">
            <v>15585.257442805392</v>
          </cell>
        </row>
        <row r="42">
          <cell r="A42">
            <v>210058</v>
          </cell>
          <cell r="B42">
            <v>119192.50143000002</v>
          </cell>
          <cell r="C42">
            <v>15831.795669797721</v>
          </cell>
        </row>
        <row r="43">
          <cell r="A43">
            <v>210061</v>
          </cell>
          <cell r="B43">
            <v>112864.81668</v>
          </cell>
          <cell r="C43">
            <v>20867.021725869738</v>
          </cell>
        </row>
        <row r="44">
          <cell r="A44">
            <v>210062</v>
          </cell>
          <cell r="B44">
            <v>260470.56826999996</v>
          </cell>
          <cell r="C44">
            <v>2208.6932736992894</v>
          </cell>
        </row>
        <row r="45">
          <cell r="A45">
            <v>210063</v>
          </cell>
          <cell r="B45">
            <v>374115.93327216257</v>
          </cell>
          <cell r="C45">
            <v>46813.118330985249</v>
          </cell>
        </row>
        <row r="46">
          <cell r="A46">
            <v>210064</v>
          </cell>
          <cell r="B46">
            <v>64130.600580000006</v>
          </cell>
          <cell r="C46">
            <v>17178.654817735012</v>
          </cell>
        </row>
        <row r="47">
          <cell r="A47">
            <v>210065</v>
          </cell>
          <cell r="B47">
            <v>124636.88400000001</v>
          </cell>
          <cell r="C47">
            <v>-959.95690094761085</v>
          </cell>
        </row>
        <row r="48">
          <cell r="A48">
            <v>210088</v>
          </cell>
          <cell r="B48">
            <v>6882</v>
          </cell>
          <cell r="C48">
            <v>-755</v>
          </cell>
        </row>
        <row r="49">
          <cell r="A49">
            <v>210333</v>
          </cell>
          <cell r="B49">
            <v>12894.996969999997</v>
          </cell>
          <cell r="C49">
            <v>-1707.4879991324469</v>
          </cell>
        </row>
        <row r="50">
          <cell r="A50">
            <v>213300</v>
          </cell>
          <cell r="B50">
            <v>58234.419460000005</v>
          </cell>
          <cell r="C50">
            <v>1352.9567680600812</v>
          </cell>
        </row>
        <row r="51">
          <cell r="A51">
            <v>214000</v>
          </cell>
          <cell r="B51">
            <v>153962.51628999997</v>
          </cell>
          <cell r="C51">
            <v>-9259.6057812487707</v>
          </cell>
        </row>
        <row r="52">
          <cell r="A52">
            <v>214003</v>
          </cell>
          <cell r="B52">
            <v>20599.5</v>
          </cell>
          <cell r="C52">
            <v>-1912.3000000000029</v>
          </cell>
        </row>
        <row r="53">
          <cell r="A53">
            <v>214020</v>
          </cell>
          <cell r="B53">
            <v>7278</v>
          </cell>
          <cell r="C53">
            <v>-610.17927418727777</v>
          </cell>
        </row>
        <row r="54">
          <cell r="A54">
            <v>218992</v>
          </cell>
          <cell r="B54">
            <v>220061.53693</v>
          </cell>
          <cell r="C54">
            <v>29492.436930000025</v>
          </cell>
        </row>
        <row r="55">
          <cell r="A55" t="str">
            <v>(blank)</v>
          </cell>
        </row>
        <row r="56">
          <cell r="A56" t="str">
            <v>Grand Total</v>
          </cell>
          <cell r="B56">
            <v>16142691.878239283</v>
          </cell>
          <cell r="C56">
            <v>936487.92539178696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Hospital Summary"/>
      <sheetName val="Rate Application - REM Cycle I"/>
      <sheetName val="Rate Application - REM Cycle II"/>
      <sheetName val="Rate Application - REM Summary"/>
      <sheetName val="Rate Application - ICC Cycle I"/>
      <sheetName val="Rate Application - ICC Cycle II"/>
      <sheetName val="Rate Application - ICC Summary"/>
      <sheetName val="Rate Application - ICC Correl"/>
      <sheetName val="Integrated Effic - REM Cycle II"/>
      <sheetName val="Integrated Effic - REM Summary"/>
      <sheetName val="Integrated Effic - ICC Cycle I"/>
      <sheetName val="Integrated Effic - ICC Cycle II"/>
      <sheetName val="Integrated Effic - ICC Correl"/>
      <sheetName val="Integrated Effic Bell Curve"/>
      <sheetName val="Integrated Effic - ICC Summary"/>
      <sheetName val="Capital Methodol - REM Cycle II"/>
      <sheetName val="Capital Methodol - REM Summary"/>
      <sheetName val="Capital Methodol - ICC Cycle II"/>
      <sheetName val="Capital Methodol - ICC Summary"/>
      <sheetName val="Drug Overhead"/>
      <sheetName val="LMA"/>
      <sheetName val="IME"/>
      <sheetName val="RESCMAD"/>
      <sheetName val="DME"/>
      <sheetName val="Prorated Residents"/>
      <sheetName val="PROFIT"/>
      <sheetName val="Excess Capacity"/>
      <sheetName val="Room &amp; Board Costs Percentage"/>
      <sheetName val="PAU Volume"/>
      <sheetName val="Variable Input"/>
      <sheetName val="Volume"/>
      <sheetName val="Revenue for Reform-ICC Cycle I"/>
      <sheetName val="Revenue for Reform-ICC Cycle II"/>
      <sheetName val="Revenue for Reform-ICC Summary"/>
      <sheetName val="GBR Revenue for ICC"/>
      <sheetName val="GBR Case Mix Reconciliation"/>
      <sheetName val="Oncology Drugs"/>
      <sheetName val="Chronic Revenue"/>
      <sheetName val="Categorical Exclusions"/>
      <sheetName val="vlookup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Rate Application - ICC Cycle II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S1"/>
          <cell r="T1"/>
          <cell r="U1"/>
          <cell r="V1"/>
          <cell r="W1"/>
          <cell r="X1"/>
          <cell r="Z1"/>
        </row>
        <row r="2">
          <cell r="A2" t="str">
            <v>HOSPID</v>
          </cell>
          <cell r="B2" t="str">
            <v>HOSPITAL NAME</v>
          </cell>
          <cell r="C2" t="str">
            <v>PEER GROUP</v>
          </cell>
          <cell r="D2" t="str">
            <v>REM PEER STANDARD EFFICIENCY CHARGE Less Profit (ICC Standard)</v>
          </cell>
          <cell r="E2" t="str">
            <v xml:space="preserve"> Excess Capacity per Hospital</v>
          </cell>
          <cell r="F2" t="str">
            <v>Weighted Excess Capacity</v>
          </cell>
          <cell r="G2" t="str">
            <v xml:space="preserve"> Excess Capacity per Peer Group</v>
          </cell>
          <cell r="H2" t="str">
            <v>ICC Standard Adjusted for Excess Capacity</v>
          </cell>
          <cell r="I2" t="str">
            <v>ECMAD</v>
          </cell>
          <cell r="J2" t="str">
            <v>IME Adjustment Per ECMAD</v>
          </cell>
          <cell r="K2" t="str">
            <v>ICC Standard Adjusted for IME</v>
          </cell>
          <cell r="L2" t="str">
            <v>TOTAL ICC PERMANENT REVENUE ADJUSTED FOR IME/DSH</v>
          </cell>
          <cell r="M2" t="str">
            <v>LMA</v>
          </cell>
          <cell r="N2" t="str">
            <v>TOTAL ICC PERMANENT REVENUE ADJUSTED FOR LMA</v>
          </cell>
          <cell r="O2" t="str">
            <v>ICC Standard Adjusted for LMA</v>
          </cell>
          <cell r="P2" t="str">
            <v>DIRECT STRIP</v>
          </cell>
          <cell r="Q2" t="str">
            <v>TOTAL ICC PERMANENT REVENUE ADJUSTED FOR DIRECT STRIP</v>
          </cell>
          <cell r="R2" t="str">
            <v>ICC Standard Adjusted for Direct Strip</v>
          </cell>
          <cell r="S2" t="str">
            <v>MARKUP</v>
          </cell>
          <cell r="T2" t="str">
            <v>TOTAL ICC PERMANENT REVENUE ADJUSTED FOR MARKUP</v>
          </cell>
          <cell r="U2" t="str">
            <v>ICC Standard Adjusted for Markup</v>
          </cell>
          <cell r="V2" t="str">
            <v>PAU &amp; Genreal Volume ECMADS</v>
          </cell>
          <cell r="W2" t="str">
            <v>ECMADS ADJUSTED FOR PAU &amp; General Volume</v>
          </cell>
          <cell r="X2" t="str">
            <v xml:space="preserve">TOTAL ECMAD APPROVED ICC  REVENUE </v>
          </cell>
          <cell r="Y2" t="str">
            <v>TOTAL PERMANENT ICC REVENUE</v>
          </cell>
          <cell r="Z2" t="str">
            <v>% OVER/UNDER  TOTAL PERMANENT REVENUE</v>
          </cell>
          <cell r="AA2" t="str">
            <v>Non-ECMAD Revenue to be added back to the ICC</v>
          </cell>
          <cell r="AB2" t="str">
            <v>Non-ECMAD Revenue to be added back to the ICC with ICC Result</v>
          </cell>
          <cell r="AC2" t="str">
            <v>TOTAL Rate Application REVENUE without Drugs</v>
          </cell>
          <cell r="AD2" t="str">
            <v>TOTAL ICC Approved Rate Application REVENUE without Drugs</v>
          </cell>
          <cell r="AE2" t="str">
            <v>Included in Statewide Value</v>
          </cell>
        </row>
        <row r="3">
          <cell r="A3">
            <v>210001</v>
          </cell>
          <cell r="B3" t="str">
            <v>MERITUS MEDICAL CENTER</v>
          </cell>
          <cell r="C3">
            <v>3</v>
          </cell>
          <cell r="D3">
            <v>11494.737334175063</v>
          </cell>
          <cell r="E3">
            <v>0</v>
          </cell>
          <cell r="F3">
            <v>0</v>
          </cell>
          <cell r="G3">
            <v>0</v>
          </cell>
          <cell r="H3">
            <v>11494.737334175063</v>
          </cell>
          <cell r="I3">
            <v>26619.50103849114</v>
          </cell>
          <cell r="J3">
            <v>0</v>
          </cell>
          <cell r="K3">
            <v>11494.737334175063</v>
          </cell>
          <cell r="L3">
            <v>305984172.40425599</v>
          </cell>
          <cell r="M3">
            <v>0.99671861092415948</v>
          </cell>
          <cell r="N3">
            <v>304980119.28354853</v>
          </cell>
          <cell r="O3">
            <v>11457.018628657044</v>
          </cell>
          <cell r="P3">
            <v>3290507.2285114108</v>
          </cell>
          <cell r="Q3">
            <v>308270626.51205993</v>
          </cell>
          <cell r="R3">
            <v>11580.631284797872</v>
          </cell>
          <cell r="S3">
            <v>1.1125595900638841</v>
          </cell>
          <cell r="T3">
            <v>342969441.8609941</v>
          </cell>
          <cell r="U3">
            <v>12884.142394895711</v>
          </cell>
          <cell r="V3">
            <v>0</v>
          </cell>
          <cell r="W3">
            <v>26619.50103849114</v>
          </cell>
          <cell r="X3">
            <v>342969441.8609941</v>
          </cell>
          <cell r="Y3">
            <v>368710793.99844563</v>
          </cell>
          <cell r="Z3">
            <v>-6.9814479414345709E-2</v>
          </cell>
          <cell r="AA3">
            <v>0</v>
          </cell>
          <cell r="AB3">
            <v>0</v>
          </cell>
          <cell r="AC3">
            <v>368710793.99844563</v>
          </cell>
          <cell r="AD3">
            <v>342969441.8609941</v>
          </cell>
          <cell r="AE3">
            <v>1</v>
          </cell>
        </row>
        <row r="4">
          <cell r="A4">
            <v>210002</v>
          </cell>
          <cell r="B4" t="str">
            <v>UNIVERSITY OF MARYLAND MEDICAL CENTER</v>
          </cell>
          <cell r="C4">
            <v>5</v>
          </cell>
          <cell r="D4">
            <v>15032.594926221554</v>
          </cell>
          <cell r="E4">
            <v>0</v>
          </cell>
          <cell r="F4">
            <v>0</v>
          </cell>
          <cell r="G4">
            <v>-300.65189852443115</v>
          </cell>
          <cell r="H4">
            <v>15032.594926221554</v>
          </cell>
          <cell r="I4">
            <v>59461.264530919943</v>
          </cell>
          <cell r="J4">
            <v>2674.2625813638347</v>
          </cell>
          <cell r="K4">
            <v>17706.857507585388</v>
          </cell>
          <cell r="L4">
            <v>1052872138.2698405</v>
          </cell>
          <cell r="M4">
            <v>0.99671861092415948</v>
          </cell>
          <cell r="N4">
            <v>1049417255.1370649</v>
          </cell>
          <cell r="O4">
            <v>17648.75441879253</v>
          </cell>
          <cell r="P4">
            <v>52767109.29482726</v>
          </cell>
          <cell r="Q4">
            <v>1102184364.4318922</v>
          </cell>
          <cell r="R4">
            <v>18536.174316621786</v>
          </cell>
          <cell r="S4">
            <v>1.1082787301058081</v>
          </cell>
          <cell r="T4">
            <v>1221527487.7550547</v>
          </cell>
          <cell r="U4">
            <v>20543.247732645486</v>
          </cell>
          <cell r="V4">
            <v>0</v>
          </cell>
          <cell r="W4">
            <v>59461.264530919943</v>
          </cell>
          <cell r="X4">
            <v>1221527487.7550547</v>
          </cell>
          <cell r="Y4">
            <v>1363046478.5751929</v>
          </cell>
          <cell r="Z4">
            <v>-0.10382550635255627</v>
          </cell>
          <cell r="AA4">
            <v>0</v>
          </cell>
          <cell r="AB4">
            <v>0</v>
          </cell>
          <cell r="AC4">
            <v>1363046478.5751929</v>
          </cell>
          <cell r="AD4">
            <v>1221527487.7550547</v>
          </cell>
          <cell r="AE4">
            <v>1</v>
          </cell>
        </row>
        <row r="5">
          <cell r="A5">
            <v>210003</v>
          </cell>
          <cell r="B5" t="str">
            <v>PRINCE GEORGES HOSPITAL CENTER</v>
          </cell>
          <cell r="C5">
            <v>4</v>
          </cell>
          <cell r="D5">
            <v>14059.453544722594</v>
          </cell>
          <cell r="E5">
            <v>0</v>
          </cell>
          <cell r="F5">
            <v>0</v>
          </cell>
          <cell r="G5">
            <v>0</v>
          </cell>
          <cell r="H5">
            <v>14059.453544722594</v>
          </cell>
          <cell r="I5">
            <v>17595.788058902563</v>
          </cell>
          <cell r="J5">
            <v>327.03379622990684</v>
          </cell>
          <cell r="K5">
            <v>14386.487340952501</v>
          </cell>
          <cell r="L5">
            <v>253141582.1634849</v>
          </cell>
          <cell r="M5">
            <v>1.0181752931904677</v>
          </cell>
          <cell r="N5">
            <v>257742504.63800511</v>
          </cell>
          <cell r="O5">
            <v>14647.965966355265</v>
          </cell>
          <cell r="P5">
            <v>9943457.707362337</v>
          </cell>
          <cell r="Q5">
            <v>267685962.34536743</v>
          </cell>
          <cell r="R5">
            <v>15213.070392146041</v>
          </cell>
          <cell r="S5">
            <v>1.1124197944130276</v>
          </cell>
          <cell r="T5">
            <v>297779163.19948709</v>
          </cell>
          <cell r="U5">
            <v>16923.320638022014</v>
          </cell>
          <cell r="V5">
            <v>0</v>
          </cell>
          <cell r="W5">
            <v>17595.788058902563</v>
          </cell>
          <cell r="X5">
            <v>297779163.19948703</v>
          </cell>
          <cell r="Y5">
            <v>344442179.9078452</v>
          </cell>
          <cell r="Z5">
            <v>-0.13547416498421527</v>
          </cell>
          <cell r="AA5">
            <v>0</v>
          </cell>
          <cell r="AB5">
            <v>0</v>
          </cell>
          <cell r="AC5">
            <v>344442179.9078452</v>
          </cell>
          <cell r="AD5">
            <v>297779163.19948703</v>
          </cell>
          <cell r="AE5">
            <v>1</v>
          </cell>
        </row>
        <row r="6">
          <cell r="A6">
            <v>210004</v>
          </cell>
          <cell r="B6" t="str">
            <v>HOLY CROSS HOSPITAL</v>
          </cell>
          <cell r="C6" t="str">
            <v>NA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38081.297805077251</v>
          </cell>
          <cell r="J6">
            <v>59.813880799327308</v>
          </cell>
          <cell r="K6">
            <v>59.813880799327308</v>
          </cell>
          <cell r="L6">
            <v>2277790.2075965754</v>
          </cell>
          <cell r="M6">
            <v>1.0181752931904677</v>
          </cell>
          <cell r="N6">
            <v>2319189.7124460195</v>
          </cell>
          <cell r="O6">
            <v>60.901015619714769</v>
          </cell>
          <cell r="P6">
            <v>1403028.2238295362</v>
          </cell>
          <cell r="Q6">
            <v>3722217.9362755558</v>
          </cell>
          <cell r="R6">
            <v>97.743988540728907</v>
          </cell>
          <cell r="S6">
            <v>1.103417335211333</v>
          </cell>
          <cell r="T6">
            <v>4107159.7963210009</v>
          </cell>
          <cell r="U6">
            <v>107.85241136853816</v>
          </cell>
          <cell r="V6">
            <v>0</v>
          </cell>
          <cell r="W6">
            <v>38081.297805077251</v>
          </cell>
          <cell r="X6">
            <v>4107159.7963210009</v>
          </cell>
          <cell r="Y6">
            <v>517502465.31461585</v>
          </cell>
          <cell r="Z6">
            <v>-0.99206349713943087</v>
          </cell>
          <cell r="AA6">
            <v>0</v>
          </cell>
          <cell r="AB6">
            <v>0</v>
          </cell>
          <cell r="AC6">
            <v>517502465.31461585</v>
          </cell>
          <cell r="AD6">
            <v>4107159.7963210009</v>
          </cell>
        </row>
        <row r="7">
          <cell r="A7">
            <v>210005</v>
          </cell>
          <cell r="B7" t="str">
            <v>FREDERICK MEMORIAL HOSPITAL</v>
          </cell>
          <cell r="C7">
            <v>3</v>
          </cell>
          <cell r="D7">
            <v>11494.737334175063</v>
          </cell>
          <cell r="E7">
            <v>0</v>
          </cell>
          <cell r="F7">
            <v>0</v>
          </cell>
          <cell r="G7">
            <v>0</v>
          </cell>
          <cell r="H7">
            <v>11494.737334175063</v>
          </cell>
          <cell r="I7">
            <v>25696.740936307477</v>
          </cell>
          <cell r="J7">
            <v>0</v>
          </cell>
          <cell r="K7">
            <v>11494.737334175063</v>
          </cell>
          <cell r="L7">
            <v>295377287.40719819</v>
          </cell>
          <cell r="M7">
            <v>0.99671861092415948</v>
          </cell>
          <cell r="N7">
            <v>294408039.6030488</v>
          </cell>
          <cell r="O7">
            <v>11457.018628657044</v>
          </cell>
          <cell r="P7">
            <v>499976.94573919184</v>
          </cell>
          <cell r="Q7">
            <v>294908016.54878801</v>
          </cell>
          <cell r="R7">
            <v>11476.475451877484</v>
          </cell>
          <cell r="S7">
            <v>1.1067037674041424</v>
          </cell>
          <cell r="T7">
            <v>326375812.95222688</v>
          </cell>
          <cell r="U7">
            <v>12701.05861911397</v>
          </cell>
          <cell r="V7">
            <v>0</v>
          </cell>
          <cell r="W7">
            <v>25696.740936307477</v>
          </cell>
          <cell r="X7">
            <v>326375812.95222688</v>
          </cell>
          <cell r="Y7">
            <v>360857545.22088104</v>
          </cell>
          <cell r="Z7">
            <v>-9.5554970999838451E-2</v>
          </cell>
          <cell r="AA7">
            <v>0</v>
          </cell>
          <cell r="AB7">
            <v>0</v>
          </cell>
          <cell r="AC7">
            <v>360857545.22088104</v>
          </cell>
          <cell r="AD7">
            <v>326375812.95222688</v>
          </cell>
          <cell r="AE7">
            <v>1</v>
          </cell>
        </row>
        <row r="8">
          <cell r="A8">
            <v>210006</v>
          </cell>
          <cell r="B8" t="str">
            <v>UM-HARFORD MEMORIAL HOSPITAL</v>
          </cell>
          <cell r="C8">
            <v>3</v>
          </cell>
          <cell r="D8">
            <v>11494.737334175063</v>
          </cell>
          <cell r="E8">
            <v>0</v>
          </cell>
          <cell r="F8">
            <v>0</v>
          </cell>
          <cell r="G8">
            <v>0</v>
          </cell>
          <cell r="H8">
            <v>11494.737334175063</v>
          </cell>
          <cell r="I8">
            <v>7009.3958456196124</v>
          </cell>
          <cell r="J8">
            <v>0</v>
          </cell>
          <cell r="K8">
            <v>11494.737334175063</v>
          </cell>
          <cell r="L8">
            <v>80571164.116655335</v>
          </cell>
          <cell r="M8">
            <v>0.99671861092415948</v>
          </cell>
          <cell r="N8">
            <v>80306778.778895184</v>
          </cell>
          <cell r="O8">
            <v>11457.018628657042</v>
          </cell>
          <cell r="P8">
            <v>0</v>
          </cell>
          <cell r="Q8">
            <v>80306778.778895184</v>
          </cell>
          <cell r="R8">
            <v>11457.018628657042</v>
          </cell>
          <cell r="S8">
            <v>1.109223872023541</v>
          </cell>
          <cell r="T8">
            <v>89078196.10686405</v>
          </cell>
          <cell r="U8">
            <v>12708.398565124804</v>
          </cell>
          <cell r="V8">
            <v>0</v>
          </cell>
          <cell r="W8">
            <v>7009.3958456196124</v>
          </cell>
          <cell r="X8">
            <v>89078196.10686405</v>
          </cell>
          <cell r="Y8">
            <v>108217974.62571737</v>
          </cell>
          <cell r="Z8">
            <v>-0.17686321135698713</v>
          </cell>
          <cell r="AA8">
            <v>0</v>
          </cell>
          <cell r="AB8">
            <v>0</v>
          </cell>
          <cell r="AC8">
            <v>108217974.62571737</v>
          </cell>
          <cell r="AD8">
            <v>89078196.10686405</v>
          </cell>
          <cell r="AE8">
            <v>1</v>
          </cell>
        </row>
        <row r="9">
          <cell r="A9">
            <v>210008</v>
          </cell>
          <cell r="B9" t="str">
            <v>MERCY MEDICAL CENTER</v>
          </cell>
          <cell r="C9">
            <v>4</v>
          </cell>
          <cell r="D9">
            <v>14059.453544722594</v>
          </cell>
          <cell r="E9">
            <v>0</v>
          </cell>
          <cell r="F9">
            <v>0</v>
          </cell>
          <cell r="G9">
            <v>0</v>
          </cell>
          <cell r="H9">
            <v>14059.453544722594</v>
          </cell>
          <cell r="I9">
            <v>35673.090260246754</v>
          </cell>
          <cell r="J9">
            <v>181.91035232456531</v>
          </cell>
          <cell r="K9">
            <v>14241.363897047158</v>
          </cell>
          <cell r="L9">
            <v>508033459.72838277</v>
          </cell>
          <cell r="M9">
            <v>0.99671861092415948</v>
          </cell>
          <cell r="N9">
            <v>506366404.2834686</v>
          </cell>
          <cell r="O9">
            <v>14194.632441130319</v>
          </cell>
          <cell r="P9">
            <v>5222205.8638570011</v>
          </cell>
          <cell r="Q9">
            <v>511588610.14732563</v>
          </cell>
          <cell r="R9">
            <v>14341.023062905986</v>
          </cell>
          <cell r="S9">
            <v>1.1037457657417868</v>
          </cell>
          <cell r="T9">
            <v>564663762.25183642</v>
          </cell>
          <cell r="U9">
            <v>15828.843482087794</v>
          </cell>
          <cell r="V9">
            <v>0</v>
          </cell>
          <cell r="W9">
            <v>35673.090260246754</v>
          </cell>
          <cell r="X9">
            <v>564663762.25183642</v>
          </cell>
          <cell r="Y9">
            <v>538516504.83492351</v>
          </cell>
          <cell r="Z9">
            <v>4.8554235909497478E-2</v>
          </cell>
          <cell r="AA9">
            <v>0</v>
          </cell>
          <cell r="AB9">
            <v>0</v>
          </cell>
          <cell r="AC9">
            <v>538516504.83492351</v>
          </cell>
          <cell r="AD9">
            <v>564663762.25183642</v>
          </cell>
          <cell r="AE9">
            <v>1</v>
          </cell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15032.594926221554</v>
          </cell>
          <cell r="E10">
            <v>0</v>
          </cell>
          <cell r="F10">
            <v>0</v>
          </cell>
          <cell r="G10">
            <v>-300.65189852443115</v>
          </cell>
          <cell r="H10">
            <v>15032.594926221554</v>
          </cell>
          <cell r="I10">
            <v>107197.39183395408</v>
          </cell>
          <cell r="J10">
            <v>2451.508278398871</v>
          </cell>
          <cell r="K10">
            <v>17484.103204620427</v>
          </cell>
          <cell r="L10">
            <v>1874250262.0909882</v>
          </cell>
          <cell r="M10">
            <v>0.99671861092415948</v>
          </cell>
          <cell r="N10">
            <v>1868100117.7555716</v>
          </cell>
          <cell r="O10">
            <v>17426.731059363916</v>
          </cell>
          <cell r="P10">
            <v>116178105.15508722</v>
          </cell>
          <cell r="Q10">
            <v>1984278222.9106588</v>
          </cell>
          <cell r="R10">
            <v>18510.50840849051</v>
          </cell>
          <cell r="S10">
            <v>1.102608290464433</v>
          </cell>
          <cell r="T10">
            <v>2187881619.1693244</v>
          </cell>
          <cell r="U10">
            <v>20409.840031913231</v>
          </cell>
          <cell r="V10">
            <v>0</v>
          </cell>
          <cell r="W10">
            <v>107197.39183395408</v>
          </cell>
          <cell r="X10">
            <v>2187881619.1693244</v>
          </cell>
          <cell r="Y10">
            <v>2271913453.7494617</v>
          </cell>
          <cell r="Z10">
            <v>-3.6987251623275985E-2</v>
          </cell>
          <cell r="AA10">
            <v>0</v>
          </cell>
          <cell r="AB10">
            <v>0</v>
          </cell>
          <cell r="AC10">
            <v>2271913453.7494617</v>
          </cell>
          <cell r="AD10">
            <v>2187881619.1693244</v>
          </cell>
          <cell r="AE10">
            <v>1</v>
          </cell>
        </row>
        <row r="11">
          <cell r="A11">
            <v>210010</v>
          </cell>
          <cell r="B11" t="str">
            <v>UM-SHORE REGIONAL HEALTH AT DORCHESTER</v>
          </cell>
          <cell r="C11">
            <v>3</v>
          </cell>
          <cell r="D11">
            <v>11494.737334175063</v>
          </cell>
          <cell r="E11">
            <v>0</v>
          </cell>
          <cell r="F11">
            <v>0</v>
          </cell>
          <cell r="G11">
            <v>0</v>
          </cell>
          <cell r="H11">
            <v>11494.737334175063</v>
          </cell>
          <cell r="I11">
            <v>2867.8460524598017</v>
          </cell>
          <cell r="J11">
            <v>0</v>
          </cell>
          <cell r="K11">
            <v>11494.737334175063</v>
          </cell>
          <cell r="L11">
            <v>32965137.087876257</v>
          </cell>
          <cell r="M11">
            <v>0.99671861092415948</v>
          </cell>
          <cell r="N11">
            <v>32856965.647152513</v>
          </cell>
          <cell r="O11">
            <v>11457.018628657044</v>
          </cell>
          <cell r="P11">
            <v>108600</v>
          </cell>
          <cell r="Q11">
            <v>32965565.647152513</v>
          </cell>
          <cell r="R11">
            <v>11494.886770117026</v>
          </cell>
          <cell r="S11">
            <v>1.1194475957315877</v>
          </cell>
          <cell r="T11">
            <v>36903223.205636702</v>
          </cell>
          <cell r="U11">
            <v>12867.923358014341</v>
          </cell>
          <cell r="V11">
            <v>0</v>
          </cell>
          <cell r="W11">
            <v>2867.8460524598017</v>
          </cell>
          <cell r="X11">
            <v>36903223.205636702</v>
          </cell>
          <cell r="Y11">
            <v>46170653.566977315</v>
          </cell>
          <cell r="Z11">
            <v>-0.20072122972868134</v>
          </cell>
          <cell r="AA11">
            <v>0</v>
          </cell>
          <cell r="AB11">
            <v>0</v>
          </cell>
          <cell r="AC11">
            <v>46170653.566977315</v>
          </cell>
          <cell r="AD11">
            <v>36903223.205636702</v>
          </cell>
          <cell r="AE11">
            <v>1</v>
          </cell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11779.983924519362</v>
          </cell>
          <cell r="E12">
            <v>0</v>
          </cell>
          <cell r="F12">
            <v>0</v>
          </cell>
          <cell r="G12">
            <v>-235.59967849038719</v>
          </cell>
          <cell r="H12">
            <v>11779.983924519362</v>
          </cell>
          <cell r="I12">
            <v>25447.521948057743</v>
          </cell>
          <cell r="J12">
            <v>343.90420265043787</v>
          </cell>
          <cell r="K12">
            <v>12123.888127169799</v>
          </cell>
          <cell r="L12">
            <v>308522909.21195018</v>
          </cell>
          <cell r="M12">
            <v>0.99671861092415948</v>
          </cell>
          <cell r="N12">
            <v>307510525.50801557</v>
          </cell>
          <cell r="O12">
            <v>12084.104933112594</v>
          </cell>
          <cell r="P12">
            <v>8508288.3865781873</v>
          </cell>
          <cell r="Q12">
            <v>316018813.89459378</v>
          </cell>
          <cell r="R12">
            <v>12418.451373757969</v>
          </cell>
          <cell r="S12">
            <v>1.1128601479295688</v>
          </cell>
          <cell r="T12">
            <v>351684743.9792645</v>
          </cell>
          <cell r="U12">
            <v>13819.999632856452</v>
          </cell>
          <cell r="V12">
            <v>0</v>
          </cell>
          <cell r="W12">
            <v>25447.521948057743</v>
          </cell>
          <cell r="X12">
            <v>351684743.9792645</v>
          </cell>
          <cell r="Y12">
            <v>424504692.37471879</v>
          </cell>
          <cell r="Z12">
            <v>-0.17154097399511115</v>
          </cell>
          <cell r="AA12">
            <v>0</v>
          </cell>
          <cell r="AB12">
            <v>0</v>
          </cell>
          <cell r="AC12">
            <v>424504692.37471879</v>
          </cell>
          <cell r="AD12">
            <v>351684743.9792645</v>
          </cell>
          <cell r="AE12">
            <v>1</v>
          </cell>
        </row>
        <row r="13">
          <cell r="A13">
            <v>210012</v>
          </cell>
          <cell r="B13" t="str">
            <v>SINAI HOSPITAL</v>
          </cell>
          <cell r="C13">
            <v>4</v>
          </cell>
          <cell r="D13">
            <v>14059.453544722594</v>
          </cell>
          <cell r="E13">
            <v>0</v>
          </cell>
          <cell r="F13">
            <v>0</v>
          </cell>
          <cell r="G13">
            <v>0</v>
          </cell>
          <cell r="H13">
            <v>14059.453544722594</v>
          </cell>
          <cell r="I13">
            <v>38332.784912257281</v>
          </cell>
          <cell r="J13">
            <v>394.05813122618474</v>
          </cell>
          <cell r="K13">
            <v>14453.511675948779</v>
          </cell>
          <cell r="L13">
            <v>554043354.30094385</v>
          </cell>
          <cell r="M13">
            <v>0.99671861092415948</v>
          </cell>
          <cell r="N13">
            <v>552225322.49059868</v>
          </cell>
          <cell r="O13">
            <v>14406.084080627788</v>
          </cell>
          <cell r="P13">
            <v>19079670.401033461</v>
          </cell>
          <cell r="Q13">
            <v>571304992.89163208</v>
          </cell>
          <cell r="R13">
            <v>14903.821733780469</v>
          </cell>
          <cell r="S13">
            <v>1.1112849031201628</v>
          </cell>
          <cell r="T13">
            <v>634882613.6776427</v>
          </cell>
          <cell r="U13">
            <v>16562.392091544407</v>
          </cell>
          <cell r="V13">
            <v>0</v>
          </cell>
          <cell r="W13">
            <v>38332.784912257281</v>
          </cell>
          <cell r="X13">
            <v>634882613.6776427</v>
          </cell>
          <cell r="Y13">
            <v>750237341.18508375</v>
          </cell>
          <cell r="Z13">
            <v>-0.1537576459807044</v>
          </cell>
          <cell r="AA13">
            <v>0</v>
          </cell>
          <cell r="AB13">
            <v>0</v>
          </cell>
          <cell r="AC13">
            <v>750237341.18508375</v>
          </cell>
          <cell r="AD13">
            <v>634882613.6776427</v>
          </cell>
          <cell r="AE13">
            <v>1</v>
          </cell>
        </row>
        <row r="14">
          <cell r="A14">
            <v>210013</v>
          </cell>
          <cell r="B14" t="str">
            <v>BON SECOURS HOSPITAL</v>
          </cell>
          <cell r="C14" t="str">
            <v>NA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4473.6534036291032</v>
          </cell>
          <cell r="J14">
            <v>0</v>
          </cell>
          <cell r="K14">
            <v>0</v>
          </cell>
          <cell r="L14">
            <v>0</v>
          </cell>
          <cell r="M14">
            <v>0.99671861092415948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1.124045673216447</v>
          </cell>
          <cell r="T14">
            <v>0</v>
          </cell>
          <cell r="U14">
            <v>0</v>
          </cell>
          <cell r="V14">
            <v>0</v>
          </cell>
          <cell r="W14">
            <v>4473.6534036291032</v>
          </cell>
          <cell r="X14">
            <v>0</v>
          </cell>
          <cell r="Y14">
            <v>50716073.53072989</v>
          </cell>
          <cell r="Z14">
            <v>-1</v>
          </cell>
          <cell r="AA14">
            <v>0</v>
          </cell>
          <cell r="AB14">
            <v>0</v>
          </cell>
          <cell r="AC14">
            <v>50716073.53072989</v>
          </cell>
          <cell r="AD14">
            <v>0</v>
          </cell>
          <cell r="AE14">
            <v>1</v>
          </cell>
        </row>
        <row r="15">
          <cell r="A15">
            <v>210015</v>
          </cell>
          <cell r="B15" t="str">
            <v>MEDSTAR FRANKLIN SQUARE</v>
          </cell>
          <cell r="C15">
            <v>1</v>
          </cell>
          <cell r="D15">
            <v>11779.983924519362</v>
          </cell>
          <cell r="E15">
            <v>0</v>
          </cell>
          <cell r="F15">
            <v>0</v>
          </cell>
          <cell r="G15">
            <v>-235.59967849038719</v>
          </cell>
          <cell r="H15">
            <v>11779.983924519362</v>
          </cell>
          <cell r="I15">
            <v>33440.23828701747</v>
          </cell>
          <cell r="J15">
            <v>217.48751675759581</v>
          </cell>
          <cell r="K15">
            <v>11997.471441276957</v>
          </cell>
          <cell r="L15">
            <v>401198303.83798838</v>
          </cell>
          <cell r="M15">
            <v>0.99671861092415948</v>
          </cell>
          <cell r="N15">
            <v>399881816.10652864</v>
          </cell>
          <cell r="O15">
            <v>11958.103069551842</v>
          </cell>
          <cell r="P15">
            <v>7850127.5629547518</v>
          </cell>
          <cell r="Q15">
            <v>407731943.66948336</v>
          </cell>
          <cell r="R15">
            <v>12192.854015271101</v>
          </cell>
          <cell r="S15">
            <v>1.1136152091745954</v>
          </cell>
          <cell r="T15">
            <v>454056493.73665607</v>
          </cell>
          <cell r="U15">
            <v>13578.147674651433</v>
          </cell>
          <cell r="V15">
            <v>0</v>
          </cell>
          <cell r="W15">
            <v>33440.23828701747</v>
          </cell>
          <cell r="X15">
            <v>454056493.73665607</v>
          </cell>
          <cell r="Y15">
            <v>535372097.11053395</v>
          </cell>
          <cell r="Z15">
            <v>-0.15188614388524868</v>
          </cell>
          <cell r="AA15">
            <v>0</v>
          </cell>
          <cell r="AB15">
            <v>0</v>
          </cell>
          <cell r="AC15">
            <v>535372097.11053395</v>
          </cell>
          <cell r="AD15">
            <v>454056493.73665607</v>
          </cell>
          <cell r="AE15">
            <v>1</v>
          </cell>
        </row>
        <row r="16">
          <cell r="A16">
            <v>210016</v>
          </cell>
          <cell r="B16" t="str">
            <v>WASHINGTON ADVENTIST HOSPITAL</v>
          </cell>
          <cell r="C16">
            <v>3</v>
          </cell>
          <cell r="D16">
            <v>11494.737334175063</v>
          </cell>
          <cell r="E16">
            <v>0</v>
          </cell>
          <cell r="F16">
            <v>0</v>
          </cell>
          <cell r="G16">
            <v>0</v>
          </cell>
          <cell r="H16">
            <v>11494.737334175063</v>
          </cell>
          <cell r="I16">
            <v>18885.128215518962</v>
          </cell>
          <cell r="J16">
            <v>0</v>
          </cell>
          <cell r="K16">
            <v>11494.737334175063</v>
          </cell>
          <cell r="L16">
            <v>217079588.35960868</v>
          </cell>
          <cell r="M16">
            <v>1.0181752931904677</v>
          </cell>
          <cell r="N16">
            <v>221025073.52371061</v>
          </cell>
          <cell r="O16">
            <v>11703.657555371108</v>
          </cell>
          <cell r="P16">
            <v>0</v>
          </cell>
          <cell r="Q16">
            <v>221025073.52371061</v>
          </cell>
          <cell r="R16">
            <v>11703.657555371108</v>
          </cell>
          <cell r="S16">
            <v>1.1138669383738617</v>
          </cell>
          <cell r="T16">
            <v>246192521.94971323</v>
          </cell>
          <cell r="U16">
            <v>13036.317208977332</v>
          </cell>
          <cell r="V16">
            <v>0</v>
          </cell>
          <cell r="W16">
            <v>18885.128215518962</v>
          </cell>
          <cell r="X16">
            <v>246192521.94971323</v>
          </cell>
          <cell r="Y16">
            <v>300441387.436185</v>
          </cell>
          <cell r="Z16">
            <v>-0.18056388951403857</v>
          </cell>
          <cell r="AA16">
            <v>0</v>
          </cell>
          <cell r="AB16">
            <v>0</v>
          </cell>
          <cell r="AC16">
            <v>300441387.436185</v>
          </cell>
          <cell r="AD16">
            <v>246192521.94971323</v>
          </cell>
          <cell r="AE16">
            <v>1</v>
          </cell>
        </row>
        <row r="17">
          <cell r="A17">
            <v>210017</v>
          </cell>
          <cell r="B17" t="str">
            <v>GARRETT COUNTY MEMORIAL HOSPITAL</v>
          </cell>
          <cell r="C17">
            <v>3</v>
          </cell>
          <cell r="D17">
            <v>11494.737334175063</v>
          </cell>
          <cell r="E17">
            <v>0</v>
          </cell>
          <cell r="F17">
            <v>0</v>
          </cell>
          <cell r="G17">
            <v>0</v>
          </cell>
          <cell r="H17">
            <v>11494.737334175063</v>
          </cell>
          <cell r="I17">
            <v>5313.6423125061883</v>
          </cell>
          <cell r="J17">
            <v>0</v>
          </cell>
          <cell r="K17">
            <v>11494.737334175063</v>
          </cell>
          <cell r="L17">
            <v>61078922.670017198</v>
          </cell>
          <cell r="M17">
            <v>0.99671861092415948</v>
          </cell>
          <cell r="N17">
            <v>60878498.960403696</v>
          </cell>
          <cell r="O17">
            <v>11457.018628657044</v>
          </cell>
          <cell r="P17">
            <v>0</v>
          </cell>
          <cell r="Q17">
            <v>60878498.960403696</v>
          </cell>
          <cell r="R17">
            <v>11457.018628657044</v>
          </cell>
          <cell r="S17">
            <v>1.112653094758054</v>
          </cell>
          <cell r="T17">
            <v>67736650.272518143</v>
          </cell>
          <cell r="U17">
            <v>12747.687233875937</v>
          </cell>
          <cell r="V17">
            <v>0</v>
          </cell>
          <cell r="W17">
            <v>5313.6423125061883</v>
          </cell>
          <cell r="X17">
            <v>67736650.272518143</v>
          </cell>
          <cell r="Y17">
            <v>61773225.430331163</v>
          </cell>
          <cell r="Z17">
            <v>9.6537371986713305E-2</v>
          </cell>
          <cell r="AA17">
            <v>0</v>
          </cell>
          <cell r="AB17">
            <v>0</v>
          </cell>
          <cell r="AC17">
            <v>61773225.430331163</v>
          </cell>
          <cell r="AD17">
            <v>67736650.272518143</v>
          </cell>
          <cell r="AE17">
            <v>1</v>
          </cell>
        </row>
        <row r="18">
          <cell r="A18">
            <v>210018</v>
          </cell>
          <cell r="B18" t="str">
            <v>MEDSTAR MONTGOMERY MEDICAL CENTER</v>
          </cell>
          <cell r="C18">
            <v>3</v>
          </cell>
          <cell r="D18">
            <v>11494.737334175063</v>
          </cell>
          <cell r="E18">
            <v>0</v>
          </cell>
          <cell r="F18">
            <v>0</v>
          </cell>
          <cell r="G18">
            <v>0</v>
          </cell>
          <cell r="H18">
            <v>11494.737334175063</v>
          </cell>
          <cell r="I18">
            <v>10447.178896850421</v>
          </cell>
          <cell r="J18">
            <v>0</v>
          </cell>
          <cell r="K18">
            <v>11494.737334175063</v>
          </cell>
          <cell r="L18">
            <v>120087577.30243237</v>
          </cell>
          <cell r="M18">
            <v>1.0181752931904677</v>
          </cell>
          <cell r="N18">
            <v>122270204.22843704</v>
          </cell>
          <cell r="O18">
            <v>11703.65755537111</v>
          </cell>
          <cell r="P18">
            <v>0</v>
          </cell>
          <cell r="Q18">
            <v>122270204.22843704</v>
          </cell>
          <cell r="R18">
            <v>11703.65755537111</v>
          </cell>
          <cell r="S18">
            <v>1.1092039030979186</v>
          </cell>
          <cell r="T18">
            <v>135622587.76276198</v>
          </cell>
          <cell r="U18">
            <v>12981.742640939077</v>
          </cell>
          <cell r="V18">
            <v>0</v>
          </cell>
          <cell r="W18">
            <v>10447.178896850421</v>
          </cell>
          <cell r="X18">
            <v>135622587.76276198</v>
          </cell>
          <cell r="Y18">
            <v>175022384.52083069</v>
          </cell>
          <cell r="Z18">
            <v>-0.22511290122081185</v>
          </cell>
          <cell r="AA18">
            <v>0</v>
          </cell>
          <cell r="AB18">
            <v>0</v>
          </cell>
          <cell r="AC18">
            <v>175022384.52083069</v>
          </cell>
          <cell r="AD18">
            <v>135622587.76276198</v>
          </cell>
          <cell r="AE18">
            <v>1</v>
          </cell>
        </row>
        <row r="19">
          <cell r="A19">
            <v>210019</v>
          </cell>
          <cell r="B19" t="str">
            <v>PENINSULA REGIONAL MEDICAL CENTER</v>
          </cell>
          <cell r="C19">
            <v>3</v>
          </cell>
          <cell r="D19">
            <v>11494.737334175063</v>
          </cell>
          <cell r="E19">
            <v>0</v>
          </cell>
          <cell r="F19">
            <v>0</v>
          </cell>
          <cell r="G19">
            <v>0</v>
          </cell>
          <cell r="H19">
            <v>11494.737334175063</v>
          </cell>
          <cell r="I19">
            <v>33268.839552419995</v>
          </cell>
          <cell r="J19">
            <v>0</v>
          </cell>
          <cell r="K19">
            <v>11494.737334175063</v>
          </cell>
          <cell r="L19">
            <v>382416572.06788212</v>
          </cell>
          <cell r="M19">
            <v>0.99671861092415948</v>
          </cell>
          <cell r="N19">
            <v>381161714.50587821</v>
          </cell>
          <cell r="O19">
            <v>11457.018628657046</v>
          </cell>
          <cell r="P19">
            <v>1895874.1381186121</v>
          </cell>
          <cell r="Q19">
            <v>383057588.64399683</v>
          </cell>
          <cell r="R19">
            <v>11514.005111011844</v>
          </cell>
          <cell r="S19">
            <v>1.1145315818768295</v>
          </cell>
          <cell r="T19">
            <v>426929780.22131765</v>
          </cell>
          <cell r="U19">
            <v>12832.722330113931</v>
          </cell>
          <cell r="V19">
            <v>0</v>
          </cell>
          <cell r="W19">
            <v>33268.839552419995</v>
          </cell>
          <cell r="X19">
            <v>426929780.22131765</v>
          </cell>
          <cell r="Y19">
            <v>454541784.07968408</v>
          </cell>
          <cell r="Z19">
            <v>-6.0746899021115852E-2</v>
          </cell>
          <cell r="AA19">
            <v>0</v>
          </cell>
          <cell r="AB19">
            <v>0</v>
          </cell>
          <cell r="AC19">
            <v>454541784.07968408</v>
          </cell>
          <cell r="AD19">
            <v>426929780.22131765</v>
          </cell>
          <cell r="AE19">
            <v>1</v>
          </cell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11779.983924519362</v>
          </cell>
          <cell r="E20">
            <v>0</v>
          </cell>
          <cell r="F20">
            <v>0</v>
          </cell>
          <cell r="G20">
            <v>-235.59967849038719</v>
          </cell>
          <cell r="H20">
            <v>11779.983924519362</v>
          </cell>
          <cell r="I20">
            <v>24752.093740490105</v>
          </cell>
          <cell r="J20">
            <v>19.373503735654179</v>
          </cell>
          <cell r="K20">
            <v>11799.357428255016</v>
          </cell>
          <cell r="L20">
            <v>292058801.14171642</v>
          </cell>
          <cell r="M20">
            <v>1.0181752931904677</v>
          </cell>
          <cell r="N20">
            <v>297367055.4813236</v>
          </cell>
          <cell r="O20">
            <v>12013.814208972673</v>
          </cell>
          <cell r="P20">
            <v>3893601.9149088315</v>
          </cell>
          <cell r="Q20">
            <v>301260657.39623243</v>
          </cell>
          <cell r="R20">
            <v>12171.118150842431</v>
          </cell>
          <cell r="S20">
            <v>1.1039909704781965</v>
          </cell>
          <cell r="T20">
            <v>332589045.52576607</v>
          </cell>
          <cell r="U20">
            <v>13436.804539153327</v>
          </cell>
          <cell r="V20">
            <v>0</v>
          </cell>
          <cell r="W20">
            <v>24752.093740490105</v>
          </cell>
          <cell r="X20">
            <v>332589045.52576607</v>
          </cell>
          <cell r="Y20">
            <v>342538188.60094124</v>
          </cell>
          <cell r="Z20">
            <v>-2.9045354375847321E-2</v>
          </cell>
          <cell r="AA20">
            <v>0</v>
          </cell>
          <cell r="AB20">
            <v>0</v>
          </cell>
          <cell r="AC20">
            <v>342538188.60094124</v>
          </cell>
          <cell r="AD20">
            <v>332589045.52576607</v>
          </cell>
          <cell r="AE20">
            <v>1</v>
          </cell>
        </row>
        <row r="21">
          <cell r="A21">
            <v>210023</v>
          </cell>
          <cell r="B21" t="str">
            <v>ANNE ARUNDEL MEDICAL CENTER</v>
          </cell>
          <cell r="C21">
            <v>3</v>
          </cell>
          <cell r="D21">
            <v>11494.737334175063</v>
          </cell>
          <cell r="E21">
            <v>0</v>
          </cell>
          <cell r="F21">
            <v>0</v>
          </cell>
          <cell r="G21">
            <v>0</v>
          </cell>
          <cell r="H21">
            <v>11494.737334175063</v>
          </cell>
          <cell r="I21">
            <v>48027.295893169314</v>
          </cell>
          <cell r="J21">
            <v>0</v>
          </cell>
          <cell r="K21">
            <v>11494.737334175063</v>
          </cell>
          <cell r="L21">
            <v>552061151.16268599</v>
          </cell>
          <cell r="M21">
            <v>0.99671861092415948</v>
          </cell>
          <cell r="N21">
            <v>550249623.73206484</v>
          </cell>
          <cell r="O21">
            <v>11457.018628657046</v>
          </cell>
          <cell r="P21">
            <v>0</v>
          </cell>
          <cell r="Q21">
            <v>550249623.73206484</v>
          </cell>
          <cell r="R21">
            <v>11457.018628657046</v>
          </cell>
          <cell r="S21">
            <v>1.1002959297555364</v>
          </cell>
          <cell r="T21">
            <v>605437421.34190631</v>
          </cell>
          <cell r="U21">
            <v>12606.110964244703</v>
          </cell>
          <cell r="V21">
            <v>0</v>
          </cell>
          <cell r="W21">
            <v>48027.295893169314</v>
          </cell>
          <cell r="X21">
            <v>605437421.34190631</v>
          </cell>
          <cell r="Y21">
            <v>608941794.46562862</v>
          </cell>
          <cell r="Z21">
            <v>-5.7548572877931248E-3</v>
          </cell>
          <cell r="AA21">
            <v>0</v>
          </cell>
          <cell r="AB21">
            <v>0</v>
          </cell>
          <cell r="AC21">
            <v>608941794.46562862</v>
          </cell>
          <cell r="AD21">
            <v>605437421.34190631</v>
          </cell>
          <cell r="AE21">
            <v>1</v>
          </cell>
        </row>
        <row r="22">
          <cell r="A22">
            <v>210024</v>
          </cell>
          <cell r="B22" t="str">
            <v>MEDSTAR UNION MEMORIAL HOSPITAL</v>
          </cell>
          <cell r="C22">
            <v>4</v>
          </cell>
          <cell r="D22">
            <v>14059.453544722594</v>
          </cell>
          <cell r="E22">
            <v>0</v>
          </cell>
          <cell r="F22">
            <v>0</v>
          </cell>
          <cell r="G22">
            <v>0</v>
          </cell>
          <cell r="H22">
            <v>14059.453544722594</v>
          </cell>
          <cell r="I22">
            <v>25318.796560589475</v>
          </cell>
          <cell r="J22">
            <v>329.16136416884177</v>
          </cell>
          <cell r="K22">
            <v>14388.614908891435</v>
          </cell>
          <cell r="L22">
            <v>364302413.66688693</v>
          </cell>
          <cell r="M22">
            <v>0.99671861092415948</v>
          </cell>
          <cell r="N22">
            <v>363106995.70637804</v>
          </cell>
          <cell r="O22">
            <v>14341.400265112923</v>
          </cell>
          <cell r="P22">
            <v>8194567.8891049139</v>
          </cell>
          <cell r="Q22">
            <v>371301563.59548295</v>
          </cell>
          <cell r="R22">
            <v>14665.055770203568</v>
          </cell>
          <cell r="S22">
            <v>1.1122294528034189</v>
          </cell>
          <cell r="T22">
            <v>412972534.90285784</v>
          </cell>
          <cell r="U22">
            <v>16310.906954625136</v>
          </cell>
          <cell r="V22">
            <v>0</v>
          </cell>
          <cell r="W22">
            <v>25318.796560589475</v>
          </cell>
          <cell r="X22">
            <v>412972534.90285784</v>
          </cell>
          <cell r="Y22">
            <v>427752442.19632149</v>
          </cell>
          <cell r="Z22">
            <v>-3.455247904038905E-2</v>
          </cell>
          <cell r="AA22">
            <v>0</v>
          </cell>
          <cell r="AB22">
            <v>0</v>
          </cell>
          <cell r="AC22">
            <v>427752442.19632149</v>
          </cell>
          <cell r="AD22">
            <v>412972534.90285784</v>
          </cell>
          <cell r="AE22">
            <v>1</v>
          </cell>
        </row>
        <row r="23">
          <cell r="A23">
            <v>210027</v>
          </cell>
          <cell r="B23" t="str">
            <v>WESTERN MARYLAND REGIONAL MEDICAL CENTER</v>
          </cell>
          <cell r="C23">
            <v>3</v>
          </cell>
          <cell r="D23">
            <v>11494.737334175063</v>
          </cell>
          <cell r="E23">
            <v>0</v>
          </cell>
          <cell r="F23">
            <v>0</v>
          </cell>
          <cell r="G23">
            <v>0</v>
          </cell>
          <cell r="H23">
            <v>11494.737334175063</v>
          </cell>
          <cell r="I23">
            <v>22139.763680890428</v>
          </cell>
          <cell r="J23">
            <v>0</v>
          </cell>
          <cell r="K23">
            <v>11494.737334175063</v>
          </cell>
          <cell r="L23">
            <v>254490768.15254432</v>
          </cell>
          <cell r="M23">
            <v>0.99671861092415948</v>
          </cell>
          <cell r="N23">
            <v>253655684.92602628</v>
          </cell>
          <cell r="O23">
            <v>11457.018628657044</v>
          </cell>
          <cell r="P23">
            <v>1723991.1235305152</v>
          </cell>
          <cell r="Q23">
            <v>255379676.04955679</v>
          </cell>
          <cell r="R23">
            <v>11534.887170904338</v>
          </cell>
          <cell r="S23">
            <v>1.1170469141508113</v>
          </cell>
          <cell r="T23">
            <v>285271079.06799126</v>
          </cell>
          <cell r="U23">
            <v>12885.010119336472</v>
          </cell>
          <cell r="V23">
            <v>0</v>
          </cell>
          <cell r="W23">
            <v>22139.763680890428</v>
          </cell>
          <cell r="X23">
            <v>285271079.06799126</v>
          </cell>
          <cell r="Y23">
            <v>321001887.90953296</v>
          </cell>
          <cell r="Z23">
            <v>-0.11131027631716495</v>
          </cell>
          <cell r="AA23">
            <v>0</v>
          </cell>
          <cell r="AB23">
            <v>0</v>
          </cell>
          <cell r="AC23">
            <v>321001887.90953296</v>
          </cell>
          <cell r="AD23">
            <v>285271079.06799126</v>
          </cell>
          <cell r="AE23">
            <v>1</v>
          </cell>
        </row>
        <row r="24">
          <cell r="A24">
            <v>210028</v>
          </cell>
          <cell r="B24" t="str">
            <v xml:space="preserve">MEDSTAR ST. MARY'S HOSPITAL </v>
          </cell>
          <cell r="C24">
            <v>3</v>
          </cell>
          <cell r="D24">
            <v>11494.737334175063</v>
          </cell>
          <cell r="E24">
            <v>0</v>
          </cell>
          <cell r="F24">
            <v>0</v>
          </cell>
          <cell r="G24">
            <v>0</v>
          </cell>
          <cell r="H24">
            <v>11494.737334175063</v>
          </cell>
          <cell r="I24">
            <v>13260.751776303299</v>
          </cell>
          <cell r="J24">
            <v>0</v>
          </cell>
          <cell r="K24">
            <v>11494.737334175063</v>
          </cell>
          <cell r="L24">
            <v>152428858.52230182</v>
          </cell>
          <cell r="M24">
            <v>0.99671861092415948</v>
          </cell>
          <cell r="N24">
            <v>151928680.1311039</v>
          </cell>
          <cell r="O24">
            <v>11457.018628657046</v>
          </cell>
          <cell r="P24">
            <v>0</v>
          </cell>
          <cell r="Q24">
            <v>151928680.1311039</v>
          </cell>
          <cell r="R24">
            <v>11457.018628657046</v>
          </cell>
          <cell r="S24">
            <v>1.1067681053450378</v>
          </cell>
          <cell r="T24">
            <v>168149817.45627415</v>
          </cell>
          <cell r="U24">
            <v>12680.262800541561</v>
          </cell>
          <cell r="V24">
            <v>0</v>
          </cell>
          <cell r="W24">
            <v>13260.751776303299</v>
          </cell>
          <cell r="X24">
            <v>168149817.45627415</v>
          </cell>
          <cell r="Y24">
            <v>182980923.24185652</v>
          </cell>
          <cell r="Z24">
            <v>-8.1052743219462431E-2</v>
          </cell>
          <cell r="AA24">
            <v>0</v>
          </cell>
          <cell r="AB24">
            <v>0</v>
          </cell>
          <cell r="AC24">
            <v>182980923.24185652</v>
          </cell>
          <cell r="AD24">
            <v>168149817.45627415</v>
          </cell>
          <cell r="AE24">
            <v>1</v>
          </cell>
        </row>
        <row r="25">
          <cell r="A25">
            <v>210029</v>
          </cell>
          <cell r="B25" t="str">
            <v>JOHNS HOPKINS BAYVIEW MEDICAL CENTER</v>
          </cell>
          <cell r="C25">
            <v>4</v>
          </cell>
          <cell r="D25">
            <v>14059.453544722594</v>
          </cell>
          <cell r="E25">
            <v>0</v>
          </cell>
          <cell r="F25">
            <v>0</v>
          </cell>
          <cell r="G25">
            <v>0</v>
          </cell>
          <cell r="H25">
            <v>14059.453544722594</v>
          </cell>
          <cell r="I25">
            <v>37150.44640207573</v>
          </cell>
          <cell r="J25">
            <v>460.91546718175709</v>
          </cell>
          <cell r="K25">
            <v>14520.369011904351</v>
          </cell>
          <cell r="L25">
            <v>539438190.71511388</v>
          </cell>
          <cell r="M25">
            <v>0.99671861092415948</v>
          </cell>
          <cell r="N25">
            <v>537668084.12901008</v>
          </cell>
          <cell r="O25">
            <v>14472.722031651512</v>
          </cell>
          <cell r="P25">
            <v>22422240.964482512</v>
          </cell>
          <cell r="Q25">
            <v>560090325.09349263</v>
          </cell>
          <cell r="R25">
            <v>15076.27442835245</v>
          </cell>
          <cell r="S25">
            <v>1.1128915143911908</v>
          </cell>
          <cell r="T25">
            <v>623319770.08915138</v>
          </cell>
          <cell r="U25">
            <v>16778.257879946344</v>
          </cell>
          <cell r="V25">
            <v>0</v>
          </cell>
          <cell r="W25">
            <v>37150.44640207573</v>
          </cell>
          <cell r="X25">
            <v>623319770.08915138</v>
          </cell>
          <cell r="Y25">
            <v>651137459.23030555</v>
          </cell>
          <cell r="Z25">
            <v>-4.2721684564173024E-2</v>
          </cell>
          <cell r="AA25">
            <v>0</v>
          </cell>
          <cell r="AB25">
            <v>0</v>
          </cell>
          <cell r="AC25">
            <v>651137459.23030555</v>
          </cell>
          <cell r="AD25">
            <v>623319770.08915138</v>
          </cell>
          <cell r="AE25">
            <v>1</v>
          </cell>
        </row>
        <row r="26">
          <cell r="A26">
            <v>210030</v>
          </cell>
          <cell r="B26" t="str">
            <v>UM-SHORE REGIONAL HEALTH AT CHESTERTOWN</v>
          </cell>
          <cell r="C26">
            <v>3</v>
          </cell>
          <cell r="D26">
            <v>11494.737334175063</v>
          </cell>
          <cell r="E26">
            <v>0</v>
          </cell>
          <cell r="F26">
            <v>0</v>
          </cell>
          <cell r="G26">
            <v>0</v>
          </cell>
          <cell r="H26">
            <v>11494.737334175063</v>
          </cell>
          <cell r="I26">
            <v>2711.5561157386974</v>
          </cell>
          <cell r="J26">
            <v>0</v>
          </cell>
          <cell r="K26">
            <v>11494.737334175063</v>
          </cell>
          <cell r="L26">
            <v>31168625.317292321</v>
          </cell>
          <cell r="M26">
            <v>0.99671861092415948</v>
          </cell>
          <cell r="N26">
            <v>31066348.930667192</v>
          </cell>
          <cell r="O26">
            <v>11457.018628657044</v>
          </cell>
          <cell r="P26">
            <v>0</v>
          </cell>
          <cell r="Q26">
            <v>31066348.930667192</v>
          </cell>
          <cell r="R26">
            <v>11457.018628657044</v>
          </cell>
          <cell r="S26">
            <v>1.1174005796419912</v>
          </cell>
          <cell r="T26">
            <v>34713556.302487873</v>
          </cell>
          <cell r="U26">
            <v>12802.079256630472</v>
          </cell>
          <cell r="V26">
            <v>0</v>
          </cell>
          <cell r="W26">
            <v>2711.5561157386974</v>
          </cell>
          <cell r="X26">
            <v>34713556.302487873</v>
          </cell>
          <cell r="Y26">
            <v>51896602.087173186</v>
          </cell>
          <cell r="Z26">
            <v>-0.33110155758988102</v>
          </cell>
          <cell r="AA26">
            <v>0</v>
          </cell>
          <cell r="AB26">
            <v>0</v>
          </cell>
          <cell r="AC26">
            <v>51896602.087173186</v>
          </cell>
          <cell r="AD26">
            <v>34713556.302487873</v>
          </cell>
          <cell r="AE26">
            <v>1</v>
          </cell>
        </row>
        <row r="27">
          <cell r="A27">
            <v>210032</v>
          </cell>
          <cell r="B27" t="str">
            <v>UNION HOSPITAL OF CECIL COUNTY</v>
          </cell>
          <cell r="C27">
            <v>3</v>
          </cell>
          <cell r="D27">
            <v>11494.737334175063</v>
          </cell>
          <cell r="E27">
            <v>0</v>
          </cell>
          <cell r="F27">
            <v>0</v>
          </cell>
          <cell r="G27">
            <v>0</v>
          </cell>
          <cell r="H27">
            <v>11494.737334175063</v>
          </cell>
          <cell r="I27">
            <v>9973.5765892633008</v>
          </cell>
          <cell r="J27">
            <v>0</v>
          </cell>
          <cell r="K27">
            <v>11494.737334175063</v>
          </cell>
          <cell r="L27">
            <v>114643643.17585924</v>
          </cell>
          <cell r="M27">
            <v>0.99671861092415948</v>
          </cell>
          <cell r="N27">
            <v>114267452.77752742</v>
          </cell>
          <cell r="O27">
            <v>11457.018628657044</v>
          </cell>
          <cell r="P27">
            <v>0</v>
          </cell>
          <cell r="Q27">
            <v>114267452.77752742</v>
          </cell>
          <cell r="R27">
            <v>11457.018628657044</v>
          </cell>
          <cell r="S27">
            <v>1.1121720150724883</v>
          </cell>
          <cell r="T27">
            <v>127085063.21278307</v>
          </cell>
          <cell r="U27">
            <v>12742.17549495654</v>
          </cell>
          <cell r="V27">
            <v>0</v>
          </cell>
          <cell r="W27">
            <v>9973.5765892633008</v>
          </cell>
          <cell r="X27">
            <v>127085063.21278307</v>
          </cell>
          <cell r="Y27">
            <v>163695078.94233933</v>
          </cell>
          <cell r="Z27">
            <v>-0.22364762561036999</v>
          </cell>
          <cell r="AA27">
            <v>0</v>
          </cell>
          <cell r="AB27">
            <v>0</v>
          </cell>
          <cell r="AC27">
            <v>163695078.94233933</v>
          </cell>
          <cell r="AD27">
            <v>127085063.21278307</v>
          </cell>
          <cell r="AE27">
            <v>1</v>
          </cell>
        </row>
        <row r="28">
          <cell r="A28">
            <v>210033</v>
          </cell>
          <cell r="B28" t="str">
            <v>CARROLL HOSPITAL CENTER</v>
          </cell>
          <cell r="C28">
            <v>3</v>
          </cell>
          <cell r="D28">
            <v>11494.737334175063</v>
          </cell>
          <cell r="E28">
            <v>0</v>
          </cell>
          <cell r="F28">
            <v>0</v>
          </cell>
          <cell r="G28">
            <v>0</v>
          </cell>
          <cell r="H28">
            <v>11494.737334175063</v>
          </cell>
          <cell r="I28">
            <v>15586.533665195537</v>
          </cell>
          <cell r="J28">
            <v>0</v>
          </cell>
          <cell r="K28">
            <v>11494.737334175063</v>
          </cell>
          <cell r="L28">
            <v>179163110.4316996</v>
          </cell>
          <cell r="M28">
            <v>0.99671861092415948</v>
          </cell>
          <cell r="N28">
            <v>178575206.55833542</v>
          </cell>
          <cell r="O28">
            <v>11457.018628657044</v>
          </cell>
          <cell r="P28">
            <v>0</v>
          </cell>
          <cell r="Q28">
            <v>178575206.55833542</v>
          </cell>
          <cell r="R28">
            <v>11457.018628657044</v>
          </cell>
          <cell r="S28">
            <v>1.1093050072442689</v>
          </cell>
          <cell r="T28">
            <v>198094370.8048411</v>
          </cell>
          <cell r="U28">
            <v>12709.328132860126</v>
          </cell>
          <cell r="V28">
            <v>0</v>
          </cell>
          <cell r="W28">
            <v>15586.533665195537</v>
          </cell>
          <cell r="X28">
            <v>198094370.8048411</v>
          </cell>
          <cell r="Y28">
            <v>236445528.84781078</v>
          </cell>
          <cell r="Z28">
            <v>-0.16219870271962122</v>
          </cell>
          <cell r="AA28">
            <v>0</v>
          </cell>
          <cell r="AB28">
            <v>0</v>
          </cell>
          <cell r="AC28">
            <v>236445528.84781078</v>
          </cell>
          <cell r="AD28">
            <v>198094370.8048411</v>
          </cell>
          <cell r="AE28">
            <v>1</v>
          </cell>
        </row>
        <row r="29">
          <cell r="A29">
            <v>210034</v>
          </cell>
          <cell r="B29" t="str">
            <v>MEDSTAR HARBOR HOSPITAL CENTER</v>
          </cell>
          <cell r="C29">
            <v>4</v>
          </cell>
          <cell r="D29">
            <v>14059.453544722594</v>
          </cell>
          <cell r="E29">
            <v>0</v>
          </cell>
          <cell r="F29">
            <v>0</v>
          </cell>
          <cell r="G29">
            <v>0</v>
          </cell>
          <cell r="H29">
            <v>14059.453544722594</v>
          </cell>
          <cell r="I29">
            <v>11146.545054053109</v>
          </cell>
          <cell r="J29">
            <v>374.74622262386197</v>
          </cell>
          <cell r="K29">
            <v>14434.199767346456</v>
          </cell>
          <cell r="L29">
            <v>160891458.02593017</v>
          </cell>
          <cell r="M29">
            <v>0.99671861092415948</v>
          </cell>
          <cell r="N29">
            <v>160363510.55316782</v>
          </cell>
          <cell r="O29">
            <v>14386.835541911383</v>
          </cell>
          <cell r="P29">
            <v>3866850.9143537963</v>
          </cell>
          <cell r="Q29">
            <v>164230361.46752161</v>
          </cell>
          <cell r="R29">
            <v>14733.745808330459</v>
          </cell>
          <cell r="S29">
            <v>1.1155619773501586</v>
          </cell>
          <cell r="T29">
            <v>183209146.77963969</v>
          </cell>
          <cell r="U29">
            <v>16436.406607715737</v>
          </cell>
          <cell r="V29">
            <v>0</v>
          </cell>
          <cell r="W29">
            <v>11146.545054053109</v>
          </cell>
          <cell r="X29">
            <v>183209146.77963969</v>
          </cell>
          <cell r="Y29">
            <v>191973195.94856057</v>
          </cell>
          <cell r="Z29">
            <v>-4.5652462707706398E-2</v>
          </cell>
          <cell r="AA29">
            <v>0</v>
          </cell>
          <cell r="AB29">
            <v>0</v>
          </cell>
          <cell r="AC29">
            <v>191973195.94856057</v>
          </cell>
          <cell r="AD29">
            <v>183209146.77963969</v>
          </cell>
          <cell r="AE29">
            <v>1</v>
          </cell>
        </row>
        <row r="30">
          <cell r="A30">
            <v>210035</v>
          </cell>
          <cell r="B30" t="str">
            <v>UM-CHARLES REGIONAL MEDICAL CENTER</v>
          </cell>
          <cell r="C30">
            <v>3</v>
          </cell>
          <cell r="D30">
            <v>11494.737334175063</v>
          </cell>
          <cell r="E30">
            <v>0</v>
          </cell>
          <cell r="F30">
            <v>0</v>
          </cell>
          <cell r="G30">
            <v>0</v>
          </cell>
          <cell r="H30">
            <v>11494.737334175063</v>
          </cell>
          <cell r="I30">
            <v>10930.590367640707</v>
          </cell>
          <cell r="J30">
            <v>0</v>
          </cell>
          <cell r="K30">
            <v>11494.737334175063</v>
          </cell>
          <cell r="L30">
            <v>125644265.18349396</v>
          </cell>
          <cell r="M30">
            <v>0.99671861092415948</v>
          </cell>
          <cell r="N30">
            <v>125231977.46427883</v>
          </cell>
          <cell r="O30">
            <v>11457.018628657044</v>
          </cell>
          <cell r="P30">
            <v>0</v>
          </cell>
          <cell r="Q30">
            <v>125231977.46427883</v>
          </cell>
          <cell r="R30">
            <v>11457.018628657044</v>
          </cell>
          <cell r="S30">
            <v>1.1055406163515706</v>
          </cell>
          <cell r="T30">
            <v>138449037.55278483</v>
          </cell>
          <cell r="U30">
            <v>12666.199436276936</v>
          </cell>
          <cell r="V30">
            <v>0</v>
          </cell>
          <cell r="W30">
            <v>10930.590367640707</v>
          </cell>
          <cell r="X30">
            <v>138449037.55278483</v>
          </cell>
          <cell r="Y30">
            <v>155992589.33780089</v>
          </cell>
          <cell r="Z30">
            <v>-0.11246400780632992</v>
          </cell>
          <cell r="AA30">
            <v>0</v>
          </cell>
          <cell r="AB30">
            <v>0</v>
          </cell>
          <cell r="AC30">
            <v>155992589.33780089</v>
          </cell>
          <cell r="AD30">
            <v>138449037.55278483</v>
          </cell>
          <cell r="AE30">
            <v>1</v>
          </cell>
        </row>
        <row r="31">
          <cell r="A31">
            <v>210037</v>
          </cell>
          <cell r="B31" t="str">
            <v>UM-SHORE REGIONAL HEALTH AT EASTON</v>
          </cell>
          <cell r="C31">
            <v>3</v>
          </cell>
          <cell r="D31">
            <v>11494.737334175063</v>
          </cell>
          <cell r="E31">
            <v>0</v>
          </cell>
          <cell r="F31">
            <v>0</v>
          </cell>
          <cell r="G31">
            <v>0</v>
          </cell>
          <cell r="H31">
            <v>11494.737334175063</v>
          </cell>
          <cell r="I31">
            <v>13422.511048250997</v>
          </cell>
          <cell r="J31">
            <v>0</v>
          </cell>
          <cell r="K31">
            <v>11494.737334175063</v>
          </cell>
          <cell r="L31">
            <v>154288238.86470801</v>
          </cell>
          <cell r="M31">
            <v>0.99671861092415948</v>
          </cell>
          <cell r="N31">
            <v>153781959.12316668</v>
          </cell>
          <cell r="O31">
            <v>11457.018628657046</v>
          </cell>
          <cell r="P31">
            <v>1163900</v>
          </cell>
          <cell r="Q31">
            <v>154945859.12316668</v>
          </cell>
          <cell r="R31">
            <v>11543.731166707194</v>
          </cell>
          <cell r="S31">
            <v>1.115210311498205</v>
          </cell>
          <cell r="T31">
            <v>172797219.8181037</v>
          </cell>
          <cell r="U31">
            <v>12873.688030275067</v>
          </cell>
          <cell r="V31">
            <v>0</v>
          </cell>
          <cell r="W31">
            <v>13422.511048250997</v>
          </cell>
          <cell r="X31">
            <v>172797219.8181037</v>
          </cell>
          <cell r="Y31">
            <v>218006630.93565437</v>
          </cell>
          <cell r="Z31">
            <v>-0.20737631201178663</v>
          </cell>
          <cell r="AA31">
            <v>0</v>
          </cell>
          <cell r="AB31">
            <v>0</v>
          </cell>
          <cell r="AC31">
            <v>218006630.93565437</v>
          </cell>
          <cell r="AD31">
            <v>172797219.8181037</v>
          </cell>
          <cell r="AE31">
            <v>1</v>
          </cell>
        </row>
        <row r="32">
          <cell r="A32">
            <v>210038</v>
          </cell>
          <cell r="B32" t="str">
            <v>UMMC MIDTOWN CAMPUS</v>
          </cell>
          <cell r="C32">
            <v>4</v>
          </cell>
          <cell r="D32">
            <v>14059.453544722594</v>
          </cell>
          <cell r="E32">
            <v>0</v>
          </cell>
          <cell r="F32">
            <v>0</v>
          </cell>
          <cell r="G32">
            <v>0</v>
          </cell>
          <cell r="H32">
            <v>14059.453544722594</v>
          </cell>
          <cell r="I32">
            <v>9648.6554834519866</v>
          </cell>
          <cell r="J32">
            <v>465.27452358132081</v>
          </cell>
          <cell r="K32">
            <v>14524.728068303913</v>
          </cell>
          <cell r="L32">
            <v>140144097.12188953</v>
          </cell>
          <cell r="M32">
            <v>0.99671861092415948</v>
          </cell>
          <cell r="N32">
            <v>139684229.81255022</v>
          </cell>
          <cell r="O32">
            <v>14477.066784291024</v>
          </cell>
          <cell r="P32">
            <v>3775551.6155792619</v>
          </cell>
          <cell r="Q32">
            <v>143459781.42812946</v>
          </cell>
          <cell r="R32">
            <v>14868.370175945391</v>
          </cell>
          <cell r="S32">
            <v>1.1188950996267033</v>
          </cell>
          <cell r="T32">
            <v>160516446.43345201</v>
          </cell>
          <cell r="U32">
            <v>16636.146529301124</v>
          </cell>
          <cell r="V32">
            <v>0</v>
          </cell>
          <cell r="W32">
            <v>9648.6554834519866</v>
          </cell>
          <cell r="X32">
            <v>160516446.43345204</v>
          </cell>
          <cell r="Y32">
            <v>209879428.41413808</v>
          </cell>
          <cell r="Z32">
            <v>-0.23519685732744644</v>
          </cell>
          <cell r="AA32">
            <v>0</v>
          </cell>
          <cell r="AB32">
            <v>0</v>
          </cell>
          <cell r="AC32">
            <v>209879428.41413808</v>
          </cell>
          <cell r="AD32">
            <v>160516446.43345204</v>
          </cell>
          <cell r="AE32">
            <v>1</v>
          </cell>
        </row>
        <row r="33">
          <cell r="A33">
            <v>210039</v>
          </cell>
          <cell r="B33" t="str">
            <v>CALVERT MEMORIAL HOSPITAL</v>
          </cell>
          <cell r="C33">
            <v>3</v>
          </cell>
          <cell r="D33">
            <v>11494.737334175063</v>
          </cell>
          <cell r="E33">
            <v>0</v>
          </cell>
          <cell r="F33">
            <v>0</v>
          </cell>
          <cell r="G33">
            <v>0</v>
          </cell>
          <cell r="H33">
            <v>11494.737334175063</v>
          </cell>
          <cell r="I33">
            <v>9579.4816484068069</v>
          </cell>
          <cell r="J33">
            <v>0</v>
          </cell>
          <cell r="K33">
            <v>11494.737334175063</v>
          </cell>
          <cell r="L33">
            <v>110113625.34598659</v>
          </cell>
          <cell r="M33">
            <v>0.99671861092415948</v>
          </cell>
          <cell r="N33">
            <v>109752299.69867507</v>
          </cell>
          <cell r="O33">
            <v>11457.018628657042</v>
          </cell>
          <cell r="P33">
            <v>0</v>
          </cell>
          <cell r="Q33">
            <v>109752299.69867507</v>
          </cell>
          <cell r="R33">
            <v>11457.018628657042</v>
          </cell>
          <cell r="S33">
            <v>1.1029383967251234</v>
          </cell>
          <cell r="T33">
            <v>121050025.46655191</v>
          </cell>
          <cell r="U33">
            <v>12636.385757540871</v>
          </cell>
          <cell r="V33">
            <v>0</v>
          </cell>
          <cell r="W33">
            <v>9579.4816484068069</v>
          </cell>
          <cell r="X33">
            <v>121050025.46655191</v>
          </cell>
          <cell r="Y33">
            <v>146495336.70909449</v>
          </cell>
          <cell r="Z33">
            <v>-0.17369366024988919</v>
          </cell>
          <cell r="AA33">
            <v>0</v>
          </cell>
          <cell r="AB33">
            <v>0</v>
          </cell>
          <cell r="AC33">
            <v>146495336.70909449</v>
          </cell>
          <cell r="AD33">
            <v>121050025.46655191</v>
          </cell>
          <cell r="AE33">
            <v>1</v>
          </cell>
        </row>
        <row r="34">
          <cell r="A34">
            <v>210040</v>
          </cell>
          <cell r="B34" t="str">
            <v>NORTHWEST HOSPITAL CENTER</v>
          </cell>
          <cell r="C34">
            <v>3</v>
          </cell>
          <cell r="D34">
            <v>11494.737334175063</v>
          </cell>
          <cell r="E34">
            <v>0</v>
          </cell>
          <cell r="F34">
            <v>0</v>
          </cell>
          <cell r="G34">
            <v>0</v>
          </cell>
          <cell r="H34">
            <v>11494.737334175063</v>
          </cell>
          <cell r="I34">
            <v>16495.664923243414</v>
          </cell>
          <cell r="J34">
            <v>0</v>
          </cell>
          <cell r="K34">
            <v>11494.737334175063</v>
          </cell>
          <cell r="L34">
            <v>189613335.4452481</v>
          </cell>
          <cell r="M34">
            <v>0.99671861092415948</v>
          </cell>
          <cell r="N34">
            <v>188991140.31768438</v>
          </cell>
          <cell r="O34">
            <v>11457.018628657046</v>
          </cell>
          <cell r="P34">
            <v>0</v>
          </cell>
          <cell r="Q34">
            <v>188991140.31768438</v>
          </cell>
          <cell r="R34">
            <v>11457.018628657046</v>
          </cell>
          <cell r="S34">
            <v>1.1096904945580046</v>
          </cell>
          <cell r="T34">
            <v>209721671.96621242</v>
          </cell>
          <cell r="U34">
            <v>12713.744668194708</v>
          </cell>
          <cell r="V34">
            <v>0</v>
          </cell>
          <cell r="W34">
            <v>16495.664923243414</v>
          </cell>
          <cell r="X34">
            <v>209721671.96621242</v>
          </cell>
          <cell r="Y34">
            <v>267911196.64727661</v>
          </cell>
          <cell r="Z34">
            <v>-0.21719706159826779</v>
          </cell>
          <cell r="AA34">
            <v>0</v>
          </cell>
          <cell r="AB34">
            <v>0</v>
          </cell>
          <cell r="AC34">
            <v>267911196.64727661</v>
          </cell>
          <cell r="AD34">
            <v>209721671.96621242</v>
          </cell>
          <cell r="AE34">
            <v>1</v>
          </cell>
        </row>
        <row r="35">
          <cell r="A35">
            <v>210043</v>
          </cell>
          <cell r="B35" t="str">
            <v>UM-BALTIMORE WASHINGTON MEDICAL CENTER</v>
          </cell>
          <cell r="C35">
            <v>1</v>
          </cell>
          <cell r="D35">
            <v>11779.983924519362</v>
          </cell>
          <cell r="E35">
            <v>0</v>
          </cell>
          <cell r="F35">
            <v>0</v>
          </cell>
          <cell r="G35">
            <v>-235.59967849038719</v>
          </cell>
          <cell r="H35">
            <v>11779.983924519362</v>
          </cell>
          <cell r="I35">
            <v>32570.863068870163</v>
          </cell>
          <cell r="J35">
            <v>18.403518335263513</v>
          </cell>
          <cell r="K35">
            <v>11798.387442854626</v>
          </cell>
          <cell r="L35">
            <v>384283661.83469522</v>
          </cell>
          <cell r="M35">
            <v>0.99671861092415948</v>
          </cell>
          <cell r="N35">
            <v>383022677.62472683</v>
          </cell>
          <cell r="O35">
            <v>11759.672343187109</v>
          </cell>
          <cell r="P35">
            <v>650488.00938975799</v>
          </cell>
          <cell r="Q35">
            <v>383673165.63411659</v>
          </cell>
          <cell r="R35">
            <v>11779.643813025483</v>
          </cell>
          <cell r="S35">
            <v>1.109420290435795</v>
          </cell>
          <cell r="T35">
            <v>425654794.85022253</v>
          </cell>
          <cell r="U35">
            <v>13068.575860276947</v>
          </cell>
          <cell r="V35">
            <v>0</v>
          </cell>
          <cell r="W35">
            <v>32570.863068870163</v>
          </cell>
          <cell r="X35">
            <v>425654794.85022253</v>
          </cell>
          <cell r="Y35">
            <v>452027705.287319</v>
          </cell>
          <cell r="Z35">
            <v>-5.8343570822353197E-2</v>
          </cell>
          <cell r="AA35">
            <v>0</v>
          </cell>
          <cell r="AB35">
            <v>0</v>
          </cell>
          <cell r="AC35">
            <v>452027705.287319</v>
          </cell>
          <cell r="AD35">
            <v>425654794.85022253</v>
          </cell>
          <cell r="AE35">
            <v>1</v>
          </cell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11779.983924519362</v>
          </cell>
          <cell r="E36">
            <v>0</v>
          </cell>
          <cell r="F36">
            <v>0</v>
          </cell>
          <cell r="G36">
            <v>-235.59967849038719</v>
          </cell>
          <cell r="H36">
            <v>11779.983924519362</v>
          </cell>
          <cell r="I36">
            <v>32644.372881643387</v>
          </cell>
          <cell r="J36">
            <v>213.0000886565154</v>
          </cell>
          <cell r="K36">
            <v>11992.984013175877</v>
          </cell>
          <cell r="L36">
            <v>391503442.08970129</v>
          </cell>
          <cell r="M36">
            <v>0.99671861092415948</v>
          </cell>
          <cell r="N36">
            <v>390218766.9716742</v>
          </cell>
          <cell r="O36">
            <v>11953.630366448313</v>
          </cell>
          <cell r="P36">
            <v>7523532.7069142247</v>
          </cell>
          <cell r="Q36">
            <v>397742299.67858845</v>
          </cell>
          <cell r="R36">
            <v>12184.099879040632</v>
          </cell>
          <cell r="S36">
            <v>1.1013202840351</v>
          </cell>
          <cell r="T36">
            <v>438041662.45479685</v>
          </cell>
          <cell r="U36">
            <v>13418.596339497055</v>
          </cell>
          <cell r="V36">
            <v>0</v>
          </cell>
          <cell r="W36">
            <v>32644.372881643387</v>
          </cell>
          <cell r="X36">
            <v>438041662.45479685</v>
          </cell>
          <cell r="Y36">
            <v>457680358.38583815</v>
          </cell>
          <cell r="Z36">
            <v>-4.2909195405071987E-2</v>
          </cell>
          <cell r="AA36">
            <v>0</v>
          </cell>
          <cell r="AB36">
            <v>0</v>
          </cell>
          <cell r="AC36">
            <v>457680358.38583815</v>
          </cell>
          <cell r="AD36">
            <v>438041662.45479685</v>
          </cell>
          <cell r="AE36">
            <v>1</v>
          </cell>
        </row>
        <row r="37">
          <cell r="A37">
            <v>210045</v>
          </cell>
          <cell r="B37" t="str">
            <v>MCCREADY MEMORIAL HOSPITAL</v>
          </cell>
          <cell r="C37" t="str">
            <v>NA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761.50570848710015</v>
          </cell>
          <cell r="J37">
            <v>0</v>
          </cell>
          <cell r="K37">
            <v>0</v>
          </cell>
          <cell r="L37">
            <v>0</v>
          </cell>
          <cell r="M37">
            <v>0.99671861092415948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1.1162285486449348</v>
          </cell>
          <cell r="T37">
            <v>0</v>
          </cell>
          <cell r="U37">
            <v>0</v>
          </cell>
          <cell r="V37">
            <v>0</v>
          </cell>
          <cell r="W37">
            <v>761.50570848710015</v>
          </cell>
          <cell r="X37">
            <v>0</v>
          </cell>
          <cell r="Y37">
            <v>1910450.2616168919</v>
          </cell>
          <cell r="Z37">
            <v>-1</v>
          </cell>
          <cell r="AA37">
            <v>0</v>
          </cell>
          <cell r="AB37">
            <v>0</v>
          </cell>
          <cell r="AC37">
            <v>1910450.2616168919</v>
          </cell>
          <cell r="AD37">
            <v>0</v>
          </cell>
          <cell r="AE37">
            <v>1</v>
          </cell>
        </row>
        <row r="38">
          <cell r="A38">
            <v>210048</v>
          </cell>
          <cell r="B38" t="str">
            <v>HOWARD COUNTY GENERAL HOSPITAL</v>
          </cell>
          <cell r="C38">
            <v>3</v>
          </cell>
          <cell r="D38">
            <v>11494.737334175063</v>
          </cell>
          <cell r="E38">
            <v>0</v>
          </cell>
          <cell r="F38">
            <v>0</v>
          </cell>
          <cell r="G38">
            <v>0</v>
          </cell>
          <cell r="H38">
            <v>11494.737334175063</v>
          </cell>
          <cell r="I38">
            <v>23948.988823237505</v>
          </cell>
          <cell r="J38">
            <v>0</v>
          </cell>
          <cell r="K38">
            <v>11494.737334175063</v>
          </cell>
          <cell r="L38">
            <v>275287335.94220942</v>
          </cell>
          <cell r="M38">
            <v>0.99671861092415948</v>
          </cell>
          <cell r="N38">
            <v>274384011.08533144</v>
          </cell>
          <cell r="O38">
            <v>11457.018628657044</v>
          </cell>
          <cell r="P38">
            <v>0</v>
          </cell>
          <cell r="Q38">
            <v>274384011.08533144</v>
          </cell>
          <cell r="R38">
            <v>11457.018628657044</v>
          </cell>
          <cell r="S38">
            <v>1.1000250372583604</v>
          </cell>
          <cell r="T38">
            <v>301829282.01724011</v>
          </cell>
          <cell r="U38">
            <v>12603.007343858195</v>
          </cell>
          <cell r="V38">
            <v>0</v>
          </cell>
          <cell r="W38">
            <v>23948.988823237505</v>
          </cell>
          <cell r="X38">
            <v>301829282.01724011</v>
          </cell>
          <cell r="Y38">
            <v>308955862.90691596</v>
          </cell>
          <cell r="Z38">
            <v>-2.3066663382345309E-2</v>
          </cell>
          <cell r="AA38">
            <v>0</v>
          </cell>
          <cell r="AB38">
            <v>0</v>
          </cell>
          <cell r="AC38">
            <v>308955862.90691596</v>
          </cell>
          <cell r="AD38">
            <v>301829282.01724011</v>
          </cell>
          <cell r="AE38">
            <v>1</v>
          </cell>
        </row>
        <row r="39">
          <cell r="A39">
            <v>210049</v>
          </cell>
          <cell r="B39" t="str">
            <v>UM-UPPER CHESAPEAKE MEDICAL CENTER</v>
          </cell>
          <cell r="C39">
            <v>3</v>
          </cell>
          <cell r="D39">
            <v>11494.737334175063</v>
          </cell>
          <cell r="E39">
            <v>0</v>
          </cell>
          <cell r="F39">
            <v>0</v>
          </cell>
          <cell r="G39">
            <v>0</v>
          </cell>
          <cell r="H39">
            <v>11494.737334175063</v>
          </cell>
          <cell r="I39">
            <v>23476.927900370822</v>
          </cell>
          <cell r="J39">
            <v>0</v>
          </cell>
          <cell r="K39">
            <v>11494.737334175063</v>
          </cell>
          <cell r="L39">
            <v>269861119.62812865</v>
          </cell>
          <cell r="M39">
            <v>0.99671861092415948</v>
          </cell>
          <cell r="N39">
            <v>268975600.29818684</v>
          </cell>
          <cell r="O39">
            <v>11457.018628657046</v>
          </cell>
          <cell r="P39">
            <v>0</v>
          </cell>
          <cell r="Q39">
            <v>268975600.29818684</v>
          </cell>
          <cell r="R39">
            <v>11457.018628657046</v>
          </cell>
          <cell r="S39">
            <v>1.1061154122244721</v>
          </cell>
          <cell r="T39">
            <v>297518057.00215375</v>
          </cell>
          <cell r="U39">
            <v>12672.784883300443</v>
          </cell>
          <cell r="V39">
            <v>0</v>
          </cell>
          <cell r="W39">
            <v>23476.927900370822</v>
          </cell>
          <cell r="X39">
            <v>297518057.00215375</v>
          </cell>
          <cell r="Y39">
            <v>322468123.03384435</v>
          </cell>
          <cell r="Z39">
            <v>-7.7372193558096214E-2</v>
          </cell>
          <cell r="AA39">
            <v>0</v>
          </cell>
          <cell r="AB39">
            <v>0</v>
          </cell>
          <cell r="AC39">
            <v>322468123.03384435</v>
          </cell>
          <cell r="AD39">
            <v>297518057.00215375</v>
          </cell>
          <cell r="AE39">
            <v>1</v>
          </cell>
        </row>
        <row r="40">
          <cell r="A40">
            <v>210051</v>
          </cell>
          <cell r="B40" t="str">
            <v>DOCTORS COMMUNITY HOSPITAL</v>
          </cell>
          <cell r="C40">
            <v>3</v>
          </cell>
          <cell r="D40">
            <v>11494.737334175063</v>
          </cell>
          <cell r="E40">
            <v>0</v>
          </cell>
          <cell r="F40">
            <v>0</v>
          </cell>
          <cell r="G40">
            <v>0</v>
          </cell>
          <cell r="H40">
            <v>11494.737334175063</v>
          </cell>
          <cell r="I40">
            <v>17680.766689321921</v>
          </cell>
          <cell r="J40">
            <v>0</v>
          </cell>
          <cell r="K40">
            <v>11494.737334175063</v>
          </cell>
          <cell r="L40">
            <v>203235768.9605875</v>
          </cell>
          <cell r="M40">
            <v>1.0181752931904677</v>
          </cell>
          <cell r="N40">
            <v>206929638.64823633</v>
          </cell>
          <cell r="O40">
            <v>11703.65755537111</v>
          </cell>
          <cell r="P40">
            <v>0</v>
          </cell>
          <cell r="Q40">
            <v>206929638.64823633</v>
          </cell>
          <cell r="R40">
            <v>11703.65755537111</v>
          </cell>
          <cell r="S40">
            <v>1.1087551078753266</v>
          </cell>
          <cell r="T40">
            <v>229434293.82202762</v>
          </cell>
          <cell r="U40">
            <v>12976.490095341374</v>
          </cell>
          <cell r="V40">
            <v>0</v>
          </cell>
          <cell r="W40">
            <v>17680.766689321921</v>
          </cell>
          <cell r="X40">
            <v>229434293.82202762</v>
          </cell>
          <cell r="Y40">
            <v>261076695.5326004</v>
          </cell>
          <cell r="Z40">
            <v>-0.12119964076464884</v>
          </cell>
          <cell r="AA40">
            <v>0</v>
          </cell>
          <cell r="AB40">
            <v>0</v>
          </cell>
          <cell r="AC40">
            <v>261076695.5326004</v>
          </cell>
          <cell r="AD40">
            <v>229434293.82202762</v>
          </cell>
          <cell r="AE40">
            <v>1</v>
          </cell>
        </row>
        <row r="41">
          <cell r="A41">
            <v>210055</v>
          </cell>
          <cell r="B41" t="str">
            <v>LAUREL REGIONAL HOSPITAL</v>
          </cell>
          <cell r="C41" t="str">
            <v>NA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4028.0292016780049</v>
          </cell>
          <cell r="J41">
            <v>0</v>
          </cell>
          <cell r="K41">
            <v>0</v>
          </cell>
          <cell r="L41">
            <v>0</v>
          </cell>
          <cell r="M41">
            <v>1.0181752931904677</v>
          </cell>
          <cell r="N41">
            <v>0</v>
          </cell>
          <cell r="O41">
            <v>0</v>
          </cell>
          <cell r="P41">
            <v>500</v>
          </cell>
          <cell r="Q41">
            <v>500</v>
          </cell>
          <cell r="R41">
            <v>0.12413018251995515</v>
          </cell>
          <cell r="S41">
            <v>1.1097404270766293</v>
          </cell>
          <cell r="T41">
            <v>554.87021353831472</v>
          </cell>
          <cell r="U41">
            <v>0.137752281762795</v>
          </cell>
          <cell r="V41">
            <v>0</v>
          </cell>
          <cell r="W41">
            <v>4028.0292016780049</v>
          </cell>
          <cell r="X41">
            <v>554.87021353831472</v>
          </cell>
          <cell r="Y41">
            <v>31936888.397038966</v>
          </cell>
          <cell r="Z41">
            <v>-0.99998262604025034</v>
          </cell>
          <cell r="AA41">
            <v>0</v>
          </cell>
          <cell r="AB41">
            <v>0</v>
          </cell>
          <cell r="AC41">
            <v>31936888.397038966</v>
          </cell>
          <cell r="AD41">
            <v>554.87021353831472</v>
          </cell>
          <cell r="AE41">
            <v>1</v>
          </cell>
        </row>
        <row r="42">
          <cell r="A42">
            <v>210056</v>
          </cell>
          <cell r="B42" t="str">
            <v>MEDSTAR GOOD SAMARITAN</v>
          </cell>
          <cell r="C42">
            <v>1</v>
          </cell>
          <cell r="D42">
            <v>11779.983924519362</v>
          </cell>
          <cell r="E42">
            <v>0</v>
          </cell>
          <cell r="F42">
            <v>0</v>
          </cell>
          <cell r="G42">
            <v>-235.59967849038719</v>
          </cell>
          <cell r="H42">
            <v>11779.983924519362</v>
          </cell>
          <cell r="I42">
            <v>15772.809770715308</v>
          </cell>
          <cell r="J42">
            <v>257.00627833251923</v>
          </cell>
          <cell r="K42">
            <v>12036.990202851881</v>
          </cell>
          <cell r="L42">
            <v>189857156.6815466</v>
          </cell>
          <cell r="M42">
            <v>0.99671861092415948</v>
          </cell>
          <cell r="N42">
            <v>189234161.48164162</v>
          </cell>
          <cell r="O42">
            <v>11997.492154694244</v>
          </cell>
          <cell r="P42">
            <v>4440696.1405483484</v>
          </cell>
          <cell r="Q42">
            <v>193674857.62218997</v>
          </cell>
          <cell r="R42">
            <v>12279.033376905216</v>
          </cell>
          <cell r="S42">
            <v>1.1192514228727357</v>
          </cell>
          <cell r="T42">
            <v>216770859.96831062</v>
          </cell>
          <cell r="U42">
            <v>13743.325578602975</v>
          </cell>
          <cell r="V42">
            <v>0</v>
          </cell>
          <cell r="W42">
            <v>15772.809770715308</v>
          </cell>
          <cell r="X42">
            <v>216770859.96831062</v>
          </cell>
          <cell r="Y42">
            <v>271172412.47944635</v>
          </cell>
          <cell r="Z42">
            <v>-0.20061610255157913</v>
          </cell>
          <cell r="AA42">
            <v>0</v>
          </cell>
          <cell r="AB42">
            <v>0</v>
          </cell>
          <cell r="AC42">
            <v>271172412.47944635</v>
          </cell>
          <cell r="AD42">
            <v>216770859.96831062</v>
          </cell>
          <cell r="AE42">
            <v>1</v>
          </cell>
        </row>
        <row r="43">
          <cell r="A43">
            <v>210057</v>
          </cell>
          <cell r="B43" t="str">
            <v>SHADY GROVE ADVENTIST HOSPITAL</v>
          </cell>
          <cell r="C43">
            <v>3</v>
          </cell>
          <cell r="D43">
            <v>11494.737334175063</v>
          </cell>
          <cell r="E43">
            <v>0</v>
          </cell>
          <cell r="F43">
            <v>0</v>
          </cell>
          <cell r="G43">
            <v>0</v>
          </cell>
          <cell r="H43">
            <v>11494.737334175063</v>
          </cell>
          <cell r="I43">
            <v>29879.645227280573</v>
          </cell>
          <cell r="J43">
            <v>0</v>
          </cell>
          <cell r="K43">
            <v>11494.737334175063</v>
          </cell>
          <cell r="L43">
            <v>343458673.52592772</v>
          </cell>
          <cell r="M43">
            <v>1.0181752931904677</v>
          </cell>
          <cell r="N43">
            <v>349701135.61607057</v>
          </cell>
          <cell r="O43">
            <v>11703.657555371108</v>
          </cell>
          <cell r="P43">
            <v>0</v>
          </cell>
          <cell r="Q43">
            <v>349701135.61607057</v>
          </cell>
          <cell r="R43">
            <v>11703.657555371108</v>
          </cell>
          <cell r="S43">
            <v>1.103137085322671</v>
          </cell>
          <cell r="T43">
            <v>385768291.47754019</v>
          </cell>
          <cell r="U43">
            <v>12910.738683246742</v>
          </cell>
          <cell r="V43">
            <v>0</v>
          </cell>
          <cell r="W43">
            <v>29879.645227280573</v>
          </cell>
          <cell r="X43">
            <v>385768291.47754019</v>
          </cell>
          <cell r="Y43">
            <v>465462446.66788989</v>
          </cell>
          <cell r="Z43">
            <v>-0.17121500512201782</v>
          </cell>
          <cell r="AA43">
            <v>0</v>
          </cell>
          <cell r="AB43">
            <v>0</v>
          </cell>
          <cell r="AC43">
            <v>465462446.66788989</v>
          </cell>
          <cell r="AD43">
            <v>385768291.47754019</v>
          </cell>
          <cell r="AE43">
            <v>1</v>
          </cell>
        </row>
        <row r="44">
          <cell r="A44">
            <v>210058</v>
          </cell>
          <cell r="B44" t="str">
            <v>UM-REHABILITATION &amp; ORTHOPAEDIC INSTITUTE</v>
          </cell>
          <cell r="C44">
            <v>1</v>
          </cell>
          <cell r="D44">
            <v>11779.983924519362</v>
          </cell>
          <cell r="E44">
            <v>0</v>
          </cell>
          <cell r="F44">
            <v>0</v>
          </cell>
          <cell r="G44">
            <v>-235.59967849038719</v>
          </cell>
          <cell r="H44">
            <v>11779.983924519362</v>
          </cell>
          <cell r="I44">
            <v>6294.5766472001997</v>
          </cell>
          <cell r="J44">
            <v>255.17441477061357</v>
          </cell>
          <cell r="K44">
            <v>12035.158339289976</v>
          </cell>
          <cell r="L44">
            <v>75756226.627851412</v>
          </cell>
          <cell r="M44">
            <v>0.99671861092415948</v>
          </cell>
          <cell r="N44">
            <v>75507640.973367885</v>
          </cell>
          <cell r="O44">
            <v>11995.666302189418</v>
          </cell>
          <cell r="P44">
            <v>1779316.0719295214</v>
          </cell>
          <cell r="Q44">
            <v>77286957.045297399</v>
          </cell>
          <cell r="R44">
            <v>12278.340764930443</v>
          </cell>
          <cell r="S44">
            <v>1.1063897161544309</v>
          </cell>
          <cell r="T44">
            <v>85509494.467786282</v>
          </cell>
          <cell r="U44">
            <v>13584.629953758769</v>
          </cell>
          <cell r="V44">
            <v>0</v>
          </cell>
          <cell r="W44">
            <v>6294.5766472001997</v>
          </cell>
          <cell r="X44">
            <v>85509494.467786282</v>
          </cell>
          <cell r="Y44">
            <v>111654569.17969289</v>
          </cell>
          <cell r="Z44">
            <v>-0.23416036534814499</v>
          </cell>
          <cell r="AA44">
            <v>0</v>
          </cell>
          <cell r="AB44">
            <v>0</v>
          </cell>
          <cell r="AC44">
            <v>111654569.17969289</v>
          </cell>
          <cell r="AD44">
            <v>85509494.467786282</v>
          </cell>
          <cell r="AE44">
            <v>1</v>
          </cell>
        </row>
        <row r="45">
          <cell r="A45">
            <v>210060</v>
          </cell>
          <cell r="B45" t="str">
            <v>FORT WASHINGTON MEDICAL CENTER</v>
          </cell>
          <cell r="C45">
            <v>3</v>
          </cell>
          <cell r="D45">
            <v>11494.737334175063</v>
          </cell>
          <cell r="E45">
            <v>0</v>
          </cell>
          <cell r="F45">
            <v>0</v>
          </cell>
          <cell r="G45">
            <v>0</v>
          </cell>
          <cell r="H45">
            <v>11494.737334175063</v>
          </cell>
          <cell r="I45">
            <v>3954.4540239540111</v>
          </cell>
          <cell r="J45">
            <v>0</v>
          </cell>
          <cell r="K45">
            <v>11494.737334175063</v>
          </cell>
          <cell r="L45">
            <v>45455410.305422977</v>
          </cell>
          <cell r="M45">
            <v>1.0181752931904677</v>
          </cell>
          <cell r="N45">
            <v>46281575.714817047</v>
          </cell>
          <cell r="O45">
            <v>11703.65755537111</v>
          </cell>
          <cell r="P45">
            <v>0</v>
          </cell>
          <cell r="Q45">
            <v>46281575.714817047</v>
          </cell>
          <cell r="R45">
            <v>11703.65755537111</v>
          </cell>
          <cell r="S45">
            <v>1.1145002778743147</v>
          </cell>
          <cell r="T45">
            <v>51580828.994624734</v>
          </cell>
          <cell r="U45">
            <v>13043.729597606924</v>
          </cell>
          <cell r="V45">
            <v>0</v>
          </cell>
          <cell r="W45">
            <v>3954.4540239540111</v>
          </cell>
          <cell r="X45">
            <v>51580828.994624734</v>
          </cell>
          <cell r="Y45">
            <v>52381829.042422429</v>
          </cell>
          <cell r="Z45">
            <v>-1.5291563170674927E-2</v>
          </cell>
          <cell r="AA45">
            <v>0</v>
          </cell>
          <cell r="AB45">
            <v>0</v>
          </cell>
          <cell r="AC45">
            <v>52381829.042422429</v>
          </cell>
          <cell r="AD45">
            <v>51580828.994624734</v>
          </cell>
          <cell r="AE45">
            <v>1</v>
          </cell>
        </row>
        <row r="46">
          <cell r="A46">
            <v>210061</v>
          </cell>
          <cell r="B46" t="str">
            <v>ATLANTIC GENERAL HOSPITAL</v>
          </cell>
          <cell r="C46">
            <v>3</v>
          </cell>
          <cell r="D46">
            <v>11494.737334175063</v>
          </cell>
          <cell r="E46">
            <v>0</v>
          </cell>
          <cell r="F46">
            <v>0</v>
          </cell>
          <cell r="G46">
            <v>0</v>
          </cell>
          <cell r="H46">
            <v>11494.737334175063</v>
          </cell>
          <cell r="I46">
            <v>8579.2881249335114</v>
          </cell>
          <cell r="J46">
            <v>0</v>
          </cell>
          <cell r="K46">
            <v>11494.737334175063</v>
          </cell>
          <cell r="L46">
            <v>98616663.510317996</v>
          </cell>
          <cell r="M46">
            <v>0.99671861092415948</v>
          </cell>
          <cell r="N46">
            <v>98293063.867979392</v>
          </cell>
          <cell r="O46">
            <v>11457.018628657042</v>
          </cell>
          <cell r="P46">
            <v>0</v>
          </cell>
          <cell r="Q46">
            <v>98293063.867979392</v>
          </cell>
          <cell r="R46">
            <v>11457.018628657042</v>
          </cell>
          <cell r="S46">
            <v>1.1104886126299631</v>
          </cell>
          <cell r="T46">
            <v>109153328.12590079</v>
          </cell>
          <cell r="U46">
            <v>12722.888721813002</v>
          </cell>
          <cell r="V46">
            <v>0</v>
          </cell>
          <cell r="W46">
            <v>8579.2881249335114</v>
          </cell>
          <cell r="X46">
            <v>109153328.12590079</v>
          </cell>
          <cell r="Y46">
            <v>109187672.68500334</v>
          </cell>
          <cell r="Z46">
            <v>-3.1454612281767158E-4</v>
          </cell>
          <cell r="AA46">
            <v>0</v>
          </cell>
          <cell r="AB46">
            <v>0</v>
          </cell>
          <cell r="AC46">
            <v>109187672.68500334</v>
          </cell>
          <cell r="AD46">
            <v>109153328.12590079</v>
          </cell>
          <cell r="AE46">
            <v>1</v>
          </cell>
        </row>
        <row r="47">
          <cell r="A47">
            <v>210062</v>
          </cell>
          <cell r="B47" t="str">
            <v>MEDSTAR SOUTHERN MARYLAND HOSPITAL CENTER</v>
          </cell>
          <cell r="C47">
            <v>3</v>
          </cell>
          <cell r="D47">
            <v>11494.737334175063</v>
          </cell>
          <cell r="E47">
            <v>0</v>
          </cell>
          <cell r="F47">
            <v>0</v>
          </cell>
          <cell r="G47">
            <v>0</v>
          </cell>
          <cell r="H47">
            <v>11494.737334175063</v>
          </cell>
          <cell r="I47">
            <v>16077.553995552473</v>
          </cell>
          <cell r="J47">
            <v>0</v>
          </cell>
          <cell r="K47">
            <v>11494.737334175063</v>
          </cell>
          <cell r="L47">
            <v>184807260.15489244</v>
          </cell>
          <cell r="M47">
            <v>1.0181752931904677</v>
          </cell>
          <cell r="N47">
            <v>188166186.29193467</v>
          </cell>
          <cell r="O47">
            <v>11703.65755537111</v>
          </cell>
          <cell r="P47">
            <v>0</v>
          </cell>
          <cell r="Q47">
            <v>188166186.29193467</v>
          </cell>
          <cell r="R47">
            <v>11703.65755537111</v>
          </cell>
          <cell r="S47">
            <v>1.1092283969691177</v>
          </cell>
          <cell r="T47">
            <v>208719277.18439505</v>
          </cell>
          <cell r="U47">
            <v>12982.029308819798</v>
          </cell>
          <cell r="V47">
            <v>0</v>
          </cell>
          <cell r="W47">
            <v>16077.553995552473</v>
          </cell>
          <cell r="X47">
            <v>208719277.18439505</v>
          </cell>
          <cell r="Y47">
            <v>280210093.93168741</v>
          </cell>
          <cell r="Z47">
            <v>-0.25513291025383678</v>
          </cell>
          <cell r="AA47">
            <v>0</v>
          </cell>
          <cell r="AB47">
            <v>0</v>
          </cell>
          <cell r="AC47">
            <v>280210093.93168741</v>
          </cell>
          <cell r="AD47">
            <v>208719277.18439505</v>
          </cell>
          <cell r="AE47">
            <v>1</v>
          </cell>
        </row>
        <row r="48">
          <cell r="A48">
            <v>210063</v>
          </cell>
          <cell r="B48" t="str">
            <v>UM-ST. JOSEPH MEDICAL CENTER</v>
          </cell>
          <cell r="C48">
            <v>3</v>
          </cell>
          <cell r="D48">
            <v>11494.737334175063</v>
          </cell>
          <cell r="E48">
            <v>0</v>
          </cell>
          <cell r="F48">
            <v>0</v>
          </cell>
          <cell r="G48">
            <v>0</v>
          </cell>
          <cell r="H48">
            <v>11494.737334175063</v>
          </cell>
          <cell r="I48">
            <v>28014.657799435397</v>
          </cell>
          <cell r="J48">
            <v>0</v>
          </cell>
          <cell r="K48">
            <v>11494.737334175063</v>
          </cell>
          <cell r="L48">
            <v>322021132.91130865</v>
          </cell>
          <cell r="M48">
            <v>0.99671861092415948</v>
          </cell>
          <cell r="N48">
            <v>320964456.2835837</v>
          </cell>
          <cell r="O48">
            <v>11457.018628657044</v>
          </cell>
          <cell r="P48">
            <v>0</v>
          </cell>
          <cell r="Q48">
            <v>320964456.2835837</v>
          </cell>
          <cell r="R48">
            <v>11457.018628657044</v>
          </cell>
          <cell r="S48">
            <v>1.1043658326230656</v>
          </cell>
          <cell r="T48">
            <v>354462179.00602949</v>
          </cell>
          <cell r="U48">
            <v>12652.739917214811</v>
          </cell>
          <cell r="V48">
            <v>0</v>
          </cell>
          <cell r="W48">
            <v>28014.657799435397</v>
          </cell>
          <cell r="X48">
            <v>354462179.00602949</v>
          </cell>
          <cell r="Y48">
            <v>390481566.18922573</v>
          </cell>
          <cell r="Z48">
            <v>-9.2243502131779009E-2</v>
          </cell>
          <cell r="AA48">
            <v>0</v>
          </cell>
          <cell r="AB48">
            <v>0</v>
          </cell>
          <cell r="AC48">
            <v>390481566.18922573</v>
          </cell>
          <cell r="AD48">
            <v>354462179.00602949</v>
          </cell>
          <cell r="AE48">
            <v>1</v>
          </cell>
        </row>
        <row r="49">
          <cell r="A49">
            <v>210065</v>
          </cell>
          <cell r="B49" t="str">
            <v>Holy Cross Germantown</v>
          </cell>
          <cell r="C49" t="str">
            <v>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8343.0523646819092</v>
          </cell>
          <cell r="J49">
            <v>0</v>
          </cell>
          <cell r="K49">
            <v>0</v>
          </cell>
          <cell r="L49">
            <v>0</v>
          </cell>
          <cell r="M49">
            <v>1.0181752931904677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1.1046970005422463</v>
          </cell>
          <cell r="T49">
            <v>0</v>
          </cell>
          <cell r="U49">
            <v>0</v>
          </cell>
          <cell r="V49">
            <v>0</v>
          </cell>
          <cell r="W49">
            <v>8343.0523646819092</v>
          </cell>
          <cell r="X49">
            <v>0</v>
          </cell>
          <cell r="Y49">
            <v>117815614.51364455</v>
          </cell>
          <cell r="Z49">
            <v>-1</v>
          </cell>
          <cell r="AA49">
            <v>0</v>
          </cell>
          <cell r="AB49">
            <v>0</v>
          </cell>
          <cell r="AC49">
            <v>117815614.51364455</v>
          </cell>
          <cell r="AD49">
            <v>0</v>
          </cell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15032.594926221554</v>
          </cell>
          <cell r="E50">
            <v>0</v>
          </cell>
          <cell r="F50">
            <v>0</v>
          </cell>
          <cell r="G50">
            <v>-300.65189852443115</v>
          </cell>
          <cell r="H50">
            <v>15032.594926221554</v>
          </cell>
          <cell r="I50">
            <v>17595.788058902563</v>
          </cell>
          <cell r="J50">
            <v>327.03379622990684</v>
          </cell>
          <cell r="K50">
            <v>15359.628722451462</v>
          </cell>
          <cell r="L50">
            <v>270264771.66368824</v>
          </cell>
          <cell r="M50">
            <v>1.0181752931904677</v>
          </cell>
          <cell r="N50">
            <v>275176913.12773061</v>
          </cell>
          <cell r="O50">
            <v>15638.794477778747</v>
          </cell>
          <cell r="P50">
            <v>9943457.707362337</v>
          </cell>
          <cell r="Q50">
            <v>285120370.83509296</v>
          </cell>
          <cell r="R50">
            <v>16203.898903569525</v>
          </cell>
          <cell r="S50">
            <v>1.1124197944130276</v>
          </cell>
          <cell r="T50">
            <v>317173544.30734032</v>
          </cell>
          <cell r="U50">
            <v>18025.537886998296</v>
          </cell>
          <cell r="V50">
            <v>0</v>
          </cell>
          <cell r="W50">
            <v>17595.788058902563</v>
          </cell>
          <cell r="X50">
            <v>317173544.30734032</v>
          </cell>
          <cell r="Y50">
            <v>344442179.9078452</v>
          </cell>
          <cell r="Z50">
            <v>-7.9167527065937549E-2</v>
          </cell>
          <cell r="AA50">
            <v>0</v>
          </cell>
          <cell r="AB50">
            <v>0</v>
          </cell>
          <cell r="AC50">
            <v>344442179.9078452</v>
          </cell>
          <cell r="AD50">
            <v>317173544.30734032</v>
          </cell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15032.594926221554</v>
          </cell>
          <cell r="E51">
            <v>0</v>
          </cell>
          <cell r="F51">
            <v>0</v>
          </cell>
          <cell r="G51">
            <v>-300.65189852443115</v>
          </cell>
          <cell r="H51">
            <v>15032.594926221554</v>
          </cell>
          <cell r="I51">
            <v>35673.090260246754</v>
          </cell>
          <cell r="J51">
            <v>181.91035232456531</v>
          </cell>
          <cell r="K51">
            <v>15214.505278546119</v>
          </cell>
          <cell r="L51">
            <v>542748420.06657636</v>
          </cell>
          <cell r="M51">
            <v>0.99671861092415948</v>
          </cell>
          <cell r="N51">
            <v>540967451.33004022</v>
          </cell>
          <cell r="O51">
            <v>15164.580567130779</v>
          </cell>
          <cell r="P51">
            <v>5222205.8638570011</v>
          </cell>
          <cell r="Q51">
            <v>546189657.19389725</v>
          </cell>
          <cell r="R51">
            <v>15310.971188906447</v>
          </cell>
          <cell r="S51">
            <v>1.1037457657417868</v>
          </cell>
          <cell r="T51">
            <v>602854521.4197222</v>
          </cell>
          <cell r="U51">
            <v>16899.419619149983</v>
          </cell>
          <cell r="V51">
            <v>0</v>
          </cell>
          <cell r="W51">
            <v>35673.090260246754</v>
          </cell>
          <cell r="X51">
            <v>602854521.4197222</v>
          </cell>
          <cell r="Y51">
            <v>538516504.83492351</v>
          </cell>
          <cell r="Z51">
            <v>0.11947269212207501</v>
          </cell>
          <cell r="AA51">
            <v>0</v>
          </cell>
          <cell r="AB51">
            <v>0</v>
          </cell>
          <cell r="AC51">
            <v>538516504.83492351</v>
          </cell>
          <cell r="AD51">
            <v>602854521.4197222</v>
          </cell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15032.594926221554</v>
          </cell>
          <cell r="E52">
            <v>0</v>
          </cell>
          <cell r="F52">
            <v>0</v>
          </cell>
          <cell r="G52">
            <v>-300.65189852443115</v>
          </cell>
          <cell r="H52">
            <v>15032.594926221554</v>
          </cell>
          <cell r="I52">
            <v>38332.784912257281</v>
          </cell>
          <cell r="J52">
            <v>394.05813122618474</v>
          </cell>
          <cell r="K52">
            <v>15426.65305744774</v>
          </cell>
          <cell r="L52">
            <v>591346573.56716037</v>
          </cell>
          <cell r="M52">
            <v>0.99671861092415948</v>
          </cell>
          <cell r="N52">
            <v>589406135.38062131</v>
          </cell>
          <cell r="O52">
            <v>15376.032206628248</v>
          </cell>
          <cell r="P52">
            <v>19079670.401033461</v>
          </cell>
          <cell r="Q52">
            <v>608485805.78165483</v>
          </cell>
          <cell r="R52">
            <v>15873.76985978093</v>
          </cell>
          <cell r="S52">
            <v>1.1112849031201628</v>
          </cell>
          <cell r="T52">
            <v>676201089.72806048</v>
          </cell>
          <cell r="U52">
            <v>17640.280800778412</v>
          </cell>
          <cell r="V52">
            <v>0</v>
          </cell>
          <cell r="W52">
            <v>38332.784912257281</v>
          </cell>
          <cell r="X52">
            <v>676201089.72806048</v>
          </cell>
          <cell r="Y52">
            <v>750237341.18508375</v>
          </cell>
          <cell r="Z52">
            <v>-9.8683772977861572E-2</v>
          </cell>
          <cell r="AA52">
            <v>0</v>
          </cell>
          <cell r="AB52">
            <v>0</v>
          </cell>
          <cell r="AC52">
            <v>750237341.18508375</v>
          </cell>
          <cell r="AD52">
            <v>676201089.72806048</v>
          </cell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15032.594926221554</v>
          </cell>
          <cell r="E53">
            <v>0</v>
          </cell>
          <cell r="F53">
            <v>0</v>
          </cell>
          <cell r="G53">
            <v>-300.65189852443115</v>
          </cell>
          <cell r="H53">
            <v>15032.594926221554</v>
          </cell>
          <cell r="I53">
            <v>25318.796560589475</v>
          </cell>
          <cell r="J53">
            <v>329.16136416884177</v>
          </cell>
          <cell r="K53">
            <v>15361.756290390396</v>
          </cell>
          <cell r="L53">
            <v>388941182.32975012</v>
          </cell>
          <cell r="M53">
            <v>0.99671861092415948</v>
          </cell>
          <cell r="N53">
            <v>387664914.98290879</v>
          </cell>
          <cell r="O53">
            <v>15311.348391113386</v>
          </cell>
          <cell r="P53">
            <v>8194567.8891049139</v>
          </cell>
          <cell r="Q53">
            <v>395859482.87201369</v>
          </cell>
          <cell r="R53">
            <v>15635.003896204033</v>
          </cell>
          <cell r="S53">
            <v>1.1122294528034189</v>
          </cell>
          <cell r="T53">
            <v>440286576.02178419</v>
          </cell>
          <cell r="U53">
            <v>17389.711828054333</v>
          </cell>
          <cell r="V53">
            <v>0</v>
          </cell>
          <cell r="W53">
            <v>25318.796560589475</v>
          </cell>
          <cell r="X53">
            <v>440286576.02178413</v>
          </cell>
          <cell r="Y53">
            <v>427752442.19632149</v>
          </cell>
          <cell r="Z53">
            <v>2.9302308038512637E-2</v>
          </cell>
          <cell r="AA53">
            <v>0</v>
          </cell>
          <cell r="AB53">
            <v>0</v>
          </cell>
          <cell r="AC53">
            <v>427752442.19632149</v>
          </cell>
          <cell r="AD53">
            <v>440286576.02178413</v>
          </cell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15032.594926221554</v>
          </cell>
          <cell r="E54">
            <v>0</v>
          </cell>
          <cell r="F54">
            <v>0</v>
          </cell>
          <cell r="G54">
            <v>-300.65189852443115</v>
          </cell>
          <cell r="H54">
            <v>15032.594926221554</v>
          </cell>
          <cell r="I54">
            <v>37150.44640207573</v>
          </cell>
          <cell r="J54">
            <v>460.91546718175709</v>
          </cell>
          <cell r="K54">
            <v>15493.510393403312</v>
          </cell>
          <cell r="L54">
            <v>575590827.45013297</v>
          </cell>
          <cell r="M54">
            <v>0.99671861092415948</v>
          </cell>
          <cell r="N54">
            <v>573702089.99678409</v>
          </cell>
          <cell r="O54">
            <v>15442.670157651975</v>
          </cell>
          <cell r="P54">
            <v>22422240.964482512</v>
          </cell>
          <cell r="Q54">
            <v>596124330.96126664</v>
          </cell>
          <cell r="R54">
            <v>16046.222554352915</v>
          </cell>
          <cell r="S54">
            <v>1.1128915143911908</v>
          </cell>
          <cell r="T54">
            <v>663421709.44891942</v>
          </cell>
          <cell r="U54">
            <v>17857.704918771895</v>
          </cell>
          <cell r="V54">
            <v>0</v>
          </cell>
          <cell r="W54">
            <v>37150.44640207573</v>
          </cell>
          <cell r="X54">
            <v>663421709.44891942</v>
          </cell>
          <cell r="Y54">
            <v>651137459.23030555</v>
          </cell>
          <cell r="Z54">
            <v>1.8865832466672616E-2</v>
          </cell>
          <cell r="AA54">
            <v>0</v>
          </cell>
          <cell r="AB54">
            <v>0</v>
          </cell>
          <cell r="AC54">
            <v>651137459.23030555</v>
          </cell>
          <cell r="AD54">
            <v>663421709.44891942</v>
          </cell>
        </row>
        <row r="55">
          <cell r="A55">
            <v>990099</v>
          </cell>
          <cell r="B55" t="str">
            <v>Holy Cross Hospitals</v>
          </cell>
          <cell r="C55">
            <v>1</v>
          </cell>
          <cell r="D55">
            <v>11779.983924519362</v>
          </cell>
          <cell r="E55">
            <v>0</v>
          </cell>
          <cell r="F55">
            <v>0</v>
          </cell>
          <cell r="G55">
            <v>-235.59967849038719</v>
          </cell>
          <cell r="H55">
            <v>11779.983924519362</v>
          </cell>
          <cell r="I55">
            <v>46424.350169759156</v>
          </cell>
          <cell r="J55">
            <v>49.064557700159881</v>
          </cell>
          <cell r="K55">
            <v>11829.048482219521</v>
          </cell>
          <cell r="L55">
            <v>549155888.91361713</v>
          </cell>
          <cell r="M55">
            <v>1.0181752931904677</v>
          </cell>
          <cell r="N55">
            <v>559136958.20189404</v>
          </cell>
          <cell r="O55">
            <v>12044.044906548119</v>
          </cell>
          <cell r="P55">
            <v>1403028.2238295362</v>
          </cell>
          <cell r="Q55">
            <v>560539986.42572355</v>
          </cell>
          <cell r="R55">
            <v>12074.266723734554</v>
          </cell>
          <cell r="S55">
            <v>1.103417335211333</v>
          </cell>
          <cell r="T55">
            <v>618509538.10126865</v>
          </cell>
          <cell r="U55">
            <v>13322.955212934054</v>
          </cell>
          <cell r="V55">
            <v>0</v>
          </cell>
          <cell r="W55">
            <v>46424.350169759156</v>
          </cell>
          <cell r="X55">
            <v>618509538.10126865</v>
          </cell>
          <cell r="Y55">
            <v>635318079.82826042</v>
          </cell>
          <cell r="Z55">
            <v>-2.6456891847837061E-2</v>
          </cell>
          <cell r="AA55">
            <v>0</v>
          </cell>
          <cell r="AB55">
            <v>0</v>
          </cell>
          <cell r="AC55">
            <v>635318079.82826042</v>
          </cell>
          <cell r="AD55">
            <v>618509538.10126865</v>
          </cell>
          <cell r="AE55">
            <v>1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P56"/>
          <cell r="Q56"/>
          <cell r="S56"/>
          <cell r="T56"/>
          <cell r="U56"/>
          <cell r="V56"/>
          <cell r="W56"/>
          <cell r="X56"/>
          <cell r="Z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P57"/>
          <cell r="Q57"/>
          <cell r="S57"/>
          <cell r="T57"/>
          <cell r="U57"/>
          <cell r="V57"/>
          <cell r="W57"/>
          <cell r="X57"/>
          <cell r="Z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P58"/>
          <cell r="Q58"/>
          <cell r="S58"/>
          <cell r="T58"/>
          <cell r="U58"/>
          <cell r="V58"/>
          <cell r="W58"/>
          <cell r="X58"/>
          <cell r="Z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P59"/>
          <cell r="Q59"/>
          <cell r="S59"/>
          <cell r="T59"/>
          <cell r="U59"/>
          <cell r="V59"/>
          <cell r="W59"/>
          <cell r="X59"/>
          <cell r="Z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P60"/>
          <cell r="Q60"/>
          <cell r="S60"/>
          <cell r="T60"/>
          <cell r="U60"/>
          <cell r="V60"/>
          <cell r="W60"/>
          <cell r="X60"/>
          <cell r="Z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P61"/>
          <cell r="Q61"/>
          <cell r="S61"/>
          <cell r="T61"/>
          <cell r="U61"/>
          <cell r="V61"/>
          <cell r="W61"/>
          <cell r="X61"/>
          <cell r="Z61"/>
        </row>
        <row r="62">
          <cell r="A62" t="str">
            <v>Queries only</v>
          </cell>
          <cell r="B62" t="str">
            <v>$ SUBTOTAL</v>
          </cell>
          <cell r="C62"/>
          <cell r="D62">
            <v>11259.384554364437</v>
          </cell>
          <cell r="E62">
            <v>0</v>
          </cell>
          <cell r="F62">
            <v>0</v>
          </cell>
          <cell r="G62">
            <v>-75.270956935738042</v>
          </cell>
          <cell r="H62">
            <v>11259.384554364437</v>
          </cell>
          <cell r="I62">
            <v>1212478.3154301918</v>
          </cell>
          <cell r="J62"/>
          <cell r="K62"/>
          <cell r="L62">
            <v>15512542319.663979</v>
          </cell>
          <cell r="M62">
            <v>1.0008884706898677</v>
          </cell>
          <cell r="N62">
            <v>15514874157.382265</v>
          </cell>
          <cell r="O62">
            <v>12796.001346941641</v>
          </cell>
          <cell r="P62">
            <v>352447359.30831033</v>
          </cell>
          <cell r="Q62">
            <v>15867321516.690578</v>
          </cell>
          <cell r="R62">
            <v>13086.684780057938</v>
          </cell>
          <cell r="S62">
            <v>1.0865536923822285</v>
          </cell>
          <cell r="T62">
            <v>17584657347.886765</v>
          </cell>
          <cell r="U62">
            <v>684962.42752004915</v>
          </cell>
          <cell r="V62">
            <v>0</v>
          </cell>
          <cell r="W62">
            <v>1212478.3154301918</v>
          </cell>
          <cell r="X62">
            <v>17584657347.886765</v>
          </cell>
          <cell r="Y62">
            <v>19830461614.653519</v>
          </cell>
          <cell r="Z62">
            <v>-0.11325022636423354</v>
          </cell>
        </row>
        <row r="63">
          <cell r="A63">
            <v>99</v>
          </cell>
          <cell r="B63" t="str">
            <v>$ STATE TOTAL</v>
          </cell>
          <cell r="C63"/>
          <cell r="D63">
            <v>12708.832812506304</v>
          </cell>
          <cell r="E63"/>
          <cell r="F63"/>
          <cell r="G63">
            <v>0</v>
          </cell>
          <cell r="H63"/>
          <cell r="I63">
            <v>1011983.0590663608</v>
          </cell>
          <cell r="J63">
            <v>509.17576456268284</v>
          </cell>
          <cell r="K63">
            <v>509.17576456268284</v>
          </cell>
          <cell r="L63">
            <v>515277247.82459688</v>
          </cell>
          <cell r="M63">
            <v>1.0004670206402642</v>
          </cell>
          <cell r="N63">
            <v>515517892.93478948</v>
          </cell>
          <cell r="O63">
            <v>509.41356015425589</v>
          </cell>
          <cell r="P63">
            <v>286182188.25864053</v>
          </cell>
          <cell r="Q63">
            <v>12875001882.62093</v>
          </cell>
          <cell r="R63">
            <v>12722.546852216279</v>
          </cell>
          <cell r="S63">
            <v>1.0858413210036193</v>
          </cell>
          <cell r="T63">
            <v>14266210368.859669</v>
          </cell>
          <cell r="U63">
            <v>583826.81725336215</v>
          </cell>
          <cell r="V63">
            <v>0</v>
          </cell>
          <cell r="W63">
            <v>1011983.0590663608</v>
          </cell>
          <cell r="X63">
            <v>14266210368.859669</v>
          </cell>
          <cell r="Y63">
            <v>16483057607.470779</v>
          </cell>
          <cell r="Z63">
            <v>-0.13449247654187335</v>
          </cell>
        </row>
        <row r="64">
          <cell r="I64"/>
          <cell r="J64"/>
          <cell r="K64"/>
          <cell r="L64"/>
          <cell r="M64"/>
          <cell r="S64"/>
          <cell r="T64"/>
          <cell r="V64"/>
          <cell r="X64"/>
          <cell r="Y64"/>
        </row>
        <row r="65">
          <cell r="I65"/>
          <cell r="J65"/>
          <cell r="K65"/>
          <cell r="L65"/>
          <cell r="M65"/>
          <cell r="S65"/>
          <cell r="T65"/>
          <cell r="V65"/>
          <cell r="X65"/>
          <cell r="Y65"/>
        </row>
        <row r="66">
          <cell r="A66">
            <v>1</v>
          </cell>
          <cell r="B66" t="str">
            <v>$ PEER GROUP 1 TOTAL</v>
          </cell>
          <cell r="C66"/>
          <cell r="D66">
            <v>11779.98392451936</v>
          </cell>
          <cell r="E66">
            <v>0</v>
          </cell>
          <cell r="F66">
            <v>0</v>
          </cell>
          <cell r="G66">
            <v>-235.59967849038725</v>
          </cell>
          <cell r="H66">
            <v>11779.98392451936</v>
          </cell>
          <cell r="I66">
            <v>217346.82651375353</v>
          </cell>
          <cell r="J66">
            <v>147.2037502223516</v>
          </cell>
          <cell r="K66">
            <v>11927.187674741712</v>
          </cell>
          <cell r="L66">
            <v>2592336390.339066</v>
          </cell>
          <cell r="M66">
            <v>1.0031867247560882</v>
          </cell>
          <cell r="N66">
            <v>2601879602.3491726</v>
          </cell>
          <cell r="O66">
            <v>11971.095433429426</v>
          </cell>
          <cell r="P66">
            <v>36049079.017053157</v>
          </cell>
          <cell r="Q66">
            <v>2637928681.3662252</v>
          </cell>
          <cell r="R66">
            <v>12136.955131476461</v>
          </cell>
          <cell r="S66">
            <v>1.0910416479449547</v>
          </cell>
          <cell r="T66">
            <v>2922816633.0840716</v>
          </cell>
          <cell r="U66">
            <v>107973.03479173101</v>
          </cell>
          <cell r="V66">
            <v>0</v>
          </cell>
          <cell r="W66">
            <v>217346.82651375353</v>
          </cell>
          <cell r="X66">
            <v>2922816633.0840716</v>
          </cell>
          <cell r="Y66">
            <v>3230268103.2467508</v>
          </cell>
          <cell r="Z66">
            <v>-9.517831348229544E-2</v>
          </cell>
        </row>
        <row r="67">
          <cell r="A67">
            <v>3</v>
          </cell>
          <cell r="B67" t="str">
            <v>$ PEER GROUP 3 TOTAL</v>
          </cell>
          <cell r="C67"/>
          <cell r="D67">
            <v>11494.737334175061</v>
          </cell>
          <cell r="E67">
            <v>0</v>
          </cell>
          <cell r="F67">
            <v>0</v>
          </cell>
          <cell r="G67">
            <v>0</v>
          </cell>
          <cell r="H67">
            <v>11494.737334175061</v>
          </cell>
          <cell r="I67">
            <v>443848.28114236228</v>
          </cell>
          <cell r="J67">
            <v>0</v>
          </cell>
          <cell r="K67">
            <v>11494.737334175061</v>
          </cell>
          <cell r="L67">
            <v>5101919407.9565401</v>
          </cell>
          <cell r="M67">
            <v>1.0017724790518903</v>
          </cell>
          <cell r="N67">
            <v>5109083435.9967442</v>
          </cell>
          <cell r="O67">
            <v>11510.878047893193</v>
          </cell>
          <cell r="P67">
            <v>8682849.4358997308</v>
          </cell>
          <cell r="Q67">
            <v>5117766285.4326439</v>
          </cell>
          <cell r="R67">
            <v>11530.440699828112</v>
          </cell>
          <cell r="S67">
            <v>1.0889726366095049</v>
          </cell>
          <cell r="T67">
            <v>5671043014.9518795</v>
          </cell>
          <cell r="U67">
            <v>332639.38556311384</v>
          </cell>
          <cell r="V67">
            <v>0</v>
          </cell>
          <cell r="W67">
            <v>443848.28114236228</v>
          </cell>
          <cell r="X67">
            <v>5671043014.9518795</v>
          </cell>
          <cell r="Y67">
            <v>6419327607.9928083</v>
          </cell>
          <cell r="Z67">
            <v>-0.11656744113031836</v>
          </cell>
        </row>
        <row r="68">
          <cell r="A68">
            <v>4</v>
          </cell>
          <cell r="B68" t="str">
            <v>$ PEER GROUP 4 TOTAL</v>
          </cell>
          <cell r="C68"/>
          <cell r="D68">
            <v>14059.453544722594</v>
          </cell>
          <cell r="E68">
            <v>0</v>
          </cell>
          <cell r="F68">
            <v>0</v>
          </cell>
          <cell r="G68">
            <v>0</v>
          </cell>
          <cell r="H68">
            <v>14059.453544722594</v>
          </cell>
          <cell r="I68">
            <v>174866.1067315769</v>
          </cell>
          <cell r="J68">
            <v>351.54126052503443</v>
          </cell>
          <cell r="K68">
            <v>14410.994805247628</v>
          </cell>
          <cell r="L68">
            <v>2519994555.7226319</v>
          </cell>
          <cell r="M68">
            <v>0.99903020372922302</v>
          </cell>
          <cell r="N68">
            <v>2517157051.6131783</v>
          </cell>
          <cell r="O68">
            <v>14394.768080912709</v>
          </cell>
          <cell r="P68">
            <v>72504545.3557733</v>
          </cell>
          <cell r="Q68">
            <v>2589661596.9689517</v>
          </cell>
          <cell r="R68">
            <v>14809.39700306896</v>
          </cell>
          <cell r="S68">
            <v>1.0907120252690881</v>
          </cell>
          <cell r="T68">
            <v>2877343437.3340673</v>
          </cell>
          <cell r="U68">
            <v>115476.27418324255</v>
          </cell>
          <cell r="V68">
            <v>0</v>
          </cell>
          <cell r="W68">
            <v>174866.1067315769</v>
          </cell>
          <cell r="X68">
            <v>2877343437.3340673</v>
          </cell>
          <cell r="Y68">
            <v>3113938551.7171783</v>
          </cell>
          <cell r="Z68">
            <v>-7.5979378030000211E-2</v>
          </cell>
        </row>
        <row r="69">
          <cell r="A69">
            <v>5</v>
          </cell>
          <cell r="B69" t="str">
            <v>$ PEER GROUP 5 TOTAL</v>
          </cell>
          <cell r="C69"/>
          <cell r="D69">
            <v>15032.594926221556</v>
          </cell>
          <cell r="E69">
            <v>0</v>
          </cell>
          <cell r="F69">
            <v>0</v>
          </cell>
          <cell r="G69">
            <v>-300.65189852443115</v>
          </cell>
          <cell r="H69">
            <v>15032.594926221556</v>
          </cell>
          <cell r="I69">
            <v>320729.56255894585</v>
          </cell>
          <cell r="J69">
            <v>1479.8030366721832</v>
          </cell>
          <cell r="K69">
            <v>16512.397962893738</v>
          </cell>
          <cell r="L69">
            <v>5296014175.4381371</v>
          </cell>
          <cell r="M69">
            <v>0.9978646770997357</v>
          </cell>
          <cell r="N69">
            <v>5284434877.710721</v>
          </cell>
          <cell r="O69">
            <v>16476.294968099523</v>
          </cell>
          <cell r="P69">
            <v>233807357.27575469</v>
          </cell>
          <cell r="Q69">
            <v>5518242234.9864769</v>
          </cell>
          <cell r="R69">
            <v>17205.280956825729</v>
          </cell>
          <cell r="S69">
            <v>1.0783726166657202</v>
          </cell>
          <cell r="T69">
            <v>6109346547.8502054</v>
          </cell>
          <cell r="U69">
            <v>128765.74281831164</v>
          </cell>
          <cell r="V69">
            <v>0</v>
          </cell>
          <cell r="W69">
            <v>320729.56255894585</v>
          </cell>
          <cell r="X69">
            <v>6109346547.8502054</v>
          </cell>
          <cell r="Y69">
            <v>6347045859.6791334</v>
          </cell>
          <cell r="Z69">
            <v>-3.7450385121519325E-2</v>
          </cell>
        </row>
        <row r="70">
          <cell r="I70"/>
        </row>
        <row r="71">
          <cell r="E71"/>
          <cell r="F71"/>
          <cell r="G71"/>
        </row>
        <row r="72">
          <cell r="E72"/>
          <cell r="F72">
            <v>-235.59967849038719</v>
          </cell>
          <cell r="G72">
            <v>0</v>
          </cell>
          <cell r="H72"/>
        </row>
        <row r="73">
          <cell r="E73"/>
          <cell r="F73">
            <v>-229.89474668350121</v>
          </cell>
          <cell r="G73">
            <v>0</v>
          </cell>
          <cell r="H73"/>
          <cell r="Z73"/>
        </row>
        <row r="74">
          <cell r="E74"/>
          <cell r="F74">
            <v>-281.1890708944519</v>
          </cell>
          <cell r="G74">
            <v>0</v>
          </cell>
          <cell r="H74"/>
        </row>
        <row r="75">
          <cell r="F75">
            <v>-300.65189852443115</v>
          </cell>
          <cell r="G75">
            <v>0</v>
          </cell>
          <cell r="H75"/>
        </row>
        <row r="76">
          <cell r="G76"/>
        </row>
        <row r="77">
          <cell r="G77">
            <v>-6.6851750708311159E-3</v>
          </cell>
          <cell r="H77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Memo Table (2"/>
      <sheetName val="1.AgeWeights "/>
      <sheetName val="2.Statewide AgeAdjGrowth"/>
      <sheetName val="5.Example"/>
      <sheetName val="RY 2024 DA"/>
      <sheetName val="PAU All Payer "/>
      <sheetName val="Underlying Data"/>
      <sheetName val="RY 2023 DA"/>
      <sheetName val="6.claritasvsDeptp"/>
      <sheetName val="MD Planning "/>
      <sheetName val="Analysis"/>
    </sheetNames>
    <sheetDataSet>
      <sheetData sheetId="0"/>
      <sheetData sheetId="1"/>
      <sheetData sheetId="2"/>
      <sheetData sheetId="3"/>
      <sheetData sheetId="4">
        <row r="1">
          <cell r="A1" t="str">
            <v>Hospital Population Growth based on Proportion of ECMADs by age and zipcode  fy2022 revenue and population</v>
          </cell>
        </row>
        <row r="2">
          <cell r="A2" t="str">
            <v>HOSPID</v>
          </cell>
          <cell r="B2" t="str">
            <v>Hospital name</v>
          </cell>
          <cell r="C2" t="str">
            <v>Payment Type*</v>
          </cell>
          <cell r="D2" t="str">
            <v>CY 2022 MD Resident Total Charges</v>
          </cell>
          <cell r="E2" t="str">
            <v>CY 2022 MD Resident ECMADs</v>
          </cell>
          <cell r="F2" t="str">
            <v>Hospital Proportion of ECMADS</v>
          </cell>
          <cell r="G2" t="str">
            <v xml:space="preserve"> 2021 Hospital Population (Claritas)</v>
          </cell>
          <cell r="H2" t="str">
            <v>2021 Hospital Proportion of Population</v>
          </cell>
          <cell r="I2" t="str">
            <v xml:space="preserve"> 2023 Hospital Population (Claritas)</v>
          </cell>
          <cell r="J2" t="str">
            <v>2023 Population unadjusted Growth</v>
          </cell>
          <cell r="K2" t="str">
            <v>2023 Age Adjusted Growth</v>
          </cell>
          <cell r="L2" t="str">
            <v>2023Age Adjusted Hospital Population Growth</v>
          </cell>
          <cell r="M2" t="str">
            <v>CY 2021 All-Payer Percent PAU without Covid</v>
          </cell>
          <cell r="N2" t="str">
            <v xml:space="preserve">2023 Age&amp; PAU Adjusted Growth </v>
          </cell>
          <cell r="O2" t="str">
            <v>2023 age&amp; PAU Adjusted POP Growth</v>
          </cell>
          <cell r="P2" t="str">
            <v>2022 Pop Growth Provided</v>
          </cell>
          <cell r="Q2" t="str">
            <v>2023 age&amp; PAU Adjusted POP Growth Less Previously Provided Growth</v>
          </cell>
          <cell r="R2" t="str">
            <v>2023 age &amp; PAU Adjusted POP Growth Capped at Population Growth</v>
          </cell>
          <cell r="S2" t="str">
            <v>RY 2024 Demographic Adjustment</v>
          </cell>
          <cell r="T2" t="str">
            <v>SCALED AGE &amp; PAU ADJUSTED GROWTH</v>
          </cell>
          <cell r="U2" t="str">
            <v>Permanent Revenue</v>
          </cell>
          <cell r="V2" t="str">
            <v>Permanent Rev * Demo Catchup</v>
          </cell>
          <cell r="W2" t="str">
            <v>RY 2023 Reversals</v>
          </cell>
          <cell r="X2" t="str">
            <v>Total RY 2024 DA $</v>
          </cell>
        </row>
        <row r="3">
          <cell r="A3">
            <v>210001</v>
          </cell>
          <cell r="B3" t="str">
            <v>MERITUS</v>
          </cell>
          <cell r="C3" t="str">
            <v>GBR</v>
          </cell>
          <cell r="D3">
            <v>332230359.05000001</v>
          </cell>
          <cell r="E3">
            <v>22567.37</v>
          </cell>
          <cell r="F3">
            <v>2.5081650174587859E-2</v>
          </cell>
          <cell r="G3">
            <v>125488.28</v>
          </cell>
          <cell r="H3">
            <v>2.0674448605688928E-2</v>
          </cell>
          <cell r="I3">
            <v>129389.64</v>
          </cell>
          <cell r="J3">
            <v>3.1089437196844205E-2</v>
          </cell>
          <cell r="K3">
            <v>4.3380000000000002E-2</v>
          </cell>
          <cell r="L3">
            <v>5443.6815864</v>
          </cell>
          <cell r="M3">
            <v>0.11554559069206666</v>
          </cell>
          <cell r="N3">
            <v>3.8367632275778149E-2</v>
          </cell>
          <cell r="O3">
            <v>4814.6881819598857</v>
          </cell>
          <cell r="P3">
            <v>0</v>
          </cell>
          <cell r="Q3">
            <v>842.57043184297993</v>
          </cell>
          <cell r="R3">
            <v>1531.9347021033632</v>
          </cell>
          <cell r="S3">
            <v>1.2207791055095847E-2</v>
          </cell>
          <cell r="T3">
            <v>1531.9347021033632</v>
          </cell>
          <cell r="U3">
            <v>424049570.74424231</v>
          </cell>
          <cell r="V3">
            <v>5176708.5566487946</v>
          </cell>
          <cell r="W3">
            <v>797221.93497104757</v>
          </cell>
          <cell r="X3">
            <v>5973930.4916198421</v>
          </cell>
        </row>
        <row r="4">
          <cell r="A4">
            <v>210002</v>
          </cell>
          <cell r="B4" t="str">
            <v>UNIVERSITY OF MARYLAND</v>
          </cell>
          <cell r="C4" t="str">
            <v>GBR</v>
          </cell>
          <cell r="D4">
            <v>1742382057.4200001</v>
          </cell>
          <cell r="E4">
            <v>64370.61</v>
          </cell>
          <cell r="F4">
            <v>7.154228080386979E-2</v>
          </cell>
          <cell r="G4">
            <v>416731.8</v>
          </cell>
          <cell r="H4">
            <v>6.8657409133795089E-2</v>
          </cell>
          <cell r="I4">
            <v>423254.08</v>
          </cell>
          <cell r="J4">
            <v>1.5651025431704602E-2</v>
          </cell>
          <cell r="K4">
            <v>2.5270000000000001E-2</v>
          </cell>
          <cell r="L4">
            <v>10530.812586</v>
          </cell>
          <cell r="M4">
            <v>5.3893324273526395E-2</v>
          </cell>
          <cell r="N4">
            <v>2.3908115695607988E-2</v>
          </cell>
          <cell r="O4">
            <v>9963.2720884389691</v>
          </cell>
          <cell r="P4">
            <v>0</v>
          </cell>
          <cell r="Q4">
            <v>1743.5726154768195</v>
          </cell>
          <cell r="R4">
            <v>3170.1081527909992</v>
          </cell>
          <cell r="S4">
            <v>7.6070704294488667E-3</v>
          </cell>
          <cell r="T4">
            <v>3170.1081527909992</v>
          </cell>
          <cell r="U4">
            <v>1788854858.6023471</v>
          </cell>
          <cell r="V4">
            <v>13607944.897449849</v>
          </cell>
          <cell r="W4">
            <v>9983778.0089834966</v>
          </cell>
          <cell r="X4">
            <v>23591722.906433344</v>
          </cell>
        </row>
        <row r="5">
          <cell r="A5">
            <v>210003</v>
          </cell>
          <cell r="B5" t="str">
            <v>PRINCE GEORGE</v>
          </cell>
          <cell r="C5" t="str">
            <v>GBR</v>
          </cell>
          <cell r="D5">
            <v>362387216.85000002</v>
          </cell>
          <cell r="E5">
            <v>14975.13</v>
          </cell>
          <cell r="F5">
            <v>1.6643542068879798E-2</v>
          </cell>
          <cell r="G5">
            <v>144717.95000000001</v>
          </cell>
          <cell r="H5">
            <v>2.384257573373115E-2</v>
          </cell>
          <cell r="I5">
            <v>152261.79</v>
          </cell>
          <cell r="J5">
            <v>5.2127880473707533E-2</v>
          </cell>
          <cell r="K5">
            <v>6.6589999999999996E-2</v>
          </cell>
          <cell r="L5">
            <v>9636.7682905000001</v>
          </cell>
          <cell r="M5">
            <v>0.1174319669141293</v>
          </cell>
          <cell r="N5">
            <v>5.8770205323188128E-2</v>
          </cell>
          <cell r="O5">
            <v>8505.1036354508742</v>
          </cell>
          <cell r="P5">
            <v>0</v>
          </cell>
          <cell r="Q5">
            <v>1488.3931362039029</v>
          </cell>
          <cell r="R5">
            <v>2706.1489574655952</v>
          </cell>
          <cell r="S5">
            <v>1.8699469951485598E-2</v>
          </cell>
          <cell r="T5">
            <v>2706.1489574655957</v>
          </cell>
          <cell r="U5">
            <v>372141533.13710356</v>
          </cell>
          <cell r="V5">
            <v>6958849.4165970497</v>
          </cell>
          <cell r="W5">
            <v>644477.07424021396</v>
          </cell>
          <cell r="X5">
            <v>7603326.4908372639</v>
          </cell>
        </row>
        <row r="6">
          <cell r="A6">
            <v>210004</v>
          </cell>
          <cell r="B6" t="str">
            <v>HOLY CROSS</v>
          </cell>
          <cell r="C6" t="str">
            <v>GBR</v>
          </cell>
          <cell r="D6">
            <v>521386522.94999999</v>
          </cell>
          <cell r="E6">
            <v>30287.56</v>
          </cell>
          <cell r="F6">
            <v>3.3661963470348576E-2</v>
          </cell>
          <cell r="G6">
            <v>345505.12</v>
          </cell>
          <cell r="H6">
            <v>5.6922669164342563E-2</v>
          </cell>
          <cell r="I6">
            <v>357246.11</v>
          </cell>
          <cell r="J6">
            <v>3.3982101336153869E-2</v>
          </cell>
          <cell r="K6">
            <v>4.4299999999999999E-2</v>
          </cell>
          <cell r="L6">
            <v>15305.876816</v>
          </cell>
          <cell r="M6">
            <v>9.9187033254000911E-2</v>
          </cell>
          <cell r="N6">
            <v>3.9906014426847762E-2</v>
          </cell>
          <cell r="O6">
            <v>13787.732303269768</v>
          </cell>
          <cell r="P6">
            <v>0</v>
          </cell>
          <cell r="Q6">
            <v>2412.8531530722094</v>
          </cell>
          <cell r="R6">
            <v>4386.9726928177779</v>
          </cell>
          <cell r="S6">
            <v>1.2697272598500937E-2</v>
          </cell>
          <cell r="T6">
            <v>4386.9726928177779</v>
          </cell>
          <cell r="U6">
            <v>561435584.0318073</v>
          </cell>
          <cell r="V6">
            <v>7128700.6569504375</v>
          </cell>
          <cell r="W6">
            <v>3981978.4649719796</v>
          </cell>
          <cell r="X6">
            <v>11110679.121922417</v>
          </cell>
        </row>
        <row r="7">
          <cell r="A7">
            <v>210005</v>
          </cell>
          <cell r="B7" t="str">
            <v>FREDERICK MEMORIAL</v>
          </cell>
          <cell r="C7" t="str">
            <v>GBR</v>
          </cell>
          <cell r="D7">
            <v>387697654.72000003</v>
          </cell>
          <cell r="E7">
            <v>22386.52</v>
          </cell>
          <cell r="F7">
            <v>2.4880651279542747E-2</v>
          </cell>
          <cell r="G7">
            <v>167889.34</v>
          </cell>
          <cell r="H7">
            <v>2.766010922512472E-2</v>
          </cell>
          <cell r="I7">
            <v>180104.93</v>
          </cell>
          <cell r="J7">
            <v>7.2759771406570417E-2</v>
          </cell>
          <cell r="K7">
            <v>8.9840000000000003E-2</v>
          </cell>
          <cell r="L7">
            <v>15083.1783056</v>
          </cell>
          <cell r="M7">
            <v>0.12031390970989354</v>
          </cell>
          <cell r="N7">
            <v>7.9030998351663162E-2</v>
          </cell>
          <cell r="O7">
            <v>13268.462152801816</v>
          </cell>
          <cell r="P7">
            <v>2597.4883943546283</v>
          </cell>
          <cell r="Q7">
            <v>1867.4204077282577</v>
          </cell>
          <cell r="R7">
            <v>3395.2842609934569</v>
          </cell>
          <cell r="S7">
            <v>2.022334628865333E-2</v>
          </cell>
          <cell r="T7">
            <v>3395.2842609934569</v>
          </cell>
          <cell r="U7">
            <v>400457265.1480509</v>
          </cell>
          <cell r="V7">
            <v>8098585.9468960976</v>
          </cell>
          <cell r="W7">
            <v>0</v>
          </cell>
          <cell r="X7">
            <v>8098585.9468960976</v>
          </cell>
        </row>
        <row r="8">
          <cell r="A8">
            <v>210006</v>
          </cell>
          <cell r="B8" t="str">
            <v>HARFORD</v>
          </cell>
          <cell r="C8" t="str">
            <v>GBR</v>
          </cell>
          <cell r="D8">
            <v>114422983.98</v>
          </cell>
          <cell r="E8">
            <v>5711.82</v>
          </cell>
          <cell r="F8">
            <v>6.348186390359817E-3</v>
          </cell>
          <cell r="G8">
            <v>27995.67</v>
          </cell>
          <cell r="H8">
            <v>4.6123434044743243E-3</v>
          </cell>
          <cell r="I8">
            <v>29146.94</v>
          </cell>
          <cell r="J8">
            <v>4.1123145114940973E-2</v>
          </cell>
          <cell r="K8">
            <v>5.5329999999999997E-2</v>
          </cell>
          <cell r="L8">
            <v>1549.0004210999998</v>
          </cell>
          <cell r="M8">
            <v>0.16824024992289571</v>
          </cell>
          <cell r="N8">
            <v>4.602126697176618E-2</v>
          </cell>
          <cell r="O8">
            <v>1288.3962031234653</v>
          </cell>
          <cell r="P8">
            <v>33.910114514396355</v>
          </cell>
          <cell r="Q8">
            <v>219.53506550658705</v>
          </cell>
          <cell r="R8">
            <v>399.15165838711818</v>
          </cell>
          <cell r="S8">
            <v>1.425762121024852E-2</v>
          </cell>
          <cell r="T8">
            <v>399.15165838711818</v>
          </cell>
          <cell r="U8">
            <v>115840858.93692619</v>
          </cell>
          <cell r="V8">
            <v>1651615.0873925255</v>
          </cell>
          <cell r="W8">
            <v>0</v>
          </cell>
          <cell r="X8">
            <v>1651615.0873925255</v>
          </cell>
        </row>
        <row r="9">
          <cell r="A9">
            <v>210008</v>
          </cell>
          <cell r="B9" t="str">
            <v>MERCY</v>
          </cell>
          <cell r="C9" t="str">
            <v>GBR</v>
          </cell>
          <cell r="D9">
            <v>575637247.88999999</v>
          </cell>
          <cell r="E9">
            <v>30539.759999999998</v>
          </cell>
          <cell r="F9">
            <v>3.3942261625340982E-2</v>
          </cell>
          <cell r="G9">
            <v>155970.04</v>
          </cell>
          <cell r="H9">
            <v>2.5696380379165659E-2</v>
          </cell>
          <cell r="I9">
            <v>157222.35999999999</v>
          </cell>
          <cell r="J9">
            <v>8.0292343324395166E-3</v>
          </cell>
          <cell r="K9">
            <v>2.3460000000000002E-2</v>
          </cell>
          <cell r="L9">
            <v>3659.0571384000004</v>
          </cell>
          <cell r="M9">
            <v>5.4271750677950356E-2</v>
          </cell>
          <cell r="N9">
            <v>2.2186784729095289E-2</v>
          </cell>
          <cell r="O9">
            <v>3460.4737016683816</v>
          </cell>
          <cell r="P9">
            <v>0</v>
          </cell>
          <cell r="Q9">
            <v>605.58289779196673</v>
          </cell>
          <cell r="R9">
            <v>1101.0515217091256</v>
          </cell>
          <cell r="S9">
            <v>7.0593783377187408E-3</v>
          </cell>
          <cell r="T9">
            <v>1101.0515217091256</v>
          </cell>
          <cell r="U9">
            <v>637769811.37311566</v>
          </cell>
          <cell r="V9">
            <v>4502258.3908583401</v>
          </cell>
          <cell r="W9">
            <v>2650301.571520716</v>
          </cell>
          <cell r="X9">
            <v>7152559.962379056</v>
          </cell>
        </row>
        <row r="10">
          <cell r="A10">
            <v>210009</v>
          </cell>
          <cell r="B10" t="str">
            <v>JOHNS HOPKINS</v>
          </cell>
          <cell r="C10" t="str">
            <v>GBR</v>
          </cell>
          <cell r="D10">
            <v>2069467873.8699999</v>
          </cell>
          <cell r="E10">
            <v>87390.82</v>
          </cell>
          <cell r="F10">
            <v>9.7127222875788205E-2</v>
          </cell>
          <cell r="G10">
            <v>700813.12</v>
          </cell>
          <cell r="H10">
            <v>0.1154603826877897</v>
          </cell>
          <cell r="I10">
            <v>715225.95</v>
          </cell>
          <cell r="J10">
            <v>2.0565867830784734E-2</v>
          </cell>
          <cell r="K10">
            <v>2.46E-2</v>
          </cell>
          <cell r="L10">
            <v>17240.002752</v>
          </cell>
          <cell r="M10">
            <v>7.7595998257282098E-2</v>
          </cell>
          <cell r="N10">
            <v>2.2691138442870861E-2</v>
          </cell>
          <cell r="O10">
            <v>15902.247528500269</v>
          </cell>
          <cell r="P10">
            <v>0</v>
          </cell>
          <cell r="Q10">
            <v>2782.8933174875469</v>
          </cell>
          <cell r="R10">
            <v>5059.767924665568</v>
          </cell>
          <cell r="S10">
            <v>7.2198533107735883E-3</v>
          </cell>
          <cell r="T10">
            <v>5059.767924665568</v>
          </cell>
          <cell r="U10">
            <v>2825644173.4415298</v>
          </cell>
          <cell r="V10">
            <v>20400736.440689929</v>
          </cell>
          <cell r="W10">
            <v>25390844.452163793</v>
          </cell>
          <cell r="X10">
            <v>45791580.892853722</v>
          </cell>
        </row>
        <row r="11">
          <cell r="A11">
            <v>210010</v>
          </cell>
          <cell r="B11" t="str">
            <v>UM-Cambridge</v>
          </cell>
          <cell r="C11" t="str">
            <v>GBR</v>
          </cell>
          <cell r="D11">
            <v>16811677.960000001</v>
          </cell>
          <cell r="E11">
            <v>727.9</v>
          </cell>
          <cell r="F11">
            <v>8.0899693504748234E-4</v>
          </cell>
          <cell r="G11">
            <v>5288.32</v>
          </cell>
          <cell r="H11">
            <v>8.7126144410009331E-4</v>
          </cell>
          <cell r="I11">
            <v>5375.32</v>
          </cell>
          <cell r="J11">
            <v>1.6451349388841852E-2</v>
          </cell>
          <cell r="K11">
            <v>1.103E-2</v>
          </cell>
          <cell r="L11">
            <v>58.330169599999998</v>
          </cell>
          <cell r="M11">
            <v>5.9697660734667223E-2</v>
          </cell>
          <cell r="N11">
            <v>1.037153480209662E-2</v>
          </cell>
          <cell r="O11">
            <v>54.847994924623592</v>
          </cell>
          <cell r="P11">
            <v>0</v>
          </cell>
          <cell r="Q11">
            <v>9.5983991118091279</v>
          </cell>
          <cell r="R11">
            <v>17.451503314513104</v>
          </cell>
          <cell r="S11">
            <v>3.3000089469837502E-3</v>
          </cell>
          <cell r="T11">
            <v>17.451503314513104</v>
          </cell>
          <cell r="U11">
            <v>17454651.020907674</v>
          </cell>
          <cell r="V11">
            <v>57600.504535474371</v>
          </cell>
          <cell r="W11">
            <v>411180.71304246603</v>
          </cell>
          <cell r="X11">
            <v>468781.21757794038</v>
          </cell>
        </row>
        <row r="12">
          <cell r="A12">
            <v>210011</v>
          </cell>
          <cell r="B12" t="str">
            <v>Ascension Saint Agnes Hospital</v>
          </cell>
          <cell r="C12" t="str">
            <v>GBR</v>
          </cell>
          <cell r="D12">
            <v>468034390.73000002</v>
          </cell>
          <cell r="E12">
            <v>23883.599999999999</v>
          </cell>
          <cell r="F12">
            <v>2.6544524244951299E-2</v>
          </cell>
          <cell r="G12">
            <v>117934.35</v>
          </cell>
          <cell r="H12">
            <v>1.9429923319694318E-2</v>
          </cell>
          <cell r="I12">
            <v>120978.31</v>
          </cell>
          <cell r="J12">
            <v>2.5810631084158153E-2</v>
          </cell>
          <cell r="K12">
            <v>4.5580000000000002E-2</v>
          </cell>
          <cell r="L12">
            <v>5375.4476730000006</v>
          </cell>
          <cell r="M12">
            <v>0.11375707932084028</v>
          </cell>
          <cell r="N12">
            <v>4.0394952324556102E-2</v>
          </cell>
          <cell r="O12">
            <v>4763.9524456775134</v>
          </cell>
          <cell r="P12">
            <v>0</v>
          </cell>
          <cell r="Q12">
            <v>833.69167799356478</v>
          </cell>
          <cell r="R12">
            <v>1515.7916348661217</v>
          </cell>
          <cell r="S12">
            <v>1.2852842576112232E-2</v>
          </cell>
          <cell r="T12">
            <v>1515.7916348661217</v>
          </cell>
          <cell r="U12">
            <v>477836480.38597089</v>
          </cell>
          <cell r="V12">
            <v>6141557.0595244244</v>
          </cell>
          <cell r="W12">
            <v>2047873.190727446</v>
          </cell>
          <cell r="X12">
            <v>8189430.2502518706</v>
          </cell>
        </row>
        <row r="13">
          <cell r="A13">
            <v>210012</v>
          </cell>
          <cell r="B13" t="str">
            <v>SINAI</v>
          </cell>
          <cell r="C13" t="str">
            <v>GBR</v>
          </cell>
          <cell r="D13">
            <v>836050775</v>
          </cell>
          <cell r="E13">
            <v>34250.42</v>
          </cell>
          <cell r="F13">
            <v>3.8066334392209085E-2</v>
          </cell>
          <cell r="G13">
            <v>170168.78</v>
          </cell>
          <cell r="H13">
            <v>2.8035651587564877E-2</v>
          </cell>
          <cell r="I13">
            <v>171151.61</v>
          </cell>
          <cell r="J13">
            <v>5.7756187709636642E-3</v>
          </cell>
          <cell r="K13">
            <v>1.447E-2</v>
          </cell>
          <cell r="L13">
            <v>2462.3422466000002</v>
          </cell>
          <cell r="M13">
            <v>8.6437600147213661E-2</v>
          </cell>
          <cell r="N13">
            <v>1.3219247925869818E-2</v>
          </cell>
          <cell r="O13">
            <v>2249.5032920627973</v>
          </cell>
          <cell r="P13">
            <v>0</v>
          </cell>
          <cell r="Q13">
            <v>393.66307611098949</v>
          </cell>
          <cell r="R13">
            <v>715.74565690855957</v>
          </cell>
          <cell r="S13">
            <v>4.2060926622883446E-3</v>
          </cell>
          <cell r="T13">
            <v>715.74565690855957</v>
          </cell>
          <cell r="U13">
            <v>922531290.94492531</v>
          </cell>
          <cell r="V13">
            <v>3880252.0935748443</v>
          </cell>
          <cell r="W13">
            <v>5745515.9409702653</v>
          </cell>
          <cell r="X13">
            <v>9625768.0345451087</v>
          </cell>
        </row>
        <row r="14">
          <cell r="A14">
            <v>210013</v>
          </cell>
          <cell r="B14" t="str">
            <v>Grace Medical center</v>
          </cell>
          <cell r="C14" t="str">
            <v>GBR</v>
          </cell>
          <cell r="D14">
            <v>33507120.850000001</v>
          </cell>
          <cell r="E14">
            <v>1217.74</v>
          </cell>
          <cell r="F14">
            <v>1.3534110835069669E-3</v>
          </cell>
          <cell r="G14">
            <v>5164.3100000000004</v>
          </cell>
          <cell r="H14">
            <v>8.5083054512218503E-4</v>
          </cell>
          <cell r="I14">
            <v>4859.3</v>
          </cell>
          <cell r="J14">
            <v>-5.9061133045847369E-2</v>
          </cell>
          <cell r="K14">
            <v>-4.4339999999999997E-2</v>
          </cell>
          <cell r="L14">
            <v>-228.98550539999999</v>
          </cell>
          <cell r="M14">
            <v>0</v>
          </cell>
          <cell r="N14">
            <v>-4.4339999999999997E-2</v>
          </cell>
          <cell r="O14">
            <v>-228.98550539999999</v>
          </cell>
          <cell r="P14">
            <v>0</v>
          </cell>
          <cell r="Q14">
            <v>-40.072463444999997</v>
          </cell>
          <cell r="R14">
            <v>-40.072463444999997</v>
          </cell>
          <cell r="S14">
            <v>-7.759499999999999E-3</v>
          </cell>
          <cell r="T14">
            <v>-40.072463444999997</v>
          </cell>
          <cell r="U14">
            <v>32639338.835503571</v>
          </cell>
          <cell r="V14">
            <v>-253264.94969408991</v>
          </cell>
          <cell r="W14">
            <v>561625.84065068571</v>
          </cell>
          <cell r="X14">
            <v>308360.89095659577</v>
          </cell>
        </row>
        <row r="15">
          <cell r="A15">
            <v>210015</v>
          </cell>
          <cell r="B15" t="str">
            <v>FRANKLIN SQUARE</v>
          </cell>
          <cell r="C15" t="str">
            <v>GBR</v>
          </cell>
          <cell r="D15">
            <v>573042198.70000005</v>
          </cell>
          <cell r="E15">
            <v>33195.25</v>
          </cell>
          <cell r="F15">
            <v>3.6893605588865147E-2</v>
          </cell>
          <cell r="G15">
            <v>151736</v>
          </cell>
          <cell r="H15">
            <v>2.4998813703023221E-2</v>
          </cell>
          <cell r="I15">
            <v>155814.82999999999</v>
          </cell>
          <cell r="J15">
            <v>2.6881096114303782E-2</v>
          </cell>
          <cell r="K15">
            <v>3.7229999999999999E-2</v>
          </cell>
          <cell r="L15">
            <v>5649.1312799999996</v>
          </cell>
          <cell r="M15">
            <v>0.12507484379075273</v>
          </cell>
          <cell r="N15">
            <v>3.2573463565670278E-2</v>
          </cell>
          <cell r="O15">
            <v>4942.5670676005457</v>
          </cell>
          <cell r="P15">
            <v>0</v>
          </cell>
          <cell r="Q15">
            <v>864.9492368300954</v>
          </cell>
          <cell r="R15">
            <v>1572.6231320027819</v>
          </cell>
          <cell r="S15">
            <v>1.0364205804837229E-2</v>
          </cell>
          <cell r="T15">
            <v>1572.6231320027819</v>
          </cell>
          <cell r="U15">
            <v>620302546.61705399</v>
          </cell>
          <cell r="V15">
            <v>6428943.2544037867</v>
          </cell>
          <cell r="W15">
            <v>4321566.2030131463</v>
          </cell>
          <cell r="X15">
            <v>10750509.457416933</v>
          </cell>
        </row>
        <row r="16">
          <cell r="A16">
            <v>210016</v>
          </cell>
          <cell r="B16" t="str">
            <v>Adventist White Oak</v>
          </cell>
          <cell r="C16" t="str">
            <v>GBR</v>
          </cell>
          <cell r="D16">
            <v>327318156.94</v>
          </cell>
          <cell r="E16">
            <v>17445.330000000002</v>
          </cell>
          <cell r="F16">
            <v>1.9388952467223379E-2</v>
          </cell>
          <cell r="G16">
            <v>155724.79</v>
          </cell>
          <cell r="H16">
            <v>2.565597494432708E-2</v>
          </cell>
          <cell r="I16">
            <v>164071.67000000001</v>
          </cell>
          <cell r="J16">
            <v>5.3600200713065593E-2</v>
          </cell>
          <cell r="K16">
            <v>7.9439999999999997E-2</v>
          </cell>
          <cell r="L16">
            <v>12370.777317600001</v>
          </cell>
          <cell r="M16">
            <v>0.13121676492387238</v>
          </cell>
          <cell r="N16">
            <v>6.9016140194447573E-2</v>
          </cell>
          <cell r="O16">
            <v>10747.523938390908</v>
          </cell>
          <cell r="P16">
            <v>1349.1828026052126</v>
          </cell>
          <cell r="Q16">
            <v>1644.7096987624968</v>
          </cell>
          <cell r="R16">
            <v>2990.3587488930352</v>
          </cell>
          <cell r="S16">
            <v>1.92028433552104E-2</v>
          </cell>
          <cell r="T16">
            <v>2990.3587488930352</v>
          </cell>
          <cell r="U16">
            <v>341578603.1094932</v>
          </cell>
          <cell r="V16">
            <v>6559280.4090031823</v>
          </cell>
          <cell r="W16">
            <v>0</v>
          </cell>
          <cell r="X16">
            <v>6559280.4090031823</v>
          </cell>
        </row>
        <row r="17">
          <cell r="A17">
            <v>210017</v>
          </cell>
          <cell r="B17" t="str">
            <v>GARRETT COUNTY</v>
          </cell>
          <cell r="C17" t="str">
            <v>GBR</v>
          </cell>
          <cell r="D17">
            <v>48941295.979999997</v>
          </cell>
          <cell r="E17">
            <v>3614.36</v>
          </cell>
          <cell r="F17">
            <v>4.0170437727135855E-3</v>
          </cell>
          <cell r="G17">
            <v>22476.98</v>
          </cell>
          <cell r="H17">
            <v>3.703128035710569E-3</v>
          </cell>
          <cell r="I17">
            <v>22370.6</v>
          </cell>
          <cell r="J17">
            <v>-4.7328422234660383E-3</v>
          </cell>
          <cell r="K17">
            <v>2.1170000000000001E-2</v>
          </cell>
          <cell r="L17">
            <v>475.83766660000003</v>
          </cell>
          <cell r="M17">
            <v>6.1092032900410084E-2</v>
          </cell>
          <cell r="N17">
            <v>1.9876681663498319E-2</v>
          </cell>
          <cell r="O17">
            <v>446.76777621681845</v>
          </cell>
          <cell r="P17">
            <v>0</v>
          </cell>
          <cell r="Q17">
            <v>78.184360837943217</v>
          </cell>
          <cell r="R17">
            <v>142.15231273596029</v>
          </cell>
          <cell r="S17">
            <v>6.324351079903096E-3</v>
          </cell>
          <cell r="T17">
            <v>142.15231273596029</v>
          </cell>
          <cell r="U17">
            <v>76992013.16301389</v>
          </cell>
          <cell r="V17">
            <v>486924.52159142029</v>
          </cell>
          <cell r="W17">
            <v>1946.8317839626789</v>
          </cell>
          <cell r="X17">
            <v>488871.35337538295</v>
          </cell>
        </row>
        <row r="18">
          <cell r="A18">
            <v>210018</v>
          </cell>
          <cell r="B18" t="str">
            <v>MONTGOMERY GENERAL</v>
          </cell>
          <cell r="C18" t="str">
            <v>GBR</v>
          </cell>
          <cell r="D18">
            <v>178269031.81999999</v>
          </cell>
          <cell r="E18">
            <v>10865.35</v>
          </cell>
          <cell r="F18">
            <v>1.2075882467671608E-2</v>
          </cell>
          <cell r="G18">
            <v>96141.15</v>
          </cell>
          <cell r="H18">
            <v>1.5839449425610344E-2</v>
          </cell>
          <cell r="I18">
            <v>97199.75</v>
          </cell>
          <cell r="J18">
            <v>1.1010893878427686E-2</v>
          </cell>
          <cell r="K18">
            <v>2.5139999999999999E-2</v>
          </cell>
          <cell r="L18">
            <v>2416.9885109999996</v>
          </cell>
          <cell r="M18">
            <v>0.10728497844129375</v>
          </cell>
          <cell r="N18">
            <v>2.2442855641985875E-2</v>
          </cell>
          <cell r="O18">
            <v>2157.6819507045102</v>
          </cell>
          <cell r="P18">
            <v>488.26023584662926</v>
          </cell>
          <cell r="Q18">
            <v>292.14880010012917</v>
          </cell>
          <cell r="R18">
            <v>531.17563605015232</v>
          </cell>
          <cell r="S18">
            <v>5.5249561301290067E-3</v>
          </cell>
          <cell r="T18">
            <v>531.17563605015232</v>
          </cell>
          <cell r="U18">
            <v>202663894.9411726</v>
          </cell>
          <cell r="V18">
            <v>1119709.1287110525</v>
          </cell>
          <cell r="W18">
            <v>0</v>
          </cell>
          <cell r="X18">
            <v>1119709.1287110525</v>
          </cell>
        </row>
        <row r="19">
          <cell r="A19">
            <v>210019</v>
          </cell>
          <cell r="B19" t="str">
            <v>PENINSULA REGIONAL</v>
          </cell>
          <cell r="C19" t="str">
            <v>GBR</v>
          </cell>
          <cell r="D19">
            <v>410962428.63</v>
          </cell>
          <cell r="E19">
            <v>26681.64</v>
          </cell>
          <cell r="F19">
            <v>2.9654300016541155E-2</v>
          </cell>
          <cell r="G19">
            <v>128798.18</v>
          </cell>
          <cell r="H19">
            <v>2.1219761342782539E-2</v>
          </cell>
          <cell r="I19">
            <v>128513.83</v>
          </cell>
          <cell r="J19">
            <v>-2.2077175314122455E-3</v>
          </cell>
          <cell r="K19">
            <v>1.192E-2</v>
          </cell>
          <cell r="L19">
            <v>1535.2743055999999</v>
          </cell>
          <cell r="M19">
            <v>7.8762006097481949E-2</v>
          </cell>
          <cell r="N19">
            <v>1.0981156887318015E-2</v>
          </cell>
          <cell r="O19">
            <v>1414.3530213810252</v>
          </cell>
          <cell r="P19">
            <v>141.3618636090896</v>
          </cell>
          <cell r="Q19">
            <v>222.77345261008873</v>
          </cell>
          <cell r="R19">
            <v>405.03959059457395</v>
          </cell>
          <cell r="S19">
            <v>3.1447617551317417E-3</v>
          </cell>
          <cell r="T19">
            <v>405.03959059457395</v>
          </cell>
          <cell r="U19">
            <v>535162304.0418486</v>
          </cell>
          <cell r="V19">
            <v>1682957.9465389906</v>
          </cell>
          <cell r="W19">
            <v>0</v>
          </cell>
          <cell r="X19">
            <v>1682957.9465389906</v>
          </cell>
        </row>
        <row r="20">
          <cell r="A20">
            <v>210022</v>
          </cell>
          <cell r="B20" t="str">
            <v>SUBURBAN</v>
          </cell>
          <cell r="C20" t="str">
            <v>GBR</v>
          </cell>
          <cell r="D20">
            <v>355954884.32999998</v>
          </cell>
          <cell r="E20">
            <v>21401.15</v>
          </cell>
          <cell r="F20">
            <v>2.3785499047247464E-2</v>
          </cell>
          <cell r="G20">
            <v>194783.64</v>
          </cell>
          <cell r="H20">
            <v>3.2090999688648328E-2</v>
          </cell>
          <cell r="I20">
            <v>200922.4</v>
          </cell>
          <cell r="J20">
            <v>3.1515788492298302E-2</v>
          </cell>
          <cell r="K20">
            <v>6.0339999999999998E-2</v>
          </cell>
          <cell r="L20">
            <v>11753.244837600001</v>
          </cell>
          <cell r="M20">
            <v>9.8744378340866412E-2</v>
          </cell>
          <cell r="N20">
            <v>5.438176421091212E-2</v>
          </cell>
          <cell r="O20">
            <v>10592.67798262319</v>
          </cell>
          <cell r="P20">
            <v>2685.6629414772506</v>
          </cell>
          <cell r="Q20">
            <v>1383.7276322005393</v>
          </cell>
          <cell r="R20">
            <v>2515.8494743171386</v>
          </cell>
          <cell r="S20">
            <v>1.2916123111351336E-2</v>
          </cell>
          <cell r="T20">
            <v>2515.8494743171386</v>
          </cell>
          <cell r="U20">
            <v>395048811.69120657</v>
          </cell>
          <cell r="V20">
            <v>5102499.0867966749</v>
          </cell>
          <cell r="W20">
            <v>0</v>
          </cell>
          <cell r="X20">
            <v>5102499.0867966749</v>
          </cell>
        </row>
        <row r="21">
          <cell r="A21">
            <v>210023</v>
          </cell>
          <cell r="B21" t="str">
            <v>ANNE ARUNDEL</v>
          </cell>
          <cell r="C21" t="str">
            <v>GBR</v>
          </cell>
          <cell r="D21">
            <v>691051112.29999995</v>
          </cell>
          <cell r="E21">
            <v>43171.43</v>
          </cell>
          <cell r="F21">
            <v>4.7981253677176719E-2</v>
          </cell>
          <cell r="G21">
            <v>328571.34999999998</v>
          </cell>
          <cell r="H21">
            <v>5.4132796217119465E-2</v>
          </cell>
          <cell r="I21">
            <v>330417.86</v>
          </cell>
          <cell r="J21">
            <v>5.6198143873469331E-3</v>
          </cell>
          <cell r="K21">
            <v>2.2450000000000001E-2</v>
          </cell>
          <cell r="L21">
            <v>7376.4268075</v>
          </cell>
          <cell r="M21">
            <v>0.10550772709660981</v>
          </cell>
          <cell r="N21">
            <v>2.0081351526681109E-2</v>
          </cell>
          <cell r="O21">
            <v>6598.1567809461731</v>
          </cell>
          <cell r="P21">
            <v>996.4164148485288</v>
          </cell>
          <cell r="Q21">
            <v>980.30456406708765</v>
          </cell>
          <cell r="R21">
            <v>1782.3585110147176</v>
          </cell>
          <cell r="S21">
            <v>5.4245706785290854E-3</v>
          </cell>
          <cell r="T21">
            <v>1782.3585110147176</v>
          </cell>
          <cell r="U21">
            <v>730204814.8364867</v>
          </cell>
          <cell r="V21">
            <v>3961047.6278827656</v>
          </cell>
          <cell r="W21">
            <v>0</v>
          </cell>
          <cell r="X21">
            <v>3961047.6278827656</v>
          </cell>
        </row>
        <row r="22">
          <cell r="A22">
            <v>210024</v>
          </cell>
          <cell r="B22" t="str">
            <v>UNION MEMORIAL</v>
          </cell>
          <cell r="C22" t="str">
            <v>GBR</v>
          </cell>
          <cell r="D22">
            <v>464234921.58999997</v>
          </cell>
          <cell r="E22">
            <v>23074.080000000002</v>
          </cell>
          <cell r="F22">
            <v>2.5644813846737759E-2</v>
          </cell>
          <cell r="G22">
            <v>89239.43</v>
          </cell>
          <cell r="H22">
            <v>1.4702377059722027E-2</v>
          </cell>
          <cell r="I22">
            <v>90642.68</v>
          </cell>
          <cell r="J22">
            <v>1.5724551355829952E-2</v>
          </cell>
          <cell r="K22">
            <v>3.3739999999999999E-2</v>
          </cell>
          <cell r="L22">
            <v>3010.9383681999998</v>
          </cell>
          <cell r="M22">
            <v>0.12148211862423278</v>
          </cell>
          <cell r="N22">
            <v>2.9641193317618386E-2</v>
          </cell>
          <cell r="O22">
            <v>2645.1631961840735</v>
          </cell>
          <cell r="P22">
            <v>342.06286701931185</v>
          </cell>
          <cell r="Q22">
            <v>403.04255760383325</v>
          </cell>
          <cell r="R22">
            <v>732.79913118630543</v>
          </cell>
          <cell r="S22">
            <v>8.2116070349878469E-3</v>
          </cell>
          <cell r="T22">
            <v>732.79913118630543</v>
          </cell>
          <cell r="U22">
            <v>478377594.77993202</v>
          </cell>
          <cell r="V22">
            <v>3928248.8226754554</v>
          </cell>
          <cell r="W22">
            <v>0</v>
          </cell>
          <cell r="X22">
            <v>3928248.8226754554</v>
          </cell>
        </row>
        <row r="23">
          <cell r="A23">
            <v>210027</v>
          </cell>
          <cell r="B23" t="str">
            <v>WESTERN MARYLAND HEALTH SYSTEM</v>
          </cell>
          <cell r="C23" t="str">
            <v>GBR</v>
          </cell>
          <cell r="D23">
            <v>238419090.36000001</v>
          </cell>
          <cell r="E23">
            <v>15169.62</v>
          </cell>
          <cell r="F23">
            <v>1.6859700626232987E-2</v>
          </cell>
          <cell r="G23">
            <v>70043.42</v>
          </cell>
          <cell r="H23">
            <v>1.1539795484938385E-2</v>
          </cell>
          <cell r="I23">
            <v>67191.350000000006</v>
          </cell>
          <cell r="J23">
            <v>-4.071859997698557E-2</v>
          </cell>
          <cell r="K23">
            <v>-3.569E-2</v>
          </cell>
          <cell r="L23">
            <v>-2499.8496597999997</v>
          </cell>
          <cell r="M23">
            <v>9.7305379044195908E-2</v>
          </cell>
          <cell r="N23">
            <v>-3.569E-2</v>
          </cell>
          <cell r="O23">
            <v>-2499.8496597999997</v>
          </cell>
          <cell r="P23">
            <v>0</v>
          </cell>
          <cell r="Q23">
            <v>-437.47369046499995</v>
          </cell>
          <cell r="R23">
            <v>-437.47369046499995</v>
          </cell>
          <cell r="S23">
            <v>-6.2457499999999996E-3</v>
          </cell>
          <cell r="T23">
            <v>-437.47369046499995</v>
          </cell>
          <cell r="U23">
            <v>366860862.72486395</v>
          </cell>
          <cell r="V23">
            <v>-2291321.2333638188</v>
          </cell>
          <cell r="W23">
            <v>3862350.4773083264</v>
          </cell>
          <cell r="X23">
            <v>1571029.2439445076</v>
          </cell>
        </row>
        <row r="24">
          <cell r="A24">
            <v>210028</v>
          </cell>
          <cell r="B24" t="str">
            <v>ST. MARY</v>
          </cell>
          <cell r="C24" t="str">
            <v>GBR</v>
          </cell>
          <cell r="D24">
            <v>197714748.41</v>
          </cell>
          <cell r="E24">
            <v>13028.45</v>
          </cell>
          <cell r="F24">
            <v>1.4479978181644969E-2</v>
          </cell>
          <cell r="G24">
            <v>96138.02</v>
          </cell>
          <cell r="H24">
            <v>1.5838933751763068E-2</v>
          </cell>
          <cell r="I24">
            <v>96974.54</v>
          </cell>
          <cell r="J24">
            <v>8.7012401545194518E-3</v>
          </cell>
          <cell r="K24">
            <v>2.085E-2</v>
          </cell>
          <cell r="L24">
            <v>2004.4777170000002</v>
          </cell>
          <cell r="M24">
            <v>9.4082386672436014E-2</v>
          </cell>
          <cell r="N24">
            <v>1.8888382237879708E-2</v>
          </cell>
          <cell r="O24">
            <v>1815.8916693529243</v>
          </cell>
          <cell r="P24">
            <v>845.20265530317738</v>
          </cell>
          <cell r="Q24">
            <v>169.8705774587057</v>
          </cell>
          <cell r="R24">
            <v>308.85326928232962</v>
          </cell>
          <cell r="S24">
            <v>3.2126027692512245E-3</v>
          </cell>
          <cell r="T24">
            <v>308.85326928232962</v>
          </cell>
          <cell r="U24">
            <v>212649862.79057142</v>
          </cell>
          <cell r="V24">
            <v>683159.53808188264</v>
          </cell>
          <cell r="W24">
            <v>0</v>
          </cell>
          <cell r="X24">
            <v>683159.53808188264</v>
          </cell>
        </row>
        <row r="25">
          <cell r="A25">
            <v>210029</v>
          </cell>
          <cell r="B25" t="str">
            <v>HOPKINS BAYVIEW MED CTR</v>
          </cell>
          <cell r="C25" t="str">
            <v>GBR</v>
          </cell>
          <cell r="D25">
            <v>643922536.95000005</v>
          </cell>
          <cell r="E25">
            <v>30871</v>
          </cell>
          <cell r="F25">
            <v>3.4310405800042354E-2</v>
          </cell>
          <cell r="G25">
            <v>146116.54</v>
          </cell>
          <cell r="H25">
            <v>2.4072996272409587E-2</v>
          </cell>
          <cell r="I25">
            <v>151082.76</v>
          </cell>
          <cell r="J25">
            <v>3.398807554572536E-2</v>
          </cell>
          <cell r="K25">
            <v>5.1630000000000002E-2</v>
          </cell>
          <cell r="L25">
            <v>7543.996960200001</v>
          </cell>
          <cell r="M25">
            <v>0.10576583938795825</v>
          </cell>
          <cell r="N25">
            <v>4.6169309712399714E-2</v>
          </cell>
          <cell r="O25">
            <v>6746.0997893642416</v>
          </cell>
          <cell r="P25">
            <v>0</v>
          </cell>
          <cell r="Q25">
            <v>1180.5674631387421</v>
          </cell>
          <cell r="R25">
            <v>2146.4701306933721</v>
          </cell>
          <cell r="S25">
            <v>1.4690124271306807E-2</v>
          </cell>
          <cell r="T25">
            <v>2146.4701306933721</v>
          </cell>
          <cell r="U25">
            <v>767133008.17096496</v>
          </cell>
          <cell r="V25">
            <v>11269279.222652895</v>
          </cell>
          <cell r="W25">
            <v>4042676.6297211838</v>
          </cell>
          <cell r="X25">
            <v>15311955.852374079</v>
          </cell>
        </row>
        <row r="26">
          <cell r="A26">
            <v>210030</v>
          </cell>
          <cell r="B26" t="str">
            <v>CHESTERTOWN</v>
          </cell>
          <cell r="C26" t="str">
            <v>GBR</v>
          </cell>
          <cell r="D26">
            <v>51376048.350000001</v>
          </cell>
          <cell r="E26">
            <v>1876.32</v>
          </cell>
          <cell r="F26">
            <v>2.0853649253582802E-3</v>
          </cell>
          <cell r="G26">
            <v>11722.88</v>
          </cell>
          <cell r="H26">
            <v>1.9313682526420682E-3</v>
          </cell>
          <cell r="I26">
            <v>11529.37</v>
          </cell>
          <cell r="J26">
            <v>-1.6507035813724813E-2</v>
          </cell>
          <cell r="K26">
            <v>3.49E-3</v>
          </cell>
          <cell r="L26">
            <v>40.912851199999999</v>
          </cell>
          <cell r="M26">
            <v>5.9812098707238234E-2</v>
          </cell>
          <cell r="N26">
            <v>3.2812557755117384E-3</v>
          </cell>
          <cell r="O26">
            <v>38.465767705631045</v>
          </cell>
          <cell r="P26">
            <v>26.904548431843466</v>
          </cell>
          <cell r="Q26">
            <v>2.0232133729128261</v>
          </cell>
          <cell r="R26">
            <v>3.6785420643651974</v>
          </cell>
          <cell r="S26">
            <v>3.1379166760772079E-4</v>
          </cell>
          <cell r="T26">
            <v>3.6785420643651978</v>
          </cell>
          <cell r="U26">
            <v>55956345.969881617</v>
          </cell>
          <cell r="V26">
            <v>17558.635115123718</v>
          </cell>
          <cell r="W26">
            <v>0</v>
          </cell>
          <cell r="X26">
            <v>17558.635115123718</v>
          </cell>
        </row>
        <row r="27">
          <cell r="A27">
            <v>210032</v>
          </cell>
          <cell r="B27" t="str">
            <v>UNION HOSPITAL  OF CECIL COUNT</v>
          </cell>
          <cell r="C27" t="str">
            <v>GBR</v>
          </cell>
          <cell r="D27">
            <v>140024722.34999999</v>
          </cell>
          <cell r="E27">
            <v>8550.58</v>
          </cell>
          <cell r="F27">
            <v>9.5032188664353652E-3</v>
          </cell>
          <cell r="G27">
            <v>60712.78</v>
          </cell>
          <cell r="H27">
            <v>1.0002553623481798E-2</v>
          </cell>
          <cell r="I27">
            <v>61700.27</v>
          </cell>
          <cell r="J27">
            <v>1.6264944547095261E-2</v>
          </cell>
          <cell r="K27">
            <v>3.141E-2</v>
          </cell>
          <cell r="L27">
            <v>1906.9884198</v>
          </cell>
          <cell r="M27">
            <v>0.12060506996822717</v>
          </cell>
          <cell r="N27">
            <v>2.7621794752297986E-2</v>
          </cell>
          <cell r="O27">
            <v>1676.995948001422</v>
          </cell>
          <cell r="P27">
            <v>229.21420256248621</v>
          </cell>
          <cell r="Q27">
            <v>253.36180545181375</v>
          </cell>
          <cell r="R27">
            <v>460.65435872253175</v>
          </cell>
          <cell r="S27">
            <v>7.5874364297357456E-3</v>
          </cell>
          <cell r="T27">
            <v>460.65435872253175</v>
          </cell>
          <cell r="U27">
            <v>187132983.95749941</v>
          </cell>
          <cell r="V27">
            <v>1419859.6196842859</v>
          </cell>
          <cell r="W27">
            <v>0</v>
          </cell>
          <cell r="X27">
            <v>1419859.6196842859</v>
          </cell>
        </row>
        <row r="28">
          <cell r="A28">
            <v>210033</v>
          </cell>
          <cell r="B28" t="str">
            <v>CARROLL COUNTY</v>
          </cell>
          <cell r="C28" t="str">
            <v>GBR</v>
          </cell>
          <cell r="D28">
            <v>250097398.18000001</v>
          </cell>
          <cell r="E28">
            <v>15201.15</v>
          </cell>
          <cell r="F28">
            <v>1.6894743452668001E-2</v>
          </cell>
          <cell r="G28">
            <v>82440.61</v>
          </cell>
          <cell r="H28">
            <v>1.3582257677502988E-2</v>
          </cell>
          <cell r="I28">
            <v>84699.17</v>
          </cell>
          <cell r="J28">
            <v>2.7396206796626021E-2</v>
          </cell>
          <cell r="K28">
            <v>4.7699999999999999E-2</v>
          </cell>
          <cell r="L28">
            <v>3932.417097</v>
          </cell>
          <cell r="M28">
            <v>0.14266773238431746</v>
          </cell>
          <cell r="N28">
            <v>4.0894749165268057E-2</v>
          </cell>
          <cell r="O28">
            <v>3371.3880669816895</v>
          </cell>
          <cell r="P28">
            <v>483.28148476343358</v>
          </cell>
          <cell r="Q28">
            <v>505.41865188819474</v>
          </cell>
          <cell r="R28">
            <v>918.93608255899073</v>
          </cell>
          <cell r="S28">
            <v>1.1146643414683501E-2</v>
          </cell>
          <cell r="T28">
            <v>918.93608255899073</v>
          </cell>
          <cell r="U28">
            <v>258462355.28291667</v>
          </cell>
          <cell r="V28">
            <v>2880987.7104579103</v>
          </cell>
          <cell r="W28">
            <v>0</v>
          </cell>
          <cell r="X28">
            <v>2880987.7104579103</v>
          </cell>
        </row>
        <row r="29">
          <cell r="A29">
            <v>210034</v>
          </cell>
          <cell r="B29" t="str">
            <v>HARBOR</v>
          </cell>
          <cell r="C29" t="str">
            <v>GBR</v>
          </cell>
          <cell r="D29">
            <v>201348211.69</v>
          </cell>
          <cell r="E29">
            <v>10470.950000000001</v>
          </cell>
          <cell r="F29">
            <v>1.163754149888094E-2</v>
          </cell>
          <cell r="G29">
            <v>55244.76</v>
          </cell>
          <cell r="H29">
            <v>9.1016862399709315E-3</v>
          </cell>
          <cell r="I29">
            <v>56612.02</v>
          </cell>
          <cell r="J29">
            <v>2.4749134578555321E-2</v>
          </cell>
          <cell r="K29">
            <v>4.054E-2</v>
          </cell>
          <cell r="L29">
            <v>2239.6225703999999</v>
          </cell>
          <cell r="M29">
            <v>0.15386046390099101</v>
          </cell>
          <cell r="N29">
            <v>3.4302496793453825E-2</v>
          </cell>
          <cell r="O29">
            <v>1895.0332027551262</v>
          </cell>
          <cell r="P29">
            <v>0</v>
          </cell>
          <cell r="Q29">
            <v>331.63081048214707</v>
          </cell>
          <cell r="R29">
            <v>602.96056883104802</v>
          </cell>
          <cell r="S29">
            <v>1.0914348597605421E-2</v>
          </cell>
          <cell r="T29">
            <v>602.96056883104802</v>
          </cell>
          <cell r="U29">
            <v>205365570.31165394</v>
          </cell>
          <cell r="V29">
            <v>2241431.4243274378</v>
          </cell>
          <cell r="W29">
            <v>1983848.2766845049</v>
          </cell>
          <cell r="X29">
            <v>4225279.7010119427</v>
          </cell>
        </row>
        <row r="30">
          <cell r="A30">
            <v>210035</v>
          </cell>
          <cell r="B30" t="str">
            <v>CHARLES REGIONAL</v>
          </cell>
          <cell r="C30" t="str">
            <v>GBR</v>
          </cell>
          <cell r="D30">
            <v>168476659.36000001</v>
          </cell>
          <cell r="E30">
            <v>10600.17</v>
          </cell>
          <cell r="F30">
            <v>1.1781158182418287E-2</v>
          </cell>
          <cell r="G30">
            <v>97178.36</v>
          </cell>
          <cell r="H30">
            <v>1.6010331876452021E-2</v>
          </cell>
          <cell r="I30">
            <v>100721.04</v>
          </cell>
          <cell r="J30">
            <v>3.6455441314300785E-2</v>
          </cell>
          <cell r="K30">
            <v>5.16E-2</v>
          </cell>
          <cell r="L30">
            <v>5014.4033760000002</v>
          </cell>
          <cell r="M30">
            <v>0.11856337195258067</v>
          </cell>
          <cell r="N30">
            <v>4.5482130007246838E-2</v>
          </cell>
          <cell r="O30">
            <v>4419.8788034110357</v>
          </cell>
          <cell r="P30">
            <v>515.71805882129638</v>
          </cell>
          <cell r="Q30">
            <v>683.22813030320435</v>
          </cell>
          <cell r="R30">
            <v>1242.2236085062755</v>
          </cell>
          <cell r="S30">
            <v>1.2782924187095517E-2</v>
          </cell>
          <cell r="T30">
            <v>1242.2236085062755</v>
          </cell>
          <cell r="U30">
            <v>176390354.73159721</v>
          </cell>
          <cell r="V30">
            <v>2254784.5318688923</v>
          </cell>
          <cell r="W30">
            <v>0</v>
          </cell>
          <cell r="X30">
            <v>2254784.5318688923</v>
          </cell>
        </row>
        <row r="31">
          <cell r="A31">
            <v>210037</v>
          </cell>
          <cell r="B31" t="str">
            <v>EASTON</v>
          </cell>
          <cell r="C31" t="str">
            <v>GBR</v>
          </cell>
          <cell r="D31">
            <v>280216940.66000003</v>
          </cell>
          <cell r="E31">
            <v>13201.76</v>
          </cell>
          <cell r="F31">
            <v>1.4672597028757317E-2</v>
          </cell>
          <cell r="G31">
            <v>63809.33</v>
          </cell>
          <cell r="H31">
            <v>1.0512716515426339E-2</v>
          </cell>
          <cell r="I31">
            <v>64332.33</v>
          </cell>
          <cell r="J31">
            <v>8.1962935514288127E-3</v>
          </cell>
          <cell r="K31">
            <v>3.022E-2</v>
          </cell>
          <cell r="L31">
            <v>1928.3179526000001</v>
          </cell>
          <cell r="M31">
            <v>7.38083394424527E-2</v>
          </cell>
          <cell r="N31">
            <v>2.7989511982049079E-2</v>
          </cell>
          <cell r="O31">
            <v>1785.9920066015238</v>
          </cell>
          <cell r="P31">
            <v>140.05000208815909</v>
          </cell>
          <cell r="Q31">
            <v>288.03985078983879</v>
          </cell>
          <cell r="R31">
            <v>523.70487538762939</v>
          </cell>
          <cell r="S31">
            <v>8.2073401395631237E-3</v>
          </cell>
          <cell r="T31">
            <v>523.70487538762939</v>
          </cell>
          <cell r="U31">
            <v>271566249.41912937</v>
          </cell>
          <cell r="V31">
            <v>2228836.5794082312</v>
          </cell>
          <cell r="W31">
            <v>0</v>
          </cell>
          <cell r="X31">
            <v>2228836.5794082312</v>
          </cell>
        </row>
        <row r="32">
          <cell r="A32">
            <v>210038</v>
          </cell>
          <cell r="B32" t="str">
            <v>UMMC MIDTOWN</v>
          </cell>
          <cell r="C32" t="str">
            <v>GBR</v>
          </cell>
          <cell r="D32">
            <v>235975135.65000001</v>
          </cell>
          <cell r="E32">
            <v>9512.83</v>
          </cell>
          <cell r="F32">
            <v>1.0572675248836025E-2</v>
          </cell>
          <cell r="G32">
            <v>48478.26</v>
          </cell>
          <cell r="H32">
            <v>7.9868916432931057E-3</v>
          </cell>
          <cell r="I32">
            <v>48131.28</v>
          </cell>
          <cell r="J32">
            <v>-7.1574351059630059E-3</v>
          </cell>
          <cell r="K32">
            <v>5.2700000000000004E-3</v>
          </cell>
          <cell r="L32">
            <v>255.48043020000003</v>
          </cell>
          <cell r="M32">
            <v>0.12470152022432013</v>
          </cell>
          <cell r="N32">
            <v>4.6128229884178336E-3</v>
          </cell>
          <cell r="O32">
            <v>223.62163216649674</v>
          </cell>
          <cell r="P32">
            <v>0</v>
          </cell>
          <cell r="Q32">
            <v>39.133785629136923</v>
          </cell>
          <cell r="R32">
            <v>71.151801634929683</v>
          </cell>
          <cell r="S32">
            <v>1.467705351531381E-3</v>
          </cell>
          <cell r="T32">
            <v>71.151801634929683</v>
          </cell>
          <cell r="U32">
            <v>259893947.87238368</v>
          </cell>
          <cell r="V32">
            <v>381447.73812291527</v>
          </cell>
          <cell r="W32">
            <v>2368411.2290235884</v>
          </cell>
          <cell r="X32">
            <v>2749858.9671465037</v>
          </cell>
        </row>
        <row r="33">
          <cell r="A33">
            <v>210039</v>
          </cell>
          <cell r="B33" t="str">
            <v>CALVERT</v>
          </cell>
          <cell r="C33" t="str">
            <v>GBR</v>
          </cell>
          <cell r="D33">
            <v>157084443.08000001</v>
          </cell>
          <cell r="E33">
            <v>9212.9699999999993</v>
          </cell>
          <cell r="F33">
            <v>1.0239407188740765E-2</v>
          </cell>
          <cell r="G33">
            <v>72473.36</v>
          </cell>
          <cell r="H33">
            <v>1.1940133027575099E-2</v>
          </cell>
          <cell r="I33">
            <v>73480.789999999994</v>
          </cell>
          <cell r="J33">
            <v>1.3900693992937363E-2</v>
          </cell>
          <cell r="K33">
            <v>3.015E-2</v>
          </cell>
          <cell r="L33">
            <v>2185.0718040000002</v>
          </cell>
          <cell r="M33">
            <v>0.10449514127471704</v>
          </cell>
          <cell r="N33">
            <v>2.6999471490567282E-2</v>
          </cell>
          <cell r="O33">
            <v>1956.7424171456191</v>
          </cell>
          <cell r="P33">
            <v>366.73078246198611</v>
          </cell>
          <cell r="Q33">
            <v>278.25203606963578</v>
          </cell>
          <cell r="R33">
            <v>505.90898265158876</v>
          </cell>
          <cell r="S33">
            <v>6.9806199498903976E-3</v>
          </cell>
          <cell r="T33">
            <v>505.90898265158876</v>
          </cell>
          <cell r="U33">
            <v>173244367.97349474</v>
          </cell>
          <cell r="V33">
            <v>1209353.0912819305</v>
          </cell>
          <cell r="W33">
            <v>0</v>
          </cell>
          <cell r="X33">
            <v>1209353.0912819305</v>
          </cell>
        </row>
        <row r="34">
          <cell r="A34">
            <v>210040</v>
          </cell>
          <cell r="B34" t="str">
            <v>NORTHWEST</v>
          </cell>
          <cell r="C34" t="str">
            <v>GBR</v>
          </cell>
          <cell r="D34">
            <v>290406976.91000003</v>
          </cell>
          <cell r="E34">
            <v>14705.21</v>
          </cell>
          <cell r="F34">
            <v>1.6343549689833203E-2</v>
          </cell>
          <cell r="G34">
            <v>67446.22</v>
          </cell>
          <cell r="H34">
            <v>1.1111901518117777E-2</v>
          </cell>
          <cell r="I34">
            <v>68371.899999999994</v>
          </cell>
          <cell r="J34">
            <v>1.3724712815632811E-2</v>
          </cell>
          <cell r="K34">
            <v>3.1179999999999999E-2</v>
          </cell>
          <cell r="L34">
            <v>2102.9731396000002</v>
          </cell>
          <cell r="M34">
            <v>0.14199812583676719</v>
          </cell>
          <cell r="N34">
            <v>2.6752498436409599E-2</v>
          </cell>
          <cell r="O34">
            <v>1804.3548950917379</v>
          </cell>
          <cell r="P34">
            <v>0</v>
          </cell>
          <cell r="Q34">
            <v>315.76210664105412</v>
          </cell>
          <cell r="R34">
            <v>574.10859732476376</v>
          </cell>
          <cell r="S34">
            <v>8.5120944854250365E-3</v>
          </cell>
          <cell r="T34">
            <v>574.10859732476376</v>
          </cell>
          <cell r="U34">
            <v>296783941.08329624</v>
          </cell>
          <cell r="V34">
            <v>2526252.9482578347</v>
          </cell>
          <cell r="W34">
            <v>590724.85957632051</v>
          </cell>
          <cell r="X34">
            <v>3116977.8078341549</v>
          </cell>
        </row>
        <row r="35">
          <cell r="A35">
            <v>210043</v>
          </cell>
          <cell r="B35" t="str">
            <v>BALTIMORE WASHINGTON MEDICAL CENTER</v>
          </cell>
          <cell r="C35" t="str">
            <v>GBR</v>
          </cell>
          <cell r="D35">
            <v>509720260.31</v>
          </cell>
          <cell r="E35">
            <v>29150.32</v>
          </cell>
          <cell r="F35">
            <v>3.2398021068351872E-2</v>
          </cell>
          <cell r="G35">
            <v>154182.35999999999</v>
          </cell>
          <cell r="H35">
            <v>2.540185647395779E-2</v>
          </cell>
          <cell r="I35">
            <v>159892.53</v>
          </cell>
          <cell r="J35">
            <v>3.7035170560367758E-2</v>
          </cell>
          <cell r="K35">
            <v>5.8740000000000001E-2</v>
          </cell>
          <cell r="L35">
            <v>9056.6718263999992</v>
          </cell>
          <cell r="M35">
            <v>0.14007064044479087</v>
          </cell>
          <cell r="N35">
            <v>5.0512250580272984E-2</v>
          </cell>
          <cell r="O35">
            <v>7788.0980033778578</v>
          </cell>
          <cell r="P35">
            <v>991.96158382383328</v>
          </cell>
          <cell r="Q35">
            <v>1189.3238734219542</v>
          </cell>
          <cell r="R35">
            <v>2162.3907567582651</v>
          </cell>
          <cell r="S35">
            <v>1.4024890764146205E-2</v>
          </cell>
          <cell r="T35">
            <v>2162.3907567582651</v>
          </cell>
          <cell r="U35">
            <v>495962534.30975765</v>
          </cell>
          <cell r="V35">
            <v>6955820.3668034654</v>
          </cell>
          <cell r="W35">
            <v>0</v>
          </cell>
          <cell r="X35">
            <v>6955820.3668034654</v>
          </cell>
        </row>
        <row r="36">
          <cell r="A36">
            <v>210044</v>
          </cell>
          <cell r="B36" t="str">
            <v>G.B.M.C.</v>
          </cell>
          <cell r="C36" t="str">
            <v>GBR</v>
          </cell>
          <cell r="D36">
            <v>478210939.63</v>
          </cell>
          <cell r="E36">
            <v>27713.89</v>
          </cell>
          <cell r="F36">
            <v>3.0801555252429003E-2</v>
          </cell>
          <cell r="G36">
            <v>159568.47</v>
          </cell>
          <cell r="H36">
            <v>2.6289229018864674E-2</v>
          </cell>
          <cell r="I36">
            <v>162084.9</v>
          </cell>
          <cell r="J36">
            <v>1.5770220771058385E-2</v>
          </cell>
          <cell r="K36">
            <v>2.1600000000000001E-2</v>
          </cell>
          <cell r="L36">
            <v>3446.6789520000002</v>
          </cell>
          <cell r="M36">
            <v>8.3538311965891843E-2</v>
          </cell>
          <cell r="N36">
            <v>1.9795572461536737E-2</v>
          </cell>
          <cell r="O36">
            <v>3158.7492104615508</v>
          </cell>
          <cell r="P36">
            <v>0</v>
          </cell>
          <cell r="Q36">
            <v>552.78111183077135</v>
          </cell>
          <cell r="R36">
            <v>1005.0489975402454</v>
          </cell>
          <cell r="S36">
            <v>6.2985438009165937E-3</v>
          </cell>
          <cell r="T36">
            <v>1005.0489975402454</v>
          </cell>
          <cell r="U36">
            <v>475235322.40285361</v>
          </cell>
          <cell r="V36">
            <v>2993290.4938970925</v>
          </cell>
          <cell r="W36">
            <v>3614701.3988758624</v>
          </cell>
          <cell r="X36">
            <v>6607991.8927729549</v>
          </cell>
        </row>
        <row r="37">
          <cell r="A37">
            <v>210045</v>
          </cell>
          <cell r="B37" t="str">
            <v>MCCREADY</v>
          </cell>
          <cell r="C37" t="str">
            <v>GBR</v>
          </cell>
          <cell r="D37">
            <v>5047599.5999999996</v>
          </cell>
          <cell r="E37">
            <v>458.94</v>
          </cell>
          <cell r="F37">
            <v>5.1007151170585463E-4</v>
          </cell>
          <cell r="G37">
            <v>2683.99</v>
          </cell>
          <cell r="H37">
            <v>4.421927953206707E-4</v>
          </cell>
          <cell r="I37">
            <v>2684.59</v>
          </cell>
          <cell r="J37">
            <v>2.2354777774902246E-4</v>
          </cell>
          <cell r="K37">
            <v>4.7800000000000004E-3</v>
          </cell>
          <cell r="L37">
            <v>12.8294722</v>
          </cell>
          <cell r="M37">
            <v>0</v>
          </cell>
          <cell r="N37">
            <v>4.7800000000000004E-3</v>
          </cell>
          <cell r="O37">
            <v>12.8294722</v>
          </cell>
          <cell r="P37">
            <v>0</v>
          </cell>
          <cell r="Q37">
            <v>2.245157635</v>
          </cell>
          <cell r="R37">
            <v>4.0820740471815942</v>
          </cell>
          <cell r="S37">
            <v>1.5208976364224883E-3</v>
          </cell>
          <cell r="T37">
            <v>4.0820740471815942</v>
          </cell>
          <cell r="U37">
            <v>5047599.5999999996</v>
          </cell>
          <cell r="V37">
            <v>7676.8823012470966</v>
          </cell>
          <cell r="W37">
            <v>217723.18980838565</v>
          </cell>
          <cell r="X37">
            <v>225400.07210963275</v>
          </cell>
        </row>
        <row r="38">
          <cell r="A38">
            <v>210048</v>
          </cell>
          <cell r="B38" t="str">
            <v>HOWARD COUNTY</v>
          </cell>
          <cell r="C38" t="str">
            <v>GBR</v>
          </cell>
          <cell r="D38">
            <v>347772485.91000003</v>
          </cell>
          <cell r="E38">
            <v>23446.28</v>
          </cell>
          <cell r="F38">
            <v>2.6058481464851058E-2</v>
          </cell>
          <cell r="G38">
            <v>186602.47</v>
          </cell>
          <cell r="H38">
            <v>3.0743135340683687E-2</v>
          </cell>
          <cell r="I38">
            <v>193348.44</v>
          </cell>
          <cell r="J38">
            <v>3.6151557908102649E-2</v>
          </cell>
          <cell r="K38">
            <v>5.4109999999999998E-2</v>
          </cell>
          <cell r="L38">
            <v>10097.059651699999</v>
          </cell>
          <cell r="M38">
            <v>0.11034404789797536</v>
          </cell>
          <cell r="N38">
            <v>4.813928356824055E-2</v>
          </cell>
          <cell r="O38">
            <v>8982.9092178641004</v>
          </cell>
          <cell r="P38">
            <v>291.86933281263737</v>
          </cell>
          <cell r="Q38">
            <v>1520.9319798840058</v>
          </cell>
          <cell r="R38">
            <v>2765.31004586367</v>
          </cell>
          <cell r="S38">
            <v>1.4819257461402681E-2</v>
          </cell>
          <cell r="T38">
            <v>2765.31004586367</v>
          </cell>
          <cell r="U38">
            <v>345192158.44903171</v>
          </cell>
          <cell r="V38">
            <v>5115491.4697135091</v>
          </cell>
          <cell r="W38">
            <v>0</v>
          </cell>
          <cell r="X38">
            <v>5115491.4697135091</v>
          </cell>
        </row>
        <row r="39">
          <cell r="A39">
            <v>210049</v>
          </cell>
          <cell r="B39" t="str">
            <v>UPPER CHESAPEAKE HEALTH</v>
          </cell>
          <cell r="C39" t="str">
            <v>GBR</v>
          </cell>
          <cell r="D39">
            <v>357522057.61000001</v>
          </cell>
          <cell r="E39">
            <v>22188.73</v>
          </cell>
          <cell r="F39">
            <v>2.4660825061953735E-2</v>
          </cell>
          <cell r="G39">
            <v>107544.19</v>
          </cell>
          <cell r="H39">
            <v>1.7718123389653957E-2</v>
          </cell>
          <cell r="I39">
            <v>109944.3</v>
          </cell>
          <cell r="J39">
            <v>2.2317430630143686E-2</v>
          </cell>
          <cell r="K39">
            <v>3.841E-2</v>
          </cell>
          <cell r="L39">
            <v>4130.7723378999999</v>
          </cell>
          <cell r="M39">
            <v>0.12041385766447191</v>
          </cell>
          <cell r="N39">
            <v>3.3784903727107636E-2</v>
          </cell>
          <cell r="O39">
            <v>3633.3701055597717</v>
          </cell>
          <cell r="P39">
            <v>574.65200164937505</v>
          </cell>
          <cell r="Q39">
            <v>535.27566818431933</v>
          </cell>
          <cell r="R39">
            <v>973.22115789121267</v>
          </cell>
          <cell r="S39">
            <v>9.0495000975060816E-3</v>
          </cell>
          <cell r="T39">
            <v>973.22115789121256</v>
          </cell>
          <cell r="U39">
            <v>359771686.28065044</v>
          </cell>
          <cell r="V39">
            <v>3255753.9100766736</v>
          </cell>
          <cell r="W39">
            <v>0</v>
          </cell>
          <cell r="X39">
            <v>3255753.9100766736</v>
          </cell>
        </row>
        <row r="40">
          <cell r="A40">
            <v>210051</v>
          </cell>
          <cell r="B40" t="str">
            <v>DOCTORS COMMUNITY</v>
          </cell>
          <cell r="C40" t="str">
            <v>GBR</v>
          </cell>
          <cell r="D40">
            <v>258921135.96000001</v>
          </cell>
          <cell r="E40">
            <v>14248.09</v>
          </cell>
          <cell r="F40">
            <v>1.5835500948318017E-2</v>
          </cell>
          <cell r="G40">
            <v>117458.45</v>
          </cell>
          <cell r="H40">
            <v>1.9351517829624267E-2</v>
          </cell>
          <cell r="I40">
            <v>125952.71</v>
          </cell>
          <cell r="J40">
            <v>7.2317147042209484E-2</v>
          </cell>
          <cell r="K40">
            <v>0.10947999999999999</v>
          </cell>
          <cell r="L40">
            <v>12859.351105999998</v>
          </cell>
          <cell r="M40">
            <v>0.18015865654028659</v>
          </cell>
          <cell r="N40">
            <v>8.9756230281969412E-2</v>
          </cell>
          <cell r="O40">
            <v>10542.62768676319</v>
          </cell>
          <cell r="P40">
            <v>806.56017384419783</v>
          </cell>
          <cell r="Q40">
            <v>1703.8118147608234</v>
          </cell>
          <cell r="R40">
            <v>3097.8163323113531</v>
          </cell>
          <cell r="S40">
            <v>2.6373720514031584E-2</v>
          </cell>
          <cell r="T40">
            <v>3097.8163323113531</v>
          </cell>
          <cell r="U40">
            <v>284623898.71129984</v>
          </cell>
          <cell r="V40">
            <v>7506591.1562258564</v>
          </cell>
          <cell r="W40">
            <v>0</v>
          </cell>
          <cell r="X40">
            <v>7506591.1562258564</v>
          </cell>
        </row>
        <row r="41">
          <cell r="A41">
            <v>210055</v>
          </cell>
          <cell r="B41" t="str">
            <v>LAUREL REGIONAL</v>
          </cell>
          <cell r="C41" t="str">
            <v>GBR</v>
          </cell>
          <cell r="D41">
            <v>32066993.489999998</v>
          </cell>
          <cell r="E41">
            <v>1728.18</v>
          </cell>
          <cell r="F41">
            <v>1.9207203231355382E-3</v>
          </cell>
          <cell r="G41">
            <v>21416.1</v>
          </cell>
          <cell r="H41">
            <v>3.5283459043688749E-3</v>
          </cell>
          <cell r="I41">
            <v>22646.02</v>
          </cell>
          <cell r="J41">
            <v>5.7429690746681361E-2</v>
          </cell>
          <cell r="K41">
            <v>5.049E-2</v>
          </cell>
          <cell r="L41">
            <v>1081.2988889999999</v>
          </cell>
          <cell r="M41">
            <v>0</v>
          </cell>
          <cell r="N41">
            <v>5.049E-2</v>
          </cell>
          <cell r="O41">
            <v>1081.2988889999999</v>
          </cell>
          <cell r="P41">
            <v>0</v>
          </cell>
          <cell r="Q41">
            <v>189.22730557499997</v>
          </cell>
          <cell r="R41">
            <v>344.04705534442724</v>
          </cell>
          <cell r="S41">
            <v>1.6064879008989837E-2</v>
          </cell>
          <cell r="T41">
            <v>344.04705534442724</v>
          </cell>
          <cell r="U41">
            <v>40123623.90449968</v>
          </cell>
          <cell r="V41">
            <v>644581.16342799971</v>
          </cell>
          <cell r="W41">
            <v>325199.99100638652</v>
          </cell>
          <cell r="X41">
            <v>969781.15443438618</v>
          </cell>
        </row>
        <row r="42">
          <cell r="A42">
            <v>210056</v>
          </cell>
          <cell r="B42" t="str">
            <v>GOOD SAMARITAN</v>
          </cell>
          <cell r="C42" t="str">
            <v>GBR</v>
          </cell>
          <cell r="D42">
            <v>299934893.02999997</v>
          </cell>
          <cell r="E42">
            <v>15412.5</v>
          </cell>
          <cell r="F42">
            <v>1.7129640419589674E-2</v>
          </cell>
          <cell r="G42">
            <v>53069.04</v>
          </cell>
          <cell r="H42">
            <v>8.7432319578629163E-3</v>
          </cell>
          <cell r="I42">
            <v>53107.88</v>
          </cell>
          <cell r="J42">
            <v>7.3187681555952899E-4</v>
          </cell>
          <cell r="K42">
            <v>1.367E-2</v>
          </cell>
          <cell r="L42">
            <v>725.45377680000001</v>
          </cell>
          <cell r="M42">
            <v>0.19061591676484815</v>
          </cell>
          <cell r="N42">
            <v>1.1064280417824526E-2</v>
          </cell>
          <cell r="O42">
            <v>587.1707400647465</v>
          </cell>
          <cell r="P42">
            <v>0</v>
          </cell>
          <cell r="Q42">
            <v>102.75487951133063</v>
          </cell>
          <cell r="R42">
            <v>186.82564659851801</v>
          </cell>
          <cell r="S42">
            <v>3.520426346482205E-3</v>
          </cell>
          <cell r="T42">
            <v>186.82564659851801</v>
          </cell>
          <cell r="U42">
            <v>302419601.44013321</v>
          </cell>
          <cell r="V42">
            <v>1064645.9326024929</v>
          </cell>
          <cell r="W42">
            <v>765836.5915752243</v>
          </cell>
          <cell r="X42">
            <v>1830482.524177717</v>
          </cell>
        </row>
        <row r="43">
          <cell r="A43">
            <v>210057</v>
          </cell>
          <cell r="B43" t="str">
            <v>SHADY GROVE</v>
          </cell>
          <cell r="C43" t="str">
            <v>GBR</v>
          </cell>
          <cell r="D43">
            <v>475773689.92000002</v>
          </cell>
          <cell r="E43">
            <v>26416.78</v>
          </cell>
          <cell r="F43">
            <v>2.9359931383189493E-2</v>
          </cell>
          <cell r="G43">
            <v>328037.99</v>
          </cell>
          <cell r="H43">
            <v>5.4044924075527197E-2</v>
          </cell>
          <cell r="I43">
            <v>328675.43</v>
          </cell>
          <cell r="J43">
            <v>1.9431895677692879E-3</v>
          </cell>
          <cell r="K43">
            <v>1.5730000000000001E-2</v>
          </cell>
          <cell r="L43">
            <v>5160.0375826999998</v>
          </cell>
          <cell r="M43">
            <v>0.10645268254268472</v>
          </cell>
          <cell r="N43">
            <v>1.405549930360357E-2</v>
          </cell>
          <cell r="O43">
            <v>4610.7377400005143</v>
          </cell>
          <cell r="P43">
            <v>0</v>
          </cell>
          <cell r="Q43">
            <v>806.87910450008997</v>
          </cell>
          <cell r="R43">
            <v>1467.0418683955536</v>
          </cell>
          <cell r="S43">
            <v>4.4721706421733459E-3</v>
          </cell>
          <cell r="T43">
            <v>1467.0418683955536</v>
          </cell>
          <cell r="U43">
            <v>503223249.26444393</v>
          </cell>
          <cell r="V43">
            <v>2250500.2418195261</v>
          </cell>
          <cell r="W43">
            <v>3012923.0283543761</v>
          </cell>
          <cell r="X43">
            <v>5263423.2701739017</v>
          </cell>
        </row>
        <row r="44">
          <cell r="A44">
            <v>210058</v>
          </cell>
          <cell r="B44" t="str">
            <v>REHAB &amp; ORTHO</v>
          </cell>
          <cell r="C44" t="str">
            <v>GBR</v>
          </cell>
          <cell r="D44">
            <v>128839543.79000001</v>
          </cell>
          <cell r="E44">
            <v>5236.32</v>
          </cell>
          <cell r="F44">
            <v>5.8197098927432788E-3</v>
          </cell>
          <cell r="G44">
            <v>40579.24</v>
          </cell>
          <cell r="H44">
            <v>6.6855120799959667E-3</v>
          </cell>
          <cell r="I44">
            <v>41395.18</v>
          </cell>
          <cell r="J44">
            <v>2.0107325814874955E-2</v>
          </cell>
          <cell r="K44">
            <v>2.401E-2</v>
          </cell>
          <cell r="L44">
            <v>974.30755239999996</v>
          </cell>
          <cell r="M44">
            <v>3.1266359635933596E-3</v>
          </cell>
          <cell r="N44">
            <v>2.3934929470514125E-2</v>
          </cell>
          <cell r="O44">
            <v>971.26124736706549</v>
          </cell>
          <cell r="P44">
            <v>0</v>
          </cell>
          <cell r="Q44">
            <v>169.97071828923646</v>
          </cell>
          <cell r="R44">
            <v>309.03534214839488</v>
          </cell>
          <cell r="S44">
            <v>7.6156020208460011E-3</v>
          </cell>
          <cell r="T44">
            <v>309.03534214839488</v>
          </cell>
          <cell r="U44">
            <v>135447342.40460068</v>
          </cell>
          <cell r="V44">
            <v>1031513.0545346972</v>
          </cell>
          <cell r="W44">
            <v>1265121.7895463728</v>
          </cell>
          <cell r="X44">
            <v>2296634.8440810703</v>
          </cell>
        </row>
        <row r="45">
          <cell r="A45">
            <v>210060</v>
          </cell>
          <cell r="B45" t="str">
            <v>FT. WASHINGTON</v>
          </cell>
          <cell r="C45" t="str">
            <v>GBR</v>
          </cell>
          <cell r="D45">
            <v>66386168.299999997</v>
          </cell>
          <cell r="E45">
            <v>3208.75</v>
          </cell>
          <cell r="F45">
            <v>3.5662438732430406E-3</v>
          </cell>
          <cell r="G45">
            <v>34919.800000000003</v>
          </cell>
          <cell r="H45">
            <v>5.7531078633075239E-3</v>
          </cell>
          <cell r="I45">
            <v>36097.21</v>
          </cell>
          <cell r="J45">
            <v>3.3717547064988862E-2</v>
          </cell>
          <cell r="K45">
            <v>5.4870000000000002E-2</v>
          </cell>
          <cell r="L45">
            <v>1916.0494260000003</v>
          </cell>
          <cell r="M45">
            <v>0.14851835878111572</v>
          </cell>
          <cell r="N45">
            <v>4.6720797653680181E-2</v>
          </cell>
          <cell r="O45">
            <v>1631.4809099069814</v>
          </cell>
          <cell r="P45">
            <v>199.36285460991382</v>
          </cell>
          <cell r="Q45">
            <v>250.62065967698683</v>
          </cell>
          <cell r="R45">
            <v>455.67049484922188</v>
          </cell>
          <cell r="S45">
            <v>1.3049057979977602E-2</v>
          </cell>
          <cell r="T45">
            <v>455.67049484922188</v>
          </cell>
          <cell r="U45">
            <v>64203514.644460686</v>
          </cell>
          <cell r="V45">
            <v>837795.38511390856</v>
          </cell>
          <cell r="W45">
            <v>0</v>
          </cell>
          <cell r="X45">
            <v>837795.38511390856</v>
          </cell>
        </row>
        <row r="46">
          <cell r="A46">
            <v>210061</v>
          </cell>
          <cell r="B46" t="str">
            <v>ATLANTIC GENERAL</v>
          </cell>
          <cell r="C46" t="str">
            <v>GBR</v>
          </cell>
          <cell r="D46">
            <v>88272780.689999998</v>
          </cell>
          <cell r="E46">
            <v>5957.41</v>
          </cell>
          <cell r="F46">
            <v>6.6211381107586509E-3</v>
          </cell>
          <cell r="G46">
            <v>29294.99</v>
          </cell>
          <cell r="H46">
            <v>4.8264090093447058E-3</v>
          </cell>
          <cell r="I46">
            <v>29550.959999999999</v>
          </cell>
          <cell r="J46">
            <v>8.7376715267695193E-3</v>
          </cell>
          <cell r="K46">
            <v>2.1590000000000002E-2</v>
          </cell>
          <cell r="L46">
            <v>632.47883410000009</v>
          </cell>
          <cell r="M46">
            <v>9.0872389250750252E-2</v>
          </cell>
          <cell r="N46">
            <v>1.9628065116076305E-2</v>
          </cell>
          <cell r="O46">
            <v>575.00397129480427</v>
          </cell>
          <cell r="P46">
            <v>141.78549799197265</v>
          </cell>
          <cell r="Q46">
            <v>75.813232827995535</v>
          </cell>
          <cell r="R46">
            <v>137.8412033683756</v>
          </cell>
          <cell r="S46">
            <v>4.705282485789399E-3</v>
          </cell>
          <cell r="T46">
            <v>137.8412033683756</v>
          </cell>
          <cell r="U46">
            <v>122689621.17843871</v>
          </cell>
          <cell r="V46">
            <v>577289.32571904373</v>
          </cell>
          <cell r="W46">
            <v>0</v>
          </cell>
          <cell r="X46">
            <v>577289.32571904373</v>
          </cell>
        </row>
        <row r="47">
          <cell r="A47">
            <v>210062</v>
          </cell>
          <cell r="B47" t="str">
            <v>SOUTHERN MARYLAND</v>
          </cell>
          <cell r="C47" t="str">
            <v>GBR</v>
          </cell>
          <cell r="D47">
            <v>293044785.81</v>
          </cell>
          <cell r="E47">
            <v>15765.09</v>
          </cell>
          <cell r="F47">
            <v>1.7521513244604634E-2</v>
          </cell>
          <cell r="G47">
            <v>150881.60999999999</v>
          </cell>
          <cell r="H47">
            <v>2.4858051217919317E-2</v>
          </cell>
          <cell r="I47">
            <v>156421.07</v>
          </cell>
          <cell r="J47">
            <v>3.6713950759141634E-2</v>
          </cell>
          <cell r="K47">
            <v>5.3870000000000001E-2</v>
          </cell>
          <cell r="L47">
            <v>8127.992330699999</v>
          </cell>
          <cell r="M47">
            <v>0.13691982388164675</v>
          </cell>
          <cell r="N47">
            <v>4.6494129087495693E-2</v>
          </cell>
          <cell r="O47">
            <v>7015.1090522691802</v>
          </cell>
          <cell r="P47">
            <v>570.83972734116651</v>
          </cell>
          <cell r="Q47">
            <v>1127.7471318624023</v>
          </cell>
          <cell r="R47">
            <v>2050.4338880236314</v>
          </cell>
          <cell r="S47">
            <v>1.358968722579002E-2</v>
          </cell>
          <cell r="T47">
            <v>2050.4338880236314</v>
          </cell>
          <cell r="U47">
            <v>309171742.64515758</v>
          </cell>
          <cell r="V47">
            <v>4201547.2816001372</v>
          </cell>
          <cell r="W47">
            <v>0</v>
          </cell>
          <cell r="X47">
            <v>4201547.2816001372</v>
          </cell>
        </row>
        <row r="48">
          <cell r="A48">
            <v>210063</v>
          </cell>
          <cell r="B48" t="str">
            <v>UM ST. JOSEPH</v>
          </cell>
          <cell r="C48" t="str">
            <v>GBR</v>
          </cell>
          <cell r="D48">
            <v>426847803.31</v>
          </cell>
          <cell r="E48">
            <v>25574.28</v>
          </cell>
          <cell r="F48">
            <v>2.8423566610861557E-2</v>
          </cell>
          <cell r="G48">
            <v>119168.78</v>
          </cell>
          <cell r="H48">
            <v>1.9633298165475297E-2</v>
          </cell>
          <cell r="I48">
            <v>121806.14</v>
          </cell>
          <cell r="J48">
            <v>2.2131299825340234E-2</v>
          </cell>
          <cell r="K48">
            <v>3.662E-2</v>
          </cell>
          <cell r="L48">
            <v>4363.9607236000002</v>
          </cell>
          <cell r="M48">
            <v>9.5032587823073125E-2</v>
          </cell>
          <cell r="N48">
            <v>3.313990663391906E-2</v>
          </cell>
          <cell r="O48">
            <v>3949.242242878041</v>
          </cell>
          <cell r="P48">
            <v>198.40314633790422</v>
          </cell>
          <cell r="Q48">
            <v>656.39684189452385</v>
          </cell>
          <cell r="R48">
            <v>1193.4398151734215</v>
          </cell>
          <cell r="S48">
            <v>1.0014701964502964E-2</v>
          </cell>
          <cell r="T48">
            <v>1193.4398151734215</v>
          </cell>
          <cell r="U48">
            <v>448957803.14797795</v>
          </cell>
          <cell r="V48">
            <v>4496178.5931649897</v>
          </cell>
          <cell r="W48">
            <v>0</v>
          </cell>
          <cell r="X48">
            <v>4496178.5931649897</v>
          </cell>
        </row>
        <row r="49">
          <cell r="A49">
            <v>210064</v>
          </cell>
          <cell r="B49" t="str">
            <v>LEVINDALE</v>
          </cell>
          <cell r="C49" t="str">
            <v>GBR</v>
          </cell>
          <cell r="D49">
            <v>67843757.25</v>
          </cell>
          <cell r="E49">
            <v>1540.96</v>
          </cell>
          <cell r="F49">
            <v>1.7126417324230918E-3</v>
          </cell>
          <cell r="G49">
            <v>4536.4399999999996</v>
          </cell>
          <cell r="H49">
            <v>7.4738768937458917E-4</v>
          </cell>
          <cell r="I49">
            <v>4690.16</v>
          </cell>
          <cell r="J49">
            <v>3.3885601925739195E-2</v>
          </cell>
          <cell r="K49">
            <v>8.4650000000000003E-2</v>
          </cell>
          <cell r="L49">
            <v>384.00964599999998</v>
          </cell>
          <cell r="M49">
            <v>6.5959485609037347E-2</v>
          </cell>
          <cell r="N49">
            <v>7.9066529543194999E-2</v>
          </cell>
          <cell r="O49">
            <v>358.68056728093148</v>
          </cell>
          <cell r="P49">
            <v>144.39365302765515</v>
          </cell>
          <cell r="Q49">
            <v>37.500209994323356</v>
          </cell>
          <cell r="R49">
            <v>68.181686486208434</v>
          </cell>
          <cell r="S49">
            <v>4.2560472427125183E-3</v>
          </cell>
          <cell r="T49">
            <v>19.307302953730776</v>
          </cell>
          <cell r="U49">
            <v>68694680.668564409</v>
          </cell>
          <cell r="V49">
            <v>292367.80624846049</v>
          </cell>
          <cell r="W49">
            <v>280301.58437045797</v>
          </cell>
          <cell r="X49">
            <v>572669.39061891846</v>
          </cell>
        </row>
        <row r="50">
          <cell r="A50">
            <v>210065</v>
          </cell>
          <cell r="B50" t="str">
            <v>HOLY CROSS GERMANTOWN</v>
          </cell>
          <cell r="C50" t="str">
            <v>GBR</v>
          </cell>
          <cell r="D50">
            <v>139172555.65000001</v>
          </cell>
          <cell r="E50">
            <v>8858.82</v>
          </cell>
          <cell r="F50">
            <v>9.8458005607052305E-3</v>
          </cell>
          <cell r="G50">
            <v>93531.31</v>
          </cell>
          <cell r="H50">
            <v>1.5409472993157279E-2</v>
          </cell>
          <cell r="I50">
            <v>94814.07</v>
          </cell>
          <cell r="J50">
            <v>1.3714765675793661E-2</v>
          </cell>
          <cell r="K50">
            <v>3.5159999999999997E-2</v>
          </cell>
          <cell r="L50">
            <v>3288.5608595999997</v>
          </cell>
          <cell r="M50">
            <v>9.5743733948387783E-2</v>
          </cell>
          <cell r="N50">
            <v>3.1793650314374686E-2</v>
          </cell>
          <cell r="O50">
            <v>2973.7017635853763</v>
          </cell>
          <cell r="P50">
            <v>0</v>
          </cell>
          <cell r="Q50">
            <v>520.39780862744078</v>
          </cell>
          <cell r="R50">
            <v>946.17070787915964</v>
          </cell>
          <cell r="S50">
            <v>1.0116085275392376E-2</v>
          </cell>
          <cell r="T50">
            <v>946.17070787915964</v>
          </cell>
          <cell r="U50">
            <v>136210072.20605201</v>
          </cell>
          <cell r="V50">
            <v>1377912.705803775</v>
          </cell>
          <cell r="W50">
            <v>227562.8626845679</v>
          </cell>
          <cell r="X50">
            <v>1605475.5684883429</v>
          </cell>
        </row>
        <row r="51">
          <cell r="A51">
            <v>210087</v>
          </cell>
          <cell r="B51" t="str">
            <v>GERMANTOWN</v>
          </cell>
          <cell r="C51" t="str">
            <v>GBR</v>
          </cell>
          <cell r="D51">
            <v>16932583.489999998</v>
          </cell>
          <cell r="E51">
            <v>1008.34</v>
          </cell>
          <cell r="F51">
            <v>1.1206813703610089E-3</v>
          </cell>
          <cell r="G51">
            <v>19652.75</v>
          </cell>
          <cell r="H51">
            <v>3.2378304159994308E-3</v>
          </cell>
          <cell r="I51">
            <v>19497.36</v>
          </cell>
          <cell r="J51">
            <v>-7.9067814936840675E-3</v>
          </cell>
          <cell r="K51">
            <v>2.2399999999999998E-3</v>
          </cell>
          <cell r="L51">
            <v>44.02216</v>
          </cell>
          <cell r="M51">
            <v>0</v>
          </cell>
          <cell r="N51">
            <v>2.2399999999999998E-3</v>
          </cell>
          <cell r="O51">
            <v>44.02216</v>
          </cell>
          <cell r="P51">
            <v>0</v>
          </cell>
          <cell r="Q51">
            <v>7.7038779999999996</v>
          </cell>
          <cell r="R51">
            <v>14.006945417199288</v>
          </cell>
          <cell r="S51">
            <v>7.1272190493438777E-4</v>
          </cell>
          <cell r="T51">
            <v>14.006945417199288</v>
          </cell>
          <cell r="U51">
            <v>16932583.489999998</v>
          </cell>
          <cell r="V51">
            <v>12068.223160453363</v>
          </cell>
          <cell r="W51">
            <v>264578.09355088352</v>
          </cell>
          <cell r="X51">
            <v>276646.3167113369</v>
          </cell>
        </row>
        <row r="52">
          <cell r="A52">
            <v>210088</v>
          </cell>
          <cell r="B52" t="str">
            <v>QUEEN ANNES</v>
          </cell>
          <cell r="C52" t="str">
            <v>GBR</v>
          </cell>
          <cell r="D52">
            <v>7374825.0199999996</v>
          </cell>
          <cell r="E52">
            <v>754.1</v>
          </cell>
          <cell r="F52">
            <v>8.3811593449554405E-4</v>
          </cell>
          <cell r="G52">
            <v>8113.47</v>
          </cell>
          <cell r="H52">
            <v>1.3367106356768851E-3</v>
          </cell>
          <cell r="I52">
            <v>8006.29</v>
          </cell>
          <cell r="J52">
            <v>-1.3210130807163933E-2</v>
          </cell>
          <cell r="K52">
            <v>1.82E-3</v>
          </cell>
          <cell r="L52">
            <v>14.766515400000001</v>
          </cell>
          <cell r="M52">
            <v>0</v>
          </cell>
          <cell r="N52">
            <v>1.82E-3</v>
          </cell>
          <cell r="O52">
            <v>14.766515400000001</v>
          </cell>
          <cell r="P52">
            <v>0</v>
          </cell>
          <cell r="Q52">
            <v>2.5841401950000003</v>
          </cell>
          <cell r="R52">
            <v>4.6984013326477569</v>
          </cell>
          <cell r="S52">
            <v>5.7908654775919014E-4</v>
          </cell>
          <cell r="T52">
            <v>4.6984013326477569</v>
          </cell>
          <cell r="U52">
            <v>7374825.0199999996</v>
          </cell>
          <cell r="V52">
            <v>4270.6619611598999</v>
          </cell>
          <cell r="W52">
            <v>31421.624017696027</v>
          </cell>
          <cell r="X52">
            <v>35692.285978855929</v>
          </cell>
        </row>
        <row r="53">
          <cell r="A53">
            <v>210333</v>
          </cell>
          <cell r="B53" t="str">
            <v>BOWIE HEALTH</v>
          </cell>
          <cell r="C53" t="str">
            <v>GBR</v>
          </cell>
          <cell r="D53">
            <v>16857210.129999999</v>
          </cell>
          <cell r="E53">
            <v>929.56</v>
          </cell>
          <cell r="F53">
            <v>1.0331243178221428E-3</v>
          </cell>
          <cell r="G53">
            <v>15543.43</v>
          </cell>
          <cell r="H53">
            <v>2.5608116127747026E-3</v>
          </cell>
          <cell r="I53">
            <v>16251.01</v>
          </cell>
          <cell r="J53">
            <v>4.5522770714057303E-2</v>
          </cell>
          <cell r="K53">
            <v>2.7949999999999999E-2</v>
          </cell>
          <cell r="L53">
            <v>434.43886850000001</v>
          </cell>
          <cell r="M53">
            <v>0</v>
          </cell>
          <cell r="N53">
            <v>2.7949999999999999E-2</v>
          </cell>
          <cell r="O53">
            <v>434.43886850000001</v>
          </cell>
          <cell r="P53">
            <v>0</v>
          </cell>
          <cell r="Q53">
            <v>76.026801987499994</v>
          </cell>
          <cell r="R53">
            <v>138.22950800663392</v>
          </cell>
          <cell r="S53">
            <v>8.8931148405875619E-3</v>
          </cell>
          <cell r="T53">
            <v>138.22950800663392</v>
          </cell>
          <cell r="U53">
            <v>16857210.129999999</v>
          </cell>
          <cell r="V53">
            <v>149913.10557800598</v>
          </cell>
          <cell r="W53">
            <v>333405.05900166609</v>
          </cell>
          <cell r="X53">
            <v>483318.16457967204</v>
          </cell>
        </row>
        <row r="55">
          <cell r="A55" t="str">
            <v>Total RY23</v>
          </cell>
          <cell r="D55">
            <v>17381394892.410004</v>
          </cell>
          <cell r="E55">
            <v>899756.18999999971</v>
          </cell>
          <cell r="G55">
            <v>6069728.0199999996</v>
          </cell>
          <cell r="I55">
            <v>6207863.0300000003</v>
          </cell>
          <cell r="J55">
            <v>2.2758023019291862E-2</v>
          </cell>
          <cell r="K55">
            <v>3.6922525029894168E-2</v>
          </cell>
          <cell r="L55">
            <v>224109.68474309996</v>
          </cell>
          <cell r="M55">
            <v>9.7668059957525213E-2</v>
          </cell>
          <cell r="N55">
            <v>3.2781485098417489E-2</v>
          </cell>
          <cell r="O55">
            <v>198974.69863907708</v>
          </cell>
          <cell r="P55">
            <v>15161.275340146083</v>
          </cell>
          <cell r="Q55">
            <v>32167.349077312931</v>
          </cell>
          <cell r="R55">
            <v>58876.361793999989</v>
          </cell>
          <cell r="S55">
            <v>9.6919478462014381E-3</v>
          </cell>
          <cell r="T55">
            <v>58827.487410467518</v>
          </cell>
          <cell r="U55">
            <v>19326564919.968815</v>
          </cell>
          <cell r="V55">
            <v>174217992.46467501</v>
          </cell>
          <cell r="W55">
            <v>79725096.912145033</v>
          </cell>
          <cell r="X55">
            <v>253943089.37682003</v>
          </cell>
        </row>
        <row r="56">
          <cell r="A56" t="str">
            <v>Negative growth hospitals</v>
          </cell>
          <cell r="Q56">
            <v>32644.89523122293</v>
          </cell>
        </row>
        <row r="58">
          <cell r="F58" t="str">
            <v>RY2022 DOP Base - 6/2/2020</v>
          </cell>
          <cell r="G58" t="str">
            <v>RY2024 DOP Base - 7/1/2021</v>
          </cell>
          <cell r="I58" t="str">
            <v>RY 2024 DOP Projection</v>
          </cell>
        </row>
        <row r="59">
          <cell r="F59">
            <v>6055802</v>
          </cell>
          <cell r="G59">
            <v>6174610</v>
          </cell>
          <cell r="I59">
            <v>6164660</v>
          </cell>
        </row>
        <row r="60">
          <cell r="A60" t="str">
            <v xml:space="preserve"> </v>
          </cell>
          <cell r="E60" t="str">
            <v>DOP Revised Base</v>
          </cell>
          <cell r="F60">
            <v>6172679</v>
          </cell>
          <cell r="R60" t="str">
            <v>Selected DA to Provide</v>
          </cell>
          <cell r="S60">
            <v>9.7000000000000003E-3</v>
          </cell>
          <cell r="T60">
            <v>58876.361793999997</v>
          </cell>
        </row>
        <row r="62">
          <cell r="H62" t="str">
            <v>Census Catchup</v>
          </cell>
          <cell r="I62">
            <v>116877</v>
          </cell>
          <cell r="J62">
            <v>1.9255722763011053E-2</v>
          </cell>
        </row>
        <row r="63">
          <cell r="H63" t="str">
            <v>Less 30% (2011-2014)</v>
          </cell>
          <cell r="I63">
            <v>-35063.1</v>
          </cell>
          <cell r="J63">
            <v>-5.7767168289033161E-3</v>
          </cell>
        </row>
        <row r="64">
          <cell r="H64" t="str">
            <v>Less Pop Growth Provided Since RY 2023</v>
          </cell>
          <cell r="I64">
            <v>-73988.762750613605</v>
          </cell>
          <cell r="J64">
            <v>-1.2189798703799846E-2</v>
          </cell>
        </row>
        <row r="65">
          <cell r="H65" t="str">
            <v>Less RY 2024 DOP Cumulative Reduction Credit</v>
          </cell>
          <cell r="I65">
            <v>-8019</v>
          </cell>
          <cell r="J65">
            <v>-1.3211465116026732E-3</v>
          </cell>
        </row>
        <row r="66">
          <cell r="H66" t="str">
            <v>Potential Remaining HSCRC Census Catchup</v>
          </cell>
          <cell r="I66">
            <v>-193.86275061361084</v>
          </cell>
          <cell r="J66">
            <v>-3.1939281294783758E-5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ted"/>
      <sheetName val="Regulated (22)"/>
      <sheetName val="Total"/>
    </sheetNames>
    <sheetDataSet>
      <sheetData sheetId="0"/>
      <sheetData sheetId="1">
        <row r="3">
          <cell r="B3" t="str">
            <v>Summary</v>
          </cell>
          <cell r="C3">
            <v>2018</v>
          </cell>
          <cell r="D3">
            <v>0</v>
          </cell>
          <cell r="E3">
            <v>0</v>
          </cell>
          <cell r="F3" t="e">
            <v>#DIV/0!</v>
          </cell>
        </row>
        <row r="4">
          <cell r="C4">
            <v>2019</v>
          </cell>
          <cell r="D4">
            <v>0</v>
          </cell>
          <cell r="E4">
            <v>0</v>
          </cell>
          <cell r="F4" t="e">
            <v>#DIV/0!</v>
          </cell>
        </row>
        <row r="5">
          <cell r="C5">
            <v>2020</v>
          </cell>
          <cell r="D5">
            <v>0</v>
          </cell>
          <cell r="E5">
            <v>0</v>
          </cell>
          <cell r="F5" t="e">
            <v>#DIV/0!</v>
          </cell>
        </row>
        <row r="6">
          <cell r="C6">
            <v>2021</v>
          </cell>
          <cell r="D6">
            <v>0</v>
          </cell>
          <cell r="E6">
            <v>0</v>
          </cell>
          <cell r="F6" t="e">
            <v>#DIV/0!</v>
          </cell>
        </row>
        <row r="7">
          <cell r="C7">
            <v>2022</v>
          </cell>
          <cell r="D7">
            <v>19476930</v>
          </cell>
          <cell r="E7">
            <v>16605505</v>
          </cell>
          <cell r="F7">
            <v>0.85257301843771072</v>
          </cell>
        </row>
        <row r="10">
          <cell r="B10" t="str">
            <v>Hospital Number</v>
          </cell>
          <cell r="C10" t="str">
            <v>Hospital Name</v>
          </cell>
          <cell r="D10" t="str">
            <v>Gross Patient Revenue</v>
          </cell>
          <cell r="E10" t="str">
            <v>Net Pt Revenue</v>
          </cell>
          <cell r="F10" t="str">
            <v>Other Operating Revenues</v>
          </cell>
        </row>
        <row r="11">
          <cell r="B11">
            <v>210001</v>
          </cell>
          <cell r="C11" t="str">
            <v>Meritus</v>
          </cell>
          <cell r="D11">
            <v>430476</v>
          </cell>
          <cell r="E11">
            <v>367922</v>
          </cell>
          <cell r="F11">
            <v>0.85468644012674344</v>
          </cell>
        </row>
        <row r="12">
          <cell r="B12">
            <v>210002</v>
          </cell>
          <cell r="C12" t="str">
            <v>UMMC</v>
          </cell>
          <cell r="D12">
            <v>1807462</v>
          </cell>
          <cell r="E12">
            <v>1552393</v>
          </cell>
          <cell r="F12">
            <v>0.85888002071412839</v>
          </cell>
        </row>
        <row r="13">
          <cell r="B13">
            <v>210003</v>
          </cell>
          <cell r="C13" t="str">
            <v>UM Capital Regional Medical Center</v>
          </cell>
          <cell r="D13">
            <v>386755</v>
          </cell>
          <cell r="E13">
            <v>305327</v>
          </cell>
          <cell r="F13">
            <v>0.78945844268335252</v>
          </cell>
        </row>
        <row r="14">
          <cell r="B14">
            <v>210004</v>
          </cell>
          <cell r="C14" t="str">
            <v>Holy Cross</v>
          </cell>
          <cell r="D14">
            <v>573097</v>
          </cell>
          <cell r="E14">
            <v>491435</v>
          </cell>
          <cell r="F14">
            <v>0.85750754235321425</v>
          </cell>
        </row>
        <row r="15">
          <cell r="B15">
            <v>210005</v>
          </cell>
          <cell r="C15" t="str">
            <v>Frederick</v>
          </cell>
          <cell r="D15">
            <v>400842</v>
          </cell>
          <cell r="E15">
            <v>341533</v>
          </cell>
          <cell r="F15">
            <v>0.85203895799342388</v>
          </cell>
        </row>
        <row r="16">
          <cell r="B16">
            <v>210006</v>
          </cell>
          <cell r="C16" t="str">
            <v>UM-Harford</v>
          </cell>
          <cell r="D16">
            <v>119935</v>
          </cell>
          <cell r="E16">
            <v>99536</v>
          </cell>
          <cell r="F16">
            <v>0.82991620461083082</v>
          </cell>
        </row>
        <row r="17">
          <cell r="B17">
            <v>210008</v>
          </cell>
          <cell r="C17" t="str">
            <v>Mercy</v>
          </cell>
          <cell r="D17">
            <v>628565</v>
          </cell>
          <cell r="E17">
            <v>543501</v>
          </cell>
          <cell r="F17">
            <v>0.86466952502923322</v>
          </cell>
        </row>
        <row r="18">
          <cell r="B18">
            <v>210009</v>
          </cell>
          <cell r="C18" t="str">
            <v>Johns Hopkins</v>
          </cell>
          <cell r="D18">
            <v>2832180</v>
          </cell>
          <cell r="E18">
            <v>2386916</v>
          </cell>
          <cell r="F18">
            <v>0.84278400384156371</v>
          </cell>
        </row>
        <row r="19">
          <cell r="B19">
            <v>210010</v>
          </cell>
          <cell r="C19" t="str">
            <v>UM-Dorchester</v>
          </cell>
          <cell r="D19">
            <v>23880</v>
          </cell>
          <cell r="E19">
            <v>18668</v>
          </cell>
          <cell r="F19">
            <v>0.78174204355108878</v>
          </cell>
        </row>
        <row r="20">
          <cell r="B20">
            <v>210011</v>
          </cell>
          <cell r="C20" t="str">
            <v>Ascension Saint Agnes Hospital</v>
          </cell>
          <cell r="D20">
            <v>472143</v>
          </cell>
          <cell r="E20">
            <v>398307</v>
          </cell>
          <cell r="F20">
            <v>0.84361517591068802</v>
          </cell>
        </row>
        <row r="21">
          <cell r="B21">
            <v>210012</v>
          </cell>
          <cell r="C21" t="str">
            <v>Sinai</v>
          </cell>
          <cell r="D21">
            <v>940026</v>
          </cell>
          <cell r="E21">
            <v>804617</v>
          </cell>
          <cell r="F21">
            <v>0.85595185665077345</v>
          </cell>
        </row>
        <row r="22">
          <cell r="B22">
            <v>210013</v>
          </cell>
          <cell r="C22" t="str">
            <v>Grace Medical center</v>
          </cell>
          <cell r="D22">
            <v>28775</v>
          </cell>
          <cell r="E22">
            <v>22836</v>
          </cell>
          <cell r="F22">
            <v>0.79360556038227625</v>
          </cell>
        </row>
        <row r="23">
          <cell r="B23">
            <v>210015</v>
          </cell>
          <cell r="C23" t="str">
            <v>MedStar Fr Square</v>
          </cell>
          <cell r="D23">
            <v>609275</v>
          </cell>
          <cell r="E23">
            <v>525437</v>
          </cell>
          <cell r="F23">
            <v>0.86239711132083219</v>
          </cell>
        </row>
        <row r="24">
          <cell r="B24">
            <v>210016</v>
          </cell>
          <cell r="C24" t="str">
            <v>Adventist White Oak</v>
          </cell>
          <cell r="D24">
            <v>331339</v>
          </cell>
          <cell r="E24">
            <v>276085</v>
          </cell>
          <cell r="F24">
            <v>0.83324027657474675</v>
          </cell>
        </row>
        <row r="25">
          <cell r="B25">
            <v>210017</v>
          </cell>
          <cell r="C25" t="str">
            <v>Garrett</v>
          </cell>
          <cell r="D25">
            <v>71160</v>
          </cell>
          <cell r="E25">
            <v>60124</v>
          </cell>
          <cell r="F25">
            <v>0.84491287240022483</v>
          </cell>
        </row>
        <row r="26">
          <cell r="B26">
            <v>210018</v>
          </cell>
          <cell r="C26" t="str">
            <v>MedStar Montgomery</v>
          </cell>
          <cell r="D26">
            <v>192884</v>
          </cell>
          <cell r="E26">
            <v>165506</v>
          </cell>
          <cell r="F26">
            <v>0.8580597664917774</v>
          </cell>
        </row>
        <row r="27">
          <cell r="B27">
            <v>210019</v>
          </cell>
          <cell r="C27" t="str">
            <v>Peninsula</v>
          </cell>
          <cell r="D27">
            <v>519264</v>
          </cell>
          <cell r="E27">
            <v>442249</v>
          </cell>
          <cell r="F27">
            <v>0.85168430701916564</v>
          </cell>
        </row>
        <row r="28">
          <cell r="B28">
            <v>210022</v>
          </cell>
          <cell r="C28" t="str">
            <v>Suburban</v>
          </cell>
          <cell r="D28">
            <v>392502</v>
          </cell>
          <cell r="E28">
            <v>337029</v>
          </cell>
          <cell r="F28">
            <v>0.8586682360854212</v>
          </cell>
        </row>
        <row r="29">
          <cell r="B29">
            <v>210023</v>
          </cell>
          <cell r="C29" t="str">
            <v>Anne Arundel</v>
          </cell>
          <cell r="D29">
            <v>724139</v>
          </cell>
          <cell r="E29">
            <v>630313</v>
          </cell>
          <cell r="F29">
            <v>0.87043095317335484</v>
          </cell>
        </row>
        <row r="30">
          <cell r="B30">
            <v>210024</v>
          </cell>
          <cell r="C30" t="str">
            <v>MedStar Union Mem</v>
          </cell>
          <cell r="D30">
            <v>442853</v>
          </cell>
          <cell r="E30">
            <v>392957</v>
          </cell>
          <cell r="F30">
            <v>0.88733055889877677</v>
          </cell>
        </row>
        <row r="31">
          <cell r="B31">
            <v>210027</v>
          </cell>
          <cell r="C31" t="str">
            <v>Western Maryland</v>
          </cell>
          <cell r="D31">
            <v>357297</v>
          </cell>
          <cell r="E31">
            <v>301479</v>
          </cell>
          <cell r="F31">
            <v>0.84377702583564929</v>
          </cell>
        </row>
        <row r="32">
          <cell r="B32">
            <v>210028</v>
          </cell>
          <cell r="C32" t="str">
            <v>MedStar St. Mary's</v>
          </cell>
          <cell r="D32">
            <v>204364</v>
          </cell>
          <cell r="E32">
            <v>178963</v>
          </cell>
          <cell r="F32">
            <v>0.87570707169560191</v>
          </cell>
        </row>
        <row r="33">
          <cell r="B33">
            <v>210029</v>
          </cell>
          <cell r="C33" t="str">
            <v>JH Bayview</v>
          </cell>
          <cell r="D33">
            <v>778281</v>
          </cell>
          <cell r="E33">
            <v>650301</v>
          </cell>
          <cell r="F33">
            <v>0.83556067795564837</v>
          </cell>
        </row>
        <row r="34">
          <cell r="B34">
            <v>210030</v>
          </cell>
          <cell r="C34" t="str">
            <v>UM-Chestertown</v>
          </cell>
          <cell r="D34">
            <v>54346</v>
          </cell>
          <cell r="E34">
            <v>47554</v>
          </cell>
          <cell r="F34">
            <v>0.87502300077282602</v>
          </cell>
        </row>
        <row r="35">
          <cell r="B35">
            <v>210032</v>
          </cell>
          <cell r="C35" t="str">
            <v>ChristianaCare, Union</v>
          </cell>
          <cell r="D35">
            <v>181753</v>
          </cell>
          <cell r="E35">
            <v>154198</v>
          </cell>
          <cell r="F35">
            <v>0.84839314894389639</v>
          </cell>
        </row>
        <row r="36">
          <cell r="B36">
            <v>210033</v>
          </cell>
          <cell r="C36" t="str">
            <v>Carroll</v>
          </cell>
          <cell r="D36">
            <v>258148</v>
          </cell>
          <cell r="E36">
            <v>222667</v>
          </cell>
          <cell r="F36">
            <v>0.86255558826719558</v>
          </cell>
        </row>
        <row r="37">
          <cell r="B37">
            <v>210034</v>
          </cell>
          <cell r="C37" t="str">
            <v>MedStar Harbor</v>
          </cell>
          <cell r="D37">
            <v>201748</v>
          </cell>
          <cell r="E37">
            <v>171380</v>
          </cell>
          <cell r="F37">
            <v>0.84947558340107465</v>
          </cell>
        </row>
        <row r="38">
          <cell r="B38">
            <v>210035</v>
          </cell>
          <cell r="C38" t="str">
            <v>UM-Charles Regional</v>
          </cell>
          <cell r="D38">
            <v>175776</v>
          </cell>
          <cell r="E38">
            <v>148767</v>
          </cell>
          <cell r="F38">
            <v>0.84634421081376299</v>
          </cell>
        </row>
        <row r="39">
          <cell r="B39">
            <v>210037</v>
          </cell>
          <cell r="C39" t="str">
            <v>UM-Easton</v>
          </cell>
          <cell r="D39">
            <v>285433</v>
          </cell>
          <cell r="E39">
            <v>247710</v>
          </cell>
          <cell r="F39">
            <v>0.86783938787736525</v>
          </cell>
        </row>
        <row r="40">
          <cell r="B40">
            <v>210038</v>
          </cell>
          <cell r="C40" t="str">
            <v>UMMC Midtown</v>
          </cell>
          <cell r="D40">
            <v>245010</v>
          </cell>
          <cell r="E40">
            <v>201317</v>
          </cell>
          <cell r="F40">
            <v>0.82166850332639485</v>
          </cell>
        </row>
        <row r="41">
          <cell r="B41">
            <v>210039</v>
          </cell>
          <cell r="C41" t="str">
            <v>Calvert</v>
          </cell>
          <cell r="D41">
            <v>170684</v>
          </cell>
          <cell r="E41">
            <v>146105</v>
          </cell>
          <cell r="F41">
            <v>0.85599704717489633</v>
          </cell>
        </row>
        <row r="42">
          <cell r="B42">
            <v>210040</v>
          </cell>
          <cell r="C42" t="str">
            <v>Northwest</v>
          </cell>
          <cell r="D42">
            <v>301665</v>
          </cell>
          <cell r="E42">
            <v>260294</v>
          </cell>
          <cell r="F42">
            <v>0.86285780584423122</v>
          </cell>
        </row>
        <row r="43">
          <cell r="B43">
            <v>210043</v>
          </cell>
          <cell r="C43" t="str">
            <v>UM-BWMC</v>
          </cell>
          <cell r="D43">
            <v>514054</v>
          </cell>
          <cell r="E43">
            <v>443234</v>
          </cell>
          <cell r="F43">
            <v>0.86223237247448714</v>
          </cell>
        </row>
        <row r="44">
          <cell r="B44">
            <v>210044</v>
          </cell>
          <cell r="C44" t="str">
            <v>GBMC</v>
          </cell>
          <cell r="D44">
            <v>495095</v>
          </cell>
          <cell r="E44">
            <v>428240</v>
          </cell>
          <cell r="F44">
            <v>0.86496530968803964</v>
          </cell>
        </row>
        <row r="45">
          <cell r="B45">
            <v>210045</v>
          </cell>
          <cell r="C45" t="str">
            <v>McCready</v>
          </cell>
          <cell r="D45">
            <v>5788</v>
          </cell>
          <cell r="E45">
            <v>4782</v>
          </cell>
          <cell r="F45">
            <v>0.82619212163096056</v>
          </cell>
        </row>
        <row r="46">
          <cell r="B46">
            <v>210048</v>
          </cell>
          <cell r="C46" t="str">
            <v>Howard County</v>
          </cell>
          <cell r="D46">
            <v>344977</v>
          </cell>
          <cell r="E46">
            <v>299814</v>
          </cell>
          <cell r="F46">
            <v>0.86908402589158118</v>
          </cell>
        </row>
        <row r="47">
          <cell r="B47">
            <v>210049</v>
          </cell>
          <cell r="C47" t="str">
            <v>UM-Upper Chesapeake</v>
          </cell>
          <cell r="D47">
            <v>366389</v>
          </cell>
          <cell r="E47">
            <v>317079</v>
          </cell>
          <cell r="F47">
            <v>0.86541626522630322</v>
          </cell>
        </row>
        <row r="48">
          <cell r="B48">
            <v>210051</v>
          </cell>
          <cell r="C48" t="str">
            <v>Doctors</v>
          </cell>
          <cell r="D48">
            <v>263081</v>
          </cell>
          <cell r="E48">
            <v>220184</v>
          </cell>
          <cell r="F48">
            <v>0.83694375496520079</v>
          </cell>
        </row>
        <row r="49">
          <cell r="B49">
            <v>210055</v>
          </cell>
          <cell r="C49" t="str">
            <v>UM-Laurel</v>
          </cell>
          <cell r="D49">
            <v>34415</v>
          </cell>
          <cell r="E49">
            <v>23271</v>
          </cell>
          <cell r="F49">
            <v>0.67618770884788615</v>
          </cell>
        </row>
        <row r="50">
          <cell r="B50">
            <v>210056</v>
          </cell>
          <cell r="C50" t="str">
            <v>MedStar Good Sam</v>
          </cell>
          <cell r="D50">
            <v>290129</v>
          </cell>
          <cell r="E50">
            <v>248309</v>
          </cell>
          <cell r="F50">
            <v>0.85585722213222393</v>
          </cell>
        </row>
        <row r="51">
          <cell r="B51">
            <v>210057</v>
          </cell>
          <cell r="C51" t="str">
            <v>Shady Grove</v>
          </cell>
          <cell r="D51">
            <v>495127</v>
          </cell>
          <cell r="E51">
            <v>418258</v>
          </cell>
          <cell r="F51">
            <v>0.84474892300359306</v>
          </cell>
        </row>
        <row r="52">
          <cell r="B52">
            <v>210058</v>
          </cell>
          <cell r="C52" t="str">
            <v>UMROI</v>
          </cell>
          <cell r="D52">
            <v>135128</v>
          </cell>
          <cell r="E52">
            <v>116734</v>
          </cell>
          <cell r="F52">
            <v>0.86387721271683149</v>
          </cell>
        </row>
        <row r="53">
          <cell r="B53">
            <v>210060</v>
          </cell>
          <cell r="C53" t="str">
            <v>Ft. Washington</v>
          </cell>
          <cell r="D53">
            <v>63872</v>
          </cell>
          <cell r="E53">
            <v>54912</v>
          </cell>
          <cell r="F53">
            <v>0.85971943887775548</v>
          </cell>
        </row>
        <row r="54">
          <cell r="B54">
            <v>210061</v>
          </cell>
          <cell r="C54" t="str">
            <v>Atlantic General</v>
          </cell>
          <cell r="D54">
            <v>124941</v>
          </cell>
          <cell r="E54">
            <v>107406</v>
          </cell>
          <cell r="F54">
            <v>0.8596537565731025</v>
          </cell>
        </row>
        <row r="55">
          <cell r="B55">
            <v>210062</v>
          </cell>
          <cell r="C55" t="str">
            <v>MedStar Southern MD</v>
          </cell>
          <cell r="D55">
            <v>299186</v>
          </cell>
          <cell r="E55">
            <v>254864</v>
          </cell>
          <cell r="F55">
            <v>0.85185804148589839</v>
          </cell>
        </row>
        <row r="56">
          <cell r="B56">
            <v>210063</v>
          </cell>
          <cell r="C56" t="str">
            <v>UM-St. Joe</v>
          </cell>
          <cell r="D56">
            <v>431503</v>
          </cell>
          <cell r="E56">
            <v>371750</v>
          </cell>
          <cell r="F56">
            <v>0.86152355835301264</v>
          </cell>
        </row>
        <row r="57">
          <cell r="B57">
            <v>210064</v>
          </cell>
          <cell r="C57" t="str">
            <v>Levindale</v>
          </cell>
          <cell r="D57">
            <v>74238</v>
          </cell>
          <cell r="E57">
            <v>62903</v>
          </cell>
          <cell r="F57">
            <v>0.84731539103962927</v>
          </cell>
        </row>
        <row r="58">
          <cell r="B58">
            <v>210065</v>
          </cell>
          <cell r="C58" t="str">
            <v>HC-Germantown</v>
          </cell>
          <cell r="D58">
            <v>141904</v>
          </cell>
          <cell r="E58">
            <v>124353</v>
          </cell>
          <cell r="F58">
            <v>0.87631779231029427</v>
          </cell>
        </row>
        <row r="59">
          <cell r="B59">
            <v>218992</v>
          </cell>
          <cell r="C59" t="str">
            <v>UM-Shock Trauma</v>
          </cell>
          <cell r="D59">
            <v>255046</v>
          </cell>
          <cell r="E59">
            <v>215986</v>
          </cell>
          <cell r="F59">
            <v>0.84685115626200769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spital (2)"/>
      <sheetName val="Notes"/>
      <sheetName val="Hospital"/>
      <sheetName val="Service"/>
      <sheetName val="county (2)"/>
    </sheetNames>
    <sheetDataSet>
      <sheetData sheetId="0" refreshError="1"/>
      <sheetData sheetId="1"/>
      <sheetData sheetId="2">
        <row r="1">
          <cell r="A1" t="str">
            <v xml:space="preserve">infectious diseases, pulmonary, ventilator support, clinic and OP psych, covid lab, vaccine administration, innovation omitted </v>
          </cell>
        </row>
        <row r="2">
          <cell r="A2" t="str">
            <v>bayview categorical burns lumped in with innovation product category</v>
          </cell>
        </row>
        <row r="3">
          <cell r="C3"/>
        </row>
        <row r="4">
          <cell r="A4" t="str">
            <v>type</v>
          </cell>
          <cell r="B4" t="str">
            <v>(Multiple Items)</v>
          </cell>
        </row>
        <row r="5">
          <cell r="A5" t="str">
            <v>type</v>
          </cell>
          <cell r="B5" t="str">
            <v>(Multiple Items)</v>
          </cell>
          <cell r="D5"/>
          <cell r="O5">
            <v>6.024096385542177E-2</v>
          </cell>
        </row>
        <row r="6">
          <cell r="A6" t="str">
            <v>PAU</v>
          </cell>
          <cell r="B6">
            <v>0</v>
          </cell>
          <cell r="D6"/>
          <cell r="O6">
            <v>0.1325301204819278</v>
          </cell>
        </row>
        <row r="7">
          <cell r="A7" t="str">
            <v>Onc_drug</v>
          </cell>
          <cell r="B7">
            <v>0</v>
          </cell>
        </row>
        <row r="8">
          <cell r="A8" t="str">
            <v>SAS_COUNTY</v>
          </cell>
          <cell r="B8" t="str">
            <v>(All)</v>
          </cell>
        </row>
        <row r="9">
          <cell r="A9" t="str">
            <v>KAISER_PAT</v>
          </cell>
          <cell r="B9" t="str">
            <v>(All)</v>
          </cell>
        </row>
        <row r="10">
          <cell r="A10" t="str">
            <v>COVID19</v>
          </cell>
          <cell r="B10" t="str">
            <v>(All)</v>
          </cell>
        </row>
        <row r="11">
          <cell r="A11" t="str">
            <v>INNOVATION_FLAG</v>
          </cell>
          <cell r="B11" t="str">
            <v>(All)</v>
          </cell>
          <cell r="E11"/>
          <cell r="F11"/>
          <cell r="G11"/>
          <cell r="H11"/>
          <cell r="I11"/>
        </row>
        <row r="13">
          <cell r="A13" t="str">
            <v>Row Labels</v>
          </cell>
          <cell r="B13" t="str">
            <v>Discharges/Visits CY19</v>
          </cell>
          <cell r="C13" t="str">
            <v>Discharges/Visits CY21</v>
          </cell>
          <cell r="D13" t="str">
            <v>Disch/visit Diff</v>
          </cell>
          <cell r="E13" t="str">
            <v xml:space="preserve"> Disch/visit PCHG</v>
          </cell>
          <cell r="F13" t="str">
            <v xml:space="preserve"> Ecmad CY19</v>
          </cell>
          <cell r="G13" t="str">
            <v xml:space="preserve"> ECMAD CY21</v>
          </cell>
          <cell r="H13" t="str">
            <v>Ecmad Diff</v>
          </cell>
          <cell r="I13" t="str">
            <v xml:space="preserve"> Ecmad PCHG</v>
          </cell>
          <cell r="J13" t="str">
            <v>Market Shift</v>
          </cell>
          <cell r="K13" t="str">
            <v>Sum of MSA</v>
          </cell>
          <cell r="L13" t="str">
            <v>Total Charge CY19</v>
          </cell>
          <cell r="M13" t="str">
            <v>Total Charge CY21</v>
          </cell>
          <cell r="N13" t="str">
            <v>Average of avcost_CY19</v>
          </cell>
          <cell r="O13" t="str">
            <v xml:space="preserve"> Unrecog_ecmads</v>
          </cell>
          <cell r="P13" t="str">
            <v xml:space="preserve"> Unrecog_funds</v>
          </cell>
          <cell r="Q13" t="str">
            <v>Sum of countCY1921</v>
          </cell>
        </row>
        <row r="14">
          <cell r="A14" t="str">
            <v>Adventist White Oak</v>
          </cell>
          <cell r="B14">
            <v>66186</v>
          </cell>
          <cell r="C14">
            <v>49056</v>
          </cell>
          <cell r="D14">
            <v>-17130</v>
          </cell>
          <cell r="E14">
            <v>-0.25881606382014322</v>
          </cell>
          <cell r="F14">
            <v>12759.96034386988</v>
          </cell>
          <cell r="G14">
            <v>13003.41775625487</v>
          </cell>
          <cell r="H14">
            <v>243.45741228800071</v>
          </cell>
          <cell r="I14">
            <v>1.907979381001379E-2</v>
          </cell>
          <cell r="J14">
            <v>982.75007821169766</v>
          </cell>
          <cell r="K14">
            <v>8591118.6668248251</v>
          </cell>
          <cell r="L14">
            <v>214145443.04999992</v>
          </cell>
          <cell r="M14">
            <v>224776362.05000049</v>
          </cell>
          <cell r="N14">
            <v>25439.681307471368</v>
          </cell>
          <cell r="O14">
            <v>-739.29266590577913</v>
          </cell>
          <cell r="P14">
            <v>-8213194.7393179024</v>
          </cell>
          <cell r="Q14">
            <v>-17130</v>
          </cell>
        </row>
        <row r="15">
          <cell r="A15" t="str">
            <v>Anne Arundel</v>
          </cell>
          <cell r="B15">
            <v>279758</v>
          </cell>
          <cell r="C15">
            <v>211916</v>
          </cell>
          <cell r="D15">
            <v>-67842</v>
          </cell>
          <cell r="E15">
            <v>-0.24250244854481373</v>
          </cell>
          <cell r="F15">
            <v>39586.551841987464</v>
          </cell>
          <cell r="G15">
            <v>34580.900028617129</v>
          </cell>
          <cell r="H15">
            <v>-5005.65181366662</v>
          </cell>
          <cell r="I15">
            <v>-0.12644829065564367</v>
          </cell>
          <cell r="J15">
            <v>-1101.4595850175983</v>
          </cell>
          <cell r="K15">
            <v>-6779112.0088003622</v>
          </cell>
          <cell r="L15">
            <v>479294973.70000076</v>
          </cell>
          <cell r="M15">
            <v>516740064.57000029</v>
          </cell>
          <cell r="N15">
            <v>11447.317205313528</v>
          </cell>
          <cell r="O15">
            <v>-3904.1922283698987</v>
          </cell>
          <cell r="P15">
            <v>-25083699.901880905</v>
          </cell>
          <cell r="Q15">
            <v>-67842</v>
          </cell>
        </row>
        <row r="16">
          <cell r="A16" t="str">
            <v>Ascension Saint Agnes Hospital</v>
          </cell>
          <cell r="B16">
            <v>143041</v>
          </cell>
          <cell r="C16">
            <v>126971</v>
          </cell>
          <cell r="D16">
            <v>-16070</v>
          </cell>
          <cell r="E16">
            <v>-0.11234541145545685</v>
          </cell>
          <cell r="F16">
            <v>17948.636818568582</v>
          </cell>
          <cell r="G16">
            <v>15996.741554692406</v>
          </cell>
          <cell r="H16">
            <v>-1951.8952639142988</v>
          </cell>
          <cell r="I16">
            <v>-0.10874894197295604</v>
          </cell>
          <cell r="J16">
            <v>-383.49393629150023</v>
          </cell>
          <cell r="K16">
            <v>-3475834.6010702699</v>
          </cell>
          <cell r="L16">
            <v>296197072.94999993</v>
          </cell>
          <cell r="M16">
            <v>288393143.57999933</v>
          </cell>
          <cell r="N16">
            <v>15702.319262783296</v>
          </cell>
          <cell r="O16">
            <v>-1568.4013275797001</v>
          </cell>
          <cell r="P16">
            <v>-13928084.445784524</v>
          </cell>
          <cell r="Q16">
            <v>-16070</v>
          </cell>
        </row>
        <row r="17">
          <cell r="A17" t="str">
            <v>Atlantic General</v>
          </cell>
          <cell r="B17">
            <v>62688</v>
          </cell>
          <cell r="C17">
            <v>53552</v>
          </cell>
          <cell r="D17">
            <v>-9136</v>
          </cell>
          <cell r="E17">
            <v>-0.14573762123532419</v>
          </cell>
          <cell r="F17">
            <v>4881.2734157400091</v>
          </cell>
          <cell r="G17">
            <v>4553.0319593950198</v>
          </cell>
          <cell r="H17">
            <v>-328.24145630539994</v>
          </cell>
          <cell r="I17">
            <v>-6.7245046197689229E-2</v>
          </cell>
          <cell r="J17">
            <v>59.358912813999964</v>
          </cell>
          <cell r="K17">
            <v>406000.92911344097</v>
          </cell>
          <cell r="L17">
            <v>62778801.600000001</v>
          </cell>
          <cell r="M17">
            <v>65195020.599999994</v>
          </cell>
          <cell r="N17">
            <v>12975.302982316609</v>
          </cell>
          <cell r="O17">
            <v>-387.60036917750028</v>
          </cell>
          <cell r="P17">
            <v>-2562086.87660731</v>
          </cell>
          <cell r="Q17">
            <v>-9136</v>
          </cell>
        </row>
        <row r="18">
          <cell r="A18" t="str">
            <v>Calvert</v>
          </cell>
          <cell r="B18">
            <v>60003</v>
          </cell>
          <cell r="C18">
            <v>57941</v>
          </cell>
          <cell r="D18">
            <v>-2062</v>
          </cell>
          <cell r="E18">
            <v>-3.4364948419245755E-2</v>
          </cell>
          <cell r="F18">
            <v>6837.3586833418958</v>
          </cell>
          <cell r="G18">
            <v>6644.00510153919</v>
          </cell>
          <cell r="H18">
            <v>-193.35358181820024</v>
          </cell>
          <cell r="I18">
            <v>-2.8278987655537269E-2</v>
          </cell>
          <cell r="J18">
            <v>176.13147964590004</v>
          </cell>
          <cell r="K18">
            <v>1069255.1063362234</v>
          </cell>
          <cell r="L18">
            <v>103824900.39000003</v>
          </cell>
          <cell r="M18">
            <v>107702519.22000019</v>
          </cell>
          <cell r="N18">
            <v>14784.844321093404</v>
          </cell>
          <cell r="O18">
            <v>-369.48506147419988</v>
          </cell>
          <cell r="P18">
            <v>-3308607.3929380905</v>
          </cell>
          <cell r="Q18">
            <v>-2062</v>
          </cell>
        </row>
        <row r="19">
          <cell r="A19" t="str">
            <v>Carroll</v>
          </cell>
          <cell r="B19">
            <v>67658</v>
          </cell>
          <cell r="C19">
            <v>57374</v>
          </cell>
          <cell r="D19">
            <v>-10284</v>
          </cell>
          <cell r="E19">
            <v>-0.15199976351650946</v>
          </cell>
          <cell r="F19">
            <v>10885.043673780383</v>
          </cell>
          <cell r="G19">
            <v>9849.6155816488972</v>
          </cell>
          <cell r="H19">
            <v>-1035.4280922082985</v>
          </cell>
          <cell r="I19">
            <v>-9.5123926293984362E-2</v>
          </cell>
          <cell r="J19">
            <v>-273.09005380530022</v>
          </cell>
          <cell r="K19">
            <v>-2127780.5242969836</v>
          </cell>
          <cell r="L19">
            <v>171729519.77000007</v>
          </cell>
          <cell r="M19">
            <v>164842795.69999981</v>
          </cell>
          <cell r="N19">
            <v>15847.260749056923</v>
          </cell>
          <cell r="O19">
            <v>-762.33803836229959</v>
          </cell>
          <cell r="P19">
            <v>-6627710.851493136</v>
          </cell>
          <cell r="Q19">
            <v>-10284</v>
          </cell>
        </row>
        <row r="20">
          <cell r="A20" t="str">
            <v>ChristianaCare, Union</v>
          </cell>
          <cell r="B20">
            <v>82042</v>
          </cell>
          <cell r="C20">
            <v>72508</v>
          </cell>
          <cell r="D20">
            <v>-9534</v>
          </cell>
          <cell r="E20">
            <v>-0.1162087711172326</v>
          </cell>
          <cell r="F20">
            <v>6739.4645775459958</v>
          </cell>
          <cell r="G20">
            <v>6321.9692636197969</v>
          </cell>
          <cell r="H20">
            <v>-417.49531391130006</v>
          </cell>
          <cell r="I20">
            <v>-6.1947846022839315E-2</v>
          </cell>
          <cell r="J20">
            <v>144.28648266409994</v>
          </cell>
          <cell r="K20">
            <v>1143406.2359026407</v>
          </cell>
          <cell r="L20">
            <v>108758503.51000001</v>
          </cell>
          <cell r="M20">
            <v>104126659.28000003</v>
          </cell>
          <cell r="N20">
            <v>15215.166090187196</v>
          </cell>
          <cell r="O20">
            <v>-561.78179661949969</v>
          </cell>
          <cell r="P20">
            <v>-4677211.3381953528</v>
          </cell>
          <cell r="Q20">
            <v>-9534</v>
          </cell>
        </row>
        <row r="21">
          <cell r="A21" t="str">
            <v>Doctors</v>
          </cell>
          <cell r="B21">
            <v>74363</v>
          </cell>
          <cell r="C21">
            <v>51019</v>
          </cell>
          <cell r="D21">
            <v>-23344</v>
          </cell>
          <cell r="E21">
            <v>-0.31391955676882322</v>
          </cell>
          <cell r="F21">
            <v>11718.299856048483</v>
          </cell>
          <cell r="G21">
            <v>8811.7289063975113</v>
          </cell>
          <cell r="H21">
            <v>-2906.5709495864012</v>
          </cell>
          <cell r="I21">
            <v>-0.24803691536795114</v>
          </cell>
          <cell r="J21">
            <v>-1379.2835732462011</v>
          </cell>
          <cell r="K21">
            <v>-10565139.816385081</v>
          </cell>
          <cell r="L21">
            <v>173364720.67999992</v>
          </cell>
          <cell r="M21">
            <v>146563218.19999987</v>
          </cell>
          <cell r="N21">
            <v>14874.469782511387</v>
          </cell>
          <cell r="O21">
            <v>-1527.2873763425016</v>
          </cell>
          <cell r="P21">
            <v>-12487281.759108599</v>
          </cell>
          <cell r="Q21">
            <v>-23344</v>
          </cell>
        </row>
        <row r="22">
          <cell r="A22" t="str">
            <v>Frederick</v>
          </cell>
          <cell r="B22">
            <v>107694</v>
          </cell>
          <cell r="C22">
            <v>85948</v>
          </cell>
          <cell r="D22">
            <v>-21746</v>
          </cell>
          <cell r="E22">
            <v>-0.20192396976618943</v>
          </cell>
          <cell r="F22">
            <v>19123.216345550405</v>
          </cell>
          <cell r="G22">
            <v>16856.291792454987</v>
          </cell>
          <cell r="H22">
            <v>-2266.9245530488965</v>
          </cell>
          <cell r="I22">
            <v>-0.11854305845485491</v>
          </cell>
          <cell r="J22">
            <v>-677.0028766820991</v>
          </cell>
          <cell r="K22">
            <v>-5906510.4253385365</v>
          </cell>
          <cell r="L22">
            <v>275294196.68000013</v>
          </cell>
          <cell r="M22">
            <v>268554824.53000003</v>
          </cell>
          <cell r="N22">
            <v>13138.766247521424</v>
          </cell>
          <cell r="O22">
            <v>-1589.921676325901</v>
          </cell>
          <cell r="P22">
            <v>-11875196.767086845</v>
          </cell>
          <cell r="Q22">
            <v>-21746</v>
          </cell>
        </row>
        <row r="23">
          <cell r="A23" t="str">
            <v>Ft. Washington</v>
          </cell>
          <cell r="B23">
            <v>30519</v>
          </cell>
          <cell r="C23">
            <v>19673</v>
          </cell>
          <cell r="D23">
            <v>-10846</v>
          </cell>
          <cell r="E23">
            <v>-0.35538516989416424</v>
          </cell>
          <cell r="F23">
            <v>2538.5341614731979</v>
          </cell>
          <cell r="G23">
            <v>1927.7140497077999</v>
          </cell>
          <cell r="H23">
            <v>-610.82011182020062</v>
          </cell>
          <cell r="I23">
            <v>-0.24061922074387931</v>
          </cell>
          <cell r="J23">
            <v>-137.23445037280004</v>
          </cell>
          <cell r="K23">
            <v>-678329.37417757744</v>
          </cell>
          <cell r="L23">
            <v>36530269.079999998</v>
          </cell>
          <cell r="M23">
            <v>39111429.75</v>
          </cell>
          <cell r="N23">
            <v>13925.122298633647</v>
          </cell>
          <cell r="O23">
            <v>-473.58566140810012</v>
          </cell>
          <cell r="P23">
            <v>-3216587.7744465792</v>
          </cell>
          <cell r="Q23">
            <v>-10846</v>
          </cell>
        </row>
        <row r="24">
          <cell r="A24" t="str">
            <v>Garrett</v>
          </cell>
          <cell r="B24">
            <v>49723</v>
          </cell>
          <cell r="C24">
            <v>41388</v>
          </cell>
          <cell r="D24">
            <v>-8335</v>
          </cell>
          <cell r="E24">
            <v>-0.16762866279186694</v>
          </cell>
          <cell r="F24">
            <v>3005.6471583349012</v>
          </cell>
          <cell r="G24">
            <v>3006.9981104304011</v>
          </cell>
          <cell r="H24">
            <v>1.3509520883000112</v>
          </cell>
          <cell r="I24">
            <v>4.4947128665895342E-4</v>
          </cell>
          <cell r="J24">
            <v>78.540590461700077</v>
          </cell>
          <cell r="K24">
            <v>572947.3684899573</v>
          </cell>
          <cell r="L24">
            <v>36967633.020000011</v>
          </cell>
          <cell r="M24">
            <v>36626468.129999995</v>
          </cell>
          <cell r="N24">
            <v>11655.620272217875</v>
          </cell>
          <cell r="O24">
            <v>-77.189638362100013</v>
          </cell>
          <cell r="P24">
            <v>-385147.34433336894</v>
          </cell>
          <cell r="Q24">
            <v>-8335</v>
          </cell>
        </row>
        <row r="25">
          <cell r="A25" t="str">
            <v>GBMC</v>
          </cell>
          <cell r="B25">
            <v>177492</v>
          </cell>
          <cell r="C25">
            <v>148590</v>
          </cell>
          <cell r="D25">
            <v>-28902</v>
          </cell>
          <cell r="E25">
            <v>-0.16283550807923741</v>
          </cell>
          <cell r="F25">
            <v>26100.401741514459</v>
          </cell>
          <cell r="G25">
            <v>23472.362286410462</v>
          </cell>
          <cell r="H25">
            <v>-2628.0394552017024</v>
          </cell>
          <cell r="I25">
            <v>-0.10068961700784562</v>
          </cell>
          <cell r="J25">
            <v>-635.87035443899856</v>
          </cell>
          <cell r="K25">
            <v>-4693355.5025495188</v>
          </cell>
          <cell r="L25">
            <v>356936934.89000046</v>
          </cell>
          <cell r="M25">
            <v>373657585.42999995</v>
          </cell>
          <cell r="N25">
            <v>13759.880547189267</v>
          </cell>
          <cell r="O25">
            <v>-1992.1691006646984</v>
          </cell>
          <cell r="P25">
            <v>-14948169.595619287</v>
          </cell>
          <cell r="Q25">
            <v>-28902</v>
          </cell>
        </row>
        <row r="26">
          <cell r="A26" t="str">
            <v>Germantown ED</v>
          </cell>
          <cell r="B26">
            <v>22591</v>
          </cell>
          <cell r="C26">
            <v>18430</v>
          </cell>
          <cell r="D26">
            <v>-4161</v>
          </cell>
          <cell r="E26">
            <v>-0.18418839360807404</v>
          </cell>
          <cell r="F26">
            <v>1032.0314724979999</v>
          </cell>
          <cell r="G26">
            <v>882.31399175000001</v>
          </cell>
          <cell r="H26">
            <v>-149.71748074199982</v>
          </cell>
          <cell r="I26">
            <v>-0.14507065408152076</v>
          </cell>
          <cell r="J26">
            <v>8.1787120307999963</v>
          </cell>
          <cell r="K26">
            <v>59080.60161404829</v>
          </cell>
          <cell r="L26">
            <v>14091201.940000007</v>
          </cell>
          <cell r="M26">
            <v>14196163.149999999</v>
          </cell>
          <cell r="N26">
            <v>13653.849049999943</v>
          </cell>
          <cell r="O26">
            <v>-157.89619277879999</v>
          </cell>
          <cell r="P26">
            <v>-1140595.4908218915</v>
          </cell>
          <cell r="Q26">
            <v>-4161</v>
          </cell>
        </row>
        <row r="27">
          <cell r="A27" t="str">
            <v>Grace Medical center</v>
          </cell>
          <cell r="B27">
            <v>25477</v>
          </cell>
          <cell r="C27">
            <v>19938</v>
          </cell>
          <cell r="D27">
            <v>-5539</v>
          </cell>
          <cell r="E27">
            <v>-0.21741178317698318</v>
          </cell>
          <cell r="F27">
            <v>2694.7275626544038</v>
          </cell>
          <cell r="G27">
            <v>1098.3164728777006</v>
          </cell>
          <cell r="H27">
            <v>-1596.411089828697</v>
          </cell>
          <cell r="I27">
            <v>-0.59242021787322385</v>
          </cell>
          <cell r="J27">
            <v>-848.02420671759978</v>
          </cell>
          <cell r="K27">
            <v>-10221581.786086496</v>
          </cell>
          <cell r="L27">
            <v>63711094.829999968</v>
          </cell>
          <cell r="M27">
            <v>25256217.809999973</v>
          </cell>
          <cell r="N27">
            <v>20686.705248744907</v>
          </cell>
          <cell r="O27">
            <v>-748.38688310309988</v>
          </cell>
          <cell r="P27">
            <v>-9361376.1963573694</v>
          </cell>
          <cell r="Q27">
            <v>-5539</v>
          </cell>
        </row>
        <row r="28">
          <cell r="A28" t="str">
            <v>HC-Germantown</v>
          </cell>
          <cell r="B28">
            <v>37612</v>
          </cell>
          <cell r="C28">
            <v>34443</v>
          </cell>
          <cell r="D28">
            <v>-3169</v>
          </cell>
          <cell r="E28">
            <v>-8.4255024992023864E-2</v>
          </cell>
          <cell r="F28">
            <v>6161.3496465679136</v>
          </cell>
          <cell r="G28">
            <v>6802.242529077329</v>
          </cell>
          <cell r="H28">
            <v>640.89288249390177</v>
          </cell>
          <cell r="I28">
            <v>0.10401826211346643</v>
          </cell>
          <cell r="J28">
            <v>908.33029174851265</v>
          </cell>
          <cell r="K28">
            <v>5911007.3911801549</v>
          </cell>
          <cell r="L28">
            <v>86169621.969999969</v>
          </cell>
          <cell r="M28">
            <v>101207189.6799999</v>
          </cell>
          <cell r="N28">
            <v>13567.927375554556</v>
          </cell>
          <cell r="O28">
            <v>-267.437409244111</v>
          </cell>
          <cell r="P28">
            <v>-2274924.8407325018</v>
          </cell>
          <cell r="Q28">
            <v>-3169</v>
          </cell>
        </row>
        <row r="29">
          <cell r="A29" t="str">
            <v>Holy Cross</v>
          </cell>
          <cell r="B29">
            <v>124683</v>
          </cell>
          <cell r="C29">
            <v>101643</v>
          </cell>
          <cell r="D29">
            <v>-23040</v>
          </cell>
          <cell r="E29">
            <v>-0.18478862395033802</v>
          </cell>
          <cell r="F29">
            <v>27728.096776260587</v>
          </cell>
          <cell r="G29">
            <v>24465.709932085665</v>
          </cell>
          <cell r="H29">
            <v>-3262.3868442244966</v>
          </cell>
          <cell r="I29">
            <v>-0.11765635667313501</v>
          </cell>
          <cell r="J29">
            <v>-1245.2236865194986</v>
          </cell>
          <cell r="K29">
            <v>-8778791.357300885</v>
          </cell>
          <cell r="L29">
            <v>368057156.90999937</v>
          </cell>
          <cell r="M29">
            <v>374939054.53999996</v>
          </cell>
          <cell r="N29">
            <v>12558.232097684384</v>
          </cell>
          <cell r="O29">
            <v>-2017.163157783802</v>
          </cell>
          <cell r="P29">
            <v>-14385375.270725083</v>
          </cell>
          <cell r="Q29">
            <v>-23040</v>
          </cell>
        </row>
        <row r="30">
          <cell r="A30" t="str">
            <v>Howard County</v>
          </cell>
          <cell r="B30">
            <v>104693</v>
          </cell>
          <cell r="C30">
            <v>83731</v>
          </cell>
          <cell r="D30">
            <v>-20962</v>
          </cell>
          <cell r="E30">
            <v>-0.20022351064541088</v>
          </cell>
          <cell r="F30">
            <v>17635.862274669882</v>
          </cell>
          <cell r="G30">
            <v>16764.348228198058</v>
          </cell>
          <cell r="H30">
            <v>-871.51404648890025</v>
          </cell>
          <cell r="I30">
            <v>-4.9417149720179299E-2</v>
          </cell>
          <cell r="J30">
            <v>207.14688874360053</v>
          </cell>
          <cell r="K30">
            <v>1431301.7739436124</v>
          </cell>
          <cell r="L30">
            <v>236219936.40000004</v>
          </cell>
          <cell r="M30">
            <v>232216026.18000019</v>
          </cell>
          <cell r="N30">
            <v>12346.858478564611</v>
          </cell>
          <cell r="O30">
            <v>-1078.6609352784017</v>
          </cell>
          <cell r="P30">
            <v>-7819734.1177475145</v>
          </cell>
          <cell r="Q30">
            <v>-20962</v>
          </cell>
        </row>
        <row r="31">
          <cell r="A31" t="str">
            <v>JH Bayview</v>
          </cell>
          <cell r="B31">
            <v>208360</v>
          </cell>
          <cell r="C31">
            <v>169683</v>
          </cell>
          <cell r="D31">
            <v>-38677</v>
          </cell>
          <cell r="E31">
            <v>-0.18562583989249382</v>
          </cell>
          <cell r="F31">
            <v>21902.340332852709</v>
          </cell>
          <cell r="G31">
            <v>19805.890236302763</v>
          </cell>
          <cell r="H31">
            <v>-2096.4500966535957</v>
          </cell>
          <cell r="I31">
            <v>-9.571808604422738E-2</v>
          </cell>
          <cell r="J31">
            <v>-283.46602525879877</v>
          </cell>
          <cell r="K31">
            <v>-2280503.3424410182</v>
          </cell>
          <cell r="L31">
            <v>404277442.83000058</v>
          </cell>
          <cell r="M31">
            <v>447675030.77000076</v>
          </cell>
          <cell r="N31">
            <v>15407.332146439416</v>
          </cell>
          <cell r="O31">
            <v>-1812.9840712854027</v>
          </cell>
          <cell r="P31">
            <v>-16495622.971900679</v>
          </cell>
          <cell r="Q31">
            <v>-38677</v>
          </cell>
        </row>
        <row r="32">
          <cell r="A32" t="str">
            <v>Johns Hopkins</v>
          </cell>
          <cell r="B32">
            <v>489051</v>
          </cell>
          <cell r="C32">
            <v>451830</v>
          </cell>
          <cell r="D32">
            <v>-37221</v>
          </cell>
          <cell r="E32">
            <v>-7.6108626707643956E-2</v>
          </cell>
          <cell r="F32">
            <v>65963.335592225587</v>
          </cell>
          <cell r="G32">
            <v>63333.664334137087</v>
          </cell>
          <cell r="H32">
            <v>-2629.6712582388</v>
          </cell>
          <cell r="I32">
            <v>-3.986565012940968E-2</v>
          </cell>
          <cell r="J32">
            <v>655.56331967950086</v>
          </cell>
          <cell r="K32">
            <v>8354698.1076928452</v>
          </cell>
          <cell r="L32">
            <v>1355161344.4799984</v>
          </cell>
          <cell r="M32">
            <v>1451805253.6799991</v>
          </cell>
          <cell r="N32">
            <v>19348.106891687701</v>
          </cell>
          <cell r="O32">
            <v>-3285.2345779231937</v>
          </cell>
          <cell r="P32">
            <v>-34949654.98975075</v>
          </cell>
          <cell r="Q32">
            <v>-37221</v>
          </cell>
        </row>
        <row r="33">
          <cell r="A33" t="str">
            <v>McCready</v>
          </cell>
          <cell r="B33">
            <v>12586</v>
          </cell>
          <cell r="C33">
            <v>12089</v>
          </cell>
          <cell r="D33">
            <v>-497</v>
          </cell>
          <cell r="E33">
            <v>-3.9488320355951068E-2</v>
          </cell>
          <cell r="F33">
            <v>480.97397402600001</v>
          </cell>
          <cell r="G33">
            <v>361.0890087439999</v>
          </cell>
          <cell r="H33">
            <v>-119.88496527960007</v>
          </cell>
          <cell r="I33">
            <v>-0.24925457874259016</v>
          </cell>
          <cell r="J33">
            <v>-32.756771970999992</v>
          </cell>
          <cell r="K33">
            <v>-394579.97084424703</v>
          </cell>
          <cell r="L33">
            <v>9413475.5600000024</v>
          </cell>
          <cell r="M33">
            <v>3769770.1300000004</v>
          </cell>
          <cell r="N33">
            <v>18589.565371487679</v>
          </cell>
          <cell r="O33">
            <v>-87.128193304899995</v>
          </cell>
          <cell r="P33">
            <v>-968434.82309462177</v>
          </cell>
          <cell r="Q33">
            <v>-497</v>
          </cell>
        </row>
        <row r="34">
          <cell r="A34" t="str">
            <v>MedStar Fr Square</v>
          </cell>
          <cell r="B34">
            <v>175171</v>
          </cell>
          <cell r="C34">
            <v>160651</v>
          </cell>
          <cell r="D34">
            <v>-14520</v>
          </cell>
          <cell r="E34">
            <v>-8.2890432777114942E-2</v>
          </cell>
          <cell r="F34">
            <v>25564.569721501473</v>
          </cell>
          <cell r="G34">
            <v>24559.682189115912</v>
          </cell>
          <cell r="H34">
            <v>-1004.8875322694995</v>
          </cell>
          <cell r="I34">
            <v>-3.9307821071613236E-2</v>
          </cell>
          <cell r="J34">
            <v>416.85079709309946</v>
          </cell>
          <cell r="K34">
            <v>3520293.7583019566</v>
          </cell>
          <cell r="L34">
            <v>391401245.98999989</v>
          </cell>
          <cell r="M34">
            <v>362891595.50999963</v>
          </cell>
          <cell r="N34">
            <v>12936.442539369496</v>
          </cell>
          <cell r="O34">
            <v>-1421.7383294181986</v>
          </cell>
          <cell r="P34">
            <v>-11399816.259025462</v>
          </cell>
          <cell r="Q34">
            <v>-14520</v>
          </cell>
        </row>
        <row r="35">
          <cell r="A35" t="str">
            <v>MedStar Good Sam</v>
          </cell>
          <cell r="B35">
            <v>92328</v>
          </cell>
          <cell r="C35">
            <v>77618</v>
          </cell>
          <cell r="D35">
            <v>-14710</v>
          </cell>
          <cell r="E35">
            <v>-0.15932328221124681</v>
          </cell>
          <cell r="F35">
            <v>9646.0849733710129</v>
          </cell>
          <cell r="G35">
            <v>8748.1315061127934</v>
          </cell>
          <cell r="H35">
            <v>-897.95346727309879</v>
          </cell>
          <cell r="I35">
            <v>-9.3089939570002778E-2</v>
          </cell>
          <cell r="J35">
            <v>-23.224112426400126</v>
          </cell>
          <cell r="K35">
            <v>-186696.57162600785</v>
          </cell>
          <cell r="L35">
            <v>185286994.72000021</v>
          </cell>
          <cell r="M35">
            <v>179119891.79999977</v>
          </cell>
          <cell r="N35">
            <v>13281.254309321297</v>
          </cell>
          <cell r="O35">
            <v>-874.72935481129866</v>
          </cell>
          <cell r="P35">
            <v>-7720574.909892451</v>
          </cell>
          <cell r="Q35">
            <v>-14710</v>
          </cell>
        </row>
        <row r="36">
          <cell r="A36" t="str">
            <v>MedStar Harbor</v>
          </cell>
          <cell r="B36">
            <v>59534</v>
          </cell>
          <cell r="C36">
            <v>51149</v>
          </cell>
          <cell r="D36">
            <v>-8385</v>
          </cell>
          <cell r="E36">
            <v>-0.14084388752645549</v>
          </cell>
          <cell r="F36">
            <v>7874.270432014283</v>
          </cell>
          <cell r="G36">
            <v>7441.1385706388846</v>
          </cell>
          <cell r="H36">
            <v>-433.1318613288999</v>
          </cell>
          <cell r="I36">
            <v>-5.5005967234046382E-2</v>
          </cell>
          <cell r="J36">
            <v>111.97583503460019</v>
          </cell>
          <cell r="K36">
            <v>705160.29158333247</v>
          </cell>
          <cell r="L36">
            <v>130686897.33999996</v>
          </cell>
          <cell r="M36">
            <v>127419212.47000007</v>
          </cell>
          <cell r="N36">
            <v>14253.793418038034</v>
          </cell>
          <cell r="O36">
            <v>-545.10769644759955</v>
          </cell>
          <cell r="P36">
            <v>-4415257.7391906632</v>
          </cell>
          <cell r="Q36">
            <v>-8385</v>
          </cell>
        </row>
        <row r="37">
          <cell r="A37" t="str">
            <v>MedStar Montgomery</v>
          </cell>
          <cell r="B37">
            <v>55627</v>
          </cell>
          <cell r="C37">
            <v>49513</v>
          </cell>
          <cell r="D37">
            <v>-6114</v>
          </cell>
          <cell r="E37">
            <v>-0.10991065489780139</v>
          </cell>
          <cell r="F37">
            <v>7750.2351170698948</v>
          </cell>
          <cell r="G37">
            <v>7283.1689122153875</v>
          </cell>
          <cell r="H37">
            <v>-467.06620479500066</v>
          </cell>
          <cell r="I37">
            <v>-6.0264778784038908E-2</v>
          </cell>
          <cell r="J37">
            <v>179.52550138200041</v>
          </cell>
          <cell r="K37">
            <v>1764712.2670368459</v>
          </cell>
          <cell r="L37">
            <v>129874864.30000013</v>
          </cell>
          <cell r="M37">
            <v>123636298.90999995</v>
          </cell>
          <cell r="N37">
            <v>15575.345839855083</v>
          </cell>
          <cell r="O37">
            <v>-646.59170623580042</v>
          </cell>
          <cell r="P37">
            <v>-5580481.8241645303</v>
          </cell>
          <cell r="Q37">
            <v>-6114</v>
          </cell>
        </row>
        <row r="38">
          <cell r="A38" t="str">
            <v>MedStar Southern MD</v>
          </cell>
          <cell r="B38">
            <v>61155</v>
          </cell>
          <cell r="C38">
            <v>54101</v>
          </cell>
          <cell r="D38">
            <v>-7054</v>
          </cell>
          <cell r="E38">
            <v>-0.11534625132859133</v>
          </cell>
          <cell r="F38">
            <v>11254.152790111699</v>
          </cell>
          <cell r="G38">
            <v>10584.074867990992</v>
          </cell>
          <cell r="H38">
            <v>-670.07792212790002</v>
          </cell>
          <cell r="I38">
            <v>-5.9540503369517217E-2</v>
          </cell>
          <cell r="J38">
            <v>-9.4568004300001665</v>
          </cell>
          <cell r="K38">
            <v>-460279.22888220503</v>
          </cell>
          <cell r="L38">
            <v>199752709.28999984</v>
          </cell>
          <cell r="M38">
            <v>186542844.61999983</v>
          </cell>
          <cell r="N38">
            <v>15042.226597248118</v>
          </cell>
          <cell r="O38">
            <v>-660.62112170789919</v>
          </cell>
          <cell r="P38">
            <v>-6105680.3212841824</v>
          </cell>
          <cell r="Q38">
            <v>-7054</v>
          </cell>
        </row>
        <row r="39">
          <cell r="A39" t="str">
            <v>MedStar St. Mary's</v>
          </cell>
          <cell r="B39">
            <v>109081</v>
          </cell>
          <cell r="C39">
            <v>91437</v>
          </cell>
          <cell r="D39">
            <v>-17644</v>
          </cell>
          <cell r="E39">
            <v>-0.16175135908178329</v>
          </cell>
          <cell r="F39">
            <v>11311.582657483923</v>
          </cell>
          <cell r="G39">
            <v>10662.887623756489</v>
          </cell>
          <cell r="H39">
            <v>-648.69503386680037</v>
          </cell>
          <cell r="I39">
            <v>-5.7347857799390001E-2</v>
          </cell>
          <cell r="J39">
            <v>30.995993460399927</v>
          </cell>
          <cell r="K39">
            <v>237572.16267797613</v>
          </cell>
          <cell r="L39">
            <v>142497862.95000005</v>
          </cell>
          <cell r="M39">
            <v>143768022.05999985</v>
          </cell>
          <cell r="N39">
            <v>12190.86204486038</v>
          </cell>
          <cell r="O39">
            <v>-679.69102719420005</v>
          </cell>
          <cell r="P39">
            <v>-4722570.2274988303</v>
          </cell>
          <cell r="Q39">
            <v>-17644</v>
          </cell>
        </row>
        <row r="40">
          <cell r="A40" t="str">
            <v>MedStar Union Mem</v>
          </cell>
          <cell r="B40">
            <v>101048</v>
          </cell>
          <cell r="C40">
            <v>85669</v>
          </cell>
          <cell r="D40">
            <v>-15379</v>
          </cell>
          <cell r="E40">
            <v>-0.15219499643733669</v>
          </cell>
          <cell r="F40">
            <v>20154.63656629781</v>
          </cell>
          <cell r="G40">
            <v>19684.943601473155</v>
          </cell>
          <cell r="H40">
            <v>-469.69296483670223</v>
          </cell>
          <cell r="I40">
            <v>-2.3304462140987803E-2</v>
          </cell>
          <cell r="J40">
            <v>757.14737311759927</v>
          </cell>
          <cell r="K40">
            <v>7403032.3414230691</v>
          </cell>
          <cell r="L40">
            <v>334811296.59000009</v>
          </cell>
          <cell r="M40">
            <v>316545086.38000017</v>
          </cell>
          <cell r="N40">
            <v>15170.481831426247</v>
          </cell>
          <cell r="O40">
            <v>-1226.8403380000011</v>
          </cell>
          <cell r="P40">
            <v>-10414582.605215868</v>
          </cell>
          <cell r="Q40">
            <v>-15379</v>
          </cell>
        </row>
        <row r="41">
          <cell r="A41" t="str">
            <v>Mercy</v>
          </cell>
          <cell r="B41">
            <v>227123</v>
          </cell>
          <cell r="C41">
            <v>224532</v>
          </cell>
          <cell r="D41">
            <v>-2591</v>
          </cell>
          <cell r="E41">
            <v>-1.1407915534754287E-2</v>
          </cell>
          <cell r="F41">
            <v>29541.377634842611</v>
          </cell>
          <cell r="G41">
            <v>29087.787822218328</v>
          </cell>
          <cell r="H41">
            <v>-453.58981266300168</v>
          </cell>
          <cell r="I41">
            <v>-1.5354389298666171E-2</v>
          </cell>
          <cell r="J41">
            <v>1206.8165654403847</v>
          </cell>
          <cell r="K41">
            <v>11421756.82486031</v>
          </cell>
          <cell r="L41">
            <v>461901236.10000068</v>
          </cell>
          <cell r="M41">
            <v>483488403.49000132</v>
          </cell>
          <cell r="N41">
            <v>14895.384350269711</v>
          </cell>
          <cell r="O41">
            <v>-1660.4063780915992</v>
          </cell>
          <cell r="P41">
            <v>-12832158.213210758</v>
          </cell>
          <cell r="Q41">
            <v>-2591</v>
          </cell>
        </row>
        <row r="42">
          <cell r="A42" t="str">
            <v>Meritus</v>
          </cell>
          <cell r="B42">
            <v>102387</v>
          </cell>
          <cell r="C42">
            <v>94802</v>
          </cell>
          <cell r="D42">
            <v>-7585</v>
          </cell>
          <cell r="E42">
            <v>-7.4081670524578369E-2</v>
          </cell>
          <cell r="F42">
            <v>15902.937921044102</v>
          </cell>
          <cell r="G42">
            <v>15594.38604397792</v>
          </cell>
          <cell r="H42">
            <v>-308.55187700020002</v>
          </cell>
          <cell r="I42">
            <v>-1.9402193393327716E-2</v>
          </cell>
          <cell r="J42">
            <v>18.411497282800013</v>
          </cell>
          <cell r="K42">
            <v>175917.5563378006</v>
          </cell>
          <cell r="L42">
            <v>222100595.21000016</v>
          </cell>
          <cell r="M42">
            <v>251545142.64999998</v>
          </cell>
          <cell r="N42">
            <v>13683.635474674091</v>
          </cell>
          <cell r="O42">
            <v>-326.96337416709991</v>
          </cell>
          <cell r="P42">
            <v>-2975506.4706366449</v>
          </cell>
          <cell r="Q42">
            <v>-7585</v>
          </cell>
        </row>
        <row r="43">
          <cell r="A43" t="str">
            <v>Northwest</v>
          </cell>
          <cell r="B43">
            <v>84451</v>
          </cell>
          <cell r="C43">
            <v>66000</v>
          </cell>
          <cell r="D43">
            <v>-18451</v>
          </cell>
          <cell r="E43">
            <v>-0.21848172312938863</v>
          </cell>
          <cell r="F43">
            <v>11266.975495945986</v>
          </cell>
          <cell r="G43">
            <v>10072.43405466329</v>
          </cell>
          <cell r="H43">
            <v>-1194.5414412784742</v>
          </cell>
          <cell r="I43">
            <v>-0.10602148213711016</v>
          </cell>
          <cell r="J43">
            <v>-65.403968029673919</v>
          </cell>
          <cell r="K43">
            <v>-218797.40553791358</v>
          </cell>
          <cell r="L43">
            <v>189937240.67999959</v>
          </cell>
          <cell r="M43">
            <v>174499339.25000021</v>
          </cell>
          <cell r="N43">
            <v>14624.874965616931</v>
          </cell>
          <cell r="O43">
            <v>-1129.1374732221987</v>
          </cell>
          <cell r="P43">
            <v>-10388228.484893074</v>
          </cell>
          <cell r="Q43">
            <v>-18451</v>
          </cell>
        </row>
        <row r="44">
          <cell r="A44" t="str">
            <v>Peninsula</v>
          </cell>
          <cell r="B44">
            <v>165883</v>
          </cell>
          <cell r="C44">
            <v>147461</v>
          </cell>
          <cell r="D44">
            <v>-18422</v>
          </cell>
          <cell r="E44">
            <v>-0.11105417673902696</v>
          </cell>
          <cell r="F44">
            <v>21116.287449051222</v>
          </cell>
          <cell r="G44">
            <v>20147.655825234415</v>
          </cell>
          <cell r="H44">
            <v>-968.63162362609899</v>
          </cell>
          <cell r="I44">
            <v>-4.5871303189724766E-2</v>
          </cell>
          <cell r="J44">
            <v>70.840204014300127</v>
          </cell>
          <cell r="K44">
            <v>635782.67074815149</v>
          </cell>
          <cell r="L44">
            <v>285347700.8499999</v>
          </cell>
          <cell r="M44">
            <v>297372761.48000014</v>
          </cell>
          <cell r="N44">
            <v>12860.283590775622</v>
          </cell>
          <cell r="O44">
            <v>-1039.4718276235001</v>
          </cell>
          <cell r="P44">
            <v>-6985798.8410710264</v>
          </cell>
          <cell r="Q44">
            <v>-18422</v>
          </cell>
        </row>
        <row r="45">
          <cell r="A45" t="str">
            <v>Shady Grove</v>
          </cell>
          <cell r="B45">
            <v>129011</v>
          </cell>
          <cell r="C45">
            <v>99945</v>
          </cell>
          <cell r="D45">
            <v>-29066</v>
          </cell>
          <cell r="E45">
            <v>-0.22529861794730677</v>
          </cell>
          <cell r="F45">
            <v>22611.992104495665</v>
          </cell>
          <cell r="G45">
            <v>20748.187388351689</v>
          </cell>
          <cell r="H45">
            <v>-1863.8047162747046</v>
          </cell>
          <cell r="I45">
            <v>-8.2425498272371112E-2</v>
          </cell>
          <cell r="J45">
            <v>-291.42410819059967</v>
          </cell>
          <cell r="K45">
            <v>-2826907.3185528661</v>
          </cell>
          <cell r="L45">
            <v>349911788.63000005</v>
          </cell>
          <cell r="M45">
            <v>358500322.12999982</v>
          </cell>
          <cell r="N45">
            <v>17814.392719896241</v>
          </cell>
          <cell r="O45">
            <v>-1572.3806080934003</v>
          </cell>
          <cell r="P45">
            <v>-14643142.412460636</v>
          </cell>
          <cell r="Q45">
            <v>-29066</v>
          </cell>
        </row>
        <row r="46">
          <cell r="A46" t="str">
            <v>Sinai</v>
          </cell>
          <cell r="B46">
            <v>200901</v>
          </cell>
          <cell r="C46">
            <v>172350</v>
          </cell>
          <cell r="D46">
            <v>-28551</v>
          </cell>
          <cell r="E46">
            <v>-0.14211477294786989</v>
          </cell>
          <cell r="F46">
            <v>26971.478065873696</v>
          </cell>
          <cell r="G46">
            <v>25797.116438885907</v>
          </cell>
          <cell r="H46">
            <v>-1174.361627004399</v>
          </cell>
          <cell r="I46">
            <v>-4.3540870252627317E-2</v>
          </cell>
          <cell r="J46">
            <v>594.63160742830019</v>
          </cell>
          <cell r="K46">
            <v>5720301.5608317694</v>
          </cell>
          <cell r="L46">
            <v>576198783.6999985</v>
          </cell>
          <cell r="M46">
            <v>611035560.39999926</v>
          </cell>
          <cell r="N46">
            <v>17056.641656497442</v>
          </cell>
          <cell r="O46">
            <v>-1768.9932344890983</v>
          </cell>
          <cell r="P46">
            <v>-19414367.269516829</v>
          </cell>
          <cell r="Q46">
            <v>-28551</v>
          </cell>
        </row>
        <row r="47">
          <cell r="A47" t="str">
            <v>Suburban</v>
          </cell>
          <cell r="B47">
            <v>62404</v>
          </cell>
          <cell r="C47">
            <v>54875</v>
          </cell>
          <cell r="D47">
            <v>-7529</v>
          </cell>
          <cell r="E47">
            <v>-0.12064931735145179</v>
          </cell>
          <cell r="F47">
            <v>17338.803417201223</v>
          </cell>
          <cell r="G47">
            <v>16068.309595705803</v>
          </cell>
          <cell r="H47">
            <v>-1270.4938213475984</v>
          </cell>
          <cell r="I47">
            <v>-7.3274596344694021E-2</v>
          </cell>
          <cell r="J47">
            <v>-122.87514325479926</v>
          </cell>
          <cell r="K47">
            <v>-480422.55549982219</v>
          </cell>
          <cell r="L47">
            <v>247267011.75</v>
          </cell>
          <cell r="M47">
            <v>258669508.0999999</v>
          </cell>
          <cell r="N47">
            <v>13747.145060344657</v>
          </cell>
          <cell r="O47">
            <v>-1147.6186780228015</v>
          </cell>
          <cell r="P47">
            <v>-7666359.8921513371</v>
          </cell>
          <cell r="Q47">
            <v>-7529</v>
          </cell>
        </row>
        <row r="48">
          <cell r="A48" t="str">
            <v>UM-Bowie ED</v>
          </cell>
          <cell r="B48">
            <v>29113</v>
          </cell>
          <cell r="C48">
            <v>21428</v>
          </cell>
          <cell r="D48">
            <v>-7685</v>
          </cell>
          <cell r="E48">
            <v>-0.26397142170164534</v>
          </cell>
          <cell r="F48">
            <v>1358.4979603191</v>
          </cell>
          <cell r="G48">
            <v>1011.9815710978006</v>
          </cell>
          <cell r="H48">
            <v>-346.51638924799988</v>
          </cell>
          <cell r="I48">
            <v>-0.25507317592137246</v>
          </cell>
          <cell r="J48">
            <v>-73.222003279400042</v>
          </cell>
          <cell r="K48">
            <v>-554151.44781285501</v>
          </cell>
          <cell r="L48">
            <v>19433049.710000005</v>
          </cell>
          <cell r="M48">
            <v>16459412.510000004</v>
          </cell>
          <cell r="N48">
            <v>14304.805953000039</v>
          </cell>
          <cell r="O48">
            <v>-273.29438595659991</v>
          </cell>
          <cell r="P48">
            <v>-2068319.2602259184</v>
          </cell>
          <cell r="Q48">
            <v>-7685</v>
          </cell>
        </row>
        <row r="49">
          <cell r="A49" t="str">
            <v>UM-BWMC</v>
          </cell>
          <cell r="B49">
            <v>152279</v>
          </cell>
          <cell r="C49">
            <v>124746</v>
          </cell>
          <cell r="D49">
            <v>-27533</v>
          </cell>
          <cell r="E49">
            <v>-0.18080628320385606</v>
          </cell>
          <cell r="F49">
            <v>22872.455960115072</v>
          </cell>
          <cell r="G49">
            <v>20892.295211772158</v>
          </cell>
          <cell r="H49">
            <v>-1980.1607484424001</v>
          </cell>
          <cell r="I49">
            <v>-8.657403261791885E-2</v>
          </cell>
          <cell r="J49">
            <v>-101.38418246949938</v>
          </cell>
          <cell r="K49">
            <v>-1353008.5286416088</v>
          </cell>
          <cell r="L49">
            <v>339197157.61000055</v>
          </cell>
          <cell r="M49">
            <v>324699231.22000027</v>
          </cell>
          <cell r="N49">
            <v>14196.794165607902</v>
          </cell>
          <cell r="O49">
            <v>-1878.776565928702</v>
          </cell>
          <cell r="P49">
            <v>-15918289.303379536</v>
          </cell>
          <cell r="Q49">
            <v>-27533</v>
          </cell>
        </row>
        <row r="50">
          <cell r="A50" t="str">
            <v>UM-Cambridge</v>
          </cell>
          <cell r="B50">
            <v>32384</v>
          </cell>
          <cell r="C50">
            <v>25281</v>
          </cell>
          <cell r="D50">
            <v>-7103</v>
          </cell>
          <cell r="E50">
            <v>-0.21933670948616601</v>
          </cell>
          <cell r="F50">
            <v>2066.6388560031992</v>
          </cell>
          <cell r="G50">
            <v>1463.367086051501</v>
          </cell>
          <cell r="H50">
            <v>-603.2717699287</v>
          </cell>
          <cell r="I50">
            <v>-0.29190962329935222</v>
          </cell>
          <cell r="J50">
            <v>-326.20407571329997</v>
          </cell>
          <cell r="K50">
            <v>-2965072.8236013143</v>
          </cell>
          <cell r="L50">
            <v>31725758.640000015</v>
          </cell>
          <cell r="M50">
            <v>27296846.090000011</v>
          </cell>
          <cell r="N50">
            <v>14998.775871553316</v>
          </cell>
          <cell r="O50">
            <v>-277.06769423459991</v>
          </cell>
          <cell r="P50">
            <v>-2196728.5287278709</v>
          </cell>
          <cell r="Q50">
            <v>-7103</v>
          </cell>
        </row>
        <row r="51">
          <cell r="A51" t="str">
            <v>UM-Capital Region Medical Center</v>
          </cell>
          <cell r="B51">
            <v>47954</v>
          </cell>
          <cell r="C51">
            <v>38916</v>
          </cell>
          <cell r="D51">
            <v>-9038</v>
          </cell>
          <cell r="E51">
            <v>-0.18847228594069321</v>
          </cell>
          <cell r="F51">
            <v>10778.849600792315</v>
          </cell>
          <cell r="G51">
            <v>10074.333568121294</v>
          </cell>
          <cell r="H51">
            <v>-704.51603264379924</v>
          </cell>
          <cell r="I51">
            <v>-6.5360966964344236E-2</v>
          </cell>
          <cell r="J51">
            <v>170.06900064520002</v>
          </cell>
          <cell r="K51">
            <v>2300149.9426977127</v>
          </cell>
          <cell r="L51">
            <v>211005607.95999971</v>
          </cell>
          <cell r="M51">
            <v>224351299.05000001</v>
          </cell>
          <cell r="N51">
            <v>17856.847879970617</v>
          </cell>
          <cell r="O51">
            <v>-874.58503331359998</v>
          </cell>
          <cell r="P51">
            <v>-9075435.7001675535</v>
          </cell>
          <cell r="Q51">
            <v>-9038</v>
          </cell>
        </row>
        <row r="52">
          <cell r="A52" t="str">
            <v>UM-Charles Regional</v>
          </cell>
          <cell r="B52">
            <v>70818</v>
          </cell>
          <cell r="C52">
            <v>63854</v>
          </cell>
          <cell r="D52">
            <v>-6964</v>
          </cell>
          <cell r="E52">
            <v>-9.8336581095201825E-2</v>
          </cell>
          <cell r="F52">
            <v>7850.7222698377927</v>
          </cell>
          <cell r="G52">
            <v>7668.0638737232011</v>
          </cell>
          <cell r="H52">
            <v>-182.65839616370019</v>
          </cell>
          <cell r="I52">
            <v>-2.3266444772394923E-2</v>
          </cell>
          <cell r="J52">
            <v>230.16396415849999</v>
          </cell>
          <cell r="K52">
            <v>1959813.7054784654</v>
          </cell>
          <cell r="L52">
            <v>112928465.95</v>
          </cell>
          <cell r="M52">
            <v>114842149.9000001</v>
          </cell>
          <cell r="N52">
            <v>13832.662653787191</v>
          </cell>
          <cell r="O52">
            <v>-412.82236018560042</v>
          </cell>
          <cell r="P52">
            <v>-3060734.2352844272</v>
          </cell>
          <cell r="Q52">
            <v>-6964</v>
          </cell>
        </row>
        <row r="53">
          <cell r="A53" t="str">
            <v>UM-Chestertown</v>
          </cell>
          <cell r="B53">
            <v>36939</v>
          </cell>
          <cell r="C53">
            <v>31580</v>
          </cell>
          <cell r="D53">
            <v>-5359</v>
          </cell>
          <cell r="E53">
            <v>-0.14507701886894608</v>
          </cell>
          <cell r="F53">
            <v>2071.3392178493987</v>
          </cell>
          <cell r="G53">
            <v>1716.6374774721974</v>
          </cell>
          <cell r="H53">
            <v>-354.70174039179989</v>
          </cell>
          <cell r="I53">
            <v>-0.17124270970231337</v>
          </cell>
          <cell r="J53">
            <v>-126.91192106240001</v>
          </cell>
          <cell r="K53">
            <v>-1165736.4077737704</v>
          </cell>
          <cell r="L53">
            <v>34719140.200000018</v>
          </cell>
          <cell r="M53">
            <v>38182055.75</v>
          </cell>
          <cell r="N53">
            <v>16893.944133940935</v>
          </cell>
          <cell r="O53">
            <v>-227.78981933899999</v>
          </cell>
          <cell r="P53">
            <v>-2238928.6102215499</v>
          </cell>
          <cell r="Q53">
            <v>-5359</v>
          </cell>
        </row>
        <row r="54">
          <cell r="A54" t="str">
            <v>UM-Easton</v>
          </cell>
          <cell r="B54">
            <v>75427</v>
          </cell>
          <cell r="C54">
            <v>66878</v>
          </cell>
          <cell r="D54">
            <v>-8549</v>
          </cell>
          <cell r="E54">
            <v>-0.11334137643019082</v>
          </cell>
          <cell r="F54">
            <v>10300.087712635701</v>
          </cell>
          <cell r="G54">
            <v>9775.2708686097103</v>
          </cell>
          <cell r="H54">
            <v>-524.81684398359982</v>
          </cell>
          <cell r="I54">
            <v>-5.0952657750881869E-2</v>
          </cell>
          <cell r="J54">
            <v>-57.625016019699963</v>
          </cell>
          <cell r="K54">
            <v>-630523.71749502269</v>
          </cell>
          <cell r="L54">
            <v>186696707.65999994</v>
          </cell>
          <cell r="M54">
            <v>190379708.05999985</v>
          </cell>
          <cell r="N54">
            <v>17280.028681912398</v>
          </cell>
          <cell r="O54">
            <v>-467.19182802460023</v>
          </cell>
          <cell r="P54">
            <v>-4440633.110561124</v>
          </cell>
          <cell r="Q54">
            <v>-8549</v>
          </cell>
        </row>
        <row r="55">
          <cell r="A55" t="str">
            <v>UM-Harford</v>
          </cell>
          <cell r="B55">
            <v>48712</v>
          </cell>
          <cell r="C55">
            <v>36505</v>
          </cell>
          <cell r="D55">
            <v>-12207</v>
          </cell>
          <cell r="E55">
            <v>-0.25059533585153559</v>
          </cell>
          <cell r="F55">
            <v>4619.1118344469014</v>
          </cell>
          <cell r="G55">
            <v>3873.1480951892008</v>
          </cell>
          <cell r="H55">
            <v>-745.96373923749911</v>
          </cell>
          <cell r="I55">
            <v>-0.16149505922214225</v>
          </cell>
          <cell r="J55">
            <v>-212.66360210050027</v>
          </cell>
          <cell r="K55">
            <v>-1696417.9041894819</v>
          </cell>
          <cell r="L55">
            <v>74367677.85999994</v>
          </cell>
          <cell r="M55">
            <v>69840728.539999872</v>
          </cell>
          <cell r="N55">
            <v>15229.459246066333</v>
          </cell>
          <cell r="O55">
            <v>-533.30013717090037</v>
          </cell>
          <cell r="P55">
            <v>-4733674.4859812865</v>
          </cell>
          <cell r="Q55">
            <v>-12207</v>
          </cell>
        </row>
        <row r="56">
          <cell r="A56" t="str">
            <v>UM-Laurel</v>
          </cell>
          <cell r="B56">
            <v>28937</v>
          </cell>
          <cell r="C56">
            <v>22063</v>
          </cell>
          <cell r="D56">
            <v>-6874</v>
          </cell>
          <cell r="E56">
            <v>-0.23755054083007909</v>
          </cell>
          <cell r="F56">
            <v>2044.2443131033006</v>
          </cell>
          <cell r="G56">
            <v>1579.4310847850006</v>
          </cell>
          <cell r="H56">
            <v>-464.81322834679997</v>
          </cell>
          <cell r="I56">
            <v>-0.22737655442596394</v>
          </cell>
          <cell r="J56">
            <v>5.6128388388000854</v>
          </cell>
          <cell r="K56">
            <v>-458802.30984105426</v>
          </cell>
          <cell r="L56">
            <v>42165694.86999999</v>
          </cell>
          <cell r="M56">
            <v>26562834.209999982</v>
          </cell>
          <cell r="N56">
            <v>18759.891882765045</v>
          </cell>
          <cell r="O56">
            <v>-470.4260671641</v>
          </cell>
          <cell r="P56">
            <v>-5242095.5624482026</v>
          </cell>
          <cell r="Q56">
            <v>-6874</v>
          </cell>
        </row>
        <row r="57">
          <cell r="A57" t="str">
            <v>UMMC</v>
          </cell>
          <cell r="B57">
            <v>334684</v>
          </cell>
          <cell r="C57">
            <v>296058</v>
          </cell>
          <cell r="D57">
            <v>-38626</v>
          </cell>
          <cell r="E57">
            <v>-0.11541035723249393</v>
          </cell>
          <cell r="F57">
            <v>48919.861555061092</v>
          </cell>
          <cell r="G57">
            <v>46606.142848457435</v>
          </cell>
          <cell r="H57">
            <v>-2313.718706807902</v>
          </cell>
          <cell r="I57">
            <v>-4.7296100868958524E-2</v>
          </cell>
          <cell r="J57">
            <v>405.25364763943611</v>
          </cell>
          <cell r="K57">
            <v>3636885.118287222</v>
          </cell>
          <cell r="L57">
            <v>1059352989.7700008</v>
          </cell>
          <cell r="M57">
            <v>1158733266.7600021</v>
          </cell>
          <cell r="N57">
            <v>20150.319553320634</v>
          </cell>
          <cell r="O57">
            <v>-2718.9723542500001</v>
          </cell>
          <cell r="P57">
            <v>-31520459.728765093</v>
          </cell>
          <cell r="Q57">
            <v>-38626</v>
          </cell>
        </row>
        <row r="58">
          <cell r="A58" t="str">
            <v>UMMC Midtown</v>
          </cell>
          <cell r="B58">
            <v>48535</v>
          </cell>
          <cell r="C58">
            <v>42324</v>
          </cell>
          <cell r="D58">
            <v>-6211</v>
          </cell>
          <cell r="E58">
            <v>-0.12796950654167094</v>
          </cell>
          <cell r="F58">
            <v>6289.2416471956685</v>
          </cell>
          <cell r="G58">
            <v>6150.1571614445711</v>
          </cell>
          <cell r="H58">
            <v>-139.08448577180013</v>
          </cell>
          <cell r="I58">
            <v>-2.2114667165494262E-2</v>
          </cell>
          <cell r="J58">
            <v>425.9449846902989</v>
          </cell>
          <cell r="K58">
            <v>5068895.7449821429</v>
          </cell>
          <cell r="L58">
            <v>136650209.48999998</v>
          </cell>
          <cell r="M58">
            <v>139583841.38000029</v>
          </cell>
          <cell r="N58">
            <v>18132.846014424213</v>
          </cell>
          <cell r="O58">
            <v>-565.02947045290114</v>
          </cell>
          <cell r="P58">
            <v>-6323539.2000943329</v>
          </cell>
          <cell r="Q58">
            <v>-6211</v>
          </cell>
        </row>
        <row r="59">
          <cell r="A59" t="str">
            <v>UM-Queen Anne's ED</v>
          </cell>
          <cell r="B59">
            <v>16448</v>
          </cell>
          <cell r="C59">
            <v>15823</v>
          </cell>
          <cell r="D59">
            <v>-625</v>
          </cell>
          <cell r="E59">
            <v>-3.799854085603116E-2</v>
          </cell>
          <cell r="F59">
            <v>728.35153712890008</v>
          </cell>
          <cell r="G59">
            <v>722.79604737700026</v>
          </cell>
          <cell r="H59">
            <v>-5.555489748999987</v>
          </cell>
          <cell r="I59">
            <v>-7.6274840769872121E-3</v>
          </cell>
          <cell r="J59">
            <v>47.663076754500011</v>
          </cell>
          <cell r="K59">
            <v>230194.06640889996</v>
          </cell>
          <cell r="L59">
            <v>6648875.4499999983</v>
          </cell>
          <cell r="M59">
            <v>7398000.6499999985</v>
          </cell>
          <cell r="N59">
            <v>9128.6626182999589</v>
          </cell>
          <cell r="O59">
            <v>-53.218566513500008</v>
          </cell>
          <cell r="P59">
            <v>-257024.91460460238</v>
          </cell>
          <cell r="Q59">
            <v>-625</v>
          </cell>
        </row>
        <row r="60">
          <cell r="A60" t="str">
            <v>UMROI</v>
          </cell>
          <cell r="B60">
            <v>34857</v>
          </cell>
          <cell r="C60">
            <v>29066</v>
          </cell>
          <cell r="D60">
            <v>-5791</v>
          </cell>
          <cell r="E60">
            <v>-0.16613592678658518</v>
          </cell>
          <cell r="F60">
            <v>2864.5520151855012</v>
          </cell>
          <cell r="G60">
            <v>2653.0698101627036</v>
          </cell>
          <cell r="H60">
            <v>-211.48220505199947</v>
          </cell>
          <cell r="I60">
            <v>-7.3827322353265945E-2</v>
          </cell>
          <cell r="J60">
            <v>116.87064297219992</v>
          </cell>
          <cell r="K60">
            <v>873159.97859112977</v>
          </cell>
          <cell r="L60">
            <v>99390686.449999899</v>
          </cell>
          <cell r="M60">
            <v>103275712.51000005</v>
          </cell>
          <cell r="N60">
            <v>10617.538945033681</v>
          </cell>
          <cell r="O60">
            <v>-328.35284800320017</v>
          </cell>
          <cell r="P60">
            <v>-2905793.792152314</v>
          </cell>
          <cell r="Q60">
            <v>-5791</v>
          </cell>
        </row>
        <row r="61">
          <cell r="A61" t="str">
            <v>UM-St. Joe</v>
          </cell>
          <cell r="B61">
            <v>98242</v>
          </cell>
          <cell r="C61">
            <v>95427</v>
          </cell>
          <cell r="D61">
            <v>-2815</v>
          </cell>
          <cell r="E61">
            <v>-2.8653732619449923E-2</v>
          </cell>
          <cell r="F61">
            <v>22262.460869990242</v>
          </cell>
          <cell r="G61">
            <v>21557.012721795159</v>
          </cell>
          <cell r="H61">
            <v>-705.4481482164997</v>
          </cell>
          <cell r="I61">
            <v>-3.1687788349850643E-2</v>
          </cell>
          <cell r="J61">
            <v>540.54556846887999</v>
          </cell>
          <cell r="K61">
            <v>2898949.1716245799</v>
          </cell>
          <cell r="L61">
            <v>322078786.96000034</v>
          </cell>
          <cell r="M61">
            <v>328845564.62000018</v>
          </cell>
          <cell r="N61">
            <v>13836.163894173034</v>
          </cell>
          <cell r="O61">
            <v>-1245.9937167285987</v>
          </cell>
          <cell r="P61">
            <v>-10827413.584269708</v>
          </cell>
          <cell r="Q61">
            <v>-2815</v>
          </cell>
        </row>
        <row r="62">
          <cell r="A62" t="str">
            <v>UM-Upper Chesapeake</v>
          </cell>
          <cell r="B62">
            <v>151146</v>
          </cell>
          <cell r="C62">
            <v>119435</v>
          </cell>
          <cell r="D62">
            <v>-31711</v>
          </cell>
          <cell r="E62">
            <v>-0.20980376589522709</v>
          </cell>
          <cell r="F62">
            <v>17269.244762782197</v>
          </cell>
          <cell r="G62">
            <v>15998.805880424847</v>
          </cell>
          <cell r="H62">
            <v>-1270.4388823036995</v>
          </cell>
          <cell r="I62">
            <v>-7.3566557183516013E-2</v>
          </cell>
          <cell r="J62">
            <v>-294.61798586850017</v>
          </cell>
          <cell r="K62">
            <v>-2174930.3453452764</v>
          </cell>
          <cell r="L62">
            <v>251486190.64000022</v>
          </cell>
          <cell r="M62">
            <v>246661594.75999987</v>
          </cell>
          <cell r="N62">
            <v>13260.699155378317</v>
          </cell>
          <cell r="O62">
            <v>-975.82089654689969</v>
          </cell>
          <cell r="P62">
            <v>-7483707.0981853018</v>
          </cell>
          <cell r="Q62">
            <v>-31711</v>
          </cell>
        </row>
        <row r="63">
          <cell r="A63" t="str">
            <v>Western Maryland</v>
          </cell>
          <cell r="B63">
            <v>112384</v>
          </cell>
          <cell r="C63">
            <v>92455</v>
          </cell>
          <cell r="D63">
            <v>-19929</v>
          </cell>
          <cell r="E63">
            <v>-0.17732951309794986</v>
          </cell>
          <cell r="F63">
            <v>12305.374121129511</v>
          </cell>
          <cell r="G63">
            <v>11712.744319942394</v>
          </cell>
          <cell r="H63">
            <v>-592.62980122559941</v>
          </cell>
          <cell r="I63">
            <v>-4.8160242456140701E-2</v>
          </cell>
          <cell r="J63">
            <v>152.31258476910003</v>
          </cell>
          <cell r="K63">
            <v>1203880.0843919322</v>
          </cell>
          <cell r="L63">
            <v>180644833.5099999</v>
          </cell>
          <cell r="M63">
            <v>178998285.12</v>
          </cell>
          <cell r="N63">
            <v>14704.286898810942</v>
          </cell>
          <cell r="O63">
            <v>-744.94238593269995</v>
          </cell>
          <cell r="P63">
            <v>-5725455.2148174001</v>
          </cell>
          <cell r="Q63">
            <v>-19929</v>
          </cell>
        </row>
        <row r="64">
          <cell r="A64" t="str">
            <v>Grand Total</v>
          </cell>
          <cell r="B64">
            <v>5171183</v>
          </cell>
          <cell r="C64">
            <v>4419665</v>
          </cell>
          <cell r="D64">
            <v>-751518</v>
          </cell>
          <cell r="E64">
            <v>-0.14532806129661235</v>
          </cell>
          <cell r="F64">
            <v>718629.52482941002</v>
          </cell>
          <cell r="G64">
            <v>668473.51319114037</v>
          </cell>
          <cell r="H64">
            <v>-50156.011639272503</v>
          </cell>
          <cell r="I64">
            <v>-6.9793975762651561E-2</v>
          </cell>
          <cell r="J64">
            <v>2.4041103774408157E-8</v>
          </cell>
          <cell r="K64">
            <v>6222008.1532707633</v>
          </cell>
          <cell r="L64">
            <v>11808392305.070137</v>
          </cell>
          <cell r="M64">
            <v>12058499317.359869</v>
          </cell>
          <cell r="N64">
            <v>15387.907900562668</v>
          </cell>
          <cell r="O64">
            <v>-50156.011638564451</v>
          </cell>
          <cell r="P64">
            <v>-433991455.28804272</v>
          </cell>
          <cell r="Q64">
            <v>-751518</v>
          </cell>
        </row>
      </sheetData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All - before Apr 1 ro"/>
      <sheetName val="Sheet2"/>
    </sheetNames>
    <sheetDataSet>
      <sheetData sheetId="0"/>
      <sheetData sheetId="1">
        <row r="3">
          <cell r="E3" t="str">
            <v>Total FY23</v>
          </cell>
          <cell r="F3" t="str">
            <v>FY23 One-Time Adjustments</v>
          </cell>
          <cell r="G3" t="str">
            <v>FY23 Permanent Adjustments</v>
          </cell>
          <cell r="H3" t="str">
            <v>FY23 Permanent Revenue</v>
          </cell>
          <cell r="I3" t="str">
            <v>RY22 One-Time Adjustments</v>
          </cell>
        </row>
        <row r="4">
          <cell r="B4">
            <v>210001</v>
          </cell>
          <cell r="C4">
            <v>1</v>
          </cell>
          <cell r="D4" t="str">
            <v>Meritus</v>
          </cell>
          <cell r="E4">
            <v>437530256.75503224</v>
          </cell>
          <cell r="F4">
            <v>16664454.762290198</v>
          </cell>
          <cell r="G4">
            <v>12824818.512742093</v>
          </cell>
          <cell r="H4">
            <v>420865801.99274206</v>
          </cell>
          <cell r="I4">
            <v>23168438.959999997</v>
          </cell>
        </row>
        <row r="5">
          <cell r="B5">
            <v>210002</v>
          </cell>
          <cell r="C5">
            <v>2</v>
          </cell>
          <cell r="D5" t="str">
            <v>University Medical Center</v>
          </cell>
          <cell r="E5">
            <v>1846218814.4700689</v>
          </cell>
          <cell r="F5">
            <v>69600712.055296466</v>
          </cell>
          <cell r="G5">
            <v>61457794.844772689</v>
          </cell>
          <cell r="H5">
            <v>1776618102.4147725</v>
          </cell>
          <cell r="I5">
            <v>91025053.449999988</v>
          </cell>
        </row>
        <row r="6">
          <cell r="B6">
            <v>210003</v>
          </cell>
          <cell r="C6">
            <v>3</v>
          </cell>
          <cell r="D6" t="str">
            <v>Prince Georges Hospital</v>
          </cell>
          <cell r="E6">
            <v>391706342.11482489</v>
          </cell>
          <cell r="F6">
            <v>22121396.436897103</v>
          </cell>
          <cell r="G6">
            <v>14598236.057927826</v>
          </cell>
          <cell r="H6">
            <v>369584945.67792779</v>
          </cell>
          <cell r="I6">
            <v>31590999.149999999</v>
          </cell>
        </row>
        <row r="7">
          <cell r="B7">
            <v>210004</v>
          </cell>
          <cell r="C7">
            <v>4</v>
          </cell>
          <cell r="D7" t="str">
            <v>Holy Cross</v>
          </cell>
          <cell r="E7">
            <v>573227266.36430228</v>
          </cell>
          <cell r="F7">
            <v>15248161.426763432</v>
          </cell>
          <cell r="G7">
            <v>3587291.7075388366</v>
          </cell>
          <cell r="H7">
            <v>557979104.93753886</v>
          </cell>
          <cell r="I7">
            <v>18376206.509999998</v>
          </cell>
        </row>
        <row r="8">
          <cell r="B8">
            <v>210005</v>
          </cell>
          <cell r="C8">
            <v>5</v>
          </cell>
          <cell r="D8" t="str">
            <v>Frederick Memorial</v>
          </cell>
          <cell r="E8">
            <v>411084017.07768136</v>
          </cell>
          <cell r="F8">
            <v>13268347.166476177</v>
          </cell>
          <cell r="G8">
            <v>12841303.921205072</v>
          </cell>
          <cell r="H8">
            <v>397815669.91120517</v>
          </cell>
          <cell r="I8">
            <v>17649473.080000002</v>
          </cell>
        </row>
        <row r="9">
          <cell r="B9">
            <v>210006</v>
          </cell>
          <cell r="C9">
            <v>6</v>
          </cell>
          <cell r="D9" t="str">
            <v>Harford Memorial</v>
          </cell>
          <cell r="E9">
            <v>121827780.15153924</v>
          </cell>
          <cell r="F9">
            <v>6829011.6762799202</v>
          </cell>
          <cell r="G9">
            <v>1407971.1852593091</v>
          </cell>
          <cell r="H9">
            <v>114998768.47525932</v>
          </cell>
          <cell r="I9">
            <v>8969537.629999999</v>
          </cell>
        </row>
        <row r="10">
          <cell r="B10">
            <v>210008</v>
          </cell>
          <cell r="C10">
            <v>8</v>
          </cell>
          <cell r="D10" t="str">
            <v>Mercy</v>
          </cell>
          <cell r="E10">
            <v>653595294.75759995</v>
          </cell>
          <cell r="F10">
            <v>19769870.234679408</v>
          </cell>
          <cell r="G10">
            <v>29848215.12292048</v>
          </cell>
          <cell r="H10">
            <v>633825424.52292049</v>
          </cell>
          <cell r="I10">
            <v>25988567.140000001</v>
          </cell>
        </row>
        <row r="11">
          <cell r="B11">
            <v>210009</v>
          </cell>
          <cell r="C11">
            <v>9</v>
          </cell>
          <cell r="D11" t="str">
            <v>Johns Hopkins Hospital</v>
          </cell>
          <cell r="E11">
            <v>2900735203.1425219</v>
          </cell>
          <cell r="F11">
            <v>90888530.745315239</v>
          </cell>
          <cell r="G11">
            <v>92402139.657206848</v>
          </cell>
          <cell r="H11">
            <v>2809846672.3972068</v>
          </cell>
          <cell r="I11">
            <v>114071984.98</v>
          </cell>
        </row>
        <row r="12">
          <cell r="B12">
            <v>210010</v>
          </cell>
          <cell r="C12">
            <v>10</v>
          </cell>
          <cell r="D12" t="str">
            <v>Shore Medical Dorchester</v>
          </cell>
          <cell r="E12">
            <v>17784105.96141411</v>
          </cell>
          <cell r="F12">
            <v>470135.194627463</v>
          </cell>
          <cell r="G12">
            <v>-3238466.7732133563</v>
          </cell>
          <cell r="H12">
            <v>17313970.766786646</v>
          </cell>
          <cell r="I12">
            <v>12221516.189999999</v>
          </cell>
        </row>
        <row r="13">
          <cell r="B13">
            <v>210011</v>
          </cell>
          <cell r="C13">
            <v>11</v>
          </cell>
          <cell r="D13" t="str">
            <v>St. Agnes</v>
          </cell>
          <cell r="E13">
            <v>513367692.63471258</v>
          </cell>
          <cell r="F13">
            <v>39165996.679273628</v>
          </cell>
          <cell r="G13">
            <v>14706900.905438984</v>
          </cell>
          <cell r="H13">
            <v>474201695.95543897</v>
          </cell>
          <cell r="I13">
            <v>29328016.780000005</v>
          </cell>
        </row>
        <row r="14">
          <cell r="B14">
            <v>210012</v>
          </cell>
          <cell r="C14">
            <v>12</v>
          </cell>
          <cell r="D14" t="str">
            <v>Sinai</v>
          </cell>
          <cell r="E14">
            <v>949474604.3594712</v>
          </cell>
          <cell r="F14">
            <v>34081334.742843591</v>
          </cell>
          <cell r="G14">
            <v>20829392.946627595</v>
          </cell>
          <cell r="H14">
            <v>915393269.61662757</v>
          </cell>
          <cell r="I14">
            <v>47402818.110000007</v>
          </cell>
        </row>
        <row r="15">
          <cell r="B15">
            <v>210013</v>
          </cell>
          <cell r="C15">
            <v>13</v>
          </cell>
          <cell r="D15" t="str">
            <v>Bon Secours</v>
          </cell>
          <cell r="E15">
            <v>34635929.479146488</v>
          </cell>
          <cell r="F15">
            <v>2340679.3217337676</v>
          </cell>
          <cell r="G15">
            <v>-1825007.652587276</v>
          </cell>
          <cell r="H15">
            <v>32295250.157412719</v>
          </cell>
          <cell r="I15">
            <v>1410663.2799999984</v>
          </cell>
        </row>
        <row r="16">
          <cell r="B16">
            <v>210015</v>
          </cell>
          <cell r="C16">
            <v>15</v>
          </cell>
          <cell r="D16" t="str">
            <v>Franklin Square</v>
          </cell>
          <cell r="E16">
            <v>635149205.97410309</v>
          </cell>
          <cell r="F16">
            <v>19648349.125530802</v>
          </cell>
          <cell r="G16">
            <v>17588467.278572336</v>
          </cell>
          <cell r="H16">
            <v>615500856.84857225</v>
          </cell>
          <cell r="I16">
            <v>9183966.200000003</v>
          </cell>
        </row>
        <row r="17">
          <cell r="B17">
            <v>210016</v>
          </cell>
          <cell r="C17">
            <v>16</v>
          </cell>
          <cell r="D17" t="str">
            <v>Washington Adventist</v>
          </cell>
          <cell r="E17">
            <v>344830584.03750795</v>
          </cell>
          <cell r="F17">
            <v>5837695.5637841579</v>
          </cell>
          <cell r="G17">
            <v>20139877.353723776</v>
          </cell>
          <cell r="H17">
            <v>338992888.47372377</v>
          </cell>
          <cell r="I17">
            <v>23035975.110000003</v>
          </cell>
        </row>
        <row r="18">
          <cell r="B18">
            <v>210017</v>
          </cell>
          <cell r="C18">
            <v>17</v>
          </cell>
          <cell r="D18" t="str">
            <v>Garrett County</v>
          </cell>
          <cell r="E18">
            <v>81407407.691104576</v>
          </cell>
          <cell r="F18">
            <v>4979249.768078736</v>
          </cell>
          <cell r="G18">
            <v>7440090.763025851</v>
          </cell>
          <cell r="H18">
            <v>76428157.923025846</v>
          </cell>
          <cell r="I18">
            <v>3900108.94</v>
          </cell>
        </row>
        <row r="19">
          <cell r="B19">
            <v>210018</v>
          </cell>
          <cell r="C19">
            <v>18</v>
          </cell>
          <cell r="D19" t="str">
            <v>Montgomery General</v>
          </cell>
          <cell r="E19">
            <v>207622438.21258593</v>
          </cell>
          <cell r="F19">
            <v>6374123.1267720787</v>
          </cell>
          <cell r="G19">
            <v>11900115.645813849</v>
          </cell>
          <cell r="H19">
            <v>201248315.08581385</v>
          </cell>
          <cell r="I19">
            <v>3092819.2600000007</v>
          </cell>
        </row>
        <row r="20">
          <cell r="B20">
            <v>210019</v>
          </cell>
          <cell r="C20">
            <v>19</v>
          </cell>
          <cell r="D20" t="str">
            <v>Peninsula Regional</v>
          </cell>
          <cell r="E20">
            <v>549964497.18664467</v>
          </cell>
          <cell r="F20">
            <v>19037401.6506822</v>
          </cell>
          <cell r="G20">
            <v>25956094.385962464</v>
          </cell>
          <cell r="H20">
            <v>530927095.53596246</v>
          </cell>
          <cell r="I20">
            <v>19532582.319999997</v>
          </cell>
        </row>
        <row r="21">
          <cell r="B21">
            <v>210022</v>
          </cell>
          <cell r="C21">
            <v>22</v>
          </cell>
          <cell r="D21" t="str">
            <v>Suburban</v>
          </cell>
          <cell r="E21">
            <v>404898440.24491185</v>
          </cell>
          <cell r="F21">
            <v>12115077.858502151</v>
          </cell>
          <cell r="G21">
            <v>16375979.966409719</v>
          </cell>
          <cell r="H21">
            <v>392783362.3864097</v>
          </cell>
          <cell r="I21">
            <v>16153566.030000001</v>
          </cell>
        </row>
        <row r="22">
          <cell r="B22">
            <v>210023</v>
          </cell>
          <cell r="C22">
            <v>23</v>
          </cell>
          <cell r="D22" t="str">
            <v>Anne Arundel</v>
          </cell>
          <cell r="E22">
            <v>747733926.37001598</v>
          </cell>
          <cell r="F22">
            <v>21867574.90987603</v>
          </cell>
          <cell r="G22">
            <v>24667746.030140109</v>
          </cell>
          <cell r="H22">
            <v>725866351.46013999</v>
          </cell>
          <cell r="I22">
            <v>23467600.950000003</v>
          </cell>
        </row>
        <row r="23">
          <cell r="B23">
            <v>210024</v>
          </cell>
          <cell r="C23">
            <v>24</v>
          </cell>
          <cell r="D23" t="str">
            <v>Union Memorial</v>
          </cell>
          <cell r="E23">
            <v>482871851.05261242</v>
          </cell>
          <cell r="F23">
            <v>8249854.703476904</v>
          </cell>
          <cell r="G23">
            <v>27677621.069135509</v>
          </cell>
          <cell r="H23">
            <v>474621996.34913552</v>
          </cell>
          <cell r="I23">
            <v>-5866801.2900000019</v>
          </cell>
        </row>
        <row r="24">
          <cell r="B24">
            <v>210027</v>
          </cell>
          <cell r="C24">
            <v>27</v>
          </cell>
          <cell r="D24" t="str">
            <v>Western Maryland Health System</v>
          </cell>
          <cell r="E24">
            <v>374411219.43326014</v>
          </cell>
          <cell r="F24">
            <v>10660572.076028911</v>
          </cell>
          <cell r="G24">
            <v>8799978.6920111589</v>
          </cell>
          <cell r="H24">
            <v>363750647.35723126</v>
          </cell>
          <cell r="I24">
            <v>8317960.7092803707</v>
          </cell>
        </row>
        <row r="25">
          <cell r="B25">
            <v>210028</v>
          </cell>
          <cell r="C25">
            <v>28</v>
          </cell>
          <cell r="D25" t="str">
            <v>St. Mary's</v>
          </cell>
          <cell r="E25">
            <v>216219146.56080899</v>
          </cell>
          <cell r="F25">
            <v>4986845.5410192478</v>
          </cell>
          <cell r="G25">
            <v>8622170.9614491835</v>
          </cell>
          <cell r="H25">
            <v>211232301.01978973</v>
          </cell>
          <cell r="I25">
            <v>1510994.7641076152</v>
          </cell>
        </row>
        <row r="26">
          <cell r="B26">
            <v>210029</v>
          </cell>
          <cell r="C26">
            <v>29</v>
          </cell>
          <cell r="D26" t="str">
            <v>JH Bayview Medical Center</v>
          </cell>
          <cell r="E26">
            <v>784094630.29288888</v>
          </cell>
          <cell r="F26">
            <v>22324441.367042612</v>
          </cell>
          <cell r="G26">
            <v>17597220.165846068</v>
          </cell>
          <cell r="H26">
            <v>761770188.92584622</v>
          </cell>
          <cell r="I26">
            <v>33346990.18</v>
          </cell>
        </row>
        <row r="27">
          <cell r="B27">
            <v>210030</v>
          </cell>
          <cell r="C27">
            <v>30</v>
          </cell>
          <cell r="D27" t="str">
            <v>Shore Medical Chestertown</v>
          </cell>
          <cell r="E27">
            <v>57663343.354243472</v>
          </cell>
          <cell r="F27">
            <v>2157988.1438757069</v>
          </cell>
          <cell r="G27">
            <v>167540.51036778218</v>
          </cell>
          <cell r="H27">
            <v>55505355.210367769</v>
          </cell>
          <cell r="I27">
            <v>4494577.71</v>
          </cell>
        </row>
        <row r="28">
          <cell r="B28">
            <v>210032</v>
          </cell>
          <cell r="C28">
            <v>32</v>
          </cell>
          <cell r="D28" t="str">
            <v>Union of Cecil</v>
          </cell>
          <cell r="E28">
            <v>187285478.77464995</v>
          </cell>
          <cell r="F28">
            <v>1522921.6776759031</v>
          </cell>
          <cell r="G28">
            <v>9602450.6969740465</v>
          </cell>
          <cell r="H28">
            <v>185762557.09697405</v>
          </cell>
          <cell r="I28">
            <v>4619214.5299999993</v>
          </cell>
        </row>
        <row r="29">
          <cell r="B29">
            <v>210033</v>
          </cell>
          <cell r="C29">
            <v>33</v>
          </cell>
          <cell r="D29" t="str">
            <v>Carroll County</v>
          </cell>
          <cell r="E29">
            <v>266253357.18949676</v>
          </cell>
          <cell r="F29">
            <v>9620225.586037159</v>
          </cell>
          <cell r="G29">
            <v>7947187.2734596282</v>
          </cell>
          <cell r="H29">
            <v>256633131.6034596</v>
          </cell>
          <cell r="I29">
            <v>10419089.809999999</v>
          </cell>
        </row>
        <row r="30">
          <cell r="B30">
            <v>210034</v>
          </cell>
          <cell r="C30">
            <v>34</v>
          </cell>
          <cell r="D30" t="str">
            <v>Harbor Hospital</v>
          </cell>
          <cell r="E30">
            <v>209754155.79909068</v>
          </cell>
          <cell r="F30">
            <v>6092871.2800041484</v>
          </cell>
          <cell r="G30">
            <v>3198161.919086528</v>
          </cell>
          <cell r="H30">
            <v>203661284.51908654</v>
          </cell>
          <cell r="I30">
            <v>1440513.7099999995</v>
          </cell>
        </row>
        <row r="31">
          <cell r="B31">
            <v>210035</v>
          </cell>
          <cell r="C31">
            <v>35</v>
          </cell>
          <cell r="D31" t="str">
            <v xml:space="preserve">Charles Regional </v>
          </cell>
          <cell r="E31">
            <v>179968583.10084516</v>
          </cell>
          <cell r="F31">
            <v>4783806.1316155232</v>
          </cell>
          <cell r="G31">
            <v>6860813.349229604</v>
          </cell>
          <cell r="H31">
            <v>175184776.96922964</v>
          </cell>
          <cell r="I31">
            <v>7509777.5600000015</v>
          </cell>
        </row>
        <row r="32">
          <cell r="B32">
            <v>210037</v>
          </cell>
          <cell r="C32">
            <v>37</v>
          </cell>
          <cell r="D32" t="str">
            <v>Shore Medical Easton</v>
          </cell>
          <cell r="E32">
            <v>286977567.19253415</v>
          </cell>
          <cell r="F32">
            <v>17613905.083089869</v>
          </cell>
          <cell r="G32">
            <v>9268741.3394443169</v>
          </cell>
          <cell r="H32">
            <v>269363662.10944426</v>
          </cell>
          <cell r="I32">
            <v>16401114.109999999</v>
          </cell>
        </row>
        <row r="33">
          <cell r="B33">
            <v>210038</v>
          </cell>
          <cell r="C33">
            <v>38</v>
          </cell>
          <cell r="D33" t="str">
            <v>UMMC Midtown</v>
          </cell>
          <cell r="E33">
            <v>267052799.113664</v>
          </cell>
          <cell r="F33">
            <v>9329435.5775080863</v>
          </cell>
          <cell r="G33">
            <v>23544047.98615583</v>
          </cell>
          <cell r="H33">
            <v>257723363.53615591</v>
          </cell>
          <cell r="I33">
            <v>11020701.129999999</v>
          </cell>
        </row>
        <row r="34">
          <cell r="B34">
            <v>210039</v>
          </cell>
          <cell r="C34">
            <v>39</v>
          </cell>
          <cell r="D34" t="str">
            <v>Calvert</v>
          </cell>
          <cell r="E34">
            <v>175280795.65796503</v>
          </cell>
          <cell r="F34">
            <v>3359986.1428522328</v>
          </cell>
          <cell r="G34">
            <v>6182667.4351127781</v>
          </cell>
          <cell r="H34">
            <v>171920809.51511279</v>
          </cell>
          <cell r="I34">
            <v>4731238.54</v>
          </cell>
        </row>
        <row r="35">
          <cell r="B35">
            <v>210040</v>
          </cell>
          <cell r="C35">
            <v>40</v>
          </cell>
          <cell r="D35" t="str">
            <v>Northwest</v>
          </cell>
          <cell r="E35">
            <v>310986819.29517585</v>
          </cell>
          <cell r="F35">
            <v>16477100.776070796</v>
          </cell>
          <cell r="G35">
            <v>9560481.5991050806</v>
          </cell>
          <cell r="H35">
            <v>294509718.51910508</v>
          </cell>
          <cell r="I35">
            <v>17667943.860000003</v>
          </cell>
        </row>
        <row r="36">
          <cell r="B36">
            <v>210043</v>
          </cell>
          <cell r="C36">
            <v>43</v>
          </cell>
          <cell r="D36" t="str">
            <v>Baltimore Washington</v>
          </cell>
          <cell r="E36">
            <v>510983766.34262848</v>
          </cell>
          <cell r="F36">
            <v>18592627.983213659</v>
          </cell>
          <cell r="G36">
            <v>11537918.089414943</v>
          </cell>
          <cell r="H36">
            <v>492391138.35941482</v>
          </cell>
          <cell r="I36">
            <v>33521942.870000001</v>
          </cell>
        </row>
        <row r="37">
          <cell r="B37">
            <v>210044</v>
          </cell>
          <cell r="C37">
            <v>44</v>
          </cell>
          <cell r="D37" t="str">
            <v>Greater Baltimore Medical Center</v>
          </cell>
          <cell r="E37">
            <v>495966263.1295867</v>
          </cell>
          <cell r="F37">
            <v>23501391.194312837</v>
          </cell>
          <cell r="G37">
            <v>-6175656.904726075</v>
          </cell>
          <cell r="H37">
            <v>472464871.93527389</v>
          </cell>
          <cell r="I37">
            <v>21487775.050000001</v>
          </cell>
        </row>
        <row r="38">
          <cell r="B38">
            <v>210045</v>
          </cell>
          <cell r="C38">
            <v>45</v>
          </cell>
          <cell r="D38" t="str">
            <v>McCready</v>
          </cell>
          <cell r="E38">
            <v>6848258.8078137636</v>
          </cell>
          <cell r="F38">
            <v>0</v>
          </cell>
          <cell r="G38">
            <v>0</v>
          </cell>
          <cell r="H38">
            <v>6848258.8078137636</v>
          </cell>
          <cell r="I38">
            <v>0</v>
          </cell>
        </row>
        <row r="39">
          <cell r="B39">
            <v>210048</v>
          </cell>
          <cell r="C39">
            <v>48</v>
          </cell>
          <cell r="D39" t="str">
            <v>Howard County</v>
          </cell>
          <cell r="E39">
            <v>354327611.86945707</v>
          </cell>
          <cell r="F39">
            <v>10950033.467460219</v>
          </cell>
          <cell r="G39">
            <v>11679368.901996888</v>
          </cell>
          <cell r="H39">
            <v>343377578.40199685</v>
          </cell>
          <cell r="I39">
            <v>14544213.790000001</v>
          </cell>
        </row>
        <row r="40">
          <cell r="B40">
            <v>210049</v>
          </cell>
          <cell r="C40">
            <v>49</v>
          </cell>
          <cell r="D40" t="str">
            <v>Upper Chesapeake</v>
          </cell>
          <cell r="E40">
            <v>363807139.61326432</v>
          </cell>
          <cell r="F40">
            <v>6492929.3064842019</v>
          </cell>
          <cell r="G40">
            <v>11083730.661280498</v>
          </cell>
          <cell r="H40">
            <v>357314210.3067801</v>
          </cell>
          <cell r="I40">
            <v>17931978.06772821</v>
          </cell>
        </row>
        <row r="41">
          <cell r="B41">
            <v>210051</v>
          </cell>
          <cell r="C41">
            <v>51</v>
          </cell>
          <cell r="D41" t="str">
            <v>Doctors Community</v>
          </cell>
          <cell r="E41">
            <v>307539504.51854199</v>
          </cell>
          <cell r="F41">
            <v>24964975.807725731</v>
          </cell>
          <cell r="G41">
            <v>2824602.8808162482</v>
          </cell>
          <cell r="H41">
            <v>282574528.71081626</v>
          </cell>
          <cell r="I41">
            <v>20011417.720000003</v>
          </cell>
        </row>
        <row r="42">
          <cell r="B42">
            <v>210055</v>
          </cell>
          <cell r="C42">
            <v>55</v>
          </cell>
          <cell r="D42" t="str">
            <v>Laurel Regional</v>
          </cell>
          <cell r="E42">
            <v>41947532.394994989</v>
          </cell>
          <cell r="F42">
            <v>2073906.3456706288</v>
          </cell>
          <cell r="G42">
            <v>1991877.9293243645</v>
          </cell>
          <cell r="H42">
            <v>39873626.049324363</v>
          </cell>
          <cell r="I42">
            <v>1270736.7399999998</v>
          </cell>
        </row>
        <row r="43">
          <cell r="B43">
            <v>210056</v>
          </cell>
          <cell r="C43">
            <v>2004</v>
          </cell>
          <cell r="D43" t="str">
            <v>Good Samaritan</v>
          </cell>
          <cell r="E43">
            <v>307213155.35927725</v>
          </cell>
          <cell r="F43">
            <v>7457413.9654845344</v>
          </cell>
          <cell r="G43">
            <v>12218522.413792681</v>
          </cell>
          <cell r="H43">
            <v>299755741.39379269</v>
          </cell>
          <cell r="I43">
            <v>1995698.96</v>
          </cell>
        </row>
        <row r="44">
          <cell r="B44">
            <v>210057</v>
          </cell>
          <cell r="C44">
            <v>5050</v>
          </cell>
          <cell r="D44" t="str">
            <v>Shady Grove</v>
          </cell>
          <cell r="E44">
            <v>516288143.71165264</v>
          </cell>
          <cell r="F44">
            <v>16238971.381478274</v>
          </cell>
          <cell r="G44">
            <v>10411223.970174517</v>
          </cell>
          <cell r="H44">
            <v>500049172.33017439</v>
          </cell>
          <cell r="I44">
            <v>18441907.16</v>
          </cell>
        </row>
        <row r="45">
          <cell r="B45">
            <v>210058</v>
          </cell>
          <cell r="C45">
            <v>2001</v>
          </cell>
          <cell r="D45" t="str">
            <v>Rehab &amp; Ortho Institue</v>
          </cell>
          <cell r="E45">
            <v>142863989.36491099</v>
          </cell>
          <cell r="F45">
            <v>8289218.3714264296</v>
          </cell>
          <cell r="G45">
            <v>257619.92348453589</v>
          </cell>
          <cell r="H45">
            <v>134574770.99348456</v>
          </cell>
          <cell r="I45">
            <v>5165098.1600000011</v>
          </cell>
        </row>
        <row r="46">
          <cell r="B46">
            <v>210060</v>
          </cell>
          <cell r="C46">
            <v>60</v>
          </cell>
          <cell r="D46" t="str">
            <v>Fort Washington</v>
          </cell>
          <cell r="E46">
            <v>64912838.737451792</v>
          </cell>
          <cell r="F46">
            <v>1175925.7595946088</v>
          </cell>
          <cell r="G46">
            <v>2944221.6678571776</v>
          </cell>
          <cell r="H46">
            <v>63736912.97785718</v>
          </cell>
          <cell r="I46">
            <v>5510692.9499999993</v>
          </cell>
        </row>
        <row r="47">
          <cell r="B47">
            <v>210061</v>
          </cell>
          <cell r="C47">
            <v>61</v>
          </cell>
          <cell r="D47" t="str">
            <v>Atlantic General</v>
          </cell>
          <cell r="E47">
            <v>124352596.04775827</v>
          </cell>
          <cell r="F47">
            <v>2509835.1912099421</v>
          </cell>
          <cell r="G47">
            <v>2555588.5865483284</v>
          </cell>
          <cell r="H47">
            <v>121842760.85654832</v>
          </cell>
          <cell r="I47">
            <v>6069163.1999999993</v>
          </cell>
        </row>
        <row r="48">
          <cell r="B48">
            <v>210062</v>
          </cell>
          <cell r="C48">
            <v>62</v>
          </cell>
          <cell r="D48" t="str">
            <v>Southern Maryland</v>
          </cell>
          <cell r="E48">
            <v>317301838.76661766</v>
          </cell>
          <cell r="F48">
            <v>10340570.533938751</v>
          </cell>
          <cell r="G48">
            <v>11825816.972678909</v>
          </cell>
          <cell r="H48">
            <v>306961268.23267889</v>
          </cell>
          <cell r="I48">
            <v>3892820.0999999987</v>
          </cell>
        </row>
        <row r="49">
          <cell r="B49">
            <v>210063</v>
          </cell>
          <cell r="C49">
            <v>63</v>
          </cell>
          <cell r="D49" t="str">
            <v>St. Joseph</v>
          </cell>
          <cell r="E49">
            <v>458324949.77318352</v>
          </cell>
          <cell r="F49">
            <v>12388328.010949651</v>
          </cell>
          <cell r="G49">
            <v>33798017.962233759</v>
          </cell>
          <cell r="H49">
            <v>445936621.76223385</v>
          </cell>
          <cell r="I49">
            <v>22050872.009999998</v>
          </cell>
        </row>
        <row r="50">
          <cell r="B50">
            <v>210065</v>
          </cell>
          <cell r="C50">
            <v>65</v>
          </cell>
          <cell r="D50" t="str">
            <v>Germantown</v>
          </cell>
          <cell r="E50">
            <v>140175307.40653172</v>
          </cell>
          <cell r="F50">
            <v>4764664.5151965283</v>
          </cell>
          <cell r="G50">
            <v>10631476.991335187</v>
          </cell>
          <cell r="H50">
            <v>135410642.89133519</v>
          </cell>
          <cell r="I50">
            <v>13048227.310000001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22 Rx Rev By Hosp 20230331"/>
      <sheetName val="FY21 Rx Rev By Hosp 20221005"/>
      <sheetName val="FY19 Rx Rev By Hosp 20200214"/>
      <sheetName val="FY18 Rx Rev By Hosp 20181108"/>
      <sheetName val="FY17 Rx Rev By Hosp 20181108"/>
      <sheetName val="FY17 Rx Rev By Hosp 20170922"/>
    </sheetNames>
    <sheetDataSet>
      <sheetData sheetId="0">
        <row r="1">
          <cell r="D1">
            <v>42552</v>
          </cell>
          <cell r="E1"/>
          <cell r="F1"/>
          <cell r="G1"/>
          <cell r="H1"/>
          <cell r="I1"/>
        </row>
        <row r="2">
          <cell r="B2" t="str">
            <v>FY 2022 Drug Cost and Revenue</v>
          </cell>
          <cell r="C2"/>
          <cell r="D2"/>
          <cell r="E2"/>
          <cell r="F2"/>
          <cell r="G2"/>
          <cell r="H2"/>
          <cell r="I2"/>
        </row>
        <row r="3">
          <cell r="B3" t="str">
            <v>Source: January 2023 Experience Report</v>
          </cell>
          <cell r="C3"/>
          <cell r="D3"/>
          <cell r="E3"/>
          <cell r="F3"/>
          <cell r="G3"/>
          <cell r="H3"/>
          <cell r="I3"/>
        </row>
        <row r="4">
          <cell r="B4" t="str">
            <v>Hosp ID</v>
          </cell>
          <cell r="C4" t="str">
            <v>Hosp Name</v>
          </cell>
          <cell r="D4" t="str">
            <v>OP Non-340B Rx Rev</v>
          </cell>
          <cell r="E4" t="str">
            <v>OP Non-340B Rx Cost</v>
          </cell>
          <cell r="F4" t="str">
            <v>OP 340B Rx Rev</v>
          </cell>
          <cell r="G4" t="str">
            <v>OP 340B Rx Cost</v>
          </cell>
          <cell r="H4" t="str">
            <v>Total OP Rx Rev</v>
          </cell>
          <cell r="I4" t="str">
            <v>Total OP Rx Cost</v>
          </cell>
        </row>
        <row r="5">
          <cell r="B5">
            <v>210001</v>
          </cell>
          <cell r="C5" t="str">
            <v>Meritus Medical Center</v>
          </cell>
          <cell r="D5">
            <v>5888951.5</v>
          </cell>
          <cell r="E5">
            <v>3744494.9299999997</v>
          </cell>
          <cell r="F5">
            <v>17682932.699999999</v>
          </cell>
          <cell r="G5">
            <v>14989935</v>
          </cell>
          <cell r="H5">
            <v>23571884.199999999</v>
          </cell>
          <cell r="I5">
            <v>18734429.93</v>
          </cell>
        </row>
        <row r="6">
          <cell r="B6">
            <v>210002</v>
          </cell>
          <cell r="C6" t="str">
            <v>University of Maryland Medical Center</v>
          </cell>
          <cell r="D6">
            <v>196046852.78999999</v>
          </cell>
          <cell r="E6">
            <v>105273789.36</v>
          </cell>
          <cell r="F6"/>
          <cell r="G6"/>
          <cell r="H6">
            <v>196046852.78999999</v>
          </cell>
          <cell r="I6">
            <v>105273789.36</v>
          </cell>
        </row>
        <row r="7">
          <cell r="B7">
            <v>210003</v>
          </cell>
          <cell r="C7" t="str">
            <v>Capital Region Medical Center</v>
          </cell>
          <cell r="D7">
            <v>2960608.89</v>
          </cell>
          <cell r="E7">
            <v>1006819.0800000001</v>
          </cell>
          <cell r="F7"/>
          <cell r="G7"/>
          <cell r="H7">
            <v>2960608.89</v>
          </cell>
          <cell r="I7">
            <v>1006819.0800000001</v>
          </cell>
        </row>
        <row r="8">
          <cell r="B8">
            <v>210004</v>
          </cell>
          <cell r="C8" t="str">
            <v>Holy Cross Hospital</v>
          </cell>
          <cell r="D8">
            <v>9898602</v>
          </cell>
          <cell r="E8">
            <v>2974995</v>
          </cell>
          <cell r="F8"/>
          <cell r="G8"/>
          <cell r="H8">
            <v>9898602</v>
          </cell>
          <cell r="I8">
            <v>2974995</v>
          </cell>
        </row>
        <row r="9">
          <cell r="B9">
            <v>210005</v>
          </cell>
          <cell r="C9" t="str">
            <v>Frederick Memorial Hospital</v>
          </cell>
          <cell r="D9">
            <v>6270309</v>
          </cell>
          <cell r="E9">
            <v>2523940</v>
          </cell>
          <cell r="F9"/>
          <cell r="G9"/>
          <cell r="H9">
            <v>6270309</v>
          </cell>
          <cell r="I9">
            <v>2523940</v>
          </cell>
        </row>
        <row r="10">
          <cell r="B10">
            <v>210006</v>
          </cell>
          <cell r="C10" t="str">
            <v>Harford Memorial Hospital</v>
          </cell>
          <cell r="D10">
            <v>2347104.7599999998</v>
          </cell>
          <cell r="E10">
            <v>956913.63</v>
          </cell>
          <cell r="F10"/>
          <cell r="G10"/>
          <cell r="H10">
            <v>2347104.7599999998</v>
          </cell>
          <cell r="I10">
            <v>956913.63</v>
          </cell>
        </row>
        <row r="11">
          <cell r="B11">
            <v>210008</v>
          </cell>
          <cell r="C11" t="str">
            <v>Mercy Medical Center</v>
          </cell>
          <cell r="D11">
            <v>38937059.5</v>
          </cell>
          <cell r="E11">
            <v>19692021.590000004</v>
          </cell>
          <cell r="F11"/>
          <cell r="G11"/>
          <cell r="H11">
            <v>38937059.5</v>
          </cell>
          <cell r="I11">
            <v>19692021.590000004</v>
          </cell>
        </row>
        <row r="12">
          <cell r="B12">
            <v>210009</v>
          </cell>
          <cell r="C12" t="str">
            <v>Johns Hopkins Hospital</v>
          </cell>
          <cell r="D12">
            <v>286212476.93999994</v>
          </cell>
          <cell r="E12">
            <v>149309922.35999998</v>
          </cell>
          <cell r="F12"/>
          <cell r="G12"/>
          <cell r="H12">
            <v>286212476.93999994</v>
          </cell>
          <cell r="I12">
            <v>149309922.35999998</v>
          </cell>
        </row>
        <row r="13">
          <cell r="B13">
            <v>210010</v>
          </cell>
          <cell r="C13" t="str">
            <v>University of Maryland Shore Medical Center at Cambridge</v>
          </cell>
          <cell r="D13">
            <v>853033.62000000011</v>
          </cell>
          <cell r="E13">
            <v>241316.83000000002</v>
          </cell>
          <cell r="F13"/>
          <cell r="G13"/>
          <cell r="H13">
            <v>853033.62000000011</v>
          </cell>
          <cell r="I13">
            <v>241316.83000000002</v>
          </cell>
        </row>
        <row r="14">
          <cell r="B14">
            <v>210011</v>
          </cell>
          <cell r="C14" t="str">
            <v>St. Agnes Hospital</v>
          </cell>
          <cell r="D14">
            <v>34993830.460000001</v>
          </cell>
          <cell r="E14">
            <v>15090033.330000002</v>
          </cell>
          <cell r="F14"/>
          <cell r="G14"/>
          <cell r="H14">
            <v>34993830.460000001</v>
          </cell>
          <cell r="I14">
            <v>15090033.330000002</v>
          </cell>
        </row>
        <row r="15">
          <cell r="B15">
            <v>210012</v>
          </cell>
          <cell r="C15" t="str">
            <v>Sinai Hospital</v>
          </cell>
          <cell r="D15">
            <v>51846213.11999999</v>
          </cell>
          <cell r="E15">
            <v>20429281.189999998</v>
          </cell>
          <cell r="F15">
            <v>21734077.730000004</v>
          </cell>
          <cell r="G15">
            <v>13046914.82</v>
          </cell>
          <cell r="H15">
            <v>73580290.849999994</v>
          </cell>
          <cell r="I15">
            <v>33476196.009999998</v>
          </cell>
        </row>
        <row r="16">
          <cell r="B16">
            <v>210013</v>
          </cell>
          <cell r="C16" t="str">
            <v>Grace Medical Center</v>
          </cell>
          <cell r="D16">
            <v>983101.10000000009</v>
          </cell>
          <cell r="E16">
            <v>420532.29</v>
          </cell>
          <cell r="F16"/>
          <cell r="G16"/>
          <cell r="H16">
            <v>983101.10000000009</v>
          </cell>
          <cell r="I16">
            <v>420532.29</v>
          </cell>
        </row>
        <row r="17">
          <cell r="B17">
            <v>210015</v>
          </cell>
          <cell r="C17" t="str">
            <v>MedStar Franklin Square Hospital Center</v>
          </cell>
          <cell r="D17">
            <v>58480139</v>
          </cell>
          <cell r="E17">
            <v>32974605</v>
          </cell>
          <cell r="F17"/>
          <cell r="G17"/>
          <cell r="H17">
            <v>58480139</v>
          </cell>
          <cell r="I17">
            <v>32974605</v>
          </cell>
        </row>
        <row r="18">
          <cell r="B18">
            <v>210016</v>
          </cell>
          <cell r="C18" t="str">
            <v>Washington Adventist Hospital</v>
          </cell>
          <cell r="D18">
            <v>4135956.29</v>
          </cell>
          <cell r="E18">
            <v>1879933.03</v>
          </cell>
          <cell r="F18"/>
          <cell r="G18"/>
          <cell r="H18">
            <v>4135956.29</v>
          </cell>
          <cell r="I18">
            <v>1879933.03</v>
          </cell>
        </row>
        <row r="19">
          <cell r="B19">
            <v>210017</v>
          </cell>
          <cell r="C19" t="str">
            <v>Garrett County Memorial Hospital</v>
          </cell>
          <cell r="D19">
            <v>6759011.1400000006</v>
          </cell>
          <cell r="E19">
            <v>4856323.12</v>
          </cell>
          <cell r="F19"/>
          <cell r="G19"/>
          <cell r="H19">
            <v>6759011.1400000006</v>
          </cell>
          <cell r="I19">
            <v>4856323.12</v>
          </cell>
        </row>
        <row r="20">
          <cell r="B20">
            <v>210018</v>
          </cell>
          <cell r="C20" t="str">
            <v>MedStar Montgomery Medical Center</v>
          </cell>
          <cell r="D20">
            <v>15066859</v>
          </cell>
          <cell r="E20">
            <v>8218515</v>
          </cell>
          <cell r="F20"/>
          <cell r="G20"/>
          <cell r="H20">
            <v>15066859</v>
          </cell>
          <cell r="I20">
            <v>8218515</v>
          </cell>
        </row>
        <row r="21">
          <cell r="B21">
            <v>210019</v>
          </cell>
          <cell r="C21" t="str">
            <v>Peninsula Regional Medical Center</v>
          </cell>
          <cell r="D21">
            <v>25862088</v>
          </cell>
          <cell r="E21">
            <v>13427145</v>
          </cell>
          <cell r="F21"/>
          <cell r="G21"/>
          <cell r="H21">
            <v>25862088</v>
          </cell>
          <cell r="I21">
            <v>13427145</v>
          </cell>
        </row>
        <row r="22">
          <cell r="B22">
            <v>210022</v>
          </cell>
          <cell r="C22" t="str">
            <v>Suburban Hospital</v>
          </cell>
          <cell r="D22">
            <v>6360024.4000000004</v>
          </cell>
          <cell r="E22">
            <v>2362753.2799999998</v>
          </cell>
          <cell r="F22"/>
          <cell r="G22"/>
          <cell r="H22">
            <v>6360024.4000000004</v>
          </cell>
          <cell r="I22">
            <v>2362753.2799999998</v>
          </cell>
        </row>
        <row r="23">
          <cell r="B23">
            <v>210023</v>
          </cell>
          <cell r="C23" t="str">
            <v>Anne Arundel Medical Center</v>
          </cell>
          <cell r="D23">
            <v>44061155</v>
          </cell>
          <cell r="E23">
            <v>18062643</v>
          </cell>
          <cell r="F23"/>
          <cell r="G23"/>
          <cell r="H23">
            <v>44061155</v>
          </cell>
          <cell r="I23">
            <v>18062643</v>
          </cell>
        </row>
        <row r="24">
          <cell r="B24">
            <v>210024</v>
          </cell>
          <cell r="C24" t="str">
            <v>MedStar Union Memorial Hospital</v>
          </cell>
          <cell r="D24">
            <v>5287379</v>
          </cell>
          <cell r="E24">
            <v>1881035.63</v>
          </cell>
          <cell r="F24"/>
          <cell r="G24"/>
          <cell r="H24">
            <v>5287379</v>
          </cell>
          <cell r="I24">
            <v>1881035.63</v>
          </cell>
        </row>
        <row r="25">
          <cell r="B25">
            <v>210027</v>
          </cell>
          <cell r="C25" t="str">
            <v>Western Maryland Regional Medical Center</v>
          </cell>
          <cell r="D25">
            <v>39675185.550000004</v>
          </cell>
          <cell r="E25">
            <v>18290796.149999999</v>
          </cell>
          <cell r="F25"/>
          <cell r="G25"/>
          <cell r="H25">
            <v>39675185.550000004</v>
          </cell>
          <cell r="I25">
            <v>18290796.149999999</v>
          </cell>
        </row>
        <row r="26">
          <cell r="B26">
            <v>210028</v>
          </cell>
          <cell r="C26" t="str">
            <v>MedStar St. Mary's Hospital</v>
          </cell>
          <cell r="D26">
            <v>14107802</v>
          </cell>
          <cell r="E26">
            <v>6671043</v>
          </cell>
          <cell r="F26"/>
          <cell r="G26"/>
          <cell r="H26">
            <v>14107802</v>
          </cell>
          <cell r="I26">
            <v>6671043</v>
          </cell>
        </row>
        <row r="27">
          <cell r="B27">
            <v>210029</v>
          </cell>
          <cell r="C27" t="str">
            <v>Johns Hopkins Bayview Medical Center</v>
          </cell>
          <cell r="D27">
            <v>64866464.170000009</v>
          </cell>
          <cell r="E27">
            <v>31248366.430000003</v>
          </cell>
          <cell r="F27"/>
          <cell r="G27"/>
          <cell r="H27">
            <v>64866464.170000009</v>
          </cell>
          <cell r="I27">
            <v>31248366.430000003</v>
          </cell>
        </row>
        <row r="28">
          <cell r="B28">
            <v>210030</v>
          </cell>
          <cell r="C28" t="str">
            <v>University of Maryland Shore Medical Center at Chestertown</v>
          </cell>
          <cell r="D28">
            <v>2468529.12</v>
          </cell>
          <cell r="E28">
            <v>738650.26</v>
          </cell>
          <cell r="F28"/>
          <cell r="G28"/>
          <cell r="H28">
            <v>2468529.12</v>
          </cell>
          <cell r="I28">
            <v>738650.26</v>
          </cell>
        </row>
        <row r="29">
          <cell r="B29">
            <v>210032</v>
          </cell>
          <cell r="C29" t="str">
            <v>ChristianaCare, Union Hospital</v>
          </cell>
          <cell r="D29">
            <v>15285291.880000003</v>
          </cell>
          <cell r="E29">
            <v>5737672</v>
          </cell>
          <cell r="F29"/>
          <cell r="G29"/>
          <cell r="H29">
            <v>15285291.880000003</v>
          </cell>
          <cell r="I29">
            <v>5737672</v>
          </cell>
        </row>
        <row r="30">
          <cell r="B30">
            <v>210033</v>
          </cell>
          <cell r="C30" t="str">
            <v>Carroll Hospital Center</v>
          </cell>
          <cell r="D30">
            <v>4062388</v>
          </cell>
          <cell r="E30">
            <v>1793888</v>
          </cell>
          <cell r="F30"/>
          <cell r="G30"/>
          <cell r="H30">
            <v>4062388</v>
          </cell>
          <cell r="I30">
            <v>1793888</v>
          </cell>
        </row>
        <row r="31">
          <cell r="B31">
            <v>210034</v>
          </cell>
          <cell r="C31" t="str">
            <v>MedStar Harbor Hospital Center</v>
          </cell>
          <cell r="D31">
            <v>3066017</v>
          </cell>
          <cell r="E31">
            <v>916008</v>
          </cell>
          <cell r="F31"/>
          <cell r="G31"/>
          <cell r="H31">
            <v>3066017</v>
          </cell>
          <cell r="I31">
            <v>916008</v>
          </cell>
        </row>
        <row r="32">
          <cell r="B32">
            <v>210035</v>
          </cell>
          <cell r="C32" t="str">
            <v>University of Maryland Charles Regional Medical Center</v>
          </cell>
          <cell r="D32">
            <v>3158593.13</v>
          </cell>
          <cell r="E32">
            <v>1060347.4099999999</v>
          </cell>
          <cell r="F32"/>
          <cell r="G32"/>
          <cell r="H32">
            <v>3158593.13</v>
          </cell>
          <cell r="I32">
            <v>1060347.4099999999</v>
          </cell>
        </row>
        <row r="33">
          <cell r="B33">
            <v>210037</v>
          </cell>
          <cell r="C33" t="str">
            <v>University of Maryland Shore Medical Center at Easton</v>
          </cell>
          <cell r="D33">
            <v>22381203.780000001</v>
          </cell>
          <cell r="E33">
            <v>6868129.4699999997</v>
          </cell>
          <cell r="F33"/>
          <cell r="G33"/>
          <cell r="H33">
            <v>22381203.780000001</v>
          </cell>
          <cell r="I33">
            <v>6868129.4699999997</v>
          </cell>
        </row>
        <row r="34">
          <cell r="B34">
            <v>210038</v>
          </cell>
          <cell r="C34" t="str">
            <v>University of Maryland Medical Center Midtown Campus</v>
          </cell>
          <cell r="D34">
            <v>3834509.55</v>
          </cell>
          <cell r="E34">
            <v>1059749.06</v>
          </cell>
          <cell r="F34"/>
          <cell r="G34"/>
          <cell r="H34">
            <v>3834509.55</v>
          </cell>
          <cell r="I34">
            <v>1059749.06</v>
          </cell>
        </row>
        <row r="35">
          <cell r="B35">
            <v>210039</v>
          </cell>
          <cell r="C35" t="str">
            <v>Calvert Memorial Hospital</v>
          </cell>
          <cell r="D35">
            <v>15915076</v>
          </cell>
          <cell r="E35">
            <v>8102679</v>
          </cell>
          <cell r="F35"/>
          <cell r="G35"/>
          <cell r="H35">
            <v>15915076</v>
          </cell>
          <cell r="I35">
            <v>8102679</v>
          </cell>
        </row>
        <row r="36">
          <cell r="B36">
            <v>210040</v>
          </cell>
          <cell r="C36" t="str">
            <v>Northwest Hospital Center</v>
          </cell>
          <cell r="D36">
            <v>19817359.039999999</v>
          </cell>
          <cell r="E36">
            <v>6172940.2199999988</v>
          </cell>
          <cell r="F36"/>
          <cell r="G36"/>
          <cell r="H36">
            <v>19817359.039999999</v>
          </cell>
          <cell r="I36">
            <v>6172940.2199999988</v>
          </cell>
        </row>
        <row r="37">
          <cell r="B37">
            <v>210043</v>
          </cell>
          <cell r="C37" t="str">
            <v>University of Maryland Baltimore Washington Medical Center</v>
          </cell>
          <cell r="D37">
            <v>7227200.8000000007</v>
          </cell>
          <cell r="E37">
            <v>2241202.5099999998</v>
          </cell>
          <cell r="F37"/>
          <cell r="G37"/>
          <cell r="H37">
            <v>7227200.8000000007</v>
          </cell>
          <cell r="I37">
            <v>2241202.5099999998</v>
          </cell>
        </row>
        <row r="38">
          <cell r="B38">
            <v>210044</v>
          </cell>
          <cell r="C38" t="str">
            <v>Greater Baltimore Medical Center</v>
          </cell>
          <cell r="D38">
            <v>7058791.8900000006</v>
          </cell>
          <cell r="E38">
            <v>2971639.0199999996</v>
          </cell>
          <cell r="F38"/>
          <cell r="G38"/>
          <cell r="H38">
            <v>7058791.8900000006</v>
          </cell>
          <cell r="I38">
            <v>2971639.0199999996</v>
          </cell>
        </row>
        <row r="39">
          <cell r="B39">
            <v>210045</v>
          </cell>
          <cell r="C39" t="str">
            <v>McCready Memorial Hospital</v>
          </cell>
          <cell r="D39">
            <v>492489</v>
          </cell>
          <cell r="E39">
            <v>47308</v>
          </cell>
          <cell r="F39"/>
          <cell r="G39"/>
          <cell r="H39">
            <v>492489</v>
          </cell>
          <cell r="I39">
            <v>47308</v>
          </cell>
        </row>
        <row r="40">
          <cell r="B40">
            <v>210048</v>
          </cell>
          <cell r="C40" t="str">
            <v>Howard County General Hospital</v>
          </cell>
          <cell r="D40">
            <v>5816735.9299999997</v>
          </cell>
          <cell r="E40">
            <v>2655791</v>
          </cell>
          <cell r="F40"/>
          <cell r="G40"/>
          <cell r="H40">
            <v>5816735.9299999997</v>
          </cell>
          <cell r="I40">
            <v>2655791</v>
          </cell>
        </row>
        <row r="41">
          <cell r="B41">
            <v>210049</v>
          </cell>
          <cell r="C41" t="str">
            <v>Upper Chesapeake Medical Center</v>
          </cell>
          <cell r="D41">
            <v>4985368.5599999996</v>
          </cell>
          <cell r="E41">
            <v>2129577.42</v>
          </cell>
          <cell r="F41"/>
          <cell r="G41"/>
          <cell r="H41">
            <v>4985368.5599999996</v>
          </cell>
          <cell r="I41">
            <v>2129577.42</v>
          </cell>
        </row>
        <row r="42">
          <cell r="B42">
            <v>210051</v>
          </cell>
          <cell r="C42" t="str">
            <v>Doctors Community Hospital</v>
          </cell>
          <cell r="D42">
            <v>2909167.37</v>
          </cell>
          <cell r="E42">
            <v>762093.3</v>
          </cell>
          <cell r="F42"/>
          <cell r="G42"/>
          <cell r="H42">
            <v>2909167.37</v>
          </cell>
          <cell r="I42">
            <v>762093.3</v>
          </cell>
        </row>
        <row r="43">
          <cell r="B43">
            <v>210055</v>
          </cell>
          <cell r="C43" t="str">
            <v>Laurel Regional Hospital</v>
          </cell>
          <cell r="D43">
            <v>1410902.9200000002</v>
          </cell>
          <cell r="E43">
            <v>655895.11999999988</v>
          </cell>
          <cell r="F43"/>
          <cell r="G43"/>
          <cell r="H43">
            <v>1410902.9200000002</v>
          </cell>
          <cell r="I43">
            <v>655895.11999999988</v>
          </cell>
        </row>
        <row r="44">
          <cell r="B44">
            <v>210060</v>
          </cell>
          <cell r="C44" t="str">
            <v>Fort Washington Medical Center</v>
          </cell>
          <cell r="D44">
            <v>887200.34000000008</v>
          </cell>
          <cell r="E44">
            <v>542542.31000000006</v>
          </cell>
          <cell r="F44"/>
          <cell r="G44"/>
          <cell r="H44">
            <v>887200.34000000008</v>
          </cell>
          <cell r="I44">
            <v>542542.31000000006</v>
          </cell>
        </row>
        <row r="45">
          <cell r="B45">
            <v>210061</v>
          </cell>
          <cell r="C45" t="str">
            <v>Atlantic General Hospital</v>
          </cell>
          <cell r="D45">
            <v>2822177.8000000003</v>
          </cell>
          <cell r="E45">
            <v>1793321.19</v>
          </cell>
          <cell r="F45"/>
          <cell r="G45"/>
          <cell r="H45">
            <v>2822177.8000000003</v>
          </cell>
          <cell r="I45">
            <v>1793321.19</v>
          </cell>
        </row>
        <row r="46">
          <cell r="B46">
            <v>210062</v>
          </cell>
          <cell r="C46" t="str">
            <v>MedStar Southern Maryland Hospital Center</v>
          </cell>
          <cell r="D46">
            <v>2379372</v>
          </cell>
          <cell r="E46">
            <v>1032866</v>
          </cell>
          <cell r="F46"/>
          <cell r="G46"/>
          <cell r="H46">
            <v>2379372</v>
          </cell>
          <cell r="I46">
            <v>1032866</v>
          </cell>
        </row>
        <row r="47">
          <cell r="B47">
            <v>210063</v>
          </cell>
          <cell r="C47" t="str">
            <v>University of Maryland St. Joseph Medical Center</v>
          </cell>
          <cell r="D47">
            <v>4012231.63</v>
          </cell>
          <cell r="E47">
            <v>1482267.27</v>
          </cell>
          <cell r="F47"/>
          <cell r="G47"/>
          <cell r="H47">
            <v>4012231.63</v>
          </cell>
          <cell r="I47">
            <v>1482267.27</v>
          </cell>
        </row>
        <row r="48">
          <cell r="B48">
            <v>210065</v>
          </cell>
          <cell r="C48" t="str">
            <v>Holy Cross Hospital - Germantown</v>
          </cell>
          <cell r="D48">
            <v>1961962</v>
          </cell>
          <cell r="E48">
            <v>807845</v>
          </cell>
          <cell r="F48"/>
          <cell r="G48"/>
          <cell r="H48">
            <v>1961962</v>
          </cell>
          <cell r="I48">
            <v>807845</v>
          </cell>
        </row>
        <row r="49">
          <cell r="B49">
            <v>210087</v>
          </cell>
          <cell r="C49" t="str">
            <v>Germantown Emergency Center</v>
          </cell>
          <cell r="D49">
            <v>370536.3</v>
          </cell>
          <cell r="E49">
            <v>129805.48999999999</v>
          </cell>
          <cell r="F49"/>
          <cell r="G49"/>
          <cell r="H49">
            <v>370536.3</v>
          </cell>
          <cell r="I49">
            <v>129805.48999999999</v>
          </cell>
        </row>
        <row r="50">
          <cell r="B50">
            <v>210088</v>
          </cell>
          <cell r="C50" t="str">
            <v>University of Maryland Queen Anne's Freestanding Emergency Center</v>
          </cell>
          <cell r="D50">
            <v>247895.28</v>
          </cell>
          <cell r="E50">
            <v>220623</v>
          </cell>
          <cell r="F50"/>
          <cell r="G50"/>
          <cell r="H50">
            <v>247895.28</v>
          </cell>
          <cell r="I50">
            <v>220623</v>
          </cell>
        </row>
        <row r="51">
          <cell r="B51">
            <v>210333</v>
          </cell>
          <cell r="C51" t="str">
            <v>Bowie Emergency Center</v>
          </cell>
          <cell r="D51">
            <v>570643.37999999989</v>
          </cell>
          <cell r="E51">
            <v>233065.16</v>
          </cell>
          <cell r="F51"/>
          <cell r="G51"/>
          <cell r="H51">
            <v>570643.37999999989</v>
          </cell>
          <cell r="I51">
            <v>233065.16</v>
          </cell>
        </row>
        <row r="52">
          <cell r="B52">
            <v>210058</v>
          </cell>
          <cell r="C52" t="str">
            <v>University of Maryland Rehabilitation &amp; Orthopaedic Institute</v>
          </cell>
          <cell r="D52">
            <v>2436059.29</v>
          </cell>
          <cell r="E52">
            <v>1102626.8899999999</v>
          </cell>
          <cell r="F52"/>
          <cell r="G52"/>
          <cell r="H52">
            <v>2436059.29</v>
          </cell>
          <cell r="I52">
            <v>1102626.8899999999</v>
          </cell>
        </row>
        <row r="53">
          <cell r="B53">
            <v>210056</v>
          </cell>
          <cell r="C53" t="str">
            <v>MedStar Good Samaritan Hospital</v>
          </cell>
          <cell r="D53">
            <v>2756040</v>
          </cell>
          <cell r="E53">
            <v>982546</v>
          </cell>
          <cell r="F53"/>
          <cell r="G53"/>
          <cell r="H53">
            <v>2756040</v>
          </cell>
          <cell r="I53">
            <v>982546</v>
          </cell>
        </row>
        <row r="54">
          <cell r="B54">
            <v>210064</v>
          </cell>
          <cell r="C54" t="str">
            <v>Levindale</v>
          </cell>
          <cell r="D54">
            <v>0</v>
          </cell>
          <cell r="E54">
            <v>0</v>
          </cell>
          <cell r="F54"/>
          <cell r="G54"/>
          <cell r="H54">
            <v>0</v>
          </cell>
          <cell r="I54">
            <v>0</v>
          </cell>
        </row>
        <row r="55">
          <cell r="B55">
            <v>210057</v>
          </cell>
          <cell r="C55" t="str">
            <v>Shady Grove Adventist Hospital</v>
          </cell>
          <cell r="D55">
            <v>10267947.460000001</v>
          </cell>
          <cell r="E55">
            <v>3274278.16</v>
          </cell>
          <cell r="F55"/>
          <cell r="G55"/>
          <cell r="H55">
            <v>10267947.460000001</v>
          </cell>
          <cell r="I55">
            <v>3274278.16</v>
          </cell>
        </row>
        <row r="56">
          <cell r="B56">
            <v>218992</v>
          </cell>
          <cell r="C56" t="str">
            <v>University of Maryland - MIEMSS</v>
          </cell>
          <cell r="D56"/>
          <cell r="E56"/>
          <cell r="F56"/>
          <cell r="G56"/>
          <cell r="H56">
            <v>0</v>
          </cell>
          <cell r="I56">
            <v>0</v>
          </cell>
        </row>
        <row r="57">
          <cell r="B57"/>
          <cell r="C57"/>
          <cell r="D57">
            <v>1070501896.6799994</v>
          </cell>
          <cell r="E57">
            <v>517052574.48999989</v>
          </cell>
          <cell r="F57">
            <v>39417010.430000007</v>
          </cell>
          <cell r="G57">
            <v>28036849.82</v>
          </cell>
          <cell r="H57">
            <v>1109918907.1099997</v>
          </cell>
          <cell r="I57">
            <v>545089424.30999982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18_TOTAL_CHARGES_IN_REM_Revis"/>
      <sheetName val="FY18_DRUG_CHARGES_NOT_IN_REM_BY"/>
      <sheetName val="FY18_DRUG_CHARGES_NOT_IN_REM"/>
      <sheetName val="FY18_CHRONIC_CHARGES_NOT_IN_REM"/>
    </sheetNames>
    <sheetDataSet>
      <sheetData sheetId="0"/>
      <sheetData sheetId="1"/>
      <sheetData sheetId="2">
        <row r="1">
          <cell r="A1" t="str">
            <v>HOSPID</v>
          </cell>
          <cell r="B1" t="str">
            <v>DRUG_CHG</v>
          </cell>
          <cell r="C1" t="str">
            <v>ECMAD</v>
          </cell>
        </row>
        <row r="2">
          <cell r="A2">
            <v>210001</v>
          </cell>
          <cell r="B2">
            <v>1138877.1399999999</v>
          </cell>
          <cell r="C2">
            <v>100</v>
          </cell>
        </row>
        <row r="3">
          <cell r="A3">
            <v>210002</v>
          </cell>
          <cell r="B3">
            <v>104788051.63</v>
          </cell>
          <cell r="C3">
            <v>7498</v>
          </cell>
        </row>
        <row r="4">
          <cell r="A4">
            <v>210003</v>
          </cell>
          <cell r="B4">
            <v>122332.89</v>
          </cell>
          <cell r="C4">
            <v>16</v>
          </cell>
        </row>
        <row r="5">
          <cell r="A5">
            <v>210004</v>
          </cell>
          <cell r="B5">
            <v>3025052.72</v>
          </cell>
          <cell r="C5">
            <v>237</v>
          </cell>
        </row>
        <row r="6">
          <cell r="A6">
            <v>210005</v>
          </cell>
          <cell r="B6">
            <v>99568.13</v>
          </cell>
          <cell r="C6">
            <v>6</v>
          </cell>
        </row>
        <row r="7">
          <cell r="A7">
            <v>210006</v>
          </cell>
          <cell r="B7">
            <v>113807.82</v>
          </cell>
          <cell r="C7">
            <v>5</v>
          </cell>
        </row>
        <row r="8">
          <cell r="A8">
            <v>210008</v>
          </cell>
          <cell r="B8">
            <v>32914553.32</v>
          </cell>
          <cell r="C8">
            <v>3043</v>
          </cell>
        </row>
        <row r="9">
          <cell r="A9">
            <v>210009</v>
          </cell>
          <cell r="B9">
            <v>160222413.55000001</v>
          </cell>
          <cell r="C9">
            <v>12258</v>
          </cell>
        </row>
        <row r="10">
          <cell r="A10">
            <v>210010</v>
          </cell>
          <cell r="B10">
            <v>19242.86</v>
          </cell>
          <cell r="C10">
            <v>1</v>
          </cell>
        </row>
        <row r="11">
          <cell r="A11">
            <v>210011</v>
          </cell>
          <cell r="B11">
            <v>18949357.620000001</v>
          </cell>
          <cell r="C11">
            <v>1191</v>
          </cell>
        </row>
        <row r="12">
          <cell r="A12">
            <v>210012</v>
          </cell>
          <cell r="B12">
            <v>52316946.950000003</v>
          </cell>
          <cell r="C12">
            <v>4493</v>
          </cell>
        </row>
        <row r="13">
          <cell r="A13">
            <v>210013</v>
          </cell>
          <cell r="B13">
            <v>1690280.46</v>
          </cell>
          <cell r="C13">
            <v>58</v>
          </cell>
        </row>
        <row r="14">
          <cell r="A14">
            <v>210015</v>
          </cell>
          <cell r="B14">
            <v>45358772.399999999</v>
          </cell>
          <cell r="C14">
            <v>3384</v>
          </cell>
        </row>
        <row r="15">
          <cell r="A15">
            <v>210016</v>
          </cell>
          <cell r="B15">
            <v>2102975.92</v>
          </cell>
          <cell r="C15">
            <v>116</v>
          </cell>
        </row>
        <row r="16">
          <cell r="A16">
            <v>210017</v>
          </cell>
          <cell r="B16">
            <v>2550242.52</v>
          </cell>
          <cell r="C16">
            <v>235</v>
          </cell>
        </row>
        <row r="17">
          <cell r="A17">
            <v>210018</v>
          </cell>
          <cell r="B17">
            <v>16050949.5</v>
          </cell>
          <cell r="C17">
            <v>761</v>
          </cell>
        </row>
        <row r="18">
          <cell r="A18">
            <v>210019</v>
          </cell>
          <cell r="B18">
            <v>25796140.379999999</v>
          </cell>
          <cell r="C18">
            <v>2062</v>
          </cell>
        </row>
        <row r="19">
          <cell r="A19">
            <v>210022</v>
          </cell>
          <cell r="B19">
            <v>5581466.2800000003</v>
          </cell>
          <cell r="C19">
            <v>412</v>
          </cell>
        </row>
        <row r="20">
          <cell r="A20">
            <v>210023</v>
          </cell>
          <cell r="B20">
            <v>69957020.010000005</v>
          </cell>
          <cell r="C20">
            <v>4966</v>
          </cell>
        </row>
        <row r="21">
          <cell r="A21">
            <v>210024</v>
          </cell>
          <cell r="B21">
            <v>12304151.890000001</v>
          </cell>
          <cell r="C21">
            <v>698</v>
          </cell>
        </row>
        <row r="22">
          <cell r="A22">
            <v>210027</v>
          </cell>
          <cell r="B22">
            <v>29380135.780000001</v>
          </cell>
          <cell r="C22">
            <v>2095</v>
          </cell>
        </row>
        <row r="23">
          <cell r="A23">
            <v>210028</v>
          </cell>
          <cell r="B23">
            <v>14058543.59</v>
          </cell>
          <cell r="C23">
            <v>867</v>
          </cell>
        </row>
        <row r="24">
          <cell r="A24">
            <v>210029</v>
          </cell>
          <cell r="B24">
            <v>43265089.490000002</v>
          </cell>
          <cell r="C24">
            <v>3595</v>
          </cell>
        </row>
        <row r="25">
          <cell r="A25">
            <v>210030</v>
          </cell>
          <cell r="B25">
            <v>3814264.51</v>
          </cell>
          <cell r="C25">
            <v>115</v>
          </cell>
        </row>
        <row r="26">
          <cell r="A26">
            <v>210032</v>
          </cell>
          <cell r="B26">
            <v>7852377.3600000003</v>
          </cell>
          <cell r="C26">
            <v>785</v>
          </cell>
        </row>
        <row r="27">
          <cell r="A27">
            <v>210033</v>
          </cell>
          <cell r="B27">
            <v>26122.93</v>
          </cell>
          <cell r="C27">
            <v>4</v>
          </cell>
        </row>
        <row r="28">
          <cell r="A28">
            <v>210034</v>
          </cell>
          <cell r="B28">
            <v>2813815.66</v>
          </cell>
          <cell r="C28">
            <v>74</v>
          </cell>
        </row>
        <row r="29">
          <cell r="A29">
            <v>210035</v>
          </cell>
          <cell r="B29">
            <v>3919997.33</v>
          </cell>
          <cell r="C29">
            <v>226</v>
          </cell>
        </row>
        <row r="30">
          <cell r="A30">
            <v>210037</v>
          </cell>
          <cell r="B30">
            <v>17474416.390000001</v>
          </cell>
          <cell r="C30">
            <v>903</v>
          </cell>
        </row>
        <row r="31">
          <cell r="A31">
            <v>210038</v>
          </cell>
          <cell r="B31">
            <v>815927.25</v>
          </cell>
          <cell r="C31">
            <v>59</v>
          </cell>
        </row>
        <row r="32">
          <cell r="A32">
            <v>210039</v>
          </cell>
          <cell r="B32">
            <v>7225932.8099999996</v>
          </cell>
          <cell r="C32">
            <v>536</v>
          </cell>
        </row>
        <row r="33">
          <cell r="A33">
            <v>210040</v>
          </cell>
          <cell r="B33">
            <v>11587592.609999999</v>
          </cell>
          <cell r="C33">
            <v>700</v>
          </cell>
        </row>
        <row r="34">
          <cell r="A34">
            <v>210043</v>
          </cell>
          <cell r="B34">
            <v>6042612.6799999997</v>
          </cell>
          <cell r="C34">
            <v>211</v>
          </cell>
        </row>
        <row r="35">
          <cell r="A35">
            <v>210044</v>
          </cell>
          <cell r="B35">
            <v>37331239.600000001</v>
          </cell>
          <cell r="C35">
            <v>2748</v>
          </cell>
        </row>
        <row r="36">
          <cell r="A36">
            <v>210045</v>
          </cell>
          <cell r="B36">
            <v>310095.65999999997</v>
          </cell>
          <cell r="C36">
            <v>39</v>
          </cell>
        </row>
        <row r="37">
          <cell r="A37">
            <v>210048</v>
          </cell>
          <cell r="B37">
            <v>195339.51</v>
          </cell>
          <cell r="C37">
            <v>10</v>
          </cell>
        </row>
        <row r="38">
          <cell r="A38">
            <v>210049</v>
          </cell>
          <cell r="B38">
            <v>24555897.699999999</v>
          </cell>
          <cell r="C38">
            <v>1977</v>
          </cell>
        </row>
        <row r="39">
          <cell r="A39">
            <v>210051</v>
          </cell>
          <cell r="B39">
            <v>694135.56</v>
          </cell>
          <cell r="C39">
            <v>33</v>
          </cell>
        </row>
        <row r="40">
          <cell r="A40">
            <v>210055</v>
          </cell>
          <cell r="B40">
            <v>1951249.48</v>
          </cell>
          <cell r="C40">
            <v>97</v>
          </cell>
        </row>
        <row r="41">
          <cell r="A41">
            <v>210056</v>
          </cell>
          <cell r="B41">
            <v>4441555.8899999997</v>
          </cell>
          <cell r="C41">
            <v>108</v>
          </cell>
        </row>
        <row r="42">
          <cell r="A42">
            <v>210057</v>
          </cell>
          <cell r="B42">
            <v>9318752.4800000004</v>
          </cell>
          <cell r="C42">
            <v>465</v>
          </cell>
        </row>
        <row r="43">
          <cell r="A43">
            <v>210058</v>
          </cell>
          <cell r="B43">
            <v>1896843.68</v>
          </cell>
          <cell r="C43">
            <v>92</v>
          </cell>
        </row>
        <row r="44">
          <cell r="A44">
            <v>210060</v>
          </cell>
          <cell r="B44">
            <v>213.75</v>
          </cell>
          <cell r="C44">
            <v>0</v>
          </cell>
        </row>
        <row r="45">
          <cell r="A45">
            <v>210061</v>
          </cell>
          <cell r="B45">
            <v>6431469.29</v>
          </cell>
          <cell r="C45">
            <v>469</v>
          </cell>
        </row>
        <row r="46">
          <cell r="A46">
            <v>210062</v>
          </cell>
          <cell r="B46">
            <v>137866.57999999999</v>
          </cell>
          <cell r="C46">
            <v>9</v>
          </cell>
        </row>
        <row r="47">
          <cell r="A47">
            <v>210063</v>
          </cell>
          <cell r="B47">
            <v>27152897.34</v>
          </cell>
          <cell r="C47">
            <v>1723</v>
          </cell>
        </row>
        <row r="48">
          <cell r="A48">
            <v>210065</v>
          </cell>
          <cell r="B48">
            <v>14749.93</v>
          </cell>
          <cell r="C48">
            <v>1</v>
          </cell>
        </row>
        <row r="49">
          <cell r="A49">
            <v>218992</v>
          </cell>
          <cell r="B49">
            <v>12541.38</v>
          </cell>
          <cell r="C49">
            <v>1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Hospital Summary"/>
      <sheetName val="Rate Application - REM Cycle I"/>
      <sheetName val="Rate Application - REM Cycle II"/>
      <sheetName val="Rate Application - ICC Cycle I"/>
      <sheetName val="Rate Application - ICC Cycle II"/>
      <sheetName val="Rate Application - ICC Correlat"/>
      <sheetName val="Rate Application - ICC Summary"/>
      <sheetName val="Integrated Effic - REM Cycle II"/>
      <sheetName val="Integrated Effic - REM Summary"/>
      <sheetName val="Integrated Effic - ICC Cycle I"/>
      <sheetName val="Integrated Effic - ICC Cycle II"/>
      <sheetName val="Integrated Effic - ICC Correl"/>
      <sheetName val="Integrated Effic Bell Curve"/>
      <sheetName val="Integrated Effic - ICC Summary"/>
      <sheetName val="IE - ICC Cycle I No Dummy"/>
      <sheetName val="IE - ICC Cycle II No Dummy"/>
      <sheetName val="IE No Dummy- ICC Correlation"/>
      <sheetName val="IE - ICC Summary No Dummy"/>
      <sheetName val="IE - ICC Cycle I 19 DSH Infl"/>
      <sheetName val="IE - ICC Cycle II 19 DSH Infl"/>
      <sheetName val="IE 19 DSH Infl ICC Correlation"/>
      <sheetName val="IE - ICC Summary 19 DSH Infl"/>
      <sheetName val="Capital Methodol - REM Cycle II"/>
      <sheetName val="Capital Methodol - REM Summary"/>
      <sheetName val="Capital Methodol - ICC Cycle 2"/>
      <sheetName val="Capital Methodol - ICC Summary"/>
      <sheetName val="Drug Overhead"/>
      <sheetName val="LMA"/>
      <sheetName val="IME"/>
      <sheetName val="RESCMAD"/>
      <sheetName val="DSH (Cumulative)"/>
      <sheetName val="Rate Application - DSH"/>
      <sheetName val="Rate Application - DSH (19&amp;21)"/>
      <sheetName val="Rate Application - DSH 18,19,21"/>
      <sheetName val="DME"/>
      <sheetName val="Prorated Residents"/>
      <sheetName val="PROFIT"/>
      <sheetName val="PROFIT (19&amp;21)"/>
      <sheetName val="PROFIT (18,19,21)"/>
      <sheetName val="PAU Volume"/>
      <sheetName val="Variable Input"/>
      <sheetName val="Volume"/>
      <sheetName val="GBR Revenue for ICC"/>
      <sheetName val="GBR Case Mix Reconciliation"/>
      <sheetName val="Oncology Drugs"/>
      <sheetName val="Chronic Revenue"/>
      <sheetName val="Categorical Exclusions"/>
      <sheetName val="v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</row>
        <row r="2">
          <cell r="A2" t="str">
            <v>HOSPID</v>
          </cell>
          <cell r="B2" t="str">
            <v>HOSPNAME</v>
          </cell>
          <cell r="C2" t="str">
            <v>PEER</v>
          </cell>
          <cell r="D2" t="str">
            <v>AMC PEER</v>
          </cell>
          <cell r="E2" t="str">
            <v>EIPC (No Longer in Use)</v>
          </cell>
          <cell r="F2" t="str">
            <v>TOTAL PERMANENT REVENUE</v>
          </cell>
          <cell r="G2" t="str">
            <v>ECMAD</v>
          </cell>
          <cell r="H2" t="str">
            <v>MARK_UP</v>
          </cell>
          <cell r="I2" t="str">
            <v>NO LONGER IN USE</v>
          </cell>
          <cell r="J2" t="str">
            <v>DEPRECI (No Longer in Use)</v>
          </cell>
          <cell r="K2" t="str">
            <v>INTEREST (No Longer in Use)</v>
          </cell>
          <cell r="L2" t="str">
            <v>LEASES (No Longer in Use)</v>
          </cell>
          <cell r="M2" t="str">
            <v>TOT_ACS (No Longer in Use)</v>
          </cell>
          <cell r="N2" t="str">
            <v>DME</v>
          </cell>
          <cell r="O2" t="str">
            <v>NURSE</v>
          </cell>
          <cell r="P2" t="str">
            <v>STANDBY</v>
          </cell>
          <cell r="Q2" t="str">
            <v>MIEMSS</v>
          </cell>
          <cell r="R2" t="str">
            <v>NET OPERATING REVENUE</v>
          </cell>
          <cell r="S2" t="str">
            <v>NET OPERATING PROFIT</v>
          </cell>
          <cell r="T2" t="str">
            <v>CAPPED RESIDENT COUNT</v>
          </cell>
          <cell r="U2" t="str">
            <v>D_STRIP</v>
          </cell>
          <cell r="V2" t="str">
            <v>PER_SAL</v>
          </cell>
          <cell r="W2" t="str">
            <v>LMA</v>
          </cell>
          <cell r="X2" t="str">
            <v>PRORATED RESIDENTS</v>
          </cell>
          <cell r="Y2" t="str">
            <v>PRORATED DME</v>
          </cell>
          <cell r="Z2" t="str">
            <v>ADJUSTED DIRECT STRIP</v>
          </cell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/>
          <cell r="BV2"/>
          <cell r="BW2"/>
          <cell r="BX2"/>
          <cell r="BY2"/>
          <cell r="BZ2"/>
          <cell r="CA2"/>
          <cell r="CB2"/>
          <cell r="CC2"/>
          <cell r="CD2"/>
          <cell r="CE2"/>
          <cell r="CF2"/>
          <cell r="CG2"/>
          <cell r="CH2"/>
          <cell r="CI2"/>
          <cell r="CJ2"/>
          <cell r="CK2"/>
          <cell r="CL2"/>
          <cell r="CM2"/>
          <cell r="CN2"/>
          <cell r="CO2"/>
          <cell r="CP2"/>
          <cell r="CQ2"/>
          <cell r="CR2"/>
          <cell r="CS2"/>
          <cell r="CT2"/>
          <cell r="CU2"/>
          <cell r="CV2"/>
          <cell r="CW2"/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  <cell r="DJ2"/>
          <cell r="DK2"/>
          <cell r="DL2"/>
          <cell r="DM2"/>
          <cell r="DN2"/>
          <cell r="DO2"/>
          <cell r="DP2"/>
          <cell r="DQ2"/>
          <cell r="DR2"/>
          <cell r="DS2"/>
          <cell r="DT2"/>
          <cell r="DU2"/>
          <cell r="DV2"/>
          <cell r="DW2"/>
          <cell r="DX2"/>
          <cell r="DY2"/>
          <cell r="DZ2"/>
          <cell r="EA2"/>
          <cell r="EB2"/>
          <cell r="EC2"/>
          <cell r="ED2"/>
          <cell r="EE2"/>
          <cell r="EF2"/>
          <cell r="EG2"/>
          <cell r="EH2"/>
          <cell r="EI2"/>
          <cell r="EJ2"/>
          <cell r="EK2"/>
          <cell r="EL2"/>
          <cell r="EM2"/>
          <cell r="EN2"/>
          <cell r="EO2"/>
          <cell r="EP2"/>
          <cell r="EQ2"/>
          <cell r="ER2"/>
          <cell r="ES2"/>
          <cell r="ET2"/>
          <cell r="EU2"/>
          <cell r="EV2"/>
          <cell r="EW2"/>
          <cell r="EX2"/>
          <cell r="EY2"/>
          <cell r="EZ2"/>
          <cell r="FA2"/>
          <cell r="FB2"/>
          <cell r="FC2"/>
          <cell r="FD2"/>
          <cell r="FE2"/>
          <cell r="FF2"/>
          <cell r="FG2"/>
          <cell r="FH2"/>
          <cell r="FI2"/>
          <cell r="FJ2"/>
          <cell r="FK2"/>
          <cell r="FL2"/>
          <cell r="FM2"/>
          <cell r="FN2"/>
          <cell r="FO2"/>
          <cell r="FP2"/>
          <cell r="FQ2"/>
          <cell r="FR2"/>
          <cell r="FS2"/>
          <cell r="FT2"/>
          <cell r="FU2"/>
          <cell r="FV2"/>
          <cell r="FW2"/>
          <cell r="FX2"/>
          <cell r="FY2"/>
          <cell r="FZ2"/>
          <cell r="GA2"/>
          <cell r="GB2"/>
          <cell r="GC2"/>
          <cell r="GD2"/>
          <cell r="GE2"/>
          <cell r="GF2"/>
          <cell r="GG2"/>
          <cell r="GH2"/>
          <cell r="GI2"/>
          <cell r="GJ2"/>
          <cell r="GK2"/>
          <cell r="GL2"/>
          <cell r="GM2"/>
          <cell r="GN2"/>
          <cell r="GO2"/>
          <cell r="GP2"/>
          <cell r="GQ2"/>
          <cell r="GR2"/>
          <cell r="GS2"/>
          <cell r="GT2"/>
          <cell r="GU2"/>
          <cell r="GV2"/>
          <cell r="GW2"/>
          <cell r="GX2"/>
          <cell r="GY2"/>
          <cell r="GZ2"/>
          <cell r="HA2"/>
          <cell r="HB2"/>
          <cell r="HC2"/>
          <cell r="HD2"/>
          <cell r="HE2"/>
          <cell r="HF2"/>
          <cell r="HG2"/>
          <cell r="HH2"/>
          <cell r="HI2"/>
          <cell r="HJ2"/>
          <cell r="HK2"/>
          <cell r="HL2"/>
          <cell r="HM2"/>
          <cell r="HN2"/>
          <cell r="HO2"/>
          <cell r="HP2"/>
          <cell r="HQ2"/>
          <cell r="HR2"/>
          <cell r="HS2"/>
          <cell r="HT2"/>
          <cell r="HU2"/>
          <cell r="HV2"/>
          <cell r="HW2"/>
          <cell r="HX2"/>
          <cell r="HY2"/>
          <cell r="HZ2"/>
          <cell r="IA2"/>
          <cell r="IB2"/>
          <cell r="IC2"/>
        </row>
        <row r="3">
          <cell r="A3">
            <v>210001</v>
          </cell>
          <cell r="B3" t="str">
            <v>MERITUS MEDICAL CENTER</v>
          </cell>
          <cell r="C3">
            <v>1</v>
          </cell>
          <cell r="D3">
            <v>3</v>
          </cell>
          <cell r="E3">
            <v>1</v>
          </cell>
          <cell r="F3">
            <v>389901094.03153527</v>
          </cell>
          <cell r="G3">
            <v>25879.100079621567</v>
          </cell>
          <cell r="H3">
            <v>1.1173297215139715</v>
          </cell>
          <cell r="I3">
            <v>0</v>
          </cell>
          <cell r="J3">
            <v>22564809</v>
          </cell>
          <cell r="K3">
            <v>2391233</v>
          </cell>
          <cell r="L3">
            <v>10912725</v>
          </cell>
          <cell r="M3">
            <v>306473359</v>
          </cell>
          <cell r="N3">
            <v>1874259.2661988989</v>
          </cell>
          <cell r="O3">
            <v>0</v>
          </cell>
          <cell r="P3">
            <v>977006.47627344169</v>
          </cell>
          <cell r="Q3">
            <v>2404647.8024677355</v>
          </cell>
          <cell r="R3">
            <v>391956733.33999997</v>
          </cell>
          <cell r="S3">
            <v>85483374.339999974</v>
          </cell>
          <cell r="T3">
            <v>13</v>
          </cell>
          <cell r="U3">
            <v>5255913.5449400758</v>
          </cell>
          <cell r="V3">
            <v>0.62382157981353614</v>
          </cell>
          <cell r="W3">
            <v>0.99671861092415948</v>
          </cell>
          <cell r="X3">
            <v>13</v>
          </cell>
          <cell r="Y3">
            <v>1874259.2661988989</v>
          </cell>
          <cell r="Z3">
            <v>5255913.5449400758</v>
          </cell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/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/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  <cell r="FY3"/>
          <cell r="FZ3"/>
          <cell r="GA3"/>
          <cell r="GB3"/>
          <cell r="GC3"/>
          <cell r="GD3"/>
          <cell r="GE3"/>
          <cell r="GF3"/>
          <cell r="GG3"/>
          <cell r="GH3"/>
          <cell r="GI3"/>
          <cell r="GJ3"/>
          <cell r="GK3"/>
          <cell r="GL3"/>
          <cell r="GM3"/>
          <cell r="GN3"/>
          <cell r="GO3"/>
          <cell r="GP3"/>
          <cell r="GQ3"/>
          <cell r="GR3"/>
          <cell r="GS3"/>
          <cell r="GT3"/>
          <cell r="GU3"/>
          <cell r="GV3"/>
          <cell r="GW3"/>
          <cell r="GX3"/>
          <cell r="GY3"/>
          <cell r="GZ3"/>
          <cell r="HA3"/>
          <cell r="HB3"/>
          <cell r="HC3"/>
          <cell r="HD3"/>
          <cell r="HE3"/>
          <cell r="HF3"/>
          <cell r="HG3"/>
          <cell r="HH3"/>
          <cell r="HI3"/>
          <cell r="HJ3"/>
          <cell r="HK3"/>
          <cell r="HL3"/>
          <cell r="HM3"/>
          <cell r="HN3"/>
          <cell r="HO3"/>
          <cell r="HP3"/>
          <cell r="HQ3"/>
          <cell r="HR3"/>
          <cell r="HS3"/>
          <cell r="HT3"/>
          <cell r="HU3"/>
          <cell r="HV3"/>
          <cell r="HW3"/>
          <cell r="HX3"/>
          <cell r="HY3"/>
          <cell r="HZ3"/>
          <cell r="IA3"/>
          <cell r="IB3"/>
          <cell r="IC3"/>
        </row>
        <row r="4">
          <cell r="A4">
            <v>210002</v>
          </cell>
          <cell r="B4" t="str">
            <v>UNIVERSITY OF MARYLAND MEDICAL CENTER</v>
          </cell>
          <cell r="C4">
            <v>5</v>
          </cell>
          <cell r="D4">
            <v>5</v>
          </cell>
          <cell r="E4">
            <v>1</v>
          </cell>
          <cell r="F4">
            <v>1195669863.360045</v>
          </cell>
          <cell r="G4">
            <v>50513.745368747303</v>
          </cell>
          <cell r="H4">
            <v>1.1134570622864013</v>
          </cell>
          <cell r="I4">
            <v>0</v>
          </cell>
          <cell r="J4">
            <v>82402565.454563364</v>
          </cell>
          <cell r="K4">
            <v>12562900</v>
          </cell>
          <cell r="L4">
            <v>19947200</v>
          </cell>
          <cell r="M4">
            <v>1524984773.5277116</v>
          </cell>
          <cell r="N4">
            <v>76802323.785244137</v>
          </cell>
          <cell r="O4">
            <v>572000</v>
          </cell>
          <cell r="P4">
            <v>0</v>
          </cell>
          <cell r="Q4">
            <v>0</v>
          </cell>
          <cell r="R4">
            <v>1557730727.2611151</v>
          </cell>
          <cell r="S4">
            <v>32745953.732788097</v>
          </cell>
          <cell r="T4">
            <v>525.1</v>
          </cell>
          <cell r="U4">
            <v>77374323.785244137</v>
          </cell>
          <cell r="V4">
            <v>0.62261880903070577</v>
          </cell>
          <cell r="W4">
            <v>0.99671861092415948</v>
          </cell>
          <cell r="X4">
            <v>430.64972959036584</v>
          </cell>
          <cell r="Y4">
            <v>51756440.855863929</v>
          </cell>
          <cell r="Z4">
            <v>52328440.855863929</v>
          </cell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/>
          <cell r="BR4"/>
          <cell r="BS4"/>
          <cell r="BT4"/>
          <cell r="BU4"/>
          <cell r="BV4"/>
          <cell r="BW4"/>
          <cell r="BX4"/>
          <cell r="BY4"/>
          <cell r="BZ4"/>
          <cell r="CA4"/>
          <cell r="CB4"/>
          <cell r="CC4"/>
          <cell r="CD4"/>
          <cell r="CE4"/>
          <cell r="CF4"/>
          <cell r="CG4"/>
          <cell r="CH4"/>
          <cell r="CI4"/>
          <cell r="CJ4"/>
          <cell r="CK4"/>
          <cell r="CL4"/>
          <cell r="CM4"/>
          <cell r="CN4"/>
          <cell r="CO4"/>
          <cell r="CP4"/>
          <cell r="CQ4"/>
          <cell r="CR4"/>
          <cell r="CS4"/>
          <cell r="CT4"/>
          <cell r="CU4"/>
          <cell r="CV4"/>
          <cell r="CW4"/>
          <cell r="CX4"/>
          <cell r="CY4"/>
          <cell r="CZ4"/>
          <cell r="DA4"/>
          <cell r="DB4"/>
          <cell r="DC4"/>
          <cell r="DD4"/>
          <cell r="DE4"/>
          <cell r="DF4"/>
          <cell r="DG4"/>
          <cell r="DH4"/>
          <cell r="DI4"/>
          <cell r="DJ4"/>
          <cell r="DK4"/>
          <cell r="DL4"/>
          <cell r="DM4"/>
          <cell r="DN4"/>
          <cell r="DO4"/>
          <cell r="DP4"/>
          <cell r="DQ4"/>
          <cell r="DR4"/>
          <cell r="DS4"/>
          <cell r="DT4"/>
          <cell r="DU4"/>
          <cell r="DV4"/>
          <cell r="DW4"/>
          <cell r="DX4"/>
          <cell r="DY4"/>
          <cell r="DZ4"/>
          <cell r="EA4"/>
          <cell r="EB4"/>
          <cell r="EC4"/>
          <cell r="ED4"/>
          <cell r="EE4"/>
          <cell r="EF4"/>
          <cell r="EG4"/>
          <cell r="EH4"/>
          <cell r="EI4"/>
          <cell r="EJ4"/>
          <cell r="EK4"/>
          <cell r="EL4"/>
          <cell r="EM4"/>
          <cell r="EN4"/>
          <cell r="EO4"/>
          <cell r="EP4"/>
          <cell r="EQ4"/>
          <cell r="ER4"/>
          <cell r="ES4"/>
          <cell r="ET4"/>
          <cell r="EU4"/>
          <cell r="EV4"/>
          <cell r="EW4"/>
          <cell r="EX4"/>
          <cell r="EY4"/>
          <cell r="EZ4"/>
          <cell r="FA4"/>
          <cell r="FB4"/>
          <cell r="FC4"/>
          <cell r="FD4"/>
          <cell r="FE4"/>
          <cell r="FF4"/>
          <cell r="FG4"/>
          <cell r="FH4"/>
          <cell r="FI4"/>
          <cell r="FJ4"/>
          <cell r="FK4"/>
          <cell r="FL4"/>
          <cell r="FM4"/>
          <cell r="FN4"/>
          <cell r="FO4"/>
          <cell r="FP4"/>
          <cell r="FQ4"/>
          <cell r="FR4"/>
          <cell r="FS4"/>
          <cell r="FT4"/>
          <cell r="FU4"/>
          <cell r="FV4"/>
          <cell r="FW4"/>
          <cell r="FX4"/>
          <cell r="FY4"/>
          <cell r="FZ4"/>
          <cell r="GA4"/>
          <cell r="GB4"/>
          <cell r="GC4"/>
          <cell r="GD4"/>
          <cell r="GE4"/>
          <cell r="GF4"/>
          <cell r="GG4"/>
          <cell r="GH4"/>
          <cell r="GI4"/>
          <cell r="GJ4"/>
          <cell r="GK4"/>
          <cell r="GL4"/>
          <cell r="GM4"/>
          <cell r="GN4"/>
          <cell r="GO4"/>
          <cell r="GP4"/>
          <cell r="GQ4"/>
          <cell r="GR4"/>
          <cell r="GS4"/>
          <cell r="GT4"/>
          <cell r="GU4"/>
          <cell r="GV4"/>
          <cell r="GW4"/>
          <cell r="GX4"/>
          <cell r="GY4"/>
          <cell r="GZ4"/>
          <cell r="HA4"/>
          <cell r="HB4"/>
          <cell r="HC4"/>
          <cell r="HD4"/>
          <cell r="HE4"/>
          <cell r="HF4"/>
          <cell r="HG4"/>
          <cell r="HH4"/>
          <cell r="HI4"/>
          <cell r="HJ4"/>
          <cell r="HK4"/>
          <cell r="HL4"/>
          <cell r="HM4"/>
          <cell r="HN4"/>
          <cell r="HO4"/>
          <cell r="HP4"/>
          <cell r="HQ4"/>
          <cell r="HR4"/>
          <cell r="HS4"/>
          <cell r="HT4"/>
          <cell r="HU4"/>
          <cell r="HV4"/>
          <cell r="HW4"/>
          <cell r="HX4"/>
          <cell r="HY4"/>
          <cell r="HZ4"/>
          <cell r="IA4"/>
          <cell r="IB4"/>
          <cell r="IC4"/>
        </row>
        <row r="5">
          <cell r="A5">
            <v>210003</v>
          </cell>
          <cell r="B5" t="str">
            <v>PRINCE GEORGES HOSPITAL CENTER</v>
          </cell>
          <cell r="C5">
            <v>1</v>
          </cell>
          <cell r="D5">
            <v>5</v>
          </cell>
          <cell r="E5">
            <v>1</v>
          </cell>
          <cell r="F5">
            <v>355888476.39489859</v>
          </cell>
          <cell r="G5">
            <v>16233.644093359531</v>
          </cell>
          <cell r="H5">
            <v>1.112243912428907</v>
          </cell>
          <cell r="I5">
            <v>0</v>
          </cell>
          <cell r="J5">
            <v>11984950.038283611</v>
          </cell>
          <cell r="K5">
            <v>3577375.9416744201</v>
          </cell>
          <cell r="L5">
            <v>0</v>
          </cell>
          <cell r="M5">
            <v>293646668.60510916</v>
          </cell>
          <cell r="N5">
            <v>4492275.1129861176</v>
          </cell>
          <cell r="O5">
            <v>1141471.8330038895</v>
          </cell>
          <cell r="P5">
            <v>2011119.4216079991</v>
          </cell>
          <cell r="Q5">
            <v>2639022.2440712396</v>
          </cell>
          <cell r="R5">
            <v>333308055.85267615</v>
          </cell>
          <cell r="S5">
            <v>39661358.047566846</v>
          </cell>
          <cell r="T5">
            <v>48</v>
          </cell>
          <cell r="U5">
            <v>10283888.611669246</v>
          </cell>
          <cell r="V5">
            <v>0.46620348349564045</v>
          </cell>
          <cell r="W5">
            <v>1.0181752931904677</v>
          </cell>
          <cell r="X5">
            <v>48</v>
          </cell>
          <cell r="Y5">
            <v>4492275.1129861176</v>
          </cell>
          <cell r="Z5">
            <v>10283888.611669246</v>
          </cell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/>
          <cell r="DK5"/>
          <cell r="DL5"/>
          <cell r="DM5"/>
          <cell r="DN5"/>
          <cell r="DO5"/>
          <cell r="DP5"/>
          <cell r="DQ5"/>
          <cell r="DR5"/>
          <cell r="DS5"/>
          <cell r="DT5"/>
          <cell r="DU5"/>
          <cell r="DV5"/>
          <cell r="DW5"/>
          <cell r="DX5"/>
          <cell r="DY5"/>
          <cell r="DZ5"/>
          <cell r="EA5"/>
          <cell r="EB5"/>
          <cell r="EC5"/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/>
          <cell r="EQ5"/>
          <cell r="ER5"/>
          <cell r="ES5"/>
          <cell r="ET5"/>
          <cell r="EU5"/>
          <cell r="EV5"/>
          <cell r="EW5"/>
          <cell r="EX5"/>
          <cell r="EY5"/>
          <cell r="EZ5"/>
          <cell r="FA5"/>
          <cell r="FB5"/>
          <cell r="FC5"/>
          <cell r="FD5"/>
          <cell r="FE5"/>
          <cell r="FF5"/>
          <cell r="FG5"/>
          <cell r="FH5"/>
          <cell r="FI5"/>
          <cell r="FJ5"/>
          <cell r="FK5"/>
          <cell r="FL5"/>
          <cell r="FM5"/>
          <cell r="FN5"/>
          <cell r="FO5"/>
          <cell r="FP5"/>
          <cell r="FQ5"/>
          <cell r="FR5"/>
          <cell r="FS5"/>
          <cell r="FT5"/>
          <cell r="FU5"/>
          <cell r="FV5"/>
          <cell r="FW5"/>
          <cell r="FX5"/>
          <cell r="FY5"/>
          <cell r="FZ5"/>
          <cell r="GA5"/>
          <cell r="GB5"/>
          <cell r="GC5"/>
          <cell r="GD5"/>
          <cell r="GE5"/>
          <cell r="GF5"/>
          <cell r="GG5"/>
          <cell r="GH5"/>
          <cell r="GI5"/>
          <cell r="GJ5"/>
          <cell r="GK5"/>
          <cell r="GL5"/>
          <cell r="GM5"/>
          <cell r="GN5"/>
          <cell r="GO5"/>
          <cell r="GP5"/>
          <cell r="GQ5"/>
          <cell r="GR5"/>
          <cell r="GS5"/>
          <cell r="GT5"/>
          <cell r="GU5"/>
          <cell r="GV5"/>
          <cell r="GW5"/>
          <cell r="GX5"/>
          <cell r="GY5"/>
          <cell r="GZ5"/>
          <cell r="HA5"/>
          <cell r="HB5"/>
          <cell r="HC5"/>
          <cell r="HD5"/>
          <cell r="HE5"/>
          <cell r="HF5"/>
          <cell r="HG5"/>
          <cell r="HH5"/>
          <cell r="HI5"/>
          <cell r="HJ5"/>
          <cell r="HK5"/>
          <cell r="HL5"/>
          <cell r="HM5"/>
          <cell r="HN5"/>
          <cell r="HO5"/>
          <cell r="HP5"/>
          <cell r="HQ5"/>
          <cell r="HR5"/>
          <cell r="HS5"/>
          <cell r="HT5"/>
          <cell r="HU5"/>
          <cell r="HV5"/>
          <cell r="HW5"/>
          <cell r="HX5"/>
          <cell r="HY5"/>
          <cell r="HZ5"/>
          <cell r="IA5"/>
          <cell r="IB5"/>
          <cell r="IC5"/>
        </row>
        <row r="6">
          <cell r="A6">
            <v>210004</v>
          </cell>
          <cell r="B6" t="str">
            <v>HOLY CROSS HOSPITAL</v>
          </cell>
          <cell r="C6">
            <v>1</v>
          </cell>
          <cell r="D6">
            <v>1</v>
          </cell>
          <cell r="E6">
            <v>1</v>
          </cell>
          <cell r="F6">
            <v>542965322.16217077</v>
          </cell>
          <cell r="G6">
            <v>35209.809308549011</v>
          </cell>
          <cell r="H6">
            <v>1.1088122559474733</v>
          </cell>
          <cell r="I6">
            <v>0</v>
          </cell>
          <cell r="J6">
            <v>25434683.610706121</v>
          </cell>
          <cell r="K6">
            <v>4015594.6199999996</v>
          </cell>
          <cell r="L6">
            <v>8382233.5392611185</v>
          </cell>
          <cell r="M6">
            <v>422978849.05854899</v>
          </cell>
          <cell r="N6">
            <v>1513002.8622970635</v>
          </cell>
          <cell r="O6">
            <v>0</v>
          </cell>
          <cell r="P6">
            <v>0</v>
          </cell>
          <cell r="Q6">
            <v>0</v>
          </cell>
          <cell r="R6">
            <v>498542175.91666681</v>
          </cell>
          <cell r="S6">
            <v>75563326.858117834</v>
          </cell>
          <cell r="T6">
            <v>19</v>
          </cell>
          <cell r="U6">
            <v>1513002.8622970635</v>
          </cell>
          <cell r="V6">
            <v>0.70378463318116491</v>
          </cell>
          <cell r="W6">
            <v>1.0181752931904677</v>
          </cell>
          <cell r="X6">
            <v>19</v>
          </cell>
          <cell r="Y6">
            <v>1513002.8622970635</v>
          </cell>
          <cell r="Z6">
            <v>1513002.8622970635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/>
          <cell r="HX6"/>
          <cell r="HY6"/>
          <cell r="HZ6"/>
          <cell r="IA6"/>
          <cell r="IB6"/>
          <cell r="IC6"/>
        </row>
        <row r="7">
          <cell r="A7">
            <v>210005</v>
          </cell>
          <cell r="B7" t="str">
            <v>FREDERICK MEMORIAL HOSPITAL</v>
          </cell>
          <cell r="C7">
            <v>1</v>
          </cell>
          <cell r="D7">
            <v>3</v>
          </cell>
          <cell r="E7">
            <v>1</v>
          </cell>
          <cell r="F7">
            <v>379051936.47549599</v>
          </cell>
          <cell r="G7">
            <v>23430.275118622289</v>
          </cell>
          <cell r="H7">
            <v>1.110656288463777</v>
          </cell>
          <cell r="I7">
            <v>0</v>
          </cell>
          <cell r="J7">
            <v>20602900</v>
          </cell>
          <cell r="K7">
            <v>325399.99999999988</v>
          </cell>
          <cell r="L7">
            <v>5155000</v>
          </cell>
          <cell r="M7">
            <v>293127046.88464838</v>
          </cell>
          <cell r="N7">
            <v>0</v>
          </cell>
          <cell r="O7">
            <v>407907.3949999999</v>
          </cell>
          <cell r="P7">
            <v>0</v>
          </cell>
          <cell r="Q7">
            <v>0</v>
          </cell>
          <cell r="R7">
            <v>350340200</v>
          </cell>
          <cell r="S7">
            <v>57213153.115351625</v>
          </cell>
          <cell r="T7">
            <v>0</v>
          </cell>
          <cell r="U7">
            <v>407907.3949999999</v>
          </cell>
          <cell r="V7">
            <v>0.6501880763396708</v>
          </cell>
          <cell r="W7">
            <v>0.99671861092415948</v>
          </cell>
          <cell r="X7">
            <v>0</v>
          </cell>
          <cell r="Y7">
            <v>0</v>
          </cell>
          <cell r="Z7">
            <v>407907.3949999999</v>
          </cell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</row>
        <row r="8">
          <cell r="A8">
            <v>210006</v>
          </cell>
          <cell r="B8" t="str">
            <v>UM-HARFORD MEMORIAL HOSPITAL</v>
          </cell>
          <cell r="C8">
            <v>1</v>
          </cell>
          <cell r="D8">
            <v>3</v>
          </cell>
          <cell r="E8">
            <v>1</v>
          </cell>
          <cell r="F8">
            <v>111014759.09327261</v>
          </cell>
          <cell r="G8">
            <v>6305.4652100671074</v>
          </cell>
          <cell r="H8">
            <v>1.1150622932579701</v>
          </cell>
          <cell r="I8">
            <v>0</v>
          </cell>
          <cell r="J8">
            <v>4753396</v>
          </cell>
          <cell r="K8">
            <v>1153600</v>
          </cell>
          <cell r="L8">
            <v>959028</v>
          </cell>
          <cell r="M8">
            <v>88026047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96869496.094489023</v>
          </cell>
          <cell r="S8">
            <v>8843496.0944890212</v>
          </cell>
          <cell r="T8">
            <v>0</v>
          </cell>
          <cell r="U8">
            <v>0</v>
          </cell>
          <cell r="V8">
            <v>0.61200227306037203</v>
          </cell>
          <cell r="W8">
            <v>0.99671861092415948</v>
          </cell>
          <cell r="X8">
            <v>0</v>
          </cell>
          <cell r="Y8">
            <v>0</v>
          </cell>
          <cell r="Z8">
            <v>0</v>
          </cell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</row>
        <row r="9">
          <cell r="A9">
            <v>210008</v>
          </cell>
          <cell r="B9" t="str">
            <v>MERCY MEDICAL CENTER</v>
          </cell>
          <cell r="C9">
            <v>1</v>
          </cell>
          <cell r="D9">
            <v>4</v>
          </cell>
          <cell r="E9">
            <v>1</v>
          </cell>
          <cell r="F9">
            <v>583416912.87106669</v>
          </cell>
          <cell r="G9">
            <v>33844.260081365923</v>
          </cell>
          <cell r="H9">
            <v>1.1091903241459977</v>
          </cell>
          <cell r="I9">
            <v>0</v>
          </cell>
          <cell r="J9">
            <v>34581313.480000004</v>
          </cell>
          <cell r="K9">
            <v>2358981</v>
          </cell>
          <cell r="L9">
            <v>13715068.880000001</v>
          </cell>
          <cell r="M9">
            <v>497407597.04656214</v>
          </cell>
          <cell r="N9">
            <v>4893835.5060227271</v>
          </cell>
          <cell r="O9">
            <v>0</v>
          </cell>
          <cell r="P9">
            <v>0</v>
          </cell>
          <cell r="Q9">
            <v>0</v>
          </cell>
          <cell r="R9">
            <v>546521322.63999999</v>
          </cell>
          <cell r="S9">
            <v>49113725.59343791</v>
          </cell>
          <cell r="T9">
            <v>63</v>
          </cell>
          <cell r="U9">
            <v>4893835.5060227271</v>
          </cell>
          <cell r="V9">
            <v>0.54598995340031942</v>
          </cell>
          <cell r="W9">
            <v>0.99671861092415948</v>
          </cell>
          <cell r="X9">
            <v>63</v>
          </cell>
          <cell r="Y9">
            <v>4893835.5060227271</v>
          </cell>
          <cell r="Z9">
            <v>4893835.5060227271</v>
          </cell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</row>
        <row r="10">
          <cell r="A10">
            <v>210009</v>
          </cell>
          <cell r="B10" t="str">
            <v>JOHNS HOPKINS HOSPITAL</v>
          </cell>
          <cell r="C10">
            <v>5</v>
          </cell>
          <cell r="D10">
            <v>5</v>
          </cell>
          <cell r="E10">
            <v>1</v>
          </cell>
          <cell r="F10">
            <v>2201679894.4031334</v>
          </cell>
          <cell r="G10">
            <v>96272.741370767355</v>
          </cell>
          <cell r="H10">
            <v>1.1054080464486711</v>
          </cell>
          <cell r="I10">
            <v>0</v>
          </cell>
          <cell r="J10">
            <v>118515300</v>
          </cell>
          <cell r="K10">
            <v>12784900</v>
          </cell>
          <cell r="L10">
            <v>45748799.999999993</v>
          </cell>
          <cell r="M10">
            <v>2262771093.5349197</v>
          </cell>
          <cell r="N10">
            <v>121044610.83501916</v>
          </cell>
          <cell r="O10">
            <v>3944300</v>
          </cell>
          <cell r="P10">
            <v>1218210.8402992173</v>
          </cell>
          <cell r="Q10">
            <v>5107088.3660804983</v>
          </cell>
          <cell r="R10">
            <v>2358021102.9200001</v>
          </cell>
          <cell r="S10">
            <v>95250002.920000345</v>
          </cell>
          <cell r="T10">
            <v>868</v>
          </cell>
          <cell r="U10">
            <v>131314210.04139887</v>
          </cell>
          <cell r="V10">
            <v>0.5576224176520661</v>
          </cell>
          <cell r="W10">
            <v>0.99671861092415948</v>
          </cell>
          <cell r="X10">
            <v>776.35347721905498</v>
          </cell>
          <cell r="Y10">
            <v>108264290.92211339</v>
          </cell>
          <cell r="Z10">
            <v>118533890.1284931</v>
          </cell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</row>
        <row r="11">
          <cell r="A11">
            <v>210010</v>
          </cell>
          <cell r="B11" t="str">
            <v>UM-SHORE REGIONAL HEALTH AT DORCHESTER</v>
          </cell>
          <cell r="C11" t="str">
            <v>NA</v>
          </cell>
          <cell r="D11">
            <v>3</v>
          </cell>
          <cell r="E11">
            <v>1</v>
          </cell>
          <cell r="F11">
            <v>17804596.11180691</v>
          </cell>
          <cell r="G11">
            <v>2069.2144139242992</v>
          </cell>
          <cell r="H11">
            <v>1.1246644686268261</v>
          </cell>
          <cell r="I11">
            <v>0</v>
          </cell>
          <cell r="J11">
            <v>2163816.5764154261</v>
          </cell>
          <cell r="K11">
            <v>76762.692841801472</v>
          </cell>
          <cell r="L11">
            <v>96709.159999999974</v>
          </cell>
          <cell r="M11">
            <v>28082469.01752571</v>
          </cell>
          <cell r="N11">
            <v>0</v>
          </cell>
          <cell r="O11">
            <v>70400</v>
          </cell>
          <cell r="P11">
            <v>0</v>
          </cell>
          <cell r="Q11">
            <v>0</v>
          </cell>
          <cell r="R11">
            <v>35049385.359999999</v>
          </cell>
          <cell r="S11">
            <v>6966876.2635845738</v>
          </cell>
          <cell r="T11">
            <v>0</v>
          </cell>
          <cell r="U11">
            <v>70400</v>
          </cell>
          <cell r="V11">
            <v>0.62182870486940955</v>
          </cell>
          <cell r="W11">
            <v>0.99671861092415948</v>
          </cell>
          <cell r="X11">
            <v>0</v>
          </cell>
          <cell r="Y11">
            <v>0</v>
          </cell>
          <cell r="Z11">
            <v>70400</v>
          </cell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</row>
        <row r="12">
          <cell r="A12">
            <v>210011</v>
          </cell>
          <cell r="B12" t="str">
            <v>ST. AGNES HOSPITAL</v>
          </cell>
          <cell r="C12">
            <v>1</v>
          </cell>
          <cell r="D12">
            <v>1</v>
          </cell>
          <cell r="E12">
            <v>1</v>
          </cell>
          <cell r="F12">
            <v>428417692.76911348</v>
          </cell>
          <cell r="G12">
            <v>22334.809298179211</v>
          </cell>
          <cell r="H12">
            <v>1.1192831644981267</v>
          </cell>
          <cell r="I12">
            <v>0</v>
          </cell>
          <cell r="J12">
            <v>19680249.669999998</v>
          </cell>
          <cell r="K12">
            <v>2418992.5499999998</v>
          </cell>
          <cell r="L12">
            <v>2368000</v>
          </cell>
          <cell r="M12">
            <v>319302548.10507941</v>
          </cell>
          <cell r="N12">
            <v>7018649.47549868</v>
          </cell>
          <cell r="O12">
            <v>0</v>
          </cell>
          <cell r="P12">
            <v>0</v>
          </cell>
          <cell r="Q12">
            <v>0</v>
          </cell>
          <cell r="R12">
            <v>401111271.51836848</v>
          </cell>
          <cell r="S12">
            <v>81808723.413289115</v>
          </cell>
          <cell r="T12">
            <v>73</v>
          </cell>
          <cell r="U12">
            <v>7018649.47549868</v>
          </cell>
          <cell r="V12">
            <v>0.71505279068477212</v>
          </cell>
          <cell r="W12">
            <v>0.99671861092415948</v>
          </cell>
          <cell r="X12">
            <v>73</v>
          </cell>
          <cell r="Y12">
            <v>7018649.47549868</v>
          </cell>
          <cell r="Z12">
            <v>7018649.47549868</v>
          </cell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</row>
        <row r="13">
          <cell r="A13">
            <v>210012</v>
          </cell>
          <cell r="B13" t="str">
            <v>SINAI HOSPITAL</v>
          </cell>
          <cell r="C13">
            <v>1</v>
          </cell>
          <cell r="D13">
            <v>5</v>
          </cell>
          <cell r="E13">
            <v>1</v>
          </cell>
          <cell r="F13">
            <v>805841607.7702167</v>
          </cell>
          <cell r="G13">
            <v>37412.844072885637</v>
          </cell>
          <cell r="H13">
            <v>1.117864934797169</v>
          </cell>
          <cell r="I13">
            <v>0</v>
          </cell>
          <cell r="J13">
            <v>41053244.609999992</v>
          </cell>
          <cell r="K13">
            <v>7043400</v>
          </cell>
          <cell r="L13">
            <v>10494400</v>
          </cell>
          <cell r="M13">
            <v>672695291.10193968</v>
          </cell>
          <cell r="N13">
            <v>16094225.294571185</v>
          </cell>
          <cell r="O13">
            <v>0</v>
          </cell>
          <cell r="P13">
            <v>1431026.0657287992</v>
          </cell>
          <cell r="Q13">
            <v>2483674.8337770118</v>
          </cell>
          <cell r="R13">
            <v>782812956.15999973</v>
          </cell>
          <cell r="S13">
            <v>110117664.85082638</v>
          </cell>
          <cell r="T13">
            <v>126</v>
          </cell>
          <cell r="U13">
            <v>20008926.194076996</v>
          </cell>
          <cell r="V13">
            <v>0.61743139615405473</v>
          </cell>
          <cell r="W13">
            <v>0.99671861092415948</v>
          </cell>
          <cell r="X13">
            <v>126</v>
          </cell>
          <cell r="Y13">
            <v>16094225.294571185</v>
          </cell>
          <cell r="Z13">
            <v>20008926.194076996</v>
          </cell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  <cell r="CR13"/>
          <cell r="CS13"/>
          <cell r="CT13"/>
          <cell r="CU13"/>
          <cell r="CV13"/>
          <cell r="CW13"/>
          <cell r="CX13"/>
          <cell r="CY13"/>
          <cell r="CZ13"/>
          <cell r="DA13"/>
          <cell r="DB13"/>
          <cell r="DC13"/>
          <cell r="DD13"/>
          <cell r="DE13"/>
          <cell r="DF13"/>
          <cell r="DG13"/>
          <cell r="DH13"/>
          <cell r="DI13"/>
          <cell r="DJ13"/>
          <cell r="DK13"/>
          <cell r="DL13"/>
          <cell r="DM13"/>
          <cell r="DN13"/>
          <cell r="DO13"/>
          <cell r="DP13"/>
          <cell r="DQ13"/>
          <cell r="DR13"/>
          <cell r="DS13"/>
          <cell r="DT13"/>
          <cell r="DU13"/>
          <cell r="DV13"/>
          <cell r="DW13"/>
          <cell r="DX13"/>
          <cell r="DY13"/>
          <cell r="DZ13"/>
          <cell r="EA13"/>
          <cell r="EB13"/>
          <cell r="EC13"/>
          <cell r="ED13"/>
          <cell r="EE13"/>
          <cell r="EF13"/>
          <cell r="EG13"/>
          <cell r="EH13"/>
          <cell r="EI13"/>
          <cell r="EJ13"/>
          <cell r="EK13"/>
          <cell r="EL13"/>
          <cell r="EM13"/>
          <cell r="EN13"/>
          <cell r="EO13"/>
          <cell r="EP13"/>
          <cell r="EQ13"/>
          <cell r="ER13"/>
          <cell r="ES13"/>
          <cell r="ET13"/>
          <cell r="EU13"/>
          <cell r="EV13"/>
          <cell r="EW13"/>
          <cell r="EX13"/>
          <cell r="EY13"/>
          <cell r="EZ13"/>
          <cell r="FA13"/>
          <cell r="FB13"/>
          <cell r="FC13"/>
          <cell r="FD13"/>
          <cell r="FE13"/>
          <cell r="FF13"/>
          <cell r="FG13"/>
          <cell r="FH13"/>
          <cell r="FI13"/>
          <cell r="FJ13"/>
          <cell r="FK13"/>
          <cell r="FL13"/>
          <cell r="FM13"/>
          <cell r="FN13"/>
          <cell r="FO13"/>
          <cell r="FP13"/>
          <cell r="FQ13"/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</row>
        <row r="14">
          <cell r="A14">
            <v>210013</v>
          </cell>
          <cell r="B14" t="str">
            <v>BON SECOURS HOSPITAL</v>
          </cell>
          <cell r="C14" t="str">
            <v>NA</v>
          </cell>
          <cell r="D14">
            <v>4</v>
          </cell>
          <cell r="E14">
            <v>1</v>
          </cell>
          <cell r="F14">
            <v>23500267.679216273</v>
          </cell>
          <cell r="G14">
            <v>1661.1236198870997</v>
          </cell>
          <cell r="H14">
            <v>1.1243384031637143</v>
          </cell>
          <cell r="I14">
            <v>0</v>
          </cell>
          <cell r="J14">
            <v>7476100.1200000001</v>
          </cell>
          <cell r="K14">
            <v>85400.360000000102</v>
          </cell>
          <cell r="L14">
            <v>877500.25</v>
          </cell>
          <cell r="M14">
            <v>46732408.667158566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29826145.169999994</v>
          </cell>
          <cell r="S14">
            <v>-16906263.237458233</v>
          </cell>
          <cell r="T14">
            <v>0</v>
          </cell>
          <cell r="U14">
            <v>0</v>
          </cell>
          <cell r="V14">
            <v>0.47522344644994313</v>
          </cell>
          <cell r="W14">
            <v>0.99671861092415948</v>
          </cell>
          <cell r="X14">
            <v>0</v>
          </cell>
          <cell r="Y14">
            <v>0</v>
          </cell>
          <cell r="Z14">
            <v>0</v>
          </cell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  <cell r="CR14"/>
          <cell r="CS14"/>
          <cell r="CT14"/>
          <cell r="CU14"/>
          <cell r="CV14"/>
          <cell r="CW14"/>
          <cell r="CX14"/>
          <cell r="CY14"/>
          <cell r="CZ14"/>
          <cell r="DA14"/>
          <cell r="DB14"/>
          <cell r="DC14"/>
          <cell r="DD14"/>
          <cell r="DE14"/>
          <cell r="DF14"/>
          <cell r="DG14"/>
          <cell r="DH14"/>
          <cell r="DI14"/>
          <cell r="DJ14"/>
          <cell r="DK14"/>
          <cell r="DL14"/>
          <cell r="DM14"/>
          <cell r="DN14"/>
          <cell r="DO14"/>
          <cell r="DP14"/>
          <cell r="DQ14"/>
          <cell r="DR14"/>
          <cell r="DS14"/>
          <cell r="DT14"/>
          <cell r="DU14"/>
          <cell r="DV14"/>
          <cell r="DW14"/>
          <cell r="DX14"/>
          <cell r="DY14"/>
          <cell r="DZ14"/>
          <cell r="EA14"/>
          <cell r="EB14"/>
          <cell r="EC14"/>
          <cell r="ED14"/>
          <cell r="EE14"/>
          <cell r="EF14"/>
          <cell r="EG14"/>
          <cell r="EH14"/>
          <cell r="EI14"/>
          <cell r="EJ14"/>
          <cell r="EK14"/>
          <cell r="EL14"/>
          <cell r="EM14"/>
          <cell r="EN14"/>
          <cell r="EO14"/>
          <cell r="EP14"/>
          <cell r="EQ14"/>
          <cell r="ER14"/>
          <cell r="ES14"/>
          <cell r="ET14"/>
          <cell r="EU14"/>
          <cell r="EV14"/>
          <cell r="EW14"/>
          <cell r="EX14"/>
          <cell r="EY14"/>
          <cell r="EZ14"/>
          <cell r="FA14"/>
          <cell r="FB14"/>
          <cell r="FC14"/>
          <cell r="FD14"/>
          <cell r="FE14"/>
          <cell r="FF14"/>
          <cell r="FG14"/>
          <cell r="FH14"/>
          <cell r="FI14"/>
          <cell r="FJ14"/>
          <cell r="FK14"/>
          <cell r="FL14"/>
          <cell r="FM14"/>
          <cell r="FN14"/>
          <cell r="FO14"/>
          <cell r="FP14"/>
          <cell r="FQ14"/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</row>
        <row r="15">
          <cell r="A15">
            <v>210015</v>
          </cell>
          <cell r="B15" t="str">
            <v>MEDSTAR FRANKLIN SQUARE</v>
          </cell>
          <cell r="C15">
            <v>1</v>
          </cell>
          <cell r="D15">
            <v>1</v>
          </cell>
          <cell r="E15">
            <v>1</v>
          </cell>
          <cell r="F15">
            <v>543864308.4339056</v>
          </cell>
          <cell r="G15">
            <v>35370.643838477416</v>
          </cell>
          <cell r="H15">
            <v>1.1187741419542832</v>
          </cell>
          <cell r="I15">
            <v>0</v>
          </cell>
          <cell r="J15">
            <v>25461933.969999999</v>
          </cell>
          <cell r="K15">
            <v>3894319.0000000005</v>
          </cell>
          <cell r="L15">
            <v>8042433</v>
          </cell>
          <cell r="M15">
            <v>468815664.96339208</v>
          </cell>
          <cell r="N15">
            <v>10630354.952600569</v>
          </cell>
          <cell r="O15">
            <v>0</v>
          </cell>
          <cell r="P15">
            <v>0</v>
          </cell>
          <cell r="Q15">
            <v>0</v>
          </cell>
          <cell r="R15">
            <v>514473044.5</v>
          </cell>
          <cell r="S15">
            <v>45657379.536607474</v>
          </cell>
          <cell r="T15">
            <v>78</v>
          </cell>
          <cell r="U15">
            <v>10630354.952600569</v>
          </cell>
          <cell r="V15">
            <v>0.65531393479654187</v>
          </cell>
          <cell r="W15">
            <v>0.99671861092415948</v>
          </cell>
          <cell r="X15">
            <v>78</v>
          </cell>
          <cell r="Y15">
            <v>10630354.952600569</v>
          </cell>
          <cell r="Z15">
            <v>10630354.952600569</v>
          </cell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</row>
        <row r="16">
          <cell r="A16">
            <v>210016</v>
          </cell>
          <cell r="B16" t="str">
            <v>WASHINGTON ADVENTIST HOSPITAL</v>
          </cell>
          <cell r="C16">
            <v>1</v>
          </cell>
          <cell r="D16">
            <v>3</v>
          </cell>
          <cell r="E16">
            <v>1</v>
          </cell>
          <cell r="F16">
            <v>325119079.01663643</v>
          </cell>
          <cell r="G16">
            <v>18555.443408838</v>
          </cell>
          <cell r="H16">
            <v>1.1202632206296315</v>
          </cell>
          <cell r="I16">
            <v>0</v>
          </cell>
          <cell r="J16">
            <v>19278282.27</v>
          </cell>
          <cell r="K16">
            <v>1164705.5799999998</v>
          </cell>
          <cell r="L16">
            <v>15313800</v>
          </cell>
          <cell r="M16">
            <v>276626335.20000005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299193833.72478861</v>
          </cell>
          <cell r="S16">
            <v>22567500.183033116</v>
          </cell>
          <cell r="T16">
            <v>0</v>
          </cell>
          <cell r="U16">
            <v>0</v>
          </cell>
          <cell r="V16">
            <v>0.64061449826838102</v>
          </cell>
          <cell r="W16">
            <v>1.0181752931904677</v>
          </cell>
          <cell r="X16">
            <v>0</v>
          </cell>
          <cell r="Y16">
            <v>0</v>
          </cell>
          <cell r="Z16">
            <v>0</v>
          </cell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</row>
        <row r="17">
          <cell r="A17">
            <v>210017</v>
          </cell>
          <cell r="B17" t="str">
            <v>GARRETT COUNTY MEMORIAL HOSPITAL</v>
          </cell>
          <cell r="C17">
            <v>1</v>
          </cell>
          <cell r="D17">
            <v>3</v>
          </cell>
          <cell r="E17">
            <v>1</v>
          </cell>
          <cell r="F17">
            <v>63888554.795038067</v>
          </cell>
          <cell r="G17">
            <v>5053.1184525907011</v>
          </cell>
          <cell r="H17">
            <v>1.1177477556698061</v>
          </cell>
          <cell r="I17">
            <v>0</v>
          </cell>
          <cell r="J17">
            <v>4204016.5544351991</v>
          </cell>
          <cell r="K17">
            <v>33473.06213807044</v>
          </cell>
          <cell r="L17">
            <v>456112</v>
          </cell>
          <cell r="M17">
            <v>50344812.82737653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60695079.537827</v>
          </cell>
          <cell r="S17">
            <v>10350242.046400366</v>
          </cell>
          <cell r="T17">
            <v>0</v>
          </cell>
          <cell r="U17">
            <v>0</v>
          </cell>
          <cell r="V17">
            <v>0.65152738782195418</v>
          </cell>
          <cell r="W17">
            <v>0.99671861092415948</v>
          </cell>
          <cell r="X17">
            <v>0</v>
          </cell>
          <cell r="Y17">
            <v>0</v>
          </cell>
          <cell r="Z17">
            <v>0</v>
          </cell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</row>
        <row r="18">
          <cell r="A18">
            <v>210018</v>
          </cell>
          <cell r="B18" t="str">
            <v>MEDSTAR MONTGOMERY MEDICAL CENTER</v>
          </cell>
          <cell r="C18">
            <v>1</v>
          </cell>
          <cell r="D18">
            <v>3</v>
          </cell>
          <cell r="E18">
            <v>1</v>
          </cell>
          <cell r="F18">
            <v>179811226.36936533</v>
          </cell>
          <cell r="G18">
            <v>10559.310597350224</v>
          </cell>
          <cell r="H18">
            <v>1.1131368414909681</v>
          </cell>
          <cell r="I18">
            <v>0</v>
          </cell>
          <cell r="J18">
            <v>10574294.782317314</v>
          </cell>
          <cell r="K18">
            <v>760160.96117193974</v>
          </cell>
          <cell r="L18">
            <v>1197674.9752078352</v>
          </cell>
          <cell r="M18">
            <v>150594524.90560529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162584176.03000003</v>
          </cell>
          <cell r="S18">
            <v>11989651.124394789</v>
          </cell>
          <cell r="T18">
            <v>0</v>
          </cell>
          <cell r="U18">
            <v>0</v>
          </cell>
          <cell r="V18">
            <v>0.54787051949933263</v>
          </cell>
          <cell r="W18">
            <v>1.0181752931904677</v>
          </cell>
          <cell r="X18">
            <v>0</v>
          </cell>
          <cell r="Y18">
            <v>0</v>
          </cell>
          <cell r="Z18">
            <v>0</v>
          </cell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</row>
        <row r="19">
          <cell r="A19">
            <v>210019</v>
          </cell>
          <cell r="B19" t="str">
            <v>PENINSULA REGIONAL MEDICAL CENTER</v>
          </cell>
          <cell r="C19">
            <v>1</v>
          </cell>
          <cell r="D19">
            <v>3</v>
          </cell>
          <cell r="E19">
            <v>1</v>
          </cell>
          <cell r="F19">
            <v>484313914.75059968</v>
          </cell>
          <cell r="G19">
            <v>32055.83896866014</v>
          </cell>
          <cell r="H19">
            <v>1.1208650134087534</v>
          </cell>
          <cell r="I19">
            <v>0</v>
          </cell>
          <cell r="J19">
            <v>27100400</v>
          </cell>
          <cell r="K19">
            <v>2613000</v>
          </cell>
          <cell r="L19">
            <v>5744900</v>
          </cell>
          <cell r="M19">
            <v>363703299.99999988</v>
          </cell>
          <cell r="N19">
            <v>1281847.4553555993</v>
          </cell>
          <cell r="O19">
            <v>0</v>
          </cell>
          <cell r="P19">
            <v>0</v>
          </cell>
          <cell r="Q19">
            <v>1948389.8517444979</v>
          </cell>
          <cell r="R19">
            <v>452334028</v>
          </cell>
          <cell r="S19">
            <v>88630737.18599999</v>
          </cell>
          <cell r="T19">
            <v>65</v>
          </cell>
          <cell r="U19">
            <v>3230237.3071000972</v>
          </cell>
          <cell r="V19">
            <v>0.5623339906739111</v>
          </cell>
          <cell r="W19">
            <v>0.99671861092415948</v>
          </cell>
          <cell r="X19">
            <v>65</v>
          </cell>
          <cell r="Y19">
            <v>1281847.4553555993</v>
          </cell>
          <cell r="Z19">
            <v>3230237.3071000972</v>
          </cell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</row>
        <row r="20">
          <cell r="A20">
            <v>210022</v>
          </cell>
          <cell r="B20" t="str">
            <v>SUBURBAN HOSPITAL</v>
          </cell>
          <cell r="C20">
            <v>1</v>
          </cell>
          <cell r="D20">
            <v>1</v>
          </cell>
          <cell r="E20">
            <v>1</v>
          </cell>
          <cell r="F20">
            <v>375806731.72589141</v>
          </cell>
          <cell r="G20">
            <v>23488.959478240948</v>
          </cell>
          <cell r="H20">
            <v>1.1065615839607628</v>
          </cell>
          <cell r="I20">
            <v>0</v>
          </cell>
          <cell r="J20">
            <v>27677732.370000001</v>
          </cell>
          <cell r="K20">
            <v>262997</v>
          </cell>
          <cell r="L20">
            <v>4103898.4199999995</v>
          </cell>
          <cell r="M20">
            <v>297164042.52999961</v>
          </cell>
          <cell r="N20">
            <v>321954.83873003226</v>
          </cell>
          <cell r="O20">
            <v>0</v>
          </cell>
          <cell r="P20">
            <v>808569.83575766336</v>
          </cell>
          <cell r="Q20">
            <v>2913661.6593662133</v>
          </cell>
          <cell r="R20">
            <v>321331699.25</v>
          </cell>
          <cell r="S20">
            <v>24167678.04999993</v>
          </cell>
          <cell r="T20">
            <v>4</v>
          </cell>
          <cell r="U20">
            <v>4044186.3338539088</v>
          </cell>
          <cell r="V20">
            <v>0.5640361042297154</v>
          </cell>
          <cell r="W20">
            <v>1.0181752931904677</v>
          </cell>
          <cell r="X20">
            <v>4</v>
          </cell>
          <cell r="Y20">
            <v>321954.83873003226</v>
          </cell>
          <cell r="Z20">
            <v>4044186.3338539088</v>
          </cell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  <cell r="CR20"/>
          <cell r="CS20"/>
          <cell r="CT20"/>
          <cell r="CU20"/>
          <cell r="CV20"/>
          <cell r="CW20"/>
          <cell r="CX20"/>
          <cell r="CY20"/>
          <cell r="CZ20"/>
          <cell r="DA20"/>
          <cell r="DB20"/>
          <cell r="DC20"/>
          <cell r="DD20"/>
          <cell r="DE20"/>
          <cell r="DF20"/>
          <cell r="DG20"/>
          <cell r="DH20"/>
          <cell r="DI20"/>
          <cell r="DJ20"/>
          <cell r="DK20"/>
          <cell r="DL20"/>
          <cell r="DM20"/>
          <cell r="DN20"/>
          <cell r="DO20"/>
          <cell r="DP20"/>
          <cell r="DQ20"/>
          <cell r="DR20"/>
          <cell r="DS20"/>
          <cell r="DT20"/>
          <cell r="DU20"/>
          <cell r="DV20"/>
          <cell r="DW20"/>
          <cell r="DX20"/>
          <cell r="DY20"/>
          <cell r="DZ20"/>
          <cell r="EA20"/>
          <cell r="EB20"/>
          <cell r="EC20"/>
          <cell r="ED20"/>
          <cell r="EE20"/>
          <cell r="EF20"/>
          <cell r="EG20"/>
          <cell r="EH20"/>
          <cell r="EI20"/>
          <cell r="EJ20"/>
          <cell r="EK20"/>
          <cell r="EL20"/>
          <cell r="EM20"/>
          <cell r="EN20"/>
          <cell r="EO20"/>
          <cell r="EP20"/>
          <cell r="EQ20"/>
          <cell r="ER20"/>
          <cell r="ES20"/>
          <cell r="ET20"/>
          <cell r="EU20"/>
          <cell r="EV20"/>
          <cell r="EW20"/>
          <cell r="EX20"/>
          <cell r="EY20"/>
          <cell r="EZ20"/>
          <cell r="FA20"/>
          <cell r="FB20"/>
          <cell r="FC20"/>
          <cell r="FD20"/>
          <cell r="FE20"/>
          <cell r="FF20"/>
          <cell r="FG20"/>
          <cell r="FH20"/>
          <cell r="FI20"/>
          <cell r="FJ20"/>
          <cell r="FK20"/>
          <cell r="FL20"/>
          <cell r="FM20"/>
          <cell r="FN20"/>
          <cell r="FO20"/>
          <cell r="FP20"/>
          <cell r="FQ20"/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</row>
        <row r="21">
          <cell r="A21">
            <v>210023</v>
          </cell>
          <cell r="B21" t="str">
            <v>ANNE ARUNDEL MEDICAL CENTER</v>
          </cell>
          <cell r="C21">
            <v>1</v>
          </cell>
          <cell r="D21">
            <v>3</v>
          </cell>
          <cell r="E21">
            <v>1</v>
          </cell>
          <cell r="F21">
            <v>651296915.77445757</v>
          </cell>
          <cell r="G21">
            <v>43329.722661032356</v>
          </cell>
          <cell r="H21">
            <v>1.106115977406803</v>
          </cell>
          <cell r="I21">
            <v>0</v>
          </cell>
          <cell r="J21">
            <v>25890799.999999996</v>
          </cell>
          <cell r="K21">
            <v>9399800</v>
          </cell>
          <cell r="L21">
            <v>9128100</v>
          </cell>
          <cell r="M21">
            <v>539078692.12851131</v>
          </cell>
          <cell r="N21">
            <v>6781994.7477642763</v>
          </cell>
          <cell r="O21">
            <v>0</v>
          </cell>
          <cell r="P21">
            <v>0</v>
          </cell>
          <cell r="Q21">
            <v>0</v>
          </cell>
          <cell r="R21">
            <v>629269093.60000002</v>
          </cell>
          <cell r="S21">
            <v>90190401.471488759</v>
          </cell>
          <cell r="T21">
            <v>76</v>
          </cell>
          <cell r="U21">
            <v>6781994.7477642763</v>
          </cell>
          <cell r="V21">
            <v>0.57048524070148743</v>
          </cell>
          <cell r="W21">
            <v>0.99671861092415948</v>
          </cell>
          <cell r="X21">
            <v>76</v>
          </cell>
          <cell r="Y21">
            <v>6781994.7477642763</v>
          </cell>
          <cell r="Z21">
            <v>6781994.7477642763</v>
          </cell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</row>
        <row r="22">
          <cell r="A22">
            <v>210024</v>
          </cell>
          <cell r="B22" t="str">
            <v>MEDSTAR UNION MEMORIAL HOSPITAL</v>
          </cell>
          <cell r="C22">
            <v>1</v>
          </cell>
          <cell r="D22">
            <v>5</v>
          </cell>
          <cell r="E22">
            <v>1</v>
          </cell>
          <cell r="F22">
            <v>453790211.93198723</v>
          </cell>
          <cell r="G22">
            <v>24302.90314603252</v>
          </cell>
          <cell r="H22">
            <v>1.1184898813303539</v>
          </cell>
          <cell r="I22">
            <v>0</v>
          </cell>
          <cell r="J22">
            <v>15619210.604898153</v>
          </cell>
          <cell r="K22">
            <v>6659223.1402559336</v>
          </cell>
          <cell r="L22">
            <v>2640592.2270100717</v>
          </cell>
          <cell r="M22">
            <v>364574128.46947849</v>
          </cell>
          <cell r="N22">
            <v>11605785.932645733</v>
          </cell>
          <cell r="O22">
            <v>0</v>
          </cell>
          <cell r="P22">
            <v>0</v>
          </cell>
          <cell r="Q22">
            <v>0</v>
          </cell>
          <cell r="R22">
            <v>389830154.33999991</v>
          </cell>
          <cell r="S22">
            <v>25256042.24877397</v>
          </cell>
          <cell r="T22">
            <v>88</v>
          </cell>
          <cell r="U22">
            <v>11605785.932645733</v>
          </cell>
          <cell r="V22">
            <v>0.53216003055068473</v>
          </cell>
          <cell r="W22">
            <v>0.99671861092415948</v>
          </cell>
          <cell r="X22">
            <v>88</v>
          </cell>
          <cell r="Y22">
            <v>11605785.932645733</v>
          </cell>
          <cell r="Z22">
            <v>11605785.932645733</v>
          </cell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</row>
        <row r="23">
          <cell r="A23">
            <v>210027</v>
          </cell>
          <cell r="B23" t="str">
            <v>WESTERN MARYLAND REGIONAL MEDICAL CENTER</v>
          </cell>
          <cell r="C23">
            <v>1</v>
          </cell>
          <cell r="D23">
            <v>3</v>
          </cell>
          <cell r="E23">
            <v>1</v>
          </cell>
          <cell r="F23">
            <v>319348075.10071415</v>
          </cell>
          <cell r="G23">
            <v>21130.738824889631</v>
          </cell>
          <cell r="H23">
            <v>1.1223238685832824</v>
          </cell>
          <cell r="I23">
            <v>0</v>
          </cell>
          <cell r="J23">
            <v>20452190</v>
          </cell>
          <cell r="K23">
            <v>5667600</v>
          </cell>
          <cell r="L23">
            <v>6188920</v>
          </cell>
          <cell r="M23">
            <v>237708127.87499997</v>
          </cell>
          <cell r="N23">
            <v>0</v>
          </cell>
          <cell r="O23">
            <v>0</v>
          </cell>
          <cell r="P23">
            <v>437716.01595394255</v>
          </cell>
          <cell r="Q23">
            <v>1334029.6616983681</v>
          </cell>
          <cell r="R23">
            <v>309729310</v>
          </cell>
          <cell r="S23">
            <v>72021182.125000015</v>
          </cell>
          <cell r="T23">
            <v>0</v>
          </cell>
          <cell r="U23">
            <v>1771745.6776523106</v>
          </cell>
          <cell r="V23">
            <v>0.55872884872338413</v>
          </cell>
          <cell r="W23">
            <v>0.99671861092415948</v>
          </cell>
          <cell r="X23">
            <v>0</v>
          </cell>
          <cell r="Y23">
            <v>0</v>
          </cell>
          <cell r="Z23">
            <v>1771745.6776523106</v>
          </cell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  <cell r="CR23"/>
          <cell r="CS23"/>
          <cell r="CT23"/>
          <cell r="CU23"/>
          <cell r="CV23"/>
          <cell r="CW23"/>
          <cell r="CX23"/>
          <cell r="CY23"/>
          <cell r="CZ23"/>
          <cell r="DA23"/>
          <cell r="DB23"/>
          <cell r="DC23"/>
          <cell r="DD23"/>
          <cell r="DE23"/>
          <cell r="DF23"/>
          <cell r="DG23"/>
          <cell r="DH23"/>
          <cell r="DI23"/>
          <cell r="DJ23"/>
          <cell r="DK23"/>
          <cell r="DL23"/>
          <cell r="DM23"/>
          <cell r="DN23"/>
          <cell r="DO23"/>
          <cell r="DP23"/>
          <cell r="DQ23"/>
          <cell r="DR23"/>
          <cell r="DS23"/>
          <cell r="DT23"/>
          <cell r="DU23"/>
          <cell r="DV23"/>
          <cell r="DW23"/>
          <cell r="DX23"/>
          <cell r="DY23"/>
          <cell r="DZ23"/>
          <cell r="EA23"/>
          <cell r="EB23"/>
          <cell r="EC23"/>
          <cell r="ED23"/>
          <cell r="EE23"/>
          <cell r="EF23"/>
          <cell r="EG23"/>
          <cell r="EH23"/>
          <cell r="EI23"/>
          <cell r="EJ23"/>
          <cell r="EK23"/>
          <cell r="EL23"/>
          <cell r="EM23"/>
          <cell r="EN23"/>
          <cell r="EO23"/>
          <cell r="EP23"/>
          <cell r="EQ23"/>
          <cell r="ER23"/>
          <cell r="ES23"/>
          <cell r="ET23"/>
          <cell r="EU23"/>
          <cell r="EV23"/>
          <cell r="EW23"/>
          <cell r="EX23"/>
          <cell r="EY23"/>
          <cell r="EZ23"/>
          <cell r="FA23"/>
          <cell r="FB23"/>
          <cell r="FC23"/>
          <cell r="FD23"/>
          <cell r="FE23"/>
          <cell r="FF23"/>
          <cell r="FG23"/>
          <cell r="FH23"/>
          <cell r="FI23"/>
          <cell r="FJ23"/>
          <cell r="FK23"/>
          <cell r="FL23"/>
          <cell r="FM23"/>
          <cell r="FN23"/>
          <cell r="FO23"/>
          <cell r="FP23"/>
          <cell r="FQ23"/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</row>
        <row r="24">
          <cell r="A24">
            <v>210028</v>
          </cell>
          <cell r="B24" t="str">
            <v xml:space="preserve">MEDSTAR ST. MARY'S HOSPITAL </v>
          </cell>
          <cell r="C24">
            <v>1</v>
          </cell>
          <cell r="D24">
            <v>3</v>
          </cell>
          <cell r="E24">
            <v>1</v>
          </cell>
          <cell r="F24">
            <v>188317129.5831137</v>
          </cell>
          <cell r="G24">
            <v>13777.734622029006</v>
          </cell>
          <cell r="H24">
            <v>1.1113039010992114</v>
          </cell>
          <cell r="I24">
            <v>0</v>
          </cell>
          <cell r="J24">
            <v>8956630.1743892096</v>
          </cell>
          <cell r="K24">
            <v>1071626.0387638998</v>
          </cell>
          <cell r="L24">
            <v>831519.6207105834</v>
          </cell>
          <cell r="M24">
            <v>143704996.64757082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177210224.16000003</v>
          </cell>
          <cell r="S24">
            <v>33505227.512429237</v>
          </cell>
          <cell r="T24">
            <v>0</v>
          </cell>
          <cell r="U24">
            <v>0</v>
          </cell>
          <cell r="V24">
            <v>0.58188815153562745</v>
          </cell>
          <cell r="W24">
            <v>0.99671861092415948</v>
          </cell>
          <cell r="X24">
            <v>0</v>
          </cell>
          <cell r="Y24">
            <v>0</v>
          </cell>
          <cell r="Z24">
            <v>0</v>
          </cell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/>
          <cell r="CS24"/>
          <cell r="CT24"/>
          <cell r="CU24"/>
          <cell r="CV24"/>
          <cell r="CW24"/>
          <cell r="CX24"/>
          <cell r="CY24"/>
          <cell r="CZ24"/>
          <cell r="DA24"/>
          <cell r="DB24"/>
          <cell r="DC24"/>
          <cell r="DD24"/>
          <cell r="DE24"/>
          <cell r="DF24"/>
          <cell r="DG24"/>
          <cell r="DH24"/>
          <cell r="DI24"/>
          <cell r="DJ24"/>
          <cell r="DK24"/>
          <cell r="DL24"/>
          <cell r="DM24"/>
          <cell r="DN24"/>
          <cell r="DO24"/>
          <cell r="DP24"/>
          <cell r="DQ24"/>
          <cell r="DR24"/>
          <cell r="DS24"/>
          <cell r="DT24"/>
          <cell r="DU24"/>
          <cell r="DV24"/>
          <cell r="DW24"/>
          <cell r="DX24"/>
          <cell r="DY24"/>
          <cell r="DZ24"/>
          <cell r="EA24"/>
          <cell r="EB24"/>
          <cell r="EC24"/>
          <cell r="ED24"/>
          <cell r="EE24"/>
          <cell r="EF24"/>
          <cell r="EG24"/>
          <cell r="EH24"/>
          <cell r="EI24"/>
          <cell r="EJ24"/>
          <cell r="EK24"/>
          <cell r="EL24"/>
          <cell r="EM24"/>
          <cell r="EN24"/>
          <cell r="EO24"/>
          <cell r="EP24"/>
          <cell r="EQ24"/>
          <cell r="ER24"/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</row>
        <row r="25">
          <cell r="A25">
            <v>210029</v>
          </cell>
          <cell r="B25" t="str">
            <v>JOHNS HOPKINS BAYVIEW MEDICAL CENTER</v>
          </cell>
          <cell r="C25">
            <v>1</v>
          </cell>
          <cell r="D25">
            <v>5</v>
          </cell>
          <cell r="E25">
            <v>1</v>
          </cell>
          <cell r="F25">
            <v>661215649.59716046</v>
          </cell>
          <cell r="G25">
            <v>34797.11082225656</v>
          </cell>
          <cell r="H25">
            <v>1.1156059489108896</v>
          </cell>
          <cell r="I25">
            <v>0</v>
          </cell>
          <cell r="J25">
            <v>28971614.571778711</v>
          </cell>
          <cell r="K25">
            <v>8093300</v>
          </cell>
          <cell r="L25">
            <v>9255600</v>
          </cell>
          <cell r="M25">
            <v>637179346.24559069</v>
          </cell>
          <cell r="N25">
            <v>21500555.315998644</v>
          </cell>
          <cell r="O25">
            <v>0</v>
          </cell>
          <cell r="P25">
            <v>1932158.0532372135</v>
          </cell>
          <cell r="Q25">
            <v>1617171.7300050836</v>
          </cell>
          <cell r="R25">
            <v>633257376.5200001</v>
          </cell>
          <cell r="S25">
            <v>-3921969.8463996174</v>
          </cell>
          <cell r="T25">
            <v>147</v>
          </cell>
          <cell r="U25">
            <v>25049885.099240944</v>
          </cell>
          <cell r="V25">
            <v>0.73282589011689636</v>
          </cell>
          <cell r="W25">
            <v>0.99671861092415948</v>
          </cell>
          <cell r="X25">
            <v>142.22387342297466</v>
          </cell>
          <cell r="Y25">
            <v>20801988.148205824</v>
          </cell>
          <cell r="Z25">
            <v>24351317.931448124</v>
          </cell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/>
          <cell r="CS25"/>
          <cell r="CT25"/>
          <cell r="CU25"/>
          <cell r="CV25"/>
          <cell r="CW25"/>
          <cell r="CX25"/>
          <cell r="CY25"/>
          <cell r="CZ25"/>
          <cell r="DA25"/>
          <cell r="DB25"/>
          <cell r="DC25"/>
          <cell r="DD25"/>
          <cell r="DE25"/>
          <cell r="DF25"/>
          <cell r="DG25"/>
          <cell r="DH25"/>
          <cell r="DI25"/>
          <cell r="DJ25"/>
          <cell r="DK25"/>
          <cell r="DL25"/>
          <cell r="DM25"/>
          <cell r="DN25"/>
          <cell r="DO25"/>
          <cell r="DP25"/>
          <cell r="DQ25"/>
          <cell r="DR25"/>
          <cell r="DS25"/>
          <cell r="DT25"/>
          <cell r="DU25"/>
          <cell r="DV25"/>
          <cell r="DW25"/>
          <cell r="DX25"/>
          <cell r="DY25"/>
          <cell r="DZ25"/>
          <cell r="EA25"/>
          <cell r="EB25"/>
          <cell r="EC25"/>
          <cell r="ED25"/>
          <cell r="EE25"/>
          <cell r="EF25"/>
          <cell r="EG25"/>
          <cell r="EH25"/>
          <cell r="EI25"/>
          <cell r="EJ25"/>
          <cell r="EK25"/>
          <cell r="EL25"/>
          <cell r="EM25"/>
          <cell r="EN25"/>
          <cell r="EO25"/>
          <cell r="EP25"/>
          <cell r="EQ25"/>
          <cell r="ER25"/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</row>
        <row r="26">
          <cell r="A26">
            <v>210030</v>
          </cell>
          <cell r="B26" t="str">
            <v>UM-SHORE REGIONAL HEALTH AT CHESTERTOWN</v>
          </cell>
          <cell r="C26">
            <v>1</v>
          </cell>
          <cell r="D26">
            <v>3</v>
          </cell>
          <cell r="E26">
            <v>1</v>
          </cell>
          <cell r="F26">
            <v>51049369.041305318</v>
          </cell>
          <cell r="G26">
            <v>2202.6012399113993</v>
          </cell>
          <cell r="H26">
            <v>1.1208906979414186</v>
          </cell>
          <cell r="I26">
            <v>0</v>
          </cell>
          <cell r="J26">
            <v>3098486.3110707654</v>
          </cell>
          <cell r="K26">
            <v>76147.860000000044</v>
          </cell>
          <cell r="L26">
            <v>123000</v>
          </cell>
          <cell r="M26">
            <v>37841701.506655164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36802445.370000005</v>
          </cell>
          <cell r="S26">
            <v>-1039255.959495451</v>
          </cell>
          <cell r="T26">
            <v>0</v>
          </cell>
          <cell r="U26">
            <v>0</v>
          </cell>
          <cell r="V26">
            <v>0.62219660767872587</v>
          </cell>
          <cell r="W26">
            <v>0.99671861092415948</v>
          </cell>
          <cell r="X26">
            <v>0</v>
          </cell>
          <cell r="Y26">
            <v>0</v>
          </cell>
          <cell r="Z26">
            <v>0</v>
          </cell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/>
          <cell r="CS26"/>
          <cell r="CT26"/>
          <cell r="CU26"/>
          <cell r="CV26"/>
          <cell r="CW26"/>
          <cell r="CX26"/>
          <cell r="CY26"/>
          <cell r="CZ26"/>
          <cell r="DA26"/>
          <cell r="DB26"/>
          <cell r="DC26"/>
          <cell r="DD26"/>
          <cell r="DE26"/>
          <cell r="DF26"/>
          <cell r="DG26"/>
          <cell r="DH26"/>
          <cell r="DI26"/>
          <cell r="DJ26"/>
          <cell r="DK26"/>
          <cell r="DL26"/>
          <cell r="DM26"/>
          <cell r="DN26"/>
          <cell r="DO26"/>
          <cell r="DP26"/>
          <cell r="DQ26"/>
          <cell r="DR26"/>
          <cell r="DS26"/>
          <cell r="DT26"/>
          <cell r="DU26"/>
          <cell r="DV26"/>
          <cell r="DW26"/>
          <cell r="DX26"/>
          <cell r="DY26"/>
          <cell r="DZ26"/>
          <cell r="EA26"/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</row>
        <row r="27">
          <cell r="A27">
            <v>210032</v>
          </cell>
          <cell r="B27" t="str">
            <v>UNION HOSPITAL OF CECIL COUNTY</v>
          </cell>
          <cell r="C27">
            <v>1</v>
          </cell>
          <cell r="D27">
            <v>3</v>
          </cell>
          <cell r="E27">
            <v>1</v>
          </cell>
          <cell r="F27">
            <v>166140076.35565275</v>
          </cell>
          <cell r="G27">
            <v>9377.5688310821079</v>
          </cell>
          <cell r="H27">
            <v>1.117071379072643</v>
          </cell>
          <cell r="I27">
            <v>0</v>
          </cell>
          <cell r="J27">
            <v>7858223.5299999993</v>
          </cell>
          <cell r="K27">
            <v>955054.59999999974</v>
          </cell>
          <cell r="L27">
            <v>1832625.25</v>
          </cell>
          <cell r="M27">
            <v>129107899.88704549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137508920.27000001</v>
          </cell>
          <cell r="S27">
            <v>8401028.1300000213</v>
          </cell>
          <cell r="T27">
            <v>0</v>
          </cell>
          <cell r="U27">
            <v>0</v>
          </cell>
          <cell r="V27">
            <v>0.62313393530207617</v>
          </cell>
          <cell r="W27">
            <v>0.99671861092415948</v>
          </cell>
          <cell r="X27">
            <v>0</v>
          </cell>
          <cell r="Y27">
            <v>0</v>
          </cell>
          <cell r="Z27">
            <v>0</v>
          </cell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  <cell r="CR27"/>
          <cell r="CS27"/>
          <cell r="CT27"/>
          <cell r="CU27"/>
          <cell r="CV27"/>
          <cell r="CW27"/>
          <cell r="CX27"/>
          <cell r="CY27"/>
          <cell r="CZ27"/>
          <cell r="DA27"/>
          <cell r="DB27"/>
          <cell r="DC27"/>
          <cell r="DD27"/>
          <cell r="DE27"/>
          <cell r="DF27"/>
          <cell r="DG27"/>
          <cell r="DH27"/>
          <cell r="DI27"/>
          <cell r="DJ27"/>
          <cell r="DK27"/>
          <cell r="DL27"/>
          <cell r="DM27"/>
          <cell r="DN27"/>
          <cell r="DO27"/>
          <cell r="DP27"/>
          <cell r="DQ27"/>
          <cell r="DR27"/>
          <cell r="DS27"/>
          <cell r="DT27"/>
          <cell r="DU27"/>
          <cell r="DV27"/>
          <cell r="DW27"/>
          <cell r="DX27"/>
          <cell r="DY27"/>
          <cell r="DZ27"/>
          <cell r="EA27"/>
          <cell r="EB27"/>
          <cell r="EC27"/>
          <cell r="ED27"/>
          <cell r="EE27"/>
          <cell r="EF27"/>
          <cell r="EG27"/>
          <cell r="EH27"/>
          <cell r="EI27"/>
          <cell r="EJ27"/>
          <cell r="EK27"/>
          <cell r="EL27"/>
          <cell r="EM27"/>
          <cell r="EN27"/>
          <cell r="EO27"/>
          <cell r="EP27"/>
          <cell r="EQ27"/>
          <cell r="ER27"/>
          <cell r="ES27"/>
          <cell r="ET27"/>
          <cell r="EU27"/>
          <cell r="EV27"/>
          <cell r="EW27"/>
          <cell r="EX27"/>
          <cell r="EY27"/>
          <cell r="EZ27"/>
          <cell r="FA27"/>
          <cell r="FB27"/>
          <cell r="FC27"/>
          <cell r="FD27"/>
          <cell r="FE27"/>
          <cell r="FF27"/>
          <cell r="FG27"/>
          <cell r="FH27"/>
          <cell r="FI27"/>
          <cell r="FJ27"/>
          <cell r="FK27"/>
          <cell r="FL27"/>
          <cell r="FM27"/>
          <cell r="FN27"/>
          <cell r="FO27"/>
          <cell r="FP27"/>
          <cell r="FQ27"/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</row>
        <row r="28">
          <cell r="A28">
            <v>210033</v>
          </cell>
          <cell r="B28" t="str">
            <v>CARROLL HOSPITAL CENTER</v>
          </cell>
          <cell r="C28">
            <v>1</v>
          </cell>
          <cell r="D28">
            <v>3</v>
          </cell>
          <cell r="E28">
            <v>1</v>
          </cell>
          <cell r="F28">
            <v>246432735.90218499</v>
          </cell>
          <cell r="G28">
            <v>14285.360152433022</v>
          </cell>
          <cell r="H28">
            <v>1.1134231451431851</v>
          </cell>
          <cell r="I28">
            <v>0</v>
          </cell>
          <cell r="J28">
            <v>14594610</v>
          </cell>
          <cell r="K28">
            <v>1467961</v>
          </cell>
          <cell r="L28">
            <v>6122300</v>
          </cell>
          <cell r="M28">
            <v>202086532.30826923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232098751</v>
          </cell>
          <cell r="S28">
            <v>30012219.027028825</v>
          </cell>
          <cell r="T28">
            <v>0</v>
          </cell>
          <cell r="U28">
            <v>0</v>
          </cell>
          <cell r="V28">
            <v>0.54480231543352931</v>
          </cell>
          <cell r="W28">
            <v>0.99671861092415948</v>
          </cell>
          <cell r="X28">
            <v>0</v>
          </cell>
          <cell r="Y28">
            <v>0</v>
          </cell>
          <cell r="Z28">
            <v>0</v>
          </cell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</row>
        <row r="29">
          <cell r="A29">
            <v>210034</v>
          </cell>
          <cell r="B29" t="str">
            <v>MEDSTAR HARBOR HOSPITAL CENTER</v>
          </cell>
          <cell r="C29">
            <v>1</v>
          </cell>
          <cell r="D29">
            <v>4</v>
          </cell>
          <cell r="E29">
            <v>1</v>
          </cell>
          <cell r="F29">
            <v>199607198.34172398</v>
          </cell>
          <cell r="G29">
            <v>10736.063256161928</v>
          </cell>
          <cell r="H29">
            <v>1.121155875283643</v>
          </cell>
          <cell r="I29">
            <v>0</v>
          </cell>
          <cell r="J29">
            <v>7907684</v>
          </cell>
          <cell r="K29">
            <v>212668.66000000003</v>
          </cell>
          <cell r="L29">
            <v>1280487</v>
          </cell>
          <cell r="M29">
            <v>157385193.53160509</v>
          </cell>
          <cell r="N29">
            <v>2256718.4282901748</v>
          </cell>
          <cell r="O29">
            <v>0</v>
          </cell>
          <cell r="P29">
            <v>0</v>
          </cell>
          <cell r="Q29">
            <v>0</v>
          </cell>
          <cell r="R29">
            <v>162948523.02999997</v>
          </cell>
          <cell r="S29">
            <v>5563329.4983948581</v>
          </cell>
          <cell r="T29">
            <v>46</v>
          </cell>
          <cell r="U29">
            <v>2256718.4282901748</v>
          </cell>
          <cell r="V29">
            <v>0.62343258804205115</v>
          </cell>
          <cell r="W29">
            <v>0.99671861092415948</v>
          </cell>
          <cell r="X29">
            <v>46</v>
          </cell>
          <cell r="Y29">
            <v>2256718.4282901748</v>
          </cell>
          <cell r="Z29">
            <v>2256718.4282901748</v>
          </cell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  <cell r="CR29"/>
          <cell r="CS29"/>
          <cell r="CT29"/>
          <cell r="CU29"/>
          <cell r="CV29"/>
          <cell r="CW29"/>
          <cell r="CX29"/>
          <cell r="CY29"/>
          <cell r="CZ29"/>
          <cell r="DA29"/>
          <cell r="DB29"/>
          <cell r="DC29"/>
          <cell r="DD29"/>
          <cell r="DE29"/>
          <cell r="DF29"/>
          <cell r="DG29"/>
          <cell r="DH29"/>
          <cell r="DI29"/>
          <cell r="DJ29"/>
          <cell r="DK29"/>
          <cell r="DL29"/>
          <cell r="DM29"/>
          <cell r="DN29"/>
          <cell r="DO29"/>
          <cell r="DP29"/>
          <cell r="DQ29"/>
          <cell r="DR29"/>
          <cell r="DS29"/>
          <cell r="DT29"/>
          <cell r="DU29"/>
          <cell r="DV29"/>
          <cell r="DW29"/>
          <cell r="DX29"/>
          <cell r="DY29"/>
          <cell r="DZ29"/>
          <cell r="EA29"/>
          <cell r="EB29"/>
          <cell r="EC29"/>
          <cell r="ED29"/>
          <cell r="EE29"/>
          <cell r="EF29"/>
          <cell r="EG29"/>
          <cell r="EH29"/>
          <cell r="EI29"/>
          <cell r="EJ29"/>
          <cell r="EK29"/>
          <cell r="EL29"/>
          <cell r="EM29"/>
          <cell r="EN29"/>
          <cell r="EO29"/>
          <cell r="EP29"/>
          <cell r="EQ29"/>
          <cell r="ER29"/>
          <cell r="ES29"/>
          <cell r="ET29"/>
          <cell r="EU29"/>
          <cell r="EV29"/>
          <cell r="EW29"/>
          <cell r="EX29"/>
          <cell r="EY29"/>
          <cell r="EZ29"/>
          <cell r="FA29"/>
          <cell r="FB29"/>
          <cell r="FC29"/>
          <cell r="FD29"/>
          <cell r="FE29"/>
          <cell r="FF29"/>
          <cell r="FG29"/>
          <cell r="FH29"/>
          <cell r="FI29"/>
          <cell r="FJ29"/>
          <cell r="FK29"/>
          <cell r="FL29"/>
          <cell r="FM29"/>
          <cell r="FN29"/>
          <cell r="FO29"/>
          <cell r="FP29"/>
          <cell r="FQ29"/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</row>
        <row r="30">
          <cell r="A30">
            <v>210035</v>
          </cell>
          <cell r="B30" t="str">
            <v>UM-CHARLES REGIONAL MEDICAL CENTER</v>
          </cell>
          <cell r="C30">
            <v>1</v>
          </cell>
          <cell r="D30">
            <v>3</v>
          </cell>
          <cell r="E30">
            <v>1</v>
          </cell>
          <cell r="F30">
            <v>169238505.00161451</v>
          </cell>
          <cell r="G30">
            <v>11351.373331058316</v>
          </cell>
          <cell r="H30">
            <v>1.113848230549032</v>
          </cell>
          <cell r="I30">
            <v>0</v>
          </cell>
          <cell r="J30">
            <v>6979763.2335418426</v>
          </cell>
          <cell r="K30">
            <v>1168498.42</v>
          </cell>
          <cell r="L30">
            <v>1448367.2999999998</v>
          </cell>
          <cell r="M30">
            <v>126657282.19726135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151721456.47</v>
          </cell>
          <cell r="S30">
            <v>25064174.272738658</v>
          </cell>
          <cell r="T30">
            <v>0</v>
          </cell>
          <cell r="U30">
            <v>0</v>
          </cell>
          <cell r="V30">
            <v>0.63727675722986021</v>
          </cell>
          <cell r="W30">
            <v>0.99671861092415948</v>
          </cell>
          <cell r="X30">
            <v>0</v>
          </cell>
          <cell r="Y30">
            <v>0</v>
          </cell>
          <cell r="Z30">
            <v>0</v>
          </cell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  <cell r="CR30"/>
          <cell r="CS30"/>
          <cell r="CT30"/>
          <cell r="CU30"/>
          <cell r="CV30"/>
          <cell r="CW30"/>
          <cell r="CX30"/>
          <cell r="CY30"/>
          <cell r="CZ30"/>
          <cell r="DA30"/>
          <cell r="DB30"/>
          <cell r="DC30"/>
          <cell r="DD30"/>
          <cell r="DE30"/>
          <cell r="DF30"/>
          <cell r="DG30"/>
          <cell r="DH30"/>
          <cell r="DI30"/>
          <cell r="DJ30"/>
          <cell r="DK30"/>
          <cell r="DL30"/>
          <cell r="DM30"/>
          <cell r="DN30"/>
          <cell r="DO30"/>
          <cell r="DP30"/>
          <cell r="DQ30"/>
          <cell r="DR30"/>
          <cell r="DS30"/>
          <cell r="DT30"/>
          <cell r="DU30"/>
          <cell r="DV30"/>
          <cell r="DW30"/>
          <cell r="DX30"/>
          <cell r="DY30"/>
          <cell r="DZ30"/>
          <cell r="EA30"/>
          <cell r="EB30"/>
          <cell r="EC30"/>
          <cell r="ED30"/>
          <cell r="EE30"/>
          <cell r="EF30"/>
          <cell r="EG30"/>
          <cell r="EH30"/>
          <cell r="EI30"/>
          <cell r="EJ30"/>
          <cell r="EK30"/>
          <cell r="EL30"/>
          <cell r="EM30"/>
          <cell r="EN30"/>
          <cell r="EO30"/>
          <cell r="EP30"/>
          <cell r="EQ30"/>
          <cell r="ER30"/>
          <cell r="ES30"/>
          <cell r="ET30"/>
          <cell r="EU30"/>
          <cell r="EV30"/>
          <cell r="EW30"/>
          <cell r="EX30"/>
          <cell r="EY30"/>
          <cell r="EZ30"/>
          <cell r="FA30"/>
          <cell r="FB30"/>
          <cell r="FC30"/>
          <cell r="FD30"/>
          <cell r="FE30"/>
          <cell r="FF30"/>
          <cell r="FG30"/>
          <cell r="FH30"/>
          <cell r="FI30"/>
          <cell r="FJ30"/>
          <cell r="FK30"/>
          <cell r="FL30"/>
          <cell r="FM30"/>
          <cell r="FN30"/>
          <cell r="FO30"/>
          <cell r="FP30"/>
          <cell r="FQ30"/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</row>
        <row r="31">
          <cell r="A31">
            <v>210037</v>
          </cell>
          <cell r="B31" t="str">
            <v>UM-SHORE REGIONAL HEALTH AT EASTON</v>
          </cell>
          <cell r="C31">
            <v>1</v>
          </cell>
          <cell r="D31">
            <v>3</v>
          </cell>
          <cell r="E31">
            <v>1</v>
          </cell>
          <cell r="F31">
            <v>242184839.22709921</v>
          </cell>
          <cell r="G31">
            <v>12467.759460826932</v>
          </cell>
          <cell r="H31">
            <v>1.1218413877870759</v>
          </cell>
          <cell r="I31">
            <v>0</v>
          </cell>
          <cell r="J31">
            <v>13468439.896701027</v>
          </cell>
          <cell r="K31">
            <v>583084.49449538067</v>
          </cell>
          <cell r="L31">
            <v>1616384.84</v>
          </cell>
          <cell r="M31">
            <v>160589636.18195093</v>
          </cell>
          <cell r="N31">
            <v>0</v>
          </cell>
          <cell r="O31">
            <v>1131100</v>
          </cell>
          <cell r="P31">
            <v>0</v>
          </cell>
          <cell r="Q31">
            <v>0</v>
          </cell>
          <cell r="R31">
            <v>219312121.3985633</v>
          </cell>
          <cell r="S31">
            <v>58722508.601862274</v>
          </cell>
          <cell r="T31">
            <v>0</v>
          </cell>
          <cell r="U31">
            <v>1131100</v>
          </cell>
          <cell r="V31">
            <v>0.63317701751000888</v>
          </cell>
          <cell r="W31">
            <v>0.99671861092415948</v>
          </cell>
          <cell r="X31">
            <v>0</v>
          </cell>
          <cell r="Y31">
            <v>0</v>
          </cell>
          <cell r="Z31">
            <v>1131100</v>
          </cell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  <cell r="CP31"/>
          <cell r="CQ31"/>
          <cell r="CR31"/>
          <cell r="CS31"/>
          <cell r="CT31"/>
          <cell r="CU31"/>
          <cell r="CV31"/>
          <cell r="CW31"/>
          <cell r="CX31"/>
          <cell r="CY31"/>
          <cell r="CZ31"/>
          <cell r="DA31"/>
          <cell r="DB31"/>
          <cell r="DC31"/>
          <cell r="DD31"/>
          <cell r="DE31"/>
          <cell r="DF31"/>
          <cell r="DG31"/>
          <cell r="DH31"/>
          <cell r="DI31"/>
          <cell r="DJ31"/>
          <cell r="DK31"/>
          <cell r="DL31"/>
          <cell r="DM31"/>
          <cell r="DN31"/>
          <cell r="DO31"/>
          <cell r="DP31"/>
          <cell r="DQ31"/>
          <cell r="DR31"/>
          <cell r="DS31"/>
          <cell r="DT31"/>
          <cell r="DU31"/>
          <cell r="DV31"/>
          <cell r="DW31"/>
          <cell r="DX31"/>
          <cell r="DY31"/>
          <cell r="DZ31"/>
          <cell r="EA31"/>
          <cell r="EB31"/>
          <cell r="EC31"/>
          <cell r="ED31"/>
          <cell r="EE31"/>
          <cell r="EF31"/>
          <cell r="EG31"/>
          <cell r="EH31"/>
          <cell r="EI31"/>
          <cell r="EJ31"/>
          <cell r="EK31"/>
          <cell r="EL31"/>
          <cell r="EM31"/>
          <cell r="EN31"/>
          <cell r="EO31"/>
          <cell r="EP31"/>
          <cell r="EQ31"/>
          <cell r="ER31"/>
          <cell r="ES31"/>
          <cell r="ET31"/>
          <cell r="EU31"/>
          <cell r="EV31"/>
          <cell r="EW31"/>
          <cell r="EX31"/>
          <cell r="EY31"/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/>
          <cell r="FO31"/>
          <cell r="FP31"/>
          <cell r="FQ31"/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</row>
        <row r="32">
          <cell r="A32">
            <v>210038</v>
          </cell>
          <cell r="B32" t="str">
            <v>UMMC MIDTOWN CAMPUS</v>
          </cell>
          <cell r="C32">
            <v>1</v>
          </cell>
          <cell r="D32">
            <v>4</v>
          </cell>
          <cell r="E32">
            <v>1</v>
          </cell>
          <cell r="F32">
            <v>222132281.47513673</v>
          </cell>
          <cell r="G32">
            <v>9709.1593517834408</v>
          </cell>
          <cell r="H32">
            <v>1.1258314334229163</v>
          </cell>
          <cell r="I32">
            <v>0</v>
          </cell>
          <cell r="J32">
            <v>13437806.080499606</v>
          </cell>
          <cell r="K32">
            <v>1164759.5999999999</v>
          </cell>
          <cell r="L32">
            <v>933000</v>
          </cell>
          <cell r="M32">
            <v>188617780.74117175</v>
          </cell>
          <cell r="N32">
            <v>2860844.1482533831</v>
          </cell>
          <cell r="O32">
            <v>0</v>
          </cell>
          <cell r="P32">
            <v>0</v>
          </cell>
          <cell r="Q32">
            <v>0</v>
          </cell>
          <cell r="R32">
            <v>195404371.63</v>
          </cell>
          <cell r="S32">
            <v>6786590.8888283009</v>
          </cell>
          <cell r="T32">
            <v>40</v>
          </cell>
          <cell r="U32">
            <v>2860844.1482533831</v>
          </cell>
          <cell r="V32">
            <v>0.56119142434660518</v>
          </cell>
          <cell r="W32">
            <v>0.99671861092415948</v>
          </cell>
          <cell r="X32">
            <v>37.090587642300441</v>
          </cell>
          <cell r="Y32">
            <v>2652759.7652938613</v>
          </cell>
          <cell r="Z32">
            <v>2652759.7652938613</v>
          </cell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/>
          <cell r="CS32"/>
          <cell r="CT32"/>
          <cell r="CU32"/>
          <cell r="CV32"/>
          <cell r="CW32"/>
          <cell r="CX32"/>
          <cell r="CY32"/>
          <cell r="CZ32"/>
          <cell r="DA32"/>
          <cell r="DB32"/>
          <cell r="DC32"/>
          <cell r="DD32"/>
          <cell r="DE32"/>
          <cell r="DF32"/>
          <cell r="DG32"/>
          <cell r="DH32"/>
          <cell r="DI32"/>
          <cell r="DJ32"/>
          <cell r="DK32"/>
          <cell r="DL32"/>
          <cell r="DM32"/>
          <cell r="DN32"/>
          <cell r="DO32"/>
          <cell r="DP32"/>
          <cell r="DQ32"/>
          <cell r="DR32"/>
          <cell r="DS32"/>
          <cell r="DT32"/>
          <cell r="DU32"/>
          <cell r="DV32"/>
          <cell r="DW32"/>
          <cell r="DX32"/>
          <cell r="DY32"/>
          <cell r="DZ32"/>
          <cell r="EA32"/>
          <cell r="EB32"/>
          <cell r="EC32"/>
          <cell r="ED32"/>
          <cell r="EE32"/>
          <cell r="EF32"/>
          <cell r="EG32"/>
          <cell r="EH32"/>
          <cell r="EI32"/>
          <cell r="EJ32"/>
          <cell r="EK32"/>
          <cell r="EL32"/>
          <cell r="EM32"/>
          <cell r="EN32"/>
          <cell r="EO32"/>
          <cell r="EP32"/>
          <cell r="EQ32"/>
          <cell r="ER32"/>
          <cell r="ES32"/>
          <cell r="ET32"/>
          <cell r="EU32"/>
          <cell r="EV32"/>
          <cell r="EW32"/>
          <cell r="EX32"/>
          <cell r="EY32"/>
          <cell r="EZ32"/>
          <cell r="FA32"/>
          <cell r="FB32"/>
          <cell r="FC32"/>
          <cell r="FD32"/>
          <cell r="FE32"/>
          <cell r="FF32"/>
          <cell r="FG32"/>
          <cell r="FH32"/>
          <cell r="FI32"/>
          <cell r="FJ32"/>
          <cell r="FK32"/>
          <cell r="FL32"/>
          <cell r="FM32"/>
          <cell r="FN32"/>
          <cell r="FO32"/>
          <cell r="FP32"/>
          <cell r="FQ32"/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</row>
        <row r="33">
          <cell r="A33">
            <v>210039</v>
          </cell>
          <cell r="B33" t="str">
            <v>CALVERT MEMORIAL HOSPITAL</v>
          </cell>
          <cell r="C33">
            <v>1</v>
          </cell>
          <cell r="D33">
            <v>3</v>
          </cell>
          <cell r="E33">
            <v>1</v>
          </cell>
          <cell r="F33">
            <v>154729015.9017427</v>
          </cell>
          <cell r="G33">
            <v>9568.5742926555213</v>
          </cell>
          <cell r="H33">
            <v>1.1175705818705655</v>
          </cell>
          <cell r="I33">
            <v>0</v>
          </cell>
          <cell r="J33">
            <v>12321273.618422743</v>
          </cell>
          <cell r="K33">
            <v>1918968.6999999997</v>
          </cell>
          <cell r="L33">
            <v>2197949.81</v>
          </cell>
          <cell r="M33">
            <v>131597332.35704023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144771296.90999997</v>
          </cell>
          <cell r="S33">
            <v>13173964.552959748</v>
          </cell>
          <cell r="T33">
            <v>0</v>
          </cell>
          <cell r="U33">
            <v>0</v>
          </cell>
          <cell r="V33">
            <v>0.61107911546737015</v>
          </cell>
          <cell r="W33">
            <v>0.99671861092415948</v>
          </cell>
          <cell r="X33">
            <v>0</v>
          </cell>
          <cell r="Y33">
            <v>0</v>
          </cell>
          <cell r="Z33">
            <v>0</v>
          </cell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</row>
        <row r="34">
          <cell r="A34">
            <v>210040</v>
          </cell>
          <cell r="B34" t="str">
            <v>NORTHWEST HOSPITAL CENTER</v>
          </cell>
          <cell r="C34">
            <v>1</v>
          </cell>
          <cell r="D34">
            <v>3</v>
          </cell>
          <cell r="E34">
            <v>1</v>
          </cell>
          <cell r="F34">
            <v>270300737.07014018</v>
          </cell>
          <cell r="G34">
            <v>14816.756051482425</v>
          </cell>
          <cell r="H34">
            <v>1.1181703330327433</v>
          </cell>
          <cell r="I34">
            <v>0</v>
          </cell>
          <cell r="J34">
            <v>16565085.530000001</v>
          </cell>
          <cell r="K34">
            <v>644100.10000000021</v>
          </cell>
          <cell r="L34">
            <v>3535699.94</v>
          </cell>
          <cell r="M34">
            <v>222859888.94999999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249450182.29000285</v>
          </cell>
          <cell r="S34">
            <v>26590293.019366533</v>
          </cell>
          <cell r="T34">
            <v>0</v>
          </cell>
          <cell r="U34">
            <v>0</v>
          </cell>
          <cell r="V34">
            <v>0.64866657902555458</v>
          </cell>
          <cell r="W34">
            <v>0.99671861092415948</v>
          </cell>
          <cell r="X34">
            <v>0</v>
          </cell>
          <cell r="Y34">
            <v>0</v>
          </cell>
          <cell r="Z34">
            <v>0</v>
          </cell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</row>
        <row r="35">
          <cell r="A35">
            <v>210043</v>
          </cell>
          <cell r="B35" t="str">
            <v>UM-BALTIMORE WASHINGTON MEDICAL CENTER</v>
          </cell>
          <cell r="C35">
            <v>1</v>
          </cell>
          <cell r="D35">
            <v>1</v>
          </cell>
          <cell r="E35">
            <v>1</v>
          </cell>
          <cell r="F35">
            <v>477380271.59001684</v>
          </cell>
          <cell r="G35">
            <v>32397.324865108072</v>
          </cell>
          <cell r="H35">
            <v>1.1145621084900688</v>
          </cell>
          <cell r="I35">
            <v>0</v>
          </cell>
          <cell r="J35">
            <v>26716233.333333332</v>
          </cell>
          <cell r="K35">
            <v>1728300</v>
          </cell>
          <cell r="L35">
            <v>4717000</v>
          </cell>
          <cell r="M35">
            <v>392614049.49497432</v>
          </cell>
          <cell r="N35">
            <v>730772.74507387949</v>
          </cell>
          <cell r="O35">
            <v>0</v>
          </cell>
          <cell r="P35">
            <v>0</v>
          </cell>
          <cell r="Q35">
            <v>0</v>
          </cell>
          <cell r="R35">
            <v>438598368.18101144</v>
          </cell>
          <cell r="S35">
            <v>45984318.68603716</v>
          </cell>
          <cell r="T35">
            <v>7</v>
          </cell>
          <cell r="U35">
            <v>730772.74507387949</v>
          </cell>
          <cell r="V35">
            <v>0.63694856280044099</v>
          </cell>
          <cell r="W35">
            <v>0.99671861092415948</v>
          </cell>
          <cell r="X35">
            <v>7</v>
          </cell>
          <cell r="Y35">
            <v>730772.74507387949</v>
          </cell>
          <cell r="Z35">
            <v>730772.74507387949</v>
          </cell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</row>
        <row r="36">
          <cell r="A36">
            <v>210044</v>
          </cell>
          <cell r="B36" t="str">
            <v>GREATER BALTIMORE MEDICAL CENTER</v>
          </cell>
          <cell r="C36">
            <v>1</v>
          </cell>
          <cell r="D36">
            <v>1</v>
          </cell>
          <cell r="E36">
            <v>1</v>
          </cell>
          <cell r="F36">
            <v>460787554.08196807</v>
          </cell>
          <cell r="G36">
            <v>29368.631343264198</v>
          </cell>
          <cell r="H36">
            <v>1.1063042889284109</v>
          </cell>
          <cell r="I36">
            <v>0</v>
          </cell>
          <cell r="J36">
            <v>24045530.728841886</v>
          </cell>
          <cell r="K36">
            <v>11591259</v>
          </cell>
          <cell r="L36">
            <v>3718495.8392786225</v>
          </cell>
          <cell r="M36">
            <v>398388943.28077805</v>
          </cell>
          <cell r="N36">
            <v>7967393.5865573045</v>
          </cell>
          <cell r="O36">
            <v>0</v>
          </cell>
          <cell r="P36">
            <v>0</v>
          </cell>
          <cell r="Q36">
            <v>0</v>
          </cell>
          <cell r="R36">
            <v>471245859.00000006</v>
          </cell>
          <cell r="S36">
            <v>72856915.719222039</v>
          </cell>
          <cell r="T36">
            <v>58</v>
          </cell>
          <cell r="U36">
            <v>7967393.5865573045</v>
          </cell>
          <cell r="V36">
            <v>0.63797971493717465</v>
          </cell>
          <cell r="W36">
            <v>0.99671861092415948</v>
          </cell>
          <cell r="X36">
            <v>58</v>
          </cell>
          <cell r="Y36">
            <v>7967393.5865573045</v>
          </cell>
          <cell r="Z36">
            <v>7967393.5865573045</v>
          </cell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/>
          <cell r="CS36"/>
          <cell r="CT36"/>
          <cell r="CU36"/>
          <cell r="CV36"/>
          <cell r="CW36"/>
          <cell r="CX36"/>
          <cell r="CY36"/>
          <cell r="CZ36"/>
          <cell r="DA36"/>
          <cell r="DB36"/>
          <cell r="DC36"/>
          <cell r="DD36"/>
          <cell r="DE36"/>
          <cell r="DF36"/>
          <cell r="DG36"/>
          <cell r="DH36"/>
          <cell r="DI36"/>
          <cell r="DJ36"/>
          <cell r="DK36"/>
          <cell r="DL36"/>
          <cell r="DM36"/>
          <cell r="DN36"/>
          <cell r="DO36"/>
          <cell r="DP36"/>
          <cell r="DQ36"/>
          <cell r="DR36"/>
          <cell r="DS36"/>
          <cell r="DT36"/>
          <cell r="DU36"/>
          <cell r="DV36"/>
          <cell r="DW36"/>
          <cell r="DX36"/>
          <cell r="DY36"/>
          <cell r="DZ36"/>
          <cell r="EA36"/>
          <cell r="EB36"/>
          <cell r="EC36"/>
          <cell r="ED36"/>
          <cell r="EE36"/>
          <cell r="EF36"/>
          <cell r="EG36"/>
          <cell r="EH36"/>
          <cell r="EI36"/>
          <cell r="EJ36"/>
          <cell r="EK36"/>
          <cell r="EL36"/>
          <cell r="EM36"/>
          <cell r="EN36"/>
          <cell r="EO36"/>
          <cell r="EP36"/>
          <cell r="EQ36"/>
          <cell r="ER36"/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</row>
        <row r="37">
          <cell r="A37">
            <v>210045</v>
          </cell>
          <cell r="B37" t="str">
            <v>MCCREADY MEMORIAL HOSPITAL</v>
          </cell>
          <cell r="C37" t="str">
            <v>NA</v>
          </cell>
          <cell r="D37">
            <v>3</v>
          </cell>
          <cell r="E37">
            <v>1</v>
          </cell>
          <cell r="F37">
            <v>5474355.3765479783</v>
          </cell>
          <cell r="G37">
            <v>466.59256097899981</v>
          </cell>
          <cell r="H37">
            <v>1.1208650134087534</v>
          </cell>
          <cell r="I37">
            <v>0</v>
          </cell>
          <cell r="J37">
            <v>0</v>
          </cell>
          <cell r="K37">
            <v>766800</v>
          </cell>
          <cell r="L37">
            <v>0</v>
          </cell>
          <cell r="M37">
            <v>6906000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4415599</v>
          </cell>
          <cell r="S37">
            <v>-2490401.0000000009</v>
          </cell>
          <cell r="T37">
            <v>0</v>
          </cell>
          <cell r="U37">
            <v>0</v>
          </cell>
          <cell r="V37">
            <v>0.57866160133803912</v>
          </cell>
          <cell r="W37">
            <v>0.99671861092415948</v>
          </cell>
          <cell r="X37">
            <v>0</v>
          </cell>
          <cell r="Y37">
            <v>0</v>
          </cell>
          <cell r="Z37">
            <v>0</v>
          </cell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/>
          <cell r="EJ37"/>
          <cell r="EK37"/>
          <cell r="EL37"/>
          <cell r="EM37"/>
          <cell r="EN37"/>
          <cell r="EO37"/>
          <cell r="EP37"/>
          <cell r="EQ37"/>
          <cell r="ER37"/>
          <cell r="ES37"/>
          <cell r="ET37"/>
          <cell r="EU37"/>
          <cell r="EV37"/>
          <cell r="EW37"/>
          <cell r="EX37"/>
          <cell r="EY37"/>
          <cell r="EZ37"/>
          <cell r="FA37"/>
          <cell r="FB37"/>
          <cell r="FC37"/>
          <cell r="FD37"/>
          <cell r="FE37"/>
          <cell r="FF37"/>
          <cell r="FG37"/>
          <cell r="FH37"/>
          <cell r="FI37"/>
          <cell r="FJ37"/>
          <cell r="FK37"/>
          <cell r="FL37"/>
          <cell r="FM37"/>
          <cell r="FN37"/>
          <cell r="FO37"/>
          <cell r="FP37"/>
          <cell r="FQ37"/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</row>
        <row r="38">
          <cell r="A38">
            <v>210048</v>
          </cell>
          <cell r="B38" t="str">
            <v>HOWARD COUNTY GENERAL HOSPITAL</v>
          </cell>
          <cell r="C38">
            <v>1</v>
          </cell>
          <cell r="D38">
            <v>3</v>
          </cell>
          <cell r="E38">
            <v>1</v>
          </cell>
          <cell r="F38">
            <v>333033282.73930299</v>
          </cell>
          <cell r="G38">
            <v>25312.662604207326</v>
          </cell>
          <cell r="H38">
            <v>1.1035319628028362</v>
          </cell>
          <cell r="I38">
            <v>0</v>
          </cell>
          <cell r="J38">
            <v>14000220</v>
          </cell>
          <cell r="K38">
            <v>1196731</v>
          </cell>
          <cell r="L38">
            <v>6230361</v>
          </cell>
          <cell r="M38">
            <v>269575333.99999994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277692660.33000004</v>
          </cell>
          <cell r="S38">
            <v>8117352.227000054</v>
          </cell>
          <cell r="T38">
            <v>0</v>
          </cell>
          <cell r="U38">
            <v>0</v>
          </cell>
          <cell r="V38">
            <v>0.6221380279364499</v>
          </cell>
          <cell r="W38">
            <v>0.99671861092415948</v>
          </cell>
          <cell r="X38">
            <v>0</v>
          </cell>
          <cell r="Y38">
            <v>0</v>
          </cell>
          <cell r="Z38">
            <v>0</v>
          </cell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</row>
        <row r="39">
          <cell r="A39">
            <v>210049</v>
          </cell>
          <cell r="B39" t="str">
            <v>UM-UPPER CHESAPEAKE MEDICAL CENTER</v>
          </cell>
          <cell r="C39">
            <v>1</v>
          </cell>
          <cell r="D39">
            <v>3</v>
          </cell>
          <cell r="E39">
            <v>1</v>
          </cell>
          <cell r="F39">
            <v>343727993.16168529</v>
          </cell>
          <cell r="G39">
            <v>23119.392384067778</v>
          </cell>
          <cell r="H39">
            <v>1.1113170282199378</v>
          </cell>
          <cell r="I39">
            <v>0</v>
          </cell>
          <cell r="J39">
            <v>19185854.233250193</v>
          </cell>
          <cell r="K39">
            <v>1063715</v>
          </cell>
          <cell r="L39">
            <v>5417039</v>
          </cell>
          <cell r="M39">
            <v>261461773.18048477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315775471.35947269</v>
          </cell>
          <cell r="S39">
            <v>54313689.178987816</v>
          </cell>
          <cell r="T39">
            <v>0</v>
          </cell>
          <cell r="U39">
            <v>0</v>
          </cell>
          <cell r="V39">
            <v>0.59421105330990376</v>
          </cell>
          <cell r="W39">
            <v>0.99671861092415948</v>
          </cell>
          <cell r="X39">
            <v>0</v>
          </cell>
          <cell r="Y39">
            <v>0</v>
          </cell>
          <cell r="Z39">
            <v>0</v>
          </cell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</row>
        <row r="40">
          <cell r="A40">
            <v>210051</v>
          </cell>
          <cell r="B40" t="str">
            <v>DOCTORS COMMUNITY HOSPITAL</v>
          </cell>
          <cell r="C40">
            <v>1</v>
          </cell>
          <cell r="D40">
            <v>3</v>
          </cell>
          <cell r="E40">
            <v>1</v>
          </cell>
          <cell r="F40">
            <v>269132383.96925682</v>
          </cell>
          <cell r="G40">
            <v>16208.384556335501</v>
          </cell>
          <cell r="H40">
            <v>1.113878496328909</v>
          </cell>
          <cell r="I40">
            <v>0</v>
          </cell>
          <cell r="J40">
            <v>12423800</v>
          </cell>
          <cell r="K40">
            <v>3182200</v>
          </cell>
          <cell r="L40">
            <v>4525400</v>
          </cell>
          <cell r="M40">
            <v>216637692.51902488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227997899.99999997</v>
          </cell>
          <cell r="S40">
            <v>11360207.480975077</v>
          </cell>
          <cell r="T40">
            <v>0</v>
          </cell>
          <cell r="U40">
            <v>0</v>
          </cell>
          <cell r="V40">
            <v>0.57766564458383873</v>
          </cell>
          <cell r="W40">
            <v>1.0181752931904677</v>
          </cell>
          <cell r="X40">
            <v>0</v>
          </cell>
          <cell r="Y40">
            <v>0</v>
          </cell>
          <cell r="Z40">
            <v>0</v>
          </cell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</row>
        <row r="41">
          <cell r="A41">
            <v>210055</v>
          </cell>
          <cell r="B41" t="str">
            <v>LAUREL REGIONAL HOSPITAL</v>
          </cell>
          <cell r="C41" t="str">
            <v>NA</v>
          </cell>
          <cell r="D41">
            <v>3</v>
          </cell>
          <cell r="E41">
            <v>1</v>
          </cell>
          <cell r="F41">
            <v>37836861.798722707</v>
          </cell>
          <cell r="G41">
            <v>1606.599890189003</v>
          </cell>
          <cell r="H41">
            <v>1.2030937758502493</v>
          </cell>
          <cell r="I41">
            <v>0</v>
          </cell>
          <cell r="J41">
            <v>2817884.8334657475</v>
          </cell>
          <cell r="K41">
            <v>45239.460000000006</v>
          </cell>
          <cell r="L41">
            <v>0</v>
          </cell>
          <cell r="M41">
            <v>33033322.432273738</v>
          </cell>
          <cell r="N41">
            <v>0</v>
          </cell>
          <cell r="O41">
            <v>133099.74379313178</v>
          </cell>
          <cell r="P41">
            <v>0</v>
          </cell>
          <cell r="Q41">
            <v>0</v>
          </cell>
          <cell r="R41">
            <v>22001030.820000004</v>
          </cell>
          <cell r="S41">
            <v>-11032275.15227372</v>
          </cell>
          <cell r="T41">
            <v>0</v>
          </cell>
          <cell r="U41">
            <v>133099.74379313178</v>
          </cell>
          <cell r="V41">
            <v>0.72697099034761647</v>
          </cell>
          <cell r="W41">
            <v>1.0181752931904677</v>
          </cell>
          <cell r="X41">
            <v>0</v>
          </cell>
          <cell r="Y41">
            <v>0</v>
          </cell>
          <cell r="Z41">
            <v>133099.74379313178</v>
          </cell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/>
          <cell r="CS41"/>
          <cell r="CT41"/>
          <cell r="CU41"/>
          <cell r="CV41"/>
          <cell r="CW41"/>
          <cell r="CX41"/>
          <cell r="CY41"/>
          <cell r="CZ41"/>
          <cell r="DA41"/>
          <cell r="DB41"/>
          <cell r="DC41"/>
          <cell r="DD41"/>
          <cell r="DE41"/>
          <cell r="DF41"/>
          <cell r="DG41"/>
          <cell r="DH41"/>
          <cell r="DI41"/>
          <cell r="DJ41"/>
          <cell r="DK41"/>
          <cell r="DL41"/>
          <cell r="DM41"/>
          <cell r="DN41"/>
          <cell r="DO41"/>
          <cell r="DP41"/>
          <cell r="DQ41"/>
          <cell r="DR41"/>
          <cell r="DS41"/>
          <cell r="DT41"/>
          <cell r="DU41"/>
          <cell r="DV41"/>
          <cell r="DW41"/>
          <cell r="DX41"/>
          <cell r="DY41"/>
          <cell r="DZ41"/>
          <cell r="EA41"/>
          <cell r="EB41"/>
          <cell r="EC41"/>
          <cell r="ED41"/>
          <cell r="EE41"/>
          <cell r="EF41"/>
          <cell r="EG41"/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</row>
        <row r="42">
          <cell r="A42">
            <v>210056</v>
          </cell>
          <cell r="B42" t="str">
            <v>MEDSTAR GOOD SAMARITAN</v>
          </cell>
          <cell r="C42">
            <v>1</v>
          </cell>
          <cell r="D42">
            <v>1</v>
          </cell>
          <cell r="E42">
            <v>1</v>
          </cell>
          <cell r="F42">
            <v>289833254.0926072</v>
          </cell>
          <cell r="G42">
            <v>16424.798771212485</v>
          </cell>
          <cell r="H42">
            <v>1.1246122356478365</v>
          </cell>
          <cell r="I42">
            <v>0</v>
          </cell>
          <cell r="J42">
            <v>12870382.108180756</v>
          </cell>
          <cell r="K42">
            <v>3986316.4165563863</v>
          </cell>
          <cell r="L42">
            <v>1952821.4376057179</v>
          </cell>
          <cell r="M42">
            <v>226292443.62923938</v>
          </cell>
          <cell r="N42">
            <v>1983253.6136802798</v>
          </cell>
          <cell r="O42">
            <v>0</v>
          </cell>
          <cell r="P42">
            <v>0</v>
          </cell>
          <cell r="Q42">
            <v>0</v>
          </cell>
          <cell r="R42">
            <v>238502334.33999991</v>
          </cell>
          <cell r="S42">
            <v>12209890.710760575</v>
          </cell>
          <cell r="T42">
            <v>41</v>
          </cell>
          <cell r="U42">
            <v>1983253.6136802798</v>
          </cell>
          <cell r="V42">
            <v>0.56968801901759858</v>
          </cell>
          <cell r="W42">
            <v>0.99671861092415948</v>
          </cell>
          <cell r="X42">
            <v>41</v>
          </cell>
          <cell r="Y42">
            <v>1983253.6136802798</v>
          </cell>
          <cell r="Z42">
            <v>1983253.6136802798</v>
          </cell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/>
          <cell r="CS42"/>
          <cell r="CT42"/>
          <cell r="CU42"/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/>
          <cell r="DK42"/>
          <cell r="DL42"/>
          <cell r="DM42"/>
          <cell r="DN42"/>
          <cell r="DO42"/>
          <cell r="DP42"/>
          <cell r="DQ42"/>
          <cell r="DR42"/>
          <cell r="DS42"/>
          <cell r="DT42"/>
          <cell r="DU42"/>
          <cell r="DV42"/>
          <cell r="DW42"/>
          <cell r="DX42"/>
          <cell r="DY42"/>
          <cell r="DZ42"/>
          <cell r="EA42"/>
          <cell r="EB42"/>
          <cell r="EC42"/>
          <cell r="ED42"/>
          <cell r="EE42"/>
          <cell r="EF42"/>
          <cell r="EG42"/>
          <cell r="EH42"/>
          <cell r="EI42"/>
          <cell r="EJ42"/>
          <cell r="EK42"/>
          <cell r="EL42"/>
          <cell r="EM42"/>
          <cell r="EN42"/>
          <cell r="EO42"/>
          <cell r="EP42"/>
          <cell r="EQ42"/>
          <cell r="ER42"/>
          <cell r="ES42"/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</row>
        <row r="43">
          <cell r="A43">
            <v>210057</v>
          </cell>
          <cell r="B43" t="str">
            <v>SHADY GROVE ADVENTIST HOSPITAL</v>
          </cell>
          <cell r="C43">
            <v>1</v>
          </cell>
          <cell r="D43">
            <v>3</v>
          </cell>
          <cell r="E43">
            <v>1</v>
          </cell>
          <cell r="F43">
            <v>481443629.95346153</v>
          </cell>
          <cell r="G43">
            <v>27216.705157924138</v>
          </cell>
          <cell r="H43">
            <v>1.1087352668787616</v>
          </cell>
          <cell r="I43">
            <v>0</v>
          </cell>
          <cell r="J43">
            <v>20481360</v>
          </cell>
          <cell r="K43">
            <v>4588225</v>
          </cell>
          <cell r="L43">
            <v>4958800</v>
          </cell>
          <cell r="M43">
            <v>385177272.63999999</v>
          </cell>
          <cell r="N43">
            <v>20870</v>
          </cell>
          <cell r="O43">
            <v>0</v>
          </cell>
          <cell r="P43">
            <v>0</v>
          </cell>
          <cell r="Q43">
            <v>0</v>
          </cell>
          <cell r="R43">
            <v>439374981</v>
          </cell>
          <cell r="S43">
            <v>54197743.35999997</v>
          </cell>
          <cell r="T43">
            <v>0</v>
          </cell>
          <cell r="U43">
            <v>20870</v>
          </cell>
          <cell r="V43">
            <v>0.66800000000000004</v>
          </cell>
          <cell r="W43">
            <v>1.0181752931904677</v>
          </cell>
          <cell r="X43">
            <v>0</v>
          </cell>
          <cell r="Y43">
            <v>20870</v>
          </cell>
          <cell r="Z43">
            <v>20870</v>
          </cell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/>
          <cell r="CS43"/>
          <cell r="CT43"/>
          <cell r="CU43"/>
          <cell r="CV43"/>
          <cell r="CW43"/>
          <cell r="CX43"/>
          <cell r="CY43"/>
          <cell r="CZ43"/>
          <cell r="DA43"/>
          <cell r="DB43"/>
          <cell r="DC43"/>
          <cell r="DD43"/>
          <cell r="DE43"/>
          <cell r="DF43"/>
          <cell r="DG43"/>
          <cell r="DH43"/>
          <cell r="DI43"/>
          <cell r="DJ43"/>
          <cell r="DK43"/>
          <cell r="DL43"/>
          <cell r="DM43"/>
          <cell r="DN43"/>
          <cell r="DO43"/>
          <cell r="DP43"/>
          <cell r="DQ43"/>
          <cell r="DR43"/>
          <cell r="DS43"/>
          <cell r="DT43"/>
          <cell r="DU43"/>
          <cell r="DV43"/>
          <cell r="DW43"/>
          <cell r="DX43"/>
          <cell r="DY43"/>
          <cell r="DZ43"/>
          <cell r="EA43"/>
          <cell r="EB43"/>
          <cell r="EC43"/>
          <cell r="ED43"/>
          <cell r="EE43"/>
          <cell r="EF43"/>
          <cell r="EG43"/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/>
          <cell r="EU43"/>
          <cell r="EV43"/>
          <cell r="EW43"/>
          <cell r="EX43"/>
          <cell r="EY43"/>
          <cell r="EZ43"/>
          <cell r="FA43"/>
          <cell r="FB43"/>
          <cell r="FC43"/>
          <cell r="FD43"/>
          <cell r="FE43"/>
          <cell r="FF43"/>
          <cell r="FG43"/>
          <cell r="FH43"/>
          <cell r="FI43"/>
          <cell r="FJ43"/>
          <cell r="FK43"/>
          <cell r="FL43"/>
          <cell r="FM43"/>
          <cell r="FN43"/>
          <cell r="FO43"/>
          <cell r="FP43"/>
          <cell r="FQ43"/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</row>
        <row r="44">
          <cell r="A44">
            <v>210058</v>
          </cell>
          <cell r="B44" t="str">
            <v>UM-REHABILITATION &amp; ORTHOPAEDIC INSTITUTE</v>
          </cell>
          <cell r="C44">
            <v>1</v>
          </cell>
          <cell r="D44">
            <v>1</v>
          </cell>
          <cell r="E44">
            <v>1</v>
          </cell>
          <cell r="F44">
            <v>113891268.39612345</v>
          </cell>
          <cell r="G44">
            <v>5314.9801929437963</v>
          </cell>
          <cell r="H44">
            <v>1.110958929322035</v>
          </cell>
          <cell r="I44">
            <v>0</v>
          </cell>
          <cell r="J44">
            <v>7260570.7800000003</v>
          </cell>
          <cell r="K44">
            <v>284999.99999999965</v>
          </cell>
          <cell r="L44">
            <v>371646.6</v>
          </cell>
          <cell r="M44">
            <v>106775081.09437317</v>
          </cell>
          <cell r="N44">
            <v>2193934.215918229</v>
          </cell>
          <cell r="O44">
            <v>0</v>
          </cell>
          <cell r="P44">
            <v>0</v>
          </cell>
          <cell r="Q44">
            <v>0</v>
          </cell>
          <cell r="R44">
            <v>118020532.95952396</v>
          </cell>
          <cell r="S44">
            <v>11245451.865150826</v>
          </cell>
          <cell r="T44">
            <v>15</v>
          </cell>
          <cell r="U44">
            <v>2193934.215918229</v>
          </cell>
          <cell r="V44">
            <v>0.63696098127508327</v>
          </cell>
          <cell r="W44">
            <v>0.99671861092415948</v>
          </cell>
          <cell r="X44">
            <v>13.234558437756863</v>
          </cell>
          <cell r="Y44">
            <v>1935716.7059442722</v>
          </cell>
          <cell r="Z44">
            <v>1935716.7059442722</v>
          </cell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</row>
        <row r="45">
          <cell r="A45">
            <v>210060</v>
          </cell>
          <cell r="B45" t="str">
            <v>FORT WASHINGTON MEDICAL CENTER</v>
          </cell>
          <cell r="C45">
            <v>1</v>
          </cell>
          <cell r="D45">
            <v>3</v>
          </cell>
          <cell r="E45">
            <v>1</v>
          </cell>
          <cell r="F45">
            <v>60466726.984704927</v>
          </cell>
          <cell r="G45">
            <v>3189.8937762772948</v>
          </cell>
          <cell r="H45">
            <v>1.1134525513853035</v>
          </cell>
          <cell r="I45">
            <v>0</v>
          </cell>
          <cell r="J45">
            <v>1011152.0919983257</v>
          </cell>
          <cell r="K45">
            <v>437796.98</v>
          </cell>
          <cell r="L45">
            <v>323201.51370070927</v>
          </cell>
          <cell r="M45">
            <v>54926570.963027142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59951705.44180958</v>
          </cell>
          <cell r="S45">
            <v>5025121.4054733133</v>
          </cell>
          <cell r="T45">
            <v>0</v>
          </cell>
          <cell r="U45">
            <v>0</v>
          </cell>
          <cell r="V45">
            <v>0.68899999999999995</v>
          </cell>
          <cell r="W45">
            <v>1.0181752931904677</v>
          </cell>
          <cell r="X45">
            <v>0</v>
          </cell>
          <cell r="Y45">
            <v>0</v>
          </cell>
          <cell r="Z45">
            <v>0</v>
          </cell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</row>
        <row r="46">
          <cell r="A46">
            <v>210061</v>
          </cell>
          <cell r="B46" t="str">
            <v>ATLANTIC GENERAL HOSPITAL</v>
          </cell>
          <cell r="C46">
            <v>1</v>
          </cell>
          <cell r="D46">
            <v>3</v>
          </cell>
          <cell r="E46">
            <v>1</v>
          </cell>
          <cell r="F46">
            <v>115254968.57934019</v>
          </cell>
          <cell r="G46">
            <v>7553.2777979067014</v>
          </cell>
          <cell r="H46">
            <v>1.1130744654941822</v>
          </cell>
          <cell r="I46">
            <v>0</v>
          </cell>
          <cell r="J46">
            <v>5954300</v>
          </cell>
          <cell r="K46">
            <v>815500</v>
          </cell>
          <cell r="L46">
            <v>1118600</v>
          </cell>
          <cell r="M46">
            <v>84975441.079871997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108743868.66999999</v>
          </cell>
          <cell r="S46">
            <v>23768407.107773047</v>
          </cell>
          <cell r="T46">
            <v>0</v>
          </cell>
          <cell r="U46">
            <v>0</v>
          </cell>
          <cell r="V46">
            <v>0.59006325599657761</v>
          </cell>
          <cell r="W46">
            <v>0.99671861092415948</v>
          </cell>
          <cell r="X46">
            <v>0</v>
          </cell>
          <cell r="Y46">
            <v>0</v>
          </cell>
          <cell r="Z46">
            <v>0</v>
          </cell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/>
          <cell r="CS46"/>
          <cell r="CT46"/>
          <cell r="CU46"/>
          <cell r="CV46"/>
          <cell r="CW46"/>
          <cell r="CX46"/>
          <cell r="CY46"/>
          <cell r="CZ46"/>
          <cell r="DA46"/>
          <cell r="DB46"/>
          <cell r="DC46"/>
          <cell r="DD46"/>
          <cell r="DE46"/>
          <cell r="DF46"/>
          <cell r="DG46"/>
          <cell r="DH46"/>
          <cell r="DI46"/>
          <cell r="DJ46"/>
          <cell r="DK46"/>
          <cell r="DL46"/>
          <cell r="DM46"/>
          <cell r="DN46"/>
          <cell r="DO46"/>
          <cell r="DP46"/>
          <cell r="DQ46"/>
          <cell r="DR46"/>
          <cell r="DS46"/>
          <cell r="DT46"/>
          <cell r="DU46"/>
          <cell r="DV46"/>
          <cell r="DW46"/>
          <cell r="DX46"/>
          <cell r="DY46"/>
          <cell r="DZ46"/>
          <cell r="EA46"/>
          <cell r="EB46"/>
          <cell r="EC46"/>
          <cell r="ED46"/>
          <cell r="EE46"/>
          <cell r="EF46"/>
          <cell r="EG46"/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/>
          <cell r="EU46"/>
          <cell r="EV46"/>
          <cell r="EW46"/>
          <cell r="EX46"/>
          <cell r="EY46"/>
          <cell r="EZ46"/>
          <cell r="FA46"/>
          <cell r="FB46"/>
          <cell r="FC46"/>
          <cell r="FD46"/>
          <cell r="FE46"/>
          <cell r="FF46"/>
          <cell r="FG46"/>
          <cell r="FH46"/>
          <cell r="FI46"/>
          <cell r="FJ46"/>
          <cell r="FK46"/>
          <cell r="FL46"/>
          <cell r="FM46"/>
          <cell r="FN46"/>
          <cell r="FO46"/>
          <cell r="FP46"/>
          <cell r="FQ46"/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</row>
        <row r="47">
          <cell r="A47">
            <v>210062</v>
          </cell>
          <cell r="B47" t="str">
            <v>MEDSTAR SOUTHERN MARYLAND HOSPITAL CENTER</v>
          </cell>
          <cell r="C47">
            <v>1</v>
          </cell>
          <cell r="D47">
            <v>3</v>
          </cell>
          <cell r="E47">
            <v>1</v>
          </cell>
          <cell r="F47">
            <v>293844648.81323051</v>
          </cell>
          <cell r="G47">
            <v>16549.036784508367</v>
          </cell>
          <cell r="H47">
            <v>1.1134661364965026</v>
          </cell>
          <cell r="I47">
            <v>0</v>
          </cell>
          <cell r="J47">
            <v>12947098.039573411</v>
          </cell>
          <cell r="K47">
            <v>1822305.5764276201</v>
          </cell>
          <cell r="L47">
            <v>6130292.8611856382</v>
          </cell>
          <cell r="M47">
            <v>226206854.04247209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247440556.48999998</v>
          </cell>
          <cell r="S47">
            <v>21233690.032466024</v>
          </cell>
          <cell r="T47">
            <v>0</v>
          </cell>
          <cell r="U47">
            <v>0</v>
          </cell>
          <cell r="V47">
            <v>0.65616088551708718</v>
          </cell>
          <cell r="W47">
            <v>1.0181752931904677</v>
          </cell>
          <cell r="X47">
            <v>0</v>
          </cell>
          <cell r="Y47">
            <v>0</v>
          </cell>
          <cell r="Z47">
            <v>0</v>
          </cell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</row>
        <row r="48">
          <cell r="A48">
            <v>210063</v>
          </cell>
          <cell r="B48" t="str">
            <v>UM-ST. JOSEPH MEDICAL CENTER</v>
          </cell>
          <cell r="C48">
            <v>1</v>
          </cell>
          <cell r="D48">
            <v>3</v>
          </cell>
          <cell r="E48">
            <v>1</v>
          </cell>
          <cell r="F48">
            <v>415289453.19551611</v>
          </cell>
          <cell r="G48">
            <v>26520.713342745425</v>
          </cell>
          <cell r="H48">
            <v>1.111250840909479</v>
          </cell>
          <cell r="I48">
            <v>0</v>
          </cell>
          <cell r="J48">
            <v>22981326.881614454</v>
          </cell>
          <cell r="K48">
            <v>520984.85000000027</v>
          </cell>
          <cell r="L48">
            <v>8527079.4100000001</v>
          </cell>
          <cell r="M48">
            <v>305618333.4621467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369072350.21803159</v>
          </cell>
          <cell r="S48">
            <v>63454016.755884454</v>
          </cell>
          <cell r="T48">
            <v>0</v>
          </cell>
          <cell r="U48">
            <v>0</v>
          </cell>
          <cell r="V48">
            <v>0.69549510962113892</v>
          </cell>
          <cell r="W48">
            <v>0.99671861092415948</v>
          </cell>
          <cell r="X48">
            <v>0</v>
          </cell>
          <cell r="Y48">
            <v>0</v>
          </cell>
          <cell r="Z48">
            <v>0</v>
          </cell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  <cell r="CR48"/>
          <cell r="CS48"/>
          <cell r="CT48"/>
          <cell r="CU48"/>
          <cell r="CV48"/>
          <cell r="CW48"/>
          <cell r="CX48"/>
          <cell r="CY48"/>
          <cell r="CZ48"/>
          <cell r="DA48"/>
          <cell r="DB48"/>
          <cell r="DC48"/>
          <cell r="DD48"/>
          <cell r="DE48"/>
          <cell r="DF48"/>
          <cell r="DG48"/>
          <cell r="DH48"/>
          <cell r="DI48"/>
          <cell r="DJ48"/>
          <cell r="DK48"/>
          <cell r="DL48"/>
          <cell r="DM48"/>
          <cell r="DN48"/>
          <cell r="DO48"/>
          <cell r="DP48"/>
          <cell r="DQ48"/>
          <cell r="DR48"/>
          <cell r="DS48"/>
          <cell r="DT48"/>
          <cell r="DU48"/>
          <cell r="DV48"/>
          <cell r="DW48"/>
          <cell r="DX48"/>
          <cell r="DY48"/>
          <cell r="DZ48"/>
          <cell r="EA48"/>
          <cell r="EB48"/>
          <cell r="EC48"/>
          <cell r="ED48"/>
          <cell r="EE48"/>
          <cell r="EF48"/>
          <cell r="EG48"/>
          <cell r="EH48"/>
          <cell r="EI48"/>
          <cell r="EJ48"/>
          <cell r="EK48"/>
          <cell r="EL48"/>
          <cell r="EM48"/>
          <cell r="EN48"/>
          <cell r="EO48"/>
          <cell r="EP48"/>
          <cell r="EQ48"/>
          <cell r="ER48"/>
          <cell r="ES48"/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</row>
        <row r="49">
          <cell r="A49">
            <v>210065</v>
          </cell>
          <cell r="B49" t="str">
            <v>HOLY CROSS HOSPITAL-GERMANTOWN</v>
          </cell>
          <cell r="C49">
            <v>1</v>
          </cell>
          <cell r="D49">
            <v>3</v>
          </cell>
          <cell r="E49">
            <v>1</v>
          </cell>
          <cell r="F49">
            <v>124769691.06330653</v>
          </cell>
          <cell r="G49">
            <v>8995.6481894957251</v>
          </cell>
          <cell r="H49">
            <v>1.1080086036915622</v>
          </cell>
          <cell r="I49">
            <v>0</v>
          </cell>
          <cell r="J49">
            <v>8742142.6718633622</v>
          </cell>
          <cell r="K49">
            <v>494500</v>
          </cell>
          <cell r="L49">
            <v>5485747.1693793191</v>
          </cell>
          <cell r="M49">
            <v>113817013.98352574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120861308.48</v>
          </cell>
          <cell r="S49">
            <v>7044294.4964742493</v>
          </cell>
          <cell r="T49">
            <v>0</v>
          </cell>
          <cell r="U49">
            <v>0</v>
          </cell>
          <cell r="V49">
            <v>0.70378463318116491</v>
          </cell>
          <cell r="W49">
            <v>1.0181752931904677</v>
          </cell>
          <cell r="X49">
            <v>0</v>
          </cell>
          <cell r="Y49">
            <v>0</v>
          </cell>
          <cell r="Z49">
            <v>0</v>
          </cell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</row>
        <row r="50">
          <cell r="A50">
            <v>910003</v>
          </cell>
          <cell r="B50" t="str">
            <v>Prince Georges Hospital</v>
          </cell>
          <cell r="C50">
            <v>5</v>
          </cell>
          <cell r="D50">
            <v>5</v>
          </cell>
          <cell r="E50">
            <v>1</v>
          </cell>
          <cell r="F50">
            <v>355888476.39489859</v>
          </cell>
          <cell r="G50">
            <v>16233.644093359531</v>
          </cell>
          <cell r="H50">
            <v>1.112243912428907</v>
          </cell>
          <cell r="I50">
            <v>0</v>
          </cell>
          <cell r="J50">
            <v>11984950.038283611</v>
          </cell>
          <cell r="K50">
            <v>3577375.9416744201</v>
          </cell>
          <cell r="L50">
            <v>0</v>
          </cell>
          <cell r="M50">
            <v>293646668.60510916</v>
          </cell>
          <cell r="N50">
            <v>4492275.1129861176</v>
          </cell>
          <cell r="O50">
            <v>1141471.8330038895</v>
          </cell>
          <cell r="P50">
            <v>2011119.4216079991</v>
          </cell>
          <cell r="Q50">
            <v>2639022.2440712396</v>
          </cell>
          <cell r="R50">
            <v>333308055.85267615</v>
          </cell>
          <cell r="S50">
            <v>39661358.047566846</v>
          </cell>
          <cell r="T50">
            <v>48</v>
          </cell>
          <cell r="U50">
            <v>10283888.611669246</v>
          </cell>
          <cell r="V50">
            <v>0.46620348349564045</v>
          </cell>
          <cell r="W50">
            <v>1.0181752931904677</v>
          </cell>
          <cell r="X50">
            <v>48</v>
          </cell>
          <cell r="Y50">
            <v>4492275.1129861176</v>
          </cell>
          <cell r="Z50">
            <v>10283888.611669246</v>
          </cell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  <cell r="CR50"/>
          <cell r="CS50"/>
          <cell r="CT50"/>
          <cell r="CU50"/>
          <cell r="CV50"/>
          <cell r="CW50"/>
          <cell r="CX50"/>
          <cell r="CY50"/>
          <cell r="CZ50"/>
          <cell r="DA50"/>
          <cell r="DB50"/>
          <cell r="DC50"/>
          <cell r="DD50"/>
          <cell r="DE50"/>
          <cell r="DF50"/>
          <cell r="DG50"/>
          <cell r="DH50"/>
          <cell r="DI50"/>
          <cell r="DJ50"/>
          <cell r="DK50"/>
          <cell r="DL50"/>
          <cell r="DM50"/>
          <cell r="DN50"/>
          <cell r="DO50"/>
          <cell r="DP50"/>
          <cell r="DQ50"/>
          <cell r="DR50"/>
          <cell r="DS50"/>
          <cell r="DT50"/>
          <cell r="DU50"/>
          <cell r="DV50"/>
          <cell r="DW50"/>
          <cell r="DX50"/>
          <cell r="DY50"/>
          <cell r="DZ50"/>
          <cell r="EA50"/>
          <cell r="EB50"/>
          <cell r="EC50"/>
          <cell r="ED50"/>
          <cell r="EE50"/>
          <cell r="EF50"/>
          <cell r="EG50"/>
          <cell r="EH50"/>
          <cell r="EI50"/>
          <cell r="EJ50"/>
          <cell r="EK50"/>
          <cell r="EL50"/>
          <cell r="EM50"/>
          <cell r="EN50"/>
          <cell r="EO50"/>
          <cell r="EP50"/>
          <cell r="EQ50"/>
          <cell r="ER50"/>
          <cell r="ES50"/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</row>
        <row r="51">
          <cell r="A51">
            <v>910008</v>
          </cell>
          <cell r="B51" t="str">
            <v>Mercy Medical Center</v>
          </cell>
          <cell r="C51">
            <v>5</v>
          </cell>
          <cell r="D51">
            <v>5</v>
          </cell>
          <cell r="E51">
            <v>1</v>
          </cell>
          <cell r="F51">
            <v>583416912.87106669</v>
          </cell>
          <cell r="G51">
            <v>33844.260081365923</v>
          </cell>
          <cell r="H51">
            <v>1.1091903241459977</v>
          </cell>
          <cell r="I51">
            <v>0</v>
          </cell>
          <cell r="J51">
            <v>34581313.480000004</v>
          </cell>
          <cell r="K51">
            <v>2358981</v>
          </cell>
          <cell r="L51">
            <v>13715068.880000001</v>
          </cell>
          <cell r="M51">
            <v>497407597.04656214</v>
          </cell>
          <cell r="N51">
            <v>4893835.5060227271</v>
          </cell>
          <cell r="O51">
            <v>0</v>
          </cell>
          <cell r="P51">
            <v>0</v>
          </cell>
          <cell r="Q51">
            <v>0</v>
          </cell>
          <cell r="R51">
            <v>546521322.63999999</v>
          </cell>
          <cell r="S51">
            <v>49113725.59343791</v>
          </cell>
          <cell r="T51">
            <v>63</v>
          </cell>
          <cell r="U51">
            <v>4893835.5060227271</v>
          </cell>
          <cell r="V51">
            <v>0.54598995340031942</v>
          </cell>
          <cell r="W51">
            <v>0.99671861092415948</v>
          </cell>
          <cell r="X51">
            <v>63</v>
          </cell>
          <cell r="Y51">
            <v>4893835.5060227271</v>
          </cell>
          <cell r="Z51">
            <v>4893835.5060227271</v>
          </cell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  <cell r="CR51"/>
          <cell r="CS51"/>
          <cell r="CT51"/>
          <cell r="CU51"/>
          <cell r="CV51"/>
          <cell r="CW51"/>
          <cell r="CX51"/>
          <cell r="CY51"/>
          <cell r="CZ51"/>
          <cell r="DA51"/>
          <cell r="DB51"/>
          <cell r="DC51"/>
          <cell r="DD51"/>
          <cell r="DE51"/>
          <cell r="DF51"/>
          <cell r="DG51"/>
          <cell r="DH51"/>
          <cell r="DI51"/>
          <cell r="DJ51"/>
          <cell r="DK51"/>
          <cell r="DL51"/>
          <cell r="DM51"/>
          <cell r="DN51"/>
          <cell r="DO51"/>
          <cell r="DP51"/>
          <cell r="DQ51"/>
          <cell r="DR51"/>
          <cell r="DS51"/>
          <cell r="DT51"/>
          <cell r="DU51"/>
          <cell r="DV51"/>
          <cell r="DW51"/>
          <cell r="DX51"/>
          <cell r="DY51"/>
          <cell r="DZ51"/>
          <cell r="EA51"/>
          <cell r="EB51"/>
          <cell r="EC51"/>
          <cell r="ED51"/>
          <cell r="EE51"/>
          <cell r="EF51"/>
          <cell r="EG51"/>
          <cell r="EH51"/>
          <cell r="EI51"/>
          <cell r="EJ51"/>
          <cell r="EK51"/>
          <cell r="EL51"/>
          <cell r="EM51"/>
          <cell r="EN51"/>
          <cell r="EO51"/>
          <cell r="EP51"/>
          <cell r="EQ51"/>
          <cell r="ER51"/>
          <cell r="ES51"/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FH51"/>
          <cell r="FI51"/>
          <cell r="FJ51"/>
          <cell r="FK51"/>
          <cell r="FL51"/>
          <cell r="FM51"/>
          <cell r="FN51"/>
          <cell r="FO51"/>
          <cell r="FP51"/>
          <cell r="FQ51"/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</row>
        <row r="52">
          <cell r="A52">
            <v>910012</v>
          </cell>
          <cell r="B52" t="str">
            <v>Sinai Hospital</v>
          </cell>
          <cell r="C52">
            <v>5</v>
          </cell>
          <cell r="D52">
            <v>5</v>
          </cell>
          <cell r="E52">
            <v>1</v>
          </cell>
          <cell r="F52">
            <v>805841607.7702167</v>
          </cell>
          <cell r="G52">
            <v>37412.844072885637</v>
          </cell>
          <cell r="H52">
            <v>1.117864934797169</v>
          </cell>
          <cell r="I52">
            <v>0</v>
          </cell>
          <cell r="J52">
            <v>41053244.609999992</v>
          </cell>
          <cell r="K52">
            <v>7043400</v>
          </cell>
          <cell r="L52">
            <v>10494400</v>
          </cell>
          <cell r="M52">
            <v>672695291.10193968</v>
          </cell>
          <cell r="N52">
            <v>16094225.294571185</v>
          </cell>
          <cell r="O52">
            <v>0</v>
          </cell>
          <cell r="P52">
            <v>1431026.0657287992</v>
          </cell>
          <cell r="Q52">
            <v>2483674.8337770118</v>
          </cell>
          <cell r="R52">
            <v>782812956.15999973</v>
          </cell>
          <cell r="S52">
            <v>110117664.85082638</v>
          </cell>
          <cell r="T52">
            <v>126</v>
          </cell>
          <cell r="U52">
            <v>20008926.194076996</v>
          </cell>
          <cell r="V52">
            <v>0.61743139615405473</v>
          </cell>
          <cell r="W52">
            <v>0.99671861092415948</v>
          </cell>
          <cell r="X52">
            <v>126</v>
          </cell>
          <cell r="Y52">
            <v>16094225.294571185</v>
          </cell>
          <cell r="Z52">
            <v>20008926.194076996</v>
          </cell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</row>
        <row r="53">
          <cell r="A53">
            <v>910024</v>
          </cell>
          <cell r="B53" t="str">
            <v>Union Memorial Hospital</v>
          </cell>
          <cell r="C53">
            <v>5</v>
          </cell>
          <cell r="D53">
            <v>5</v>
          </cell>
          <cell r="E53">
            <v>1</v>
          </cell>
          <cell r="F53">
            <v>453790211.93198723</v>
          </cell>
          <cell r="G53">
            <v>24302.90314603252</v>
          </cell>
          <cell r="H53">
            <v>1.1184898813303539</v>
          </cell>
          <cell r="I53">
            <v>0</v>
          </cell>
          <cell r="J53">
            <v>15619210.604898153</v>
          </cell>
          <cell r="K53">
            <v>6659223.1402559336</v>
          </cell>
          <cell r="L53">
            <v>2640592.2270100717</v>
          </cell>
          <cell r="M53">
            <v>364574128.46947849</v>
          </cell>
          <cell r="N53">
            <v>11605785.932645733</v>
          </cell>
          <cell r="O53">
            <v>0</v>
          </cell>
          <cell r="P53">
            <v>0</v>
          </cell>
          <cell r="Q53">
            <v>0</v>
          </cell>
          <cell r="R53">
            <v>389830154.33999991</v>
          </cell>
          <cell r="S53">
            <v>25256042.24877397</v>
          </cell>
          <cell r="T53">
            <v>88</v>
          </cell>
          <cell r="U53">
            <v>11605785.932645733</v>
          </cell>
          <cell r="V53">
            <v>0.53216003055068473</v>
          </cell>
          <cell r="W53">
            <v>0.99671861092415948</v>
          </cell>
          <cell r="X53">
            <v>88</v>
          </cell>
          <cell r="Y53">
            <v>11605785.932645733</v>
          </cell>
          <cell r="Z53">
            <v>11605785.932645733</v>
          </cell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</row>
        <row r="54">
          <cell r="A54">
            <v>910029</v>
          </cell>
          <cell r="B54" t="str">
            <v>Johns Hopkins Bayview Medical Center</v>
          </cell>
          <cell r="C54">
            <v>5</v>
          </cell>
          <cell r="D54">
            <v>5</v>
          </cell>
          <cell r="E54">
            <v>1</v>
          </cell>
          <cell r="F54">
            <v>661215649.59716046</v>
          </cell>
          <cell r="G54">
            <v>34797.11082225656</v>
          </cell>
          <cell r="H54">
            <v>1.1156059489108896</v>
          </cell>
          <cell r="I54">
            <v>0</v>
          </cell>
          <cell r="J54">
            <v>28971614.571778711</v>
          </cell>
          <cell r="K54">
            <v>8093300</v>
          </cell>
          <cell r="L54">
            <v>9255600</v>
          </cell>
          <cell r="M54">
            <v>637179346.24559069</v>
          </cell>
          <cell r="N54">
            <v>21500555.315998644</v>
          </cell>
          <cell r="O54">
            <v>0</v>
          </cell>
          <cell r="P54">
            <v>1932158.0532372135</v>
          </cell>
          <cell r="Q54">
            <v>1617171.7300050836</v>
          </cell>
          <cell r="R54">
            <v>633257376.5200001</v>
          </cell>
          <cell r="S54">
            <v>-3921969.8463996174</v>
          </cell>
          <cell r="T54">
            <v>147</v>
          </cell>
          <cell r="U54">
            <v>25049885.099240944</v>
          </cell>
          <cell r="V54">
            <v>0.73282589011689636</v>
          </cell>
          <cell r="W54">
            <v>0.99671861092415948</v>
          </cell>
          <cell r="X54">
            <v>142.22387342297466</v>
          </cell>
          <cell r="Y54">
            <v>20801988.148205824</v>
          </cell>
          <cell r="Z54">
            <v>24351317.931448124</v>
          </cell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  <cell r="CP54"/>
          <cell r="CQ54"/>
          <cell r="CR54"/>
          <cell r="CS54"/>
          <cell r="CT54"/>
          <cell r="CU54"/>
          <cell r="CV54"/>
          <cell r="CW54"/>
          <cell r="CX54"/>
          <cell r="CY54"/>
          <cell r="CZ54"/>
          <cell r="DA54"/>
          <cell r="DB54"/>
          <cell r="DC54"/>
          <cell r="DD54"/>
          <cell r="DE54"/>
          <cell r="DF54"/>
          <cell r="DG54"/>
          <cell r="DH54"/>
          <cell r="DI54"/>
          <cell r="DJ54"/>
          <cell r="DK54"/>
          <cell r="DL54"/>
          <cell r="DM54"/>
          <cell r="DN54"/>
          <cell r="DO54"/>
          <cell r="DP54"/>
          <cell r="DQ54"/>
          <cell r="DR54"/>
          <cell r="DS54"/>
          <cell r="DT54"/>
          <cell r="DU54"/>
          <cell r="DV54"/>
          <cell r="DW54"/>
          <cell r="DX54"/>
          <cell r="DY54"/>
          <cell r="DZ54"/>
          <cell r="EA54"/>
          <cell r="EB54"/>
          <cell r="EC54"/>
          <cell r="ED54"/>
          <cell r="EE54"/>
          <cell r="EF54"/>
          <cell r="EG54"/>
          <cell r="EH54"/>
          <cell r="EI54"/>
          <cell r="EJ54"/>
          <cell r="EK54"/>
          <cell r="EL54"/>
          <cell r="EM54"/>
          <cell r="EN54"/>
          <cell r="EO54"/>
          <cell r="EP54"/>
          <cell r="EQ54"/>
          <cell r="ER54"/>
          <cell r="ES54"/>
          <cell r="ET54"/>
          <cell r="EU54"/>
          <cell r="EV54"/>
          <cell r="EW54"/>
          <cell r="EX54"/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</row>
        <row r="55">
          <cell r="A55"/>
          <cell r="B55"/>
          <cell r="C55"/>
          <cell r="D55"/>
          <cell r="E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</row>
        <row r="56">
          <cell r="A56">
            <v>990099</v>
          </cell>
          <cell r="B56"/>
          <cell r="C56">
            <v>1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CY56"/>
          <cell r="CZ56"/>
          <cell r="DA56"/>
          <cell r="DB56"/>
          <cell r="DC56"/>
          <cell r="DD56"/>
          <cell r="DE56"/>
          <cell r="DF56"/>
          <cell r="DG56"/>
          <cell r="DH56"/>
          <cell r="DI56"/>
          <cell r="DJ56"/>
          <cell r="DK56"/>
          <cell r="DL56"/>
          <cell r="DM56"/>
          <cell r="DN56"/>
          <cell r="DO56"/>
          <cell r="DP56"/>
          <cell r="DQ56"/>
          <cell r="DR56"/>
          <cell r="DS56"/>
          <cell r="DT56"/>
          <cell r="DU56"/>
          <cell r="DV56"/>
          <cell r="DW56"/>
          <cell r="DX56"/>
          <cell r="DY56"/>
          <cell r="DZ56"/>
          <cell r="EA56"/>
          <cell r="EB56"/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</row>
        <row r="57">
          <cell r="A57"/>
          <cell r="B57"/>
          <cell r="C57"/>
          <cell r="D57"/>
          <cell r="E57"/>
          <cell r="F57"/>
          <cell r="G57">
            <v>22878.631756552026</v>
          </cell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CV58"/>
          <cell r="CW58"/>
          <cell r="CX58"/>
          <cell r="CY58"/>
          <cell r="CZ58"/>
          <cell r="DA58"/>
          <cell r="DB58"/>
          <cell r="DC58"/>
          <cell r="DD58"/>
          <cell r="DE58"/>
          <cell r="DF58"/>
          <cell r="DG58"/>
          <cell r="DH58"/>
          <cell r="DI58"/>
          <cell r="DJ58"/>
          <cell r="DK58"/>
          <cell r="DL58"/>
          <cell r="DM58"/>
          <cell r="DN58"/>
          <cell r="DO58"/>
          <cell r="DP58"/>
          <cell r="DQ58"/>
          <cell r="DR58"/>
          <cell r="DS58"/>
          <cell r="DT58"/>
          <cell r="DU58"/>
          <cell r="DV58"/>
          <cell r="DW58"/>
          <cell r="DX58"/>
          <cell r="DY58"/>
          <cell r="DZ58"/>
          <cell r="EA58"/>
          <cell r="EB58"/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/>
          <cell r="CS60"/>
          <cell r="CT60"/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/>
          <cell r="DB62"/>
          <cell r="DC62"/>
          <cell r="DD62"/>
          <cell r="DE62"/>
          <cell r="DF62"/>
          <cell r="DG62"/>
          <cell r="DH62"/>
          <cell r="DI62"/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/>
          <cell r="DZ62"/>
          <cell r="EA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/>
          <cell r="DB65"/>
          <cell r="DC65"/>
          <cell r="DD65"/>
          <cell r="DE65"/>
          <cell r="DF65"/>
          <cell r="DG65"/>
          <cell r="DH65"/>
          <cell r="DI65"/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/>
          <cell r="DZ65"/>
          <cell r="EA65"/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  <cell r="CR66"/>
          <cell r="CS66"/>
          <cell r="CT66"/>
          <cell r="CU66"/>
          <cell r="CV66"/>
          <cell r="CW66"/>
          <cell r="CX66"/>
          <cell r="CY66"/>
          <cell r="CZ66"/>
          <cell r="DA66"/>
          <cell r="DB66"/>
          <cell r="DC66"/>
          <cell r="DD66"/>
          <cell r="DE66"/>
          <cell r="DF66"/>
          <cell r="DG66"/>
          <cell r="DH66"/>
          <cell r="DI66"/>
          <cell r="DJ66"/>
          <cell r="DK66"/>
          <cell r="DL66"/>
          <cell r="DM66"/>
          <cell r="DN66"/>
          <cell r="DO66"/>
          <cell r="DP66"/>
          <cell r="DQ66"/>
          <cell r="DR66"/>
          <cell r="DS66"/>
          <cell r="DT66"/>
          <cell r="DU66"/>
          <cell r="DV66"/>
          <cell r="DW66"/>
          <cell r="DX66"/>
          <cell r="DY66"/>
          <cell r="DZ66"/>
          <cell r="EA66"/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  <cell r="CR68"/>
          <cell r="CS68"/>
          <cell r="CT68"/>
          <cell r="CU68"/>
          <cell r="CV68"/>
          <cell r="CW68"/>
          <cell r="CX68"/>
          <cell r="CY68"/>
          <cell r="CZ68"/>
          <cell r="DA68"/>
          <cell r="DB68"/>
          <cell r="DC68"/>
          <cell r="DD68"/>
          <cell r="DE68"/>
          <cell r="DF68"/>
          <cell r="DG68"/>
          <cell r="DH68"/>
          <cell r="DI68"/>
          <cell r="DJ68"/>
          <cell r="DK68"/>
          <cell r="DL68"/>
          <cell r="DM68"/>
          <cell r="DN68"/>
          <cell r="DO68"/>
          <cell r="DP68"/>
          <cell r="DQ68"/>
          <cell r="DR68"/>
          <cell r="DS68"/>
          <cell r="DT68"/>
          <cell r="DU68"/>
          <cell r="DV68"/>
          <cell r="DW68"/>
          <cell r="DX68"/>
          <cell r="DY68"/>
          <cell r="DZ68"/>
          <cell r="EA68"/>
          <cell r="EB68"/>
          <cell r="EC68"/>
          <cell r="ED68"/>
          <cell r="EE68"/>
          <cell r="EF68"/>
          <cell r="EG68"/>
          <cell r="EH68"/>
          <cell r="EI68"/>
          <cell r="EJ68"/>
          <cell r="EK68"/>
          <cell r="EL68"/>
          <cell r="EM68"/>
          <cell r="EN68"/>
          <cell r="EO68"/>
          <cell r="EP68"/>
          <cell r="EQ68"/>
          <cell r="ER68"/>
          <cell r="ES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CY70"/>
          <cell r="CZ70"/>
          <cell r="DA70"/>
          <cell r="DB70"/>
          <cell r="DC70"/>
          <cell r="DD70"/>
          <cell r="DE70"/>
          <cell r="DF70"/>
          <cell r="DG70"/>
          <cell r="DH70"/>
          <cell r="DI70"/>
          <cell r="DJ70"/>
          <cell r="DK70"/>
          <cell r="DL70"/>
          <cell r="DM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CY72"/>
          <cell r="CZ72"/>
          <cell r="DA72"/>
          <cell r="DB72"/>
          <cell r="DC72"/>
          <cell r="DD72"/>
          <cell r="DE72"/>
          <cell r="DF72"/>
          <cell r="DG72"/>
          <cell r="DH72"/>
          <cell r="DI72"/>
          <cell r="DJ72"/>
          <cell r="DK72"/>
          <cell r="DL72"/>
          <cell r="DM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/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CY83"/>
          <cell r="CZ83"/>
          <cell r="DA83"/>
          <cell r="DB83"/>
          <cell r="DC83"/>
          <cell r="DD83"/>
          <cell r="DE83"/>
          <cell r="DF83"/>
          <cell r="DG83"/>
          <cell r="DH83"/>
          <cell r="DI83"/>
          <cell r="DJ83"/>
          <cell r="DK83"/>
          <cell r="DL83"/>
          <cell r="DM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/>
          <cell r="CS85"/>
          <cell r="CT85"/>
          <cell r="CU85"/>
          <cell r="CV85"/>
          <cell r="CW85"/>
          <cell r="CX85"/>
          <cell r="CY85"/>
          <cell r="CZ85"/>
          <cell r="DA85"/>
          <cell r="DB85"/>
          <cell r="DC85"/>
          <cell r="DD85"/>
          <cell r="DE85"/>
          <cell r="DF85"/>
          <cell r="DG85"/>
          <cell r="DH85"/>
          <cell r="DI85"/>
          <cell r="DJ85"/>
          <cell r="DK85"/>
          <cell r="DL85"/>
          <cell r="DM85"/>
          <cell r="DN85"/>
          <cell r="DO85"/>
          <cell r="DP85"/>
          <cell r="DQ85"/>
          <cell r="DR85"/>
          <cell r="DS85"/>
          <cell r="DT85"/>
          <cell r="DU85"/>
          <cell r="DV85"/>
          <cell r="DW85"/>
          <cell r="DX85"/>
          <cell r="DY85"/>
          <cell r="DZ85"/>
          <cell r="EA85"/>
          <cell r="EB85"/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I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/>
          <cell r="CS88"/>
          <cell r="CT88"/>
          <cell r="CU88"/>
          <cell r="CV88"/>
          <cell r="CW88"/>
          <cell r="CX88"/>
          <cell r="CY88"/>
          <cell r="CZ88"/>
          <cell r="DA88"/>
          <cell r="DB88"/>
          <cell r="DC88"/>
          <cell r="DD88"/>
          <cell r="DE88"/>
          <cell r="DF88"/>
          <cell r="DG88"/>
          <cell r="DH88"/>
          <cell r="DI88"/>
          <cell r="DJ88"/>
          <cell r="DK88"/>
          <cell r="DL88"/>
          <cell r="DM88"/>
          <cell r="DN88"/>
          <cell r="DO88"/>
          <cell r="DP88"/>
          <cell r="DQ88"/>
          <cell r="DR88"/>
          <cell r="DS88"/>
          <cell r="DT88"/>
          <cell r="DU88"/>
          <cell r="DV88"/>
          <cell r="DW88"/>
          <cell r="DX88"/>
          <cell r="DY88"/>
          <cell r="DZ88"/>
          <cell r="EA88"/>
          <cell r="EB88"/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/>
          <cell r="CS90"/>
          <cell r="CT90"/>
          <cell r="CU90"/>
          <cell r="CV90"/>
          <cell r="CW90"/>
          <cell r="CX90"/>
          <cell r="CY90"/>
          <cell r="CZ90"/>
          <cell r="DA90"/>
          <cell r="DB90"/>
          <cell r="DC90"/>
          <cell r="DD90"/>
          <cell r="DE90"/>
          <cell r="DF90"/>
          <cell r="DG90"/>
          <cell r="DH90"/>
          <cell r="DI90"/>
          <cell r="DJ90"/>
          <cell r="DK90"/>
          <cell r="DL90"/>
          <cell r="DM90"/>
          <cell r="DN90"/>
          <cell r="DO90"/>
          <cell r="DP90"/>
          <cell r="DQ90"/>
          <cell r="DR90"/>
          <cell r="DS90"/>
          <cell r="DT90"/>
          <cell r="DU90"/>
          <cell r="DV90"/>
          <cell r="DW90"/>
          <cell r="DX90"/>
          <cell r="DY90"/>
          <cell r="DZ90"/>
          <cell r="EA90"/>
          <cell r="EB90"/>
          <cell r="EC90"/>
          <cell r="ED90"/>
          <cell r="EE90"/>
          <cell r="EF90"/>
          <cell r="EG90"/>
          <cell r="EH90"/>
          <cell r="EI90"/>
          <cell r="EJ90"/>
          <cell r="EK90"/>
          <cell r="EL90"/>
          <cell r="EM90"/>
          <cell r="EN90"/>
          <cell r="EO90"/>
          <cell r="EP90"/>
          <cell r="EQ90"/>
          <cell r="ER90"/>
          <cell r="ES90"/>
          <cell r="ET90"/>
          <cell r="EU90"/>
          <cell r="EV90"/>
          <cell r="EW90"/>
          <cell r="EX90"/>
          <cell r="EY90"/>
          <cell r="EZ90"/>
          <cell r="FA90"/>
          <cell r="FB90"/>
          <cell r="FC90"/>
          <cell r="FD90"/>
          <cell r="FE90"/>
          <cell r="FF90"/>
          <cell r="FG90"/>
          <cell r="FH90"/>
          <cell r="FI90"/>
          <cell r="FJ90"/>
          <cell r="FK90"/>
          <cell r="FL90"/>
          <cell r="FM90"/>
          <cell r="FN90"/>
          <cell r="FO90"/>
          <cell r="FP90"/>
          <cell r="FQ90"/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/>
          <cell r="CS93"/>
          <cell r="CT93"/>
          <cell r="CU93"/>
          <cell r="CV93"/>
          <cell r="CW93"/>
          <cell r="CX93"/>
          <cell r="CY93"/>
          <cell r="CZ93"/>
          <cell r="DA93"/>
          <cell r="DB93"/>
          <cell r="DC93"/>
          <cell r="DD93"/>
          <cell r="DE93"/>
          <cell r="DF93"/>
          <cell r="DG93"/>
          <cell r="DH93"/>
          <cell r="DI93"/>
          <cell r="DJ93"/>
          <cell r="DK93"/>
          <cell r="DL93"/>
          <cell r="DM93"/>
          <cell r="DN93"/>
          <cell r="DO93"/>
          <cell r="DP93"/>
          <cell r="DQ93"/>
          <cell r="DR93"/>
          <cell r="DS93"/>
          <cell r="DT93"/>
          <cell r="DU93"/>
          <cell r="DV93"/>
          <cell r="DW93"/>
          <cell r="DX93"/>
          <cell r="DY93"/>
          <cell r="DZ93"/>
          <cell r="EA93"/>
          <cell r="EB93"/>
          <cell r="EC93"/>
          <cell r="ED93"/>
          <cell r="EE93"/>
          <cell r="EF93"/>
          <cell r="EG93"/>
          <cell r="EH93"/>
          <cell r="EI93"/>
          <cell r="EJ93"/>
          <cell r="EK93"/>
          <cell r="EL93"/>
          <cell r="EM93"/>
          <cell r="EN93"/>
          <cell r="EO93"/>
          <cell r="EP93"/>
          <cell r="EQ93"/>
          <cell r="ER93"/>
          <cell r="ES93"/>
          <cell r="ET93"/>
          <cell r="EU93"/>
          <cell r="EV93"/>
          <cell r="EW93"/>
          <cell r="EX93"/>
          <cell r="EY93"/>
          <cell r="EZ93"/>
          <cell r="FA93"/>
          <cell r="FB93"/>
          <cell r="FC93"/>
          <cell r="FD93"/>
          <cell r="FE93"/>
          <cell r="FF93"/>
          <cell r="FG93"/>
          <cell r="FH93"/>
          <cell r="FI93"/>
          <cell r="FJ93"/>
          <cell r="FK93"/>
          <cell r="FL93"/>
          <cell r="FM93"/>
          <cell r="FN93"/>
          <cell r="FO93"/>
          <cell r="FP93"/>
          <cell r="FQ93"/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CY94"/>
          <cell r="CZ94"/>
          <cell r="DA94"/>
          <cell r="DB94"/>
          <cell r="DC94"/>
          <cell r="DD94"/>
          <cell r="DE94"/>
          <cell r="DF94"/>
          <cell r="DG94"/>
          <cell r="DH94"/>
          <cell r="DI94"/>
          <cell r="DJ94"/>
          <cell r="DK94"/>
          <cell r="DL94"/>
          <cell r="DM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CY96"/>
          <cell r="CZ96"/>
          <cell r="DA96"/>
          <cell r="DB96"/>
          <cell r="DC96"/>
          <cell r="DD96"/>
          <cell r="DE96"/>
          <cell r="DF96"/>
          <cell r="DG96"/>
          <cell r="DH96"/>
          <cell r="DI96"/>
          <cell r="DJ96"/>
          <cell r="DK96"/>
          <cell r="DL96"/>
          <cell r="DM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CY97"/>
          <cell r="CZ97"/>
          <cell r="DA97"/>
          <cell r="DB97"/>
          <cell r="DC97"/>
          <cell r="DD97"/>
          <cell r="DE97"/>
          <cell r="DF97"/>
          <cell r="DG97"/>
          <cell r="DH97"/>
          <cell r="DI97"/>
          <cell r="DJ97"/>
          <cell r="DK97"/>
          <cell r="DL97"/>
          <cell r="DM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EC97"/>
          <cell r="ED97"/>
          <cell r="EE97"/>
          <cell r="EF97"/>
          <cell r="EG97"/>
          <cell r="EH97"/>
          <cell r="EI97"/>
          <cell r="EJ97"/>
          <cell r="EK97"/>
          <cell r="EL97"/>
          <cell r="EM97"/>
          <cell r="EN97"/>
          <cell r="EO97"/>
          <cell r="EP97"/>
          <cell r="EQ97"/>
          <cell r="ER97"/>
          <cell r="ES97"/>
          <cell r="ET97"/>
          <cell r="EU97"/>
          <cell r="EV97"/>
          <cell r="EW97"/>
          <cell r="EX97"/>
          <cell r="EY97"/>
          <cell r="EZ97"/>
          <cell r="FA97"/>
          <cell r="FB97"/>
          <cell r="FC97"/>
          <cell r="FD97"/>
          <cell r="FE97"/>
          <cell r="FF97"/>
          <cell r="FG97"/>
          <cell r="FH97"/>
          <cell r="FI97"/>
          <cell r="FJ97"/>
          <cell r="FK97"/>
          <cell r="FL97"/>
          <cell r="FM97"/>
          <cell r="FN97"/>
          <cell r="FO97"/>
          <cell r="FP97"/>
          <cell r="FQ97"/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/>
          <cell r="CS103"/>
          <cell r="CT103"/>
          <cell r="CU103"/>
          <cell r="CV103"/>
          <cell r="CW103"/>
          <cell r="CX103"/>
          <cell r="CY103"/>
          <cell r="CZ103"/>
          <cell r="DA103"/>
          <cell r="DB103"/>
          <cell r="DC103"/>
          <cell r="DD103"/>
          <cell r="DE103"/>
          <cell r="DF103"/>
          <cell r="DG103"/>
          <cell r="DH103"/>
          <cell r="DI103"/>
          <cell r="DJ103"/>
          <cell r="DK103"/>
          <cell r="DL103"/>
          <cell r="DM103"/>
          <cell r="DN103"/>
          <cell r="DO103"/>
          <cell r="DP103"/>
          <cell r="DQ103"/>
          <cell r="DR103"/>
          <cell r="DS103"/>
          <cell r="DT103"/>
          <cell r="DU103"/>
          <cell r="DV103"/>
          <cell r="DW103"/>
          <cell r="DX103"/>
          <cell r="DY103"/>
          <cell r="DZ103"/>
          <cell r="EA103"/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</row>
      </sheetData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DSH FOR FISCAL YEAR 2019 "/>
    </sheetNames>
    <sheetDataSet>
      <sheetData sheetId="0">
        <row r="1">
          <cell r="A1" t="str">
            <v>HOSPID</v>
          </cell>
          <cell r="B1" t="str">
            <v>FYEAR</v>
          </cell>
          <cell r="C1" t="str">
            <v>IPCASES</v>
          </cell>
          <cell r="D1" t="str">
            <v>IPTOT_CHG</v>
          </cell>
          <cell r="E1" t="str">
            <v>OPCASES</v>
          </cell>
          <cell r="F1" t="str">
            <v>OPTOT_CHG</v>
          </cell>
          <cell r="G1" t="str">
            <v>Total Cases</v>
          </cell>
          <cell r="H1" t="str">
            <v>tot_chg</v>
          </cell>
          <cell r="I1" t="str">
            <v>MDCHG</v>
          </cell>
          <cell r="J1" t="str">
            <v>MDCHG_OOS</v>
          </cell>
          <cell r="K1" t="str">
            <v>SELFCHG</v>
          </cell>
          <cell r="L1" t="str">
            <v>DUALCHG</v>
          </cell>
          <cell r="M1" t="str">
            <v>OUPT_MDCHG</v>
          </cell>
          <cell r="N1" t="str">
            <v>OUPT_MDCHG_OOS</v>
          </cell>
          <cell r="O1" t="str">
            <v>op_DUALCHG</v>
          </cell>
          <cell r="P1" t="str">
            <v>OUPT_SELFCHG</v>
          </cell>
          <cell r="Q1" t="str">
            <v>Poor Share</v>
          </cell>
        </row>
        <row r="2">
          <cell r="A2">
            <v>210001</v>
          </cell>
          <cell r="B2">
            <v>2019</v>
          </cell>
          <cell r="C2">
            <v>17319</v>
          </cell>
          <cell r="D2">
            <v>209604462.90000001</v>
          </cell>
          <cell r="E2">
            <v>90781</v>
          </cell>
          <cell r="F2">
            <v>159432513.09999999</v>
          </cell>
          <cell r="G2">
            <v>108100</v>
          </cell>
          <cell r="H2">
            <v>369036976</v>
          </cell>
          <cell r="I2">
            <v>37858834.619999997</v>
          </cell>
          <cell r="J2">
            <v>994802.55</v>
          </cell>
          <cell r="K2">
            <v>3138079.19</v>
          </cell>
          <cell r="L2">
            <v>19704020.359999999</v>
          </cell>
          <cell r="M2">
            <v>29263724.530000001</v>
          </cell>
          <cell r="N2">
            <v>1083675.29</v>
          </cell>
          <cell r="O2">
            <v>9576937.8599999994</v>
          </cell>
          <cell r="P2">
            <v>5085127.53</v>
          </cell>
          <cell r="Q2">
            <v>0.28914501491579536</v>
          </cell>
        </row>
        <row r="3">
          <cell r="A3">
            <v>210002</v>
          </cell>
          <cell r="B3">
            <v>2019</v>
          </cell>
          <cell r="C3">
            <v>23844</v>
          </cell>
          <cell r="D3">
            <v>969468742.60000002</v>
          </cell>
          <cell r="E3">
            <v>253278</v>
          </cell>
          <cell r="F3">
            <v>553835979.29999995</v>
          </cell>
          <cell r="G3">
            <v>277122</v>
          </cell>
          <cell r="H3">
            <v>1523304721.9000001</v>
          </cell>
          <cell r="I3">
            <v>275264969</v>
          </cell>
          <cell r="J3">
            <v>4164283.85</v>
          </cell>
          <cell r="K3">
            <v>1343907.57</v>
          </cell>
          <cell r="L3">
            <v>80357850.010000005</v>
          </cell>
          <cell r="M3">
            <v>143305152.80000001</v>
          </cell>
          <cell r="N3">
            <v>378466.73</v>
          </cell>
          <cell r="O3">
            <v>40418742.710000001</v>
          </cell>
          <cell r="P3">
            <v>4888888.8600000003</v>
          </cell>
          <cell r="Q3">
            <v>0.36113737036398014</v>
          </cell>
        </row>
        <row r="4">
          <cell r="A4">
            <v>210003</v>
          </cell>
          <cell r="B4">
            <v>2019</v>
          </cell>
          <cell r="C4">
            <v>12452</v>
          </cell>
          <cell r="D4">
            <v>244460448.19999999</v>
          </cell>
          <cell r="E4">
            <v>46171</v>
          </cell>
          <cell r="F4">
            <v>77654340.599999994</v>
          </cell>
          <cell r="G4">
            <v>58623</v>
          </cell>
          <cell r="H4">
            <v>322114788.79999995</v>
          </cell>
          <cell r="I4">
            <v>87022642.489999995</v>
          </cell>
          <cell r="K4">
            <v>9059681.5800000001</v>
          </cell>
          <cell r="L4">
            <v>27021714.359999999</v>
          </cell>
          <cell r="M4">
            <v>30546653.309999999</v>
          </cell>
          <cell r="O4">
            <v>4337460.6900000004</v>
          </cell>
          <cell r="P4">
            <v>10515848.35</v>
          </cell>
          <cell r="Q4">
            <v>0.52311786555265416</v>
          </cell>
        </row>
        <row r="5">
          <cell r="A5">
            <v>210004</v>
          </cell>
          <cell r="B5">
            <v>2019</v>
          </cell>
          <cell r="C5">
            <v>34722</v>
          </cell>
          <cell r="D5">
            <v>373571850.5</v>
          </cell>
          <cell r="E5">
            <v>101069</v>
          </cell>
          <cell r="F5">
            <v>144948852.40000001</v>
          </cell>
          <cell r="G5">
            <v>135791</v>
          </cell>
          <cell r="H5">
            <v>518520702.89999998</v>
          </cell>
          <cell r="I5">
            <v>78762173.109999999</v>
          </cell>
          <cell r="J5">
            <v>10702903.33</v>
          </cell>
          <cell r="K5">
            <v>10516557.539999999</v>
          </cell>
          <cell r="L5">
            <v>20753642.420000002</v>
          </cell>
          <cell r="M5">
            <v>21328156.699999999</v>
          </cell>
          <cell r="N5">
            <v>4138142.04</v>
          </cell>
          <cell r="O5">
            <v>5140944.6900000004</v>
          </cell>
          <cell r="P5">
            <v>21000251.93</v>
          </cell>
          <cell r="Q5">
            <v>0.33237394533355286</v>
          </cell>
        </row>
        <row r="6">
          <cell r="A6">
            <v>210005</v>
          </cell>
          <cell r="B6">
            <v>2019</v>
          </cell>
          <cell r="C6">
            <v>18136</v>
          </cell>
          <cell r="D6">
            <v>229873549.19999999</v>
          </cell>
          <cell r="E6">
            <v>93512</v>
          </cell>
          <cell r="F6">
            <v>123092038.3</v>
          </cell>
          <cell r="G6">
            <v>111648</v>
          </cell>
          <cell r="H6">
            <v>352965587.5</v>
          </cell>
          <cell r="I6">
            <v>15204956.720000001</v>
          </cell>
          <cell r="J6">
            <v>72175.100000000006</v>
          </cell>
          <cell r="K6">
            <v>4283339.7</v>
          </cell>
          <cell r="L6">
            <v>14429354.32</v>
          </cell>
          <cell r="M6">
            <v>8366297.3799999999</v>
          </cell>
          <cell r="N6">
            <v>57528.24</v>
          </cell>
          <cell r="O6">
            <v>4713210.16</v>
          </cell>
          <cell r="P6">
            <v>5073341.96</v>
          </cell>
          <cell r="Q6">
            <v>0.14789034803569912</v>
          </cell>
        </row>
        <row r="7">
          <cell r="A7">
            <v>210006</v>
          </cell>
          <cell r="B7">
            <v>2019</v>
          </cell>
          <cell r="C7">
            <v>4192</v>
          </cell>
          <cell r="D7">
            <v>55360991.030000001</v>
          </cell>
          <cell r="E7">
            <v>51463</v>
          </cell>
          <cell r="F7">
            <v>52119504.859999999</v>
          </cell>
          <cell r="G7">
            <v>55655</v>
          </cell>
          <cell r="H7">
            <v>107480495.89</v>
          </cell>
          <cell r="I7">
            <v>9972265.1199999992</v>
          </cell>
          <cell r="K7">
            <v>175846.36</v>
          </cell>
          <cell r="L7">
            <v>6673375.75</v>
          </cell>
          <cell r="M7">
            <v>11520410.98</v>
          </cell>
          <cell r="O7">
            <v>3221604.4</v>
          </cell>
          <cell r="P7">
            <v>680508.29</v>
          </cell>
          <cell r="Q7">
            <v>0.29999871728355115</v>
          </cell>
        </row>
        <row r="8">
          <cell r="A8">
            <v>210008</v>
          </cell>
          <cell r="B8">
            <v>2019</v>
          </cell>
          <cell r="C8">
            <v>16094</v>
          </cell>
          <cell r="D8">
            <v>243154445.09999999</v>
          </cell>
          <cell r="E8">
            <v>252601</v>
          </cell>
          <cell r="F8">
            <v>310021372.89999998</v>
          </cell>
          <cell r="G8">
            <v>268695</v>
          </cell>
          <cell r="H8">
            <v>553175818</v>
          </cell>
          <cell r="I8">
            <v>59564279.939999998</v>
          </cell>
          <cell r="J8">
            <v>110464.97</v>
          </cell>
          <cell r="K8">
            <v>3254763.95</v>
          </cell>
          <cell r="L8">
            <v>22066759.010000002</v>
          </cell>
          <cell r="M8">
            <v>51851975.200000003</v>
          </cell>
          <cell r="N8">
            <v>175454.72</v>
          </cell>
          <cell r="O8">
            <v>21364032.02</v>
          </cell>
          <cell r="P8">
            <v>6094225.2400000002</v>
          </cell>
          <cell r="Q8">
            <v>0.29734118827659961</v>
          </cell>
        </row>
        <row r="9">
          <cell r="A9">
            <v>210009</v>
          </cell>
          <cell r="B9">
            <v>2019</v>
          </cell>
          <cell r="C9">
            <v>44617</v>
          </cell>
          <cell r="D9">
            <v>1489766428</v>
          </cell>
          <cell r="E9">
            <v>784756</v>
          </cell>
          <cell r="F9">
            <v>971194472.79999995</v>
          </cell>
          <cell r="G9">
            <v>829373</v>
          </cell>
          <cell r="H9">
            <v>2460960900.8000002</v>
          </cell>
          <cell r="I9">
            <v>337641879.80000001</v>
          </cell>
          <cell r="J9">
            <v>6014693.7699999996</v>
          </cell>
          <cell r="K9">
            <v>5626288.71</v>
          </cell>
          <cell r="L9">
            <v>96979113.040000007</v>
          </cell>
          <cell r="M9">
            <v>172260170.5</v>
          </cell>
          <cell r="N9">
            <v>811148.77</v>
          </cell>
          <cell r="O9">
            <v>44696221.969999999</v>
          </cell>
          <cell r="P9">
            <v>15518262.380000001</v>
          </cell>
          <cell r="Q9">
            <v>0.2761310749468206</v>
          </cell>
        </row>
        <row r="10">
          <cell r="A10">
            <v>210010</v>
          </cell>
          <cell r="B10">
            <v>2019</v>
          </cell>
          <cell r="C10">
            <v>1565</v>
          </cell>
          <cell r="D10">
            <v>20467740.309999999</v>
          </cell>
          <cell r="E10">
            <v>31448</v>
          </cell>
          <cell r="F10">
            <v>24756117.77</v>
          </cell>
          <cell r="G10">
            <v>33013</v>
          </cell>
          <cell r="H10">
            <v>45223858.079999998</v>
          </cell>
          <cell r="I10">
            <v>5880864.8399999999</v>
          </cell>
          <cell r="J10">
            <v>96323.32</v>
          </cell>
          <cell r="K10">
            <v>71810.080000000002</v>
          </cell>
          <cell r="L10">
            <v>4996485.29</v>
          </cell>
          <cell r="M10">
            <v>9512389.1300000008</v>
          </cell>
          <cell r="N10">
            <v>63276.97</v>
          </cell>
          <cell r="O10">
            <v>2710519.1</v>
          </cell>
          <cell r="P10">
            <v>594954.85</v>
          </cell>
          <cell r="Q10">
            <v>0.52907081783412513</v>
          </cell>
        </row>
        <row r="11">
          <cell r="A11">
            <v>210011</v>
          </cell>
          <cell r="B11">
            <v>2019</v>
          </cell>
          <cell r="C11">
            <v>15674</v>
          </cell>
          <cell r="D11">
            <v>246985204.90000001</v>
          </cell>
          <cell r="E11">
            <v>126538</v>
          </cell>
          <cell r="F11">
            <v>182362110.19999999</v>
          </cell>
          <cell r="G11">
            <v>142212</v>
          </cell>
          <cell r="H11">
            <v>429347315.10000002</v>
          </cell>
          <cell r="I11">
            <v>59679932.420000002</v>
          </cell>
          <cell r="J11">
            <v>430750.79</v>
          </cell>
          <cell r="K11">
            <v>3523636.76</v>
          </cell>
          <cell r="L11">
            <v>31445846.84</v>
          </cell>
          <cell r="M11">
            <v>42550347.549999997</v>
          </cell>
          <cell r="N11">
            <v>143575.44</v>
          </cell>
          <cell r="O11">
            <v>11318873.789999999</v>
          </cell>
          <cell r="P11">
            <v>6894848.29</v>
          </cell>
          <cell r="Q11">
            <v>0.36331381702868831</v>
          </cell>
        </row>
        <row r="12">
          <cell r="A12">
            <v>210012</v>
          </cell>
          <cell r="B12">
            <v>2019</v>
          </cell>
          <cell r="C12">
            <v>18006</v>
          </cell>
          <cell r="D12">
            <v>410174204.80000001</v>
          </cell>
          <cell r="E12">
            <v>194084</v>
          </cell>
          <cell r="F12">
            <v>375834606.30000001</v>
          </cell>
          <cell r="G12">
            <v>212090</v>
          </cell>
          <cell r="H12">
            <v>786008811.10000002</v>
          </cell>
          <cell r="I12">
            <v>96103878.299999997</v>
          </cell>
          <cell r="K12">
            <v>1059277.54</v>
          </cell>
          <cell r="L12">
            <v>50959372.299999997</v>
          </cell>
          <cell r="M12">
            <v>91953977.569999993</v>
          </cell>
          <cell r="O12">
            <v>33181831.899999999</v>
          </cell>
          <cell r="P12">
            <v>7511925.5800000001</v>
          </cell>
          <cell r="Q12">
            <v>0.35721007096226931</v>
          </cell>
        </row>
        <row r="13">
          <cell r="A13">
            <v>210013</v>
          </cell>
          <cell r="B13">
            <v>2019</v>
          </cell>
          <cell r="C13">
            <v>3030</v>
          </cell>
          <cell r="D13">
            <v>64121187.299999997</v>
          </cell>
          <cell r="E13">
            <v>31658</v>
          </cell>
          <cell r="F13">
            <v>48359287.5</v>
          </cell>
          <cell r="G13">
            <v>34688</v>
          </cell>
          <cell r="H13">
            <v>112480474.8</v>
          </cell>
          <cell r="I13">
            <v>38375042.579999998</v>
          </cell>
          <cell r="K13">
            <v>184757.1</v>
          </cell>
          <cell r="L13">
            <v>13474640.890000001</v>
          </cell>
          <cell r="M13">
            <v>22141930.699999999</v>
          </cell>
          <cell r="O13">
            <v>7542490.9500000002</v>
          </cell>
          <cell r="P13">
            <v>728758.93</v>
          </cell>
          <cell r="Q13">
            <v>0.73299496020619581</v>
          </cell>
        </row>
        <row r="14">
          <cell r="A14">
            <v>210015</v>
          </cell>
          <cell r="B14">
            <v>2019</v>
          </cell>
          <cell r="C14">
            <v>22527</v>
          </cell>
          <cell r="D14">
            <v>301351684</v>
          </cell>
          <cell r="E14">
            <v>144845</v>
          </cell>
          <cell r="F14">
            <v>254436811.90000001</v>
          </cell>
          <cell r="G14">
            <v>167372</v>
          </cell>
          <cell r="H14">
            <v>555788495.89999998</v>
          </cell>
          <cell r="I14">
            <v>81317952.829999998</v>
          </cell>
          <cell r="J14">
            <v>78717.98</v>
          </cell>
          <cell r="K14">
            <v>2609858.9</v>
          </cell>
          <cell r="L14">
            <v>28636656.289999999</v>
          </cell>
          <cell r="M14">
            <v>62193140.5</v>
          </cell>
          <cell r="N14">
            <v>72442.05</v>
          </cell>
          <cell r="O14">
            <v>21404321.370000001</v>
          </cell>
          <cell r="P14">
            <v>4815306.13</v>
          </cell>
          <cell r="Q14">
            <v>0.36187937953683008</v>
          </cell>
        </row>
        <row r="15">
          <cell r="A15">
            <v>210016</v>
          </cell>
          <cell r="B15">
            <v>2019</v>
          </cell>
          <cell r="C15">
            <v>11978</v>
          </cell>
          <cell r="D15">
            <v>170322517</v>
          </cell>
          <cell r="E15">
            <v>60815</v>
          </cell>
          <cell r="F15">
            <v>113174027.3</v>
          </cell>
          <cell r="G15">
            <v>72793</v>
          </cell>
          <cell r="H15">
            <v>283496544.30000001</v>
          </cell>
          <cell r="I15">
            <v>52965239.560000002</v>
          </cell>
          <cell r="K15">
            <v>2955754.61</v>
          </cell>
          <cell r="L15">
            <v>18193762.539999999</v>
          </cell>
          <cell r="M15">
            <v>20275002.260000002</v>
          </cell>
          <cell r="O15">
            <v>9694248.8000000007</v>
          </cell>
          <cell r="P15">
            <v>12664043.65</v>
          </cell>
          <cell r="Q15">
            <v>0.41181472496700205</v>
          </cell>
        </row>
        <row r="16">
          <cell r="A16">
            <v>210017</v>
          </cell>
          <cell r="B16">
            <v>2019</v>
          </cell>
          <cell r="C16">
            <v>1995</v>
          </cell>
          <cell r="D16">
            <v>23364326.899999999</v>
          </cell>
          <cell r="E16">
            <v>62570</v>
          </cell>
          <cell r="F16">
            <v>41873139.43</v>
          </cell>
          <cell r="G16">
            <v>64565</v>
          </cell>
          <cell r="H16">
            <v>65237466.329999998</v>
          </cell>
          <cell r="I16">
            <v>3379808.21</v>
          </cell>
          <cell r="J16">
            <v>1108271.51</v>
          </cell>
          <cell r="K16">
            <v>387518.65</v>
          </cell>
          <cell r="L16">
            <v>1766650.18</v>
          </cell>
          <cell r="M16">
            <v>5534868.8899999997</v>
          </cell>
          <cell r="N16">
            <v>1654709.62</v>
          </cell>
          <cell r="O16">
            <v>3088176.97</v>
          </cell>
          <cell r="P16">
            <v>863819.02</v>
          </cell>
          <cell r="Q16">
            <v>0.2726013754127351</v>
          </cell>
        </row>
        <row r="17">
          <cell r="A17">
            <v>210018</v>
          </cell>
          <cell r="B17">
            <v>2019</v>
          </cell>
          <cell r="C17">
            <v>6668</v>
          </cell>
          <cell r="D17">
            <v>84356979.760000005</v>
          </cell>
          <cell r="E17">
            <v>44872</v>
          </cell>
          <cell r="F17">
            <v>95282271.519999996</v>
          </cell>
          <cell r="G17">
            <v>51540</v>
          </cell>
          <cell r="H17">
            <v>179639251.28</v>
          </cell>
          <cell r="I17">
            <v>12083962.029999999</v>
          </cell>
          <cell r="J17">
            <v>8575.2900000000009</v>
          </cell>
          <cell r="K17">
            <v>454997.37</v>
          </cell>
          <cell r="L17">
            <v>6452148.21</v>
          </cell>
          <cell r="M17">
            <v>14944731.720000001</v>
          </cell>
          <cell r="N17">
            <v>100583.27</v>
          </cell>
          <cell r="O17">
            <v>4107942.45</v>
          </cell>
          <cell r="P17">
            <v>2388903.5699999998</v>
          </cell>
          <cell r="Q17">
            <v>0.22568477446395202</v>
          </cell>
        </row>
        <row r="18">
          <cell r="A18">
            <v>210019</v>
          </cell>
          <cell r="B18">
            <v>2019</v>
          </cell>
          <cell r="C18">
            <v>17475</v>
          </cell>
          <cell r="D18">
            <v>249624285.80000001</v>
          </cell>
          <cell r="E18">
            <v>145660</v>
          </cell>
          <cell r="F18">
            <v>206416071.59999999</v>
          </cell>
          <cell r="G18">
            <v>163135</v>
          </cell>
          <cell r="H18">
            <v>456040357.39999998</v>
          </cell>
          <cell r="I18">
            <v>42049590.170000002</v>
          </cell>
          <cell r="J18">
            <v>3147426.23</v>
          </cell>
          <cell r="K18">
            <v>1752359.33</v>
          </cell>
          <cell r="L18">
            <v>13947774.93</v>
          </cell>
          <cell r="M18">
            <v>35115183.07</v>
          </cell>
          <cell r="N18">
            <v>2065324.67</v>
          </cell>
          <cell r="O18">
            <v>8135956.75</v>
          </cell>
          <cell r="P18">
            <v>4838224.4800000004</v>
          </cell>
          <cell r="Q18">
            <v>0.24351318436625716</v>
          </cell>
        </row>
        <row r="19">
          <cell r="A19">
            <v>210022</v>
          </cell>
          <cell r="B19">
            <v>2019</v>
          </cell>
          <cell r="C19">
            <v>13454</v>
          </cell>
          <cell r="D19">
            <v>213341723</v>
          </cell>
          <cell r="E19">
            <v>52510</v>
          </cell>
          <cell r="F19">
            <v>122853320</v>
          </cell>
          <cell r="G19">
            <v>65964</v>
          </cell>
          <cell r="H19">
            <v>336195043</v>
          </cell>
          <cell r="I19">
            <v>17496873.489999998</v>
          </cell>
          <cell r="J19">
            <v>1242777.07</v>
          </cell>
          <cell r="K19">
            <v>3368035.39</v>
          </cell>
          <cell r="L19">
            <v>14207578.890000001</v>
          </cell>
          <cell r="M19">
            <v>9143656.1500000004</v>
          </cell>
          <cell r="N19">
            <v>430887.84</v>
          </cell>
          <cell r="O19">
            <v>4587932.9800000004</v>
          </cell>
          <cell r="P19">
            <v>3942808.64</v>
          </cell>
          <cell r="Q19">
            <v>0.16187195969453957</v>
          </cell>
        </row>
        <row r="20">
          <cell r="A20">
            <v>210023</v>
          </cell>
          <cell r="B20">
            <v>2019</v>
          </cell>
          <cell r="C20">
            <v>30503</v>
          </cell>
          <cell r="D20">
            <v>310868895.60000002</v>
          </cell>
          <cell r="E20">
            <v>196765</v>
          </cell>
          <cell r="F20">
            <v>328047051.60000002</v>
          </cell>
          <cell r="G20">
            <v>227268</v>
          </cell>
          <cell r="H20">
            <v>638915947.20000005</v>
          </cell>
          <cell r="I20">
            <v>36351247.979999997</v>
          </cell>
          <cell r="J20">
            <v>257569.52</v>
          </cell>
          <cell r="K20">
            <v>2994716.34</v>
          </cell>
          <cell r="L20">
            <v>12734170.5</v>
          </cell>
          <cell r="M20">
            <v>28425955.670000002</v>
          </cell>
          <cell r="N20">
            <v>207972.64</v>
          </cell>
          <cell r="O20">
            <v>7151981.6600000001</v>
          </cell>
          <cell r="P20">
            <v>6065052.3700000001</v>
          </cell>
          <cell r="Q20">
            <v>0.14741949562031531</v>
          </cell>
        </row>
        <row r="21">
          <cell r="A21">
            <v>210024</v>
          </cell>
          <cell r="B21">
            <v>2019</v>
          </cell>
          <cell r="C21">
            <v>10769</v>
          </cell>
          <cell r="D21">
            <v>255340464.30000001</v>
          </cell>
          <cell r="E21">
            <v>96966</v>
          </cell>
          <cell r="F21">
            <v>166083045.09999999</v>
          </cell>
          <cell r="G21">
            <v>107735</v>
          </cell>
          <cell r="H21">
            <v>421423509.39999998</v>
          </cell>
          <cell r="I21">
            <v>43338748.5</v>
          </cell>
          <cell r="J21">
            <v>96647.44</v>
          </cell>
          <cell r="K21">
            <v>1505148.06</v>
          </cell>
          <cell r="L21">
            <v>40477734.829999998</v>
          </cell>
          <cell r="M21">
            <v>33957630.759999998</v>
          </cell>
          <cell r="N21">
            <v>65903.39</v>
          </cell>
          <cell r="O21">
            <v>13169063.359999999</v>
          </cell>
          <cell r="P21">
            <v>4662954.71</v>
          </cell>
          <cell r="Q21">
            <v>0.32573842699341354</v>
          </cell>
        </row>
        <row r="22">
          <cell r="A22">
            <v>210027</v>
          </cell>
          <cell r="B22">
            <v>2019</v>
          </cell>
          <cell r="C22">
            <v>11928</v>
          </cell>
          <cell r="D22">
            <v>174711378.30000001</v>
          </cell>
          <cell r="E22">
            <v>95557</v>
          </cell>
          <cell r="F22">
            <v>161393295.19999999</v>
          </cell>
          <cell r="G22">
            <v>107485</v>
          </cell>
          <cell r="H22">
            <v>336104673.5</v>
          </cell>
          <cell r="I22">
            <v>21962776.280000001</v>
          </cell>
          <cell r="J22">
            <v>5078403.8899999997</v>
          </cell>
          <cell r="K22">
            <v>1783424.13</v>
          </cell>
          <cell r="L22">
            <v>16931917.09</v>
          </cell>
          <cell r="M22">
            <v>21645644.52</v>
          </cell>
          <cell r="N22">
            <v>4330556.09</v>
          </cell>
          <cell r="O22">
            <v>9099427.3200000003</v>
          </cell>
          <cell r="P22">
            <v>1957416.16</v>
          </cell>
          <cell r="Q22">
            <v>0.24632078042199551</v>
          </cell>
        </row>
        <row r="23">
          <cell r="A23">
            <v>210028</v>
          </cell>
          <cell r="B23">
            <v>2019</v>
          </cell>
          <cell r="C23">
            <v>7485</v>
          </cell>
          <cell r="D23">
            <v>78604256.599999994</v>
          </cell>
          <cell r="E23">
            <v>87431</v>
          </cell>
          <cell r="F23">
            <v>111939195.7</v>
          </cell>
          <cell r="G23">
            <v>94916</v>
          </cell>
          <cell r="H23">
            <v>190543452.30000001</v>
          </cell>
          <cell r="I23">
            <v>13461286.27</v>
          </cell>
          <cell r="J23">
            <v>46441.66</v>
          </cell>
          <cell r="K23">
            <v>529330.43999999994</v>
          </cell>
          <cell r="L23">
            <v>8109565.1100000003</v>
          </cell>
          <cell r="M23">
            <v>19692058.66</v>
          </cell>
          <cell r="N23">
            <v>86036.35</v>
          </cell>
          <cell r="O23">
            <v>8000586.1799999997</v>
          </cell>
          <cell r="P23">
            <v>1800866.51</v>
          </cell>
          <cell r="Q23">
            <v>0.27146653718942826</v>
          </cell>
        </row>
        <row r="24">
          <cell r="A24">
            <v>210029</v>
          </cell>
          <cell r="B24">
            <v>2019</v>
          </cell>
          <cell r="C24">
            <v>20223</v>
          </cell>
          <cell r="D24">
            <v>365885054.80000001</v>
          </cell>
          <cell r="E24">
            <v>374141</v>
          </cell>
          <cell r="F24">
            <v>310994916.5</v>
          </cell>
          <cell r="G24">
            <v>394364</v>
          </cell>
          <cell r="H24">
            <v>676879971.29999995</v>
          </cell>
          <cell r="I24">
            <v>103767335.8</v>
          </cell>
          <cell r="J24">
            <v>701308.52</v>
          </cell>
          <cell r="K24">
            <v>5042939.57</v>
          </cell>
          <cell r="L24">
            <v>40220819.210000001</v>
          </cell>
          <cell r="M24">
            <v>68379527.310000002</v>
          </cell>
          <cell r="N24">
            <v>184501.99</v>
          </cell>
          <cell r="O24">
            <v>21706174.27</v>
          </cell>
          <cell r="P24">
            <v>13826733.82</v>
          </cell>
          <cell r="Q24">
            <v>0.37499904156197927</v>
          </cell>
        </row>
        <row r="25">
          <cell r="A25">
            <v>210030</v>
          </cell>
          <cell r="B25">
            <v>2019</v>
          </cell>
          <cell r="C25">
            <v>706</v>
          </cell>
          <cell r="D25">
            <v>12125931.890000001</v>
          </cell>
          <cell r="E25">
            <v>36946</v>
          </cell>
          <cell r="F25">
            <v>34645831.450000003</v>
          </cell>
          <cell r="G25">
            <v>37652</v>
          </cell>
          <cell r="H25">
            <v>46771763.340000004</v>
          </cell>
          <cell r="I25">
            <v>1484625.56</v>
          </cell>
          <cell r="J25">
            <v>19552.77</v>
          </cell>
          <cell r="K25">
            <v>16532.18</v>
          </cell>
          <cell r="L25">
            <v>3065440.65</v>
          </cell>
          <cell r="M25">
            <v>7796635.1600000001</v>
          </cell>
          <cell r="N25">
            <v>31827.83</v>
          </cell>
          <cell r="O25">
            <v>3352129.3</v>
          </cell>
          <cell r="P25">
            <v>647773.65</v>
          </cell>
          <cell r="Q25">
            <v>0.35094928922557911</v>
          </cell>
        </row>
        <row r="26">
          <cell r="A26">
            <v>210032</v>
          </cell>
          <cell r="B26">
            <v>2019</v>
          </cell>
          <cell r="C26">
            <v>5476</v>
          </cell>
          <cell r="D26">
            <v>75812150.650000006</v>
          </cell>
          <cell r="E26">
            <v>83157</v>
          </cell>
          <cell r="F26">
            <v>87728243.25</v>
          </cell>
          <cell r="G26">
            <v>88633</v>
          </cell>
          <cell r="H26">
            <v>163540393.90000001</v>
          </cell>
          <cell r="I26">
            <v>18846493.469999999</v>
          </cell>
          <cell r="J26">
            <v>983833.25</v>
          </cell>
          <cell r="K26">
            <v>819331.52</v>
          </cell>
          <cell r="L26">
            <v>8692737.2300000004</v>
          </cell>
          <cell r="M26">
            <v>21569181.59</v>
          </cell>
          <cell r="N26">
            <v>1268880.48</v>
          </cell>
          <cell r="O26">
            <v>6273249.4500000002</v>
          </cell>
          <cell r="P26">
            <v>2144832.7000000002</v>
          </cell>
          <cell r="Q26">
            <v>0.37054172516579709</v>
          </cell>
        </row>
        <row r="27">
          <cell r="A27">
            <v>210033</v>
          </cell>
          <cell r="B27">
            <v>2019</v>
          </cell>
          <cell r="C27">
            <v>11643</v>
          </cell>
          <cell r="D27">
            <v>147463426.69999999</v>
          </cell>
          <cell r="E27">
            <v>58133</v>
          </cell>
          <cell r="F27">
            <v>86677759.760000005</v>
          </cell>
          <cell r="G27">
            <v>69776</v>
          </cell>
          <cell r="H27">
            <v>234141186.45999998</v>
          </cell>
          <cell r="I27">
            <v>19872593.210000001</v>
          </cell>
          <cell r="J27">
            <v>109479.8</v>
          </cell>
          <cell r="K27">
            <v>735672.92</v>
          </cell>
          <cell r="L27">
            <v>10089220.01</v>
          </cell>
          <cell r="M27">
            <v>14350300.140000001</v>
          </cell>
          <cell r="N27">
            <v>30637.74</v>
          </cell>
          <cell r="O27">
            <v>3517955.74</v>
          </cell>
          <cell r="P27">
            <v>1658495.56</v>
          </cell>
          <cell r="Q27">
            <v>0.21510250238953205</v>
          </cell>
        </row>
        <row r="28">
          <cell r="A28">
            <v>210034</v>
          </cell>
          <cell r="B28">
            <v>2019</v>
          </cell>
          <cell r="C28">
            <v>8818</v>
          </cell>
          <cell r="D28">
            <v>119513686.40000001</v>
          </cell>
          <cell r="E28">
            <v>62215</v>
          </cell>
          <cell r="F28">
            <v>68493905.159999996</v>
          </cell>
          <cell r="G28">
            <v>71033</v>
          </cell>
          <cell r="H28">
            <v>188007591.56</v>
          </cell>
          <cell r="I28">
            <v>42960862.07</v>
          </cell>
          <cell r="J28">
            <v>133429.26999999999</v>
          </cell>
          <cell r="K28">
            <v>1115655.02</v>
          </cell>
          <cell r="L28">
            <v>15002497.59</v>
          </cell>
          <cell r="M28">
            <v>26071472.960000001</v>
          </cell>
          <cell r="N28">
            <v>79006.259999999995</v>
          </cell>
          <cell r="O28">
            <v>5216974.84</v>
          </cell>
          <cell r="P28">
            <v>3219237.09</v>
          </cell>
          <cell r="Q28">
            <v>0.49891142331912336</v>
          </cell>
        </row>
        <row r="29">
          <cell r="A29">
            <v>210035</v>
          </cell>
          <cell r="B29">
            <v>2019</v>
          </cell>
          <cell r="C29">
            <v>6715</v>
          </cell>
          <cell r="D29">
            <v>80241260.069999993</v>
          </cell>
          <cell r="E29">
            <v>59511</v>
          </cell>
          <cell r="F29">
            <v>74634057.959999993</v>
          </cell>
          <cell r="G29">
            <v>66226</v>
          </cell>
          <cell r="H29">
            <v>154875318.02999997</v>
          </cell>
          <cell r="I29">
            <v>12535977.41</v>
          </cell>
          <cell r="J29">
            <v>226541.3</v>
          </cell>
          <cell r="K29">
            <v>191642.19</v>
          </cell>
          <cell r="L29">
            <v>7026557.8899999997</v>
          </cell>
          <cell r="M29">
            <v>15563400.77</v>
          </cell>
          <cell r="N29">
            <v>369748.82</v>
          </cell>
          <cell r="O29">
            <v>3148511.71</v>
          </cell>
          <cell r="P29">
            <v>2702696.58</v>
          </cell>
          <cell r="Q29">
            <v>0.26966902926333258</v>
          </cell>
        </row>
        <row r="30">
          <cell r="A30">
            <v>210037</v>
          </cell>
          <cell r="B30">
            <v>2019</v>
          </cell>
          <cell r="C30">
            <v>7549</v>
          </cell>
          <cell r="D30">
            <v>111080511.40000001</v>
          </cell>
          <cell r="E30">
            <v>55483</v>
          </cell>
          <cell r="F30">
            <v>119702424.8</v>
          </cell>
          <cell r="G30">
            <v>63032</v>
          </cell>
          <cell r="H30">
            <v>230782936.19999999</v>
          </cell>
          <cell r="I30">
            <v>20991071.460000001</v>
          </cell>
          <cell r="J30">
            <v>68682.69</v>
          </cell>
          <cell r="K30">
            <v>708515.43</v>
          </cell>
          <cell r="L30">
            <v>14615111.17</v>
          </cell>
          <cell r="M30">
            <v>22261858.32</v>
          </cell>
          <cell r="N30">
            <v>54618.92</v>
          </cell>
          <cell r="O30">
            <v>10245171.810000001</v>
          </cell>
          <cell r="P30">
            <v>1448137.25</v>
          </cell>
          <cell r="Q30">
            <v>0.30501894208069269</v>
          </cell>
        </row>
        <row r="31">
          <cell r="A31">
            <v>210038</v>
          </cell>
          <cell r="B31">
            <v>2019</v>
          </cell>
          <cell r="C31">
            <v>4244</v>
          </cell>
          <cell r="D31">
            <v>96555012.390000001</v>
          </cell>
          <cell r="E31">
            <v>99321</v>
          </cell>
          <cell r="F31">
            <v>119807171.7</v>
          </cell>
          <cell r="G31">
            <v>103565</v>
          </cell>
          <cell r="H31">
            <v>216362184.09</v>
          </cell>
          <cell r="I31">
            <v>42070500.109999999</v>
          </cell>
          <cell r="J31">
            <v>320013.49</v>
          </cell>
          <cell r="K31">
            <v>418199.3</v>
          </cell>
          <cell r="L31">
            <v>22997027.66</v>
          </cell>
          <cell r="M31">
            <v>48773533</v>
          </cell>
          <cell r="N31">
            <v>131074.32</v>
          </cell>
          <cell r="O31">
            <v>18519401.359999999</v>
          </cell>
          <cell r="P31">
            <v>1460951.72</v>
          </cell>
          <cell r="Q31">
            <v>0.62252422495408355</v>
          </cell>
        </row>
        <row r="32">
          <cell r="A32">
            <v>210039</v>
          </cell>
          <cell r="B32">
            <v>2019</v>
          </cell>
          <cell r="C32">
            <v>5942</v>
          </cell>
          <cell r="D32">
            <v>70326747.040000007</v>
          </cell>
          <cell r="E32">
            <v>54818</v>
          </cell>
          <cell r="F32">
            <v>82113413.549999997</v>
          </cell>
          <cell r="G32">
            <v>60760</v>
          </cell>
          <cell r="H32">
            <v>152440160.59</v>
          </cell>
          <cell r="I32">
            <v>11123008.939999999</v>
          </cell>
          <cell r="J32">
            <v>74734.740000000005</v>
          </cell>
          <cell r="K32">
            <v>469919.86</v>
          </cell>
          <cell r="L32">
            <v>6710911.0599999996</v>
          </cell>
          <cell r="M32">
            <v>12281639.24</v>
          </cell>
          <cell r="N32">
            <v>87309</v>
          </cell>
          <cell r="O32">
            <v>3464795.45</v>
          </cell>
          <cell r="P32">
            <v>1610132.96</v>
          </cell>
          <cell r="Q32">
            <v>0.23499352868268977</v>
          </cell>
        </row>
        <row r="33">
          <cell r="A33">
            <v>210040</v>
          </cell>
          <cell r="B33">
            <v>2019</v>
          </cell>
          <cell r="C33">
            <v>9482</v>
          </cell>
          <cell r="D33">
            <v>139138554.30000001</v>
          </cell>
          <cell r="E33">
            <v>82558</v>
          </cell>
          <cell r="F33">
            <v>131297556.8</v>
          </cell>
          <cell r="G33">
            <v>92040</v>
          </cell>
          <cell r="H33">
            <v>270436111.10000002</v>
          </cell>
          <cell r="I33">
            <v>27210348.48</v>
          </cell>
          <cell r="K33">
            <v>648717.87</v>
          </cell>
          <cell r="L33">
            <v>22716838.690000001</v>
          </cell>
          <cell r="M33">
            <v>26442969.41</v>
          </cell>
          <cell r="O33">
            <v>11235122.1</v>
          </cell>
          <cell r="P33">
            <v>9319567.4299999997</v>
          </cell>
          <cell r="Q33">
            <v>0.36080079536389986</v>
          </cell>
        </row>
        <row r="34">
          <cell r="A34">
            <v>210043</v>
          </cell>
          <cell r="B34">
            <v>2019</v>
          </cell>
          <cell r="C34">
            <v>18582</v>
          </cell>
          <cell r="D34">
            <v>261295187.80000001</v>
          </cell>
          <cell r="E34">
            <v>131326</v>
          </cell>
          <cell r="F34">
            <v>185543070.90000001</v>
          </cell>
          <cell r="G34">
            <v>149908</v>
          </cell>
          <cell r="H34">
            <v>446838258.70000005</v>
          </cell>
          <cell r="I34">
            <v>51394334.560000002</v>
          </cell>
          <cell r="J34">
            <v>296321.88</v>
          </cell>
          <cell r="K34">
            <v>865385.93</v>
          </cell>
          <cell r="L34">
            <v>21232131.280000001</v>
          </cell>
          <cell r="M34">
            <v>36219281.729999997</v>
          </cell>
          <cell r="N34">
            <v>270822.38</v>
          </cell>
          <cell r="O34">
            <v>9276384.7100000009</v>
          </cell>
          <cell r="P34">
            <v>4805657</v>
          </cell>
          <cell r="Q34">
            <v>0.27831170909985464</v>
          </cell>
        </row>
        <row r="35">
          <cell r="A35">
            <v>210044</v>
          </cell>
          <cell r="B35">
            <v>2019</v>
          </cell>
          <cell r="C35">
            <v>21752</v>
          </cell>
          <cell r="D35">
            <v>242755205.5</v>
          </cell>
          <cell r="E35">
            <v>143152</v>
          </cell>
          <cell r="F35">
            <v>233650362.40000001</v>
          </cell>
          <cell r="G35">
            <v>164904</v>
          </cell>
          <cell r="H35">
            <v>476405567.89999998</v>
          </cell>
          <cell r="I35">
            <v>30427133.219999999</v>
          </cell>
          <cell r="J35">
            <v>128285.77</v>
          </cell>
          <cell r="K35">
            <v>1133759.5</v>
          </cell>
          <cell r="L35">
            <v>11421100.449999999</v>
          </cell>
          <cell r="M35">
            <v>23190524.260000002</v>
          </cell>
          <cell r="N35">
            <v>174967.21</v>
          </cell>
          <cell r="O35">
            <v>6595560.8700000001</v>
          </cell>
          <cell r="P35">
            <v>3860247.74</v>
          </cell>
          <cell r="Q35">
            <v>0.16148337509806002</v>
          </cell>
        </row>
        <row r="36">
          <cell r="A36">
            <v>210045</v>
          </cell>
          <cell r="B36">
            <v>2019</v>
          </cell>
          <cell r="C36">
            <v>171</v>
          </cell>
          <cell r="D36">
            <v>2116007.46</v>
          </cell>
          <cell r="E36">
            <v>19906</v>
          </cell>
          <cell r="F36">
            <v>13623884.300000001</v>
          </cell>
          <cell r="G36">
            <v>20077</v>
          </cell>
          <cell r="H36">
            <v>15739891.760000002</v>
          </cell>
          <cell r="I36">
            <v>231533.11</v>
          </cell>
          <cell r="K36">
            <v>105585.19</v>
          </cell>
          <cell r="L36">
            <v>431669.92</v>
          </cell>
          <cell r="M36">
            <v>3901698.91</v>
          </cell>
          <cell r="N36">
            <v>13451.09</v>
          </cell>
          <cell r="O36">
            <v>1152707.6000000001</v>
          </cell>
          <cell r="P36">
            <v>493359.07</v>
          </cell>
          <cell r="Q36">
            <v>0.40216317789976974</v>
          </cell>
        </row>
        <row r="37">
          <cell r="A37">
            <v>210048</v>
          </cell>
          <cell r="B37">
            <v>2019</v>
          </cell>
          <cell r="C37">
            <v>17559</v>
          </cell>
          <cell r="D37">
            <v>185775515</v>
          </cell>
          <cell r="E37">
            <v>94677</v>
          </cell>
          <cell r="F37">
            <v>122098835.7</v>
          </cell>
          <cell r="G37">
            <v>112236</v>
          </cell>
          <cell r="H37">
            <v>307874350.69999999</v>
          </cell>
          <cell r="I37">
            <v>25657498.539999999</v>
          </cell>
          <cell r="J37">
            <v>161881.47</v>
          </cell>
          <cell r="K37">
            <v>1055125.6000000001</v>
          </cell>
          <cell r="L37">
            <v>15354787.390000001</v>
          </cell>
          <cell r="M37">
            <v>19275938.59</v>
          </cell>
          <cell r="N37">
            <v>252076.28</v>
          </cell>
          <cell r="O37">
            <v>4391953.8</v>
          </cell>
          <cell r="P37">
            <v>4277938.04</v>
          </cell>
          <cell r="Q37">
            <v>0.22875305964875889</v>
          </cell>
        </row>
        <row r="38">
          <cell r="A38">
            <v>210049</v>
          </cell>
          <cell r="B38">
            <v>2019</v>
          </cell>
          <cell r="C38">
            <v>12223</v>
          </cell>
          <cell r="D38">
            <v>159240631.5</v>
          </cell>
          <cell r="E38">
            <v>133398</v>
          </cell>
          <cell r="F38">
            <v>164302054.59999999</v>
          </cell>
          <cell r="G38">
            <v>145621</v>
          </cell>
          <cell r="H38">
            <v>323542686.10000002</v>
          </cell>
          <cell r="I38">
            <v>19935172.059999999</v>
          </cell>
          <cell r="K38">
            <v>342877.21</v>
          </cell>
          <cell r="L38">
            <v>9822848.6899999995</v>
          </cell>
          <cell r="M38">
            <v>19982636.969999999</v>
          </cell>
          <cell r="O38">
            <v>6832660.3300000001</v>
          </cell>
          <cell r="P38">
            <v>1221589.57</v>
          </cell>
          <cell r="Q38">
            <v>0.17969123496746536</v>
          </cell>
        </row>
        <row r="39">
          <cell r="A39">
            <v>210051</v>
          </cell>
          <cell r="B39">
            <v>2019</v>
          </cell>
          <cell r="C39">
            <v>10257</v>
          </cell>
          <cell r="D39">
            <v>151231646.09999999</v>
          </cell>
          <cell r="E39">
            <v>64496</v>
          </cell>
          <cell r="F39">
            <v>105340234.90000001</v>
          </cell>
          <cell r="G39">
            <v>74753</v>
          </cell>
          <cell r="H39">
            <v>256571881</v>
          </cell>
          <cell r="I39">
            <v>23919785.140000001</v>
          </cell>
          <cell r="J39">
            <v>907775.52</v>
          </cell>
          <cell r="K39">
            <v>2709170.43</v>
          </cell>
          <cell r="L39">
            <v>13413425.970000001</v>
          </cell>
          <cell r="M39">
            <v>22298109.460000001</v>
          </cell>
          <cell r="N39">
            <v>346053.86</v>
          </cell>
          <cell r="O39">
            <v>7394764.0300000003</v>
          </cell>
          <cell r="P39">
            <v>5404772.8200000003</v>
          </cell>
          <cell r="Q39">
            <v>0.29774836171544455</v>
          </cell>
        </row>
        <row r="40">
          <cell r="A40">
            <v>210055</v>
          </cell>
          <cell r="B40">
            <v>2019</v>
          </cell>
          <cell r="C40">
            <v>1654</v>
          </cell>
          <cell r="D40">
            <v>22538707.890000001</v>
          </cell>
          <cell r="E40">
            <v>27871</v>
          </cell>
          <cell r="F40">
            <v>47193229.259999998</v>
          </cell>
          <cell r="G40">
            <v>29525</v>
          </cell>
          <cell r="H40">
            <v>69731937.150000006</v>
          </cell>
          <cell r="I40">
            <v>5288716.22</v>
          </cell>
          <cell r="K40">
            <v>774916.91</v>
          </cell>
          <cell r="L40">
            <v>2533255.19</v>
          </cell>
          <cell r="M40">
            <v>12879382.539999999</v>
          </cell>
          <cell r="O40">
            <v>2192775.9</v>
          </cell>
          <cell r="P40">
            <v>4294506.59</v>
          </cell>
          <cell r="Q40">
            <v>0.40101500822855018</v>
          </cell>
        </row>
        <row r="41">
          <cell r="A41">
            <v>210056</v>
          </cell>
          <cell r="B41">
            <v>2019</v>
          </cell>
          <cell r="C41">
            <v>8470</v>
          </cell>
          <cell r="D41">
            <v>153770349.59999999</v>
          </cell>
          <cell r="E41">
            <v>96341</v>
          </cell>
          <cell r="F41">
            <v>104456018.3</v>
          </cell>
          <cell r="G41">
            <v>104811</v>
          </cell>
          <cell r="H41">
            <v>258226367.89999998</v>
          </cell>
          <cell r="I41">
            <v>32693568.899999999</v>
          </cell>
          <cell r="J41">
            <v>78643.070000000007</v>
          </cell>
          <cell r="K41">
            <v>1031081.59</v>
          </cell>
          <cell r="L41">
            <v>30255146.899999999</v>
          </cell>
          <cell r="M41">
            <v>27067020.399999999</v>
          </cell>
          <cell r="N41">
            <v>58042.74</v>
          </cell>
          <cell r="O41">
            <v>14370329.810000001</v>
          </cell>
          <cell r="P41">
            <v>2977277.02</v>
          </cell>
          <cell r="Q41">
            <v>0.42029445448432845</v>
          </cell>
        </row>
        <row r="42">
          <cell r="A42">
            <v>210057</v>
          </cell>
          <cell r="B42">
            <v>2019</v>
          </cell>
          <cell r="C42">
            <v>22991</v>
          </cell>
          <cell r="D42">
            <v>271198949.69999999</v>
          </cell>
          <cell r="E42">
            <v>91460</v>
          </cell>
          <cell r="F42">
            <v>174637207.69999999</v>
          </cell>
          <cell r="G42">
            <v>114451</v>
          </cell>
          <cell r="H42">
            <v>445836157.39999998</v>
          </cell>
          <cell r="I42">
            <v>56804133.469999999</v>
          </cell>
          <cell r="K42">
            <v>6716458.5099999998</v>
          </cell>
          <cell r="L42">
            <v>22698303.27</v>
          </cell>
          <cell r="M42">
            <v>29764614.010000002</v>
          </cell>
          <cell r="O42">
            <v>8826986.2300000004</v>
          </cell>
          <cell r="P42">
            <v>9910997.8699999992</v>
          </cell>
          <cell r="Q42">
            <v>0.30217713642980548</v>
          </cell>
        </row>
        <row r="43">
          <cell r="A43">
            <v>210058</v>
          </cell>
          <cell r="B43">
            <v>2019</v>
          </cell>
          <cell r="C43">
            <v>1888</v>
          </cell>
          <cell r="D43">
            <v>58637371.240000002</v>
          </cell>
          <cell r="E43">
            <v>31456</v>
          </cell>
          <cell r="F43">
            <v>52800313.630000003</v>
          </cell>
          <cell r="G43">
            <v>33344</v>
          </cell>
          <cell r="H43">
            <v>111437684.87</v>
          </cell>
          <cell r="I43">
            <v>15590544.189999999</v>
          </cell>
          <cell r="J43">
            <v>30896.15</v>
          </cell>
          <cell r="K43">
            <v>46815.6</v>
          </cell>
          <cell r="L43">
            <v>2746679.38</v>
          </cell>
          <cell r="M43">
            <v>15792028.939999999</v>
          </cell>
          <cell r="N43">
            <v>26943.4</v>
          </cell>
          <cell r="O43">
            <v>3924070.28</v>
          </cell>
          <cell r="P43">
            <v>222734.48</v>
          </cell>
          <cell r="Q43">
            <v>0.34441412224934348</v>
          </cell>
        </row>
        <row r="44">
          <cell r="A44">
            <v>210060</v>
          </cell>
          <cell r="B44">
            <v>2019</v>
          </cell>
          <cell r="C44">
            <v>2042</v>
          </cell>
          <cell r="D44">
            <v>21540033.760000002</v>
          </cell>
          <cell r="E44">
            <v>37303</v>
          </cell>
          <cell r="F44">
            <v>30412249.52</v>
          </cell>
          <cell r="G44">
            <v>39345</v>
          </cell>
          <cell r="H44">
            <v>51952283.280000001</v>
          </cell>
          <cell r="I44">
            <v>3226340.9</v>
          </cell>
          <cell r="K44">
            <v>632290.15</v>
          </cell>
          <cell r="L44">
            <v>1917998.92</v>
          </cell>
          <cell r="M44">
            <v>8229067.3099999996</v>
          </cell>
          <cell r="O44">
            <v>1590879.8</v>
          </cell>
          <cell r="P44">
            <v>2069141.87</v>
          </cell>
          <cell r="Q44">
            <v>0.34003739267414923</v>
          </cell>
        </row>
        <row r="45">
          <cell r="A45">
            <v>210061</v>
          </cell>
          <cell r="B45">
            <v>2019</v>
          </cell>
          <cell r="C45">
            <v>3084</v>
          </cell>
          <cell r="D45">
            <v>39677414.369999997</v>
          </cell>
          <cell r="E45">
            <v>86075</v>
          </cell>
          <cell r="F45">
            <v>70668861.469999999</v>
          </cell>
          <cell r="G45">
            <v>89159</v>
          </cell>
          <cell r="H45">
            <v>110346275.84</v>
          </cell>
          <cell r="I45">
            <v>4810498.07</v>
          </cell>
          <cell r="J45">
            <v>400067.17</v>
          </cell>
          <cell r="K45">
            <v>458181.23</v>
          </cell>
          <cell r="L45">
            <v>1363133.92</v>
          </cell>
          <cell r="M45">
            <v>10247155.99</v>
          </cell>
          <cell r="N45">
            <v>878870.85</v>
          </cell>
          <cell r="O45">
            <v>2731501.49</v>
          </cell>
          <cell r="P45">
            <v>1897304.93</v>
          </cell>
          <cell r="Q45">
            <v>0.20650188215722212</v>
          </cell>
        </row>
        <row r="46">
          <cell r="A46">
            <v>210062</v>
          </cell>
          <cell r="B46">
            <v>2019</v>
          </cell>
          <cell r="C46">
            <v>11564</v>
          </cell>
          <cell r="D46">
            <v>171546074.90000001</v>
          </cell>
          <cell r="E46">
            <v>53904</v>
          </cell>
          <cell r="F46">
            <v>102430945.8</v>
          </cell>
          <cell r="G46">
            <v>65468</v>
          </cell>
          <cell r="H46">
            <v>273977020.69999999</v>
          </cell>
          <cell r="I46">
            <v>37242122.109999999</v>
          </cell>
          <cell r="J46">
            <v>2713592.81</v>
          </cell>
          <cell r="K46">
            <v>1818181.33</v>
          </cell>
          <cell r="L46">
            <v>20302258.600000001</v>
          </cell>
          <cell r="M46">
            <v>22041311.800000001</v>
          </cell>
          <cell r="N46">
            <v>795447.67</v>
          </cell>
          <cell r="O46">
            <v>4799380.2300000004</v>
          </cell>
          <cell r="P46">
            <v>4228566.0199999996</v>
          </cell>
          <cell r="Q46">
            <v>0.34287861197258435</v>
          </cell>
        </row>
        <row r="47">
          <cell r="A47">
            <v>210063</v>
          </cell>
          <cell r="B47">
            <v>2019</v>
          </cell>
          <cell r="C47">
            <v>16360</v>
          </cell>
          <cell r="D47">
            <v>250792791.40000001</v>
          </cell>
          <cell r="E47">
            <v>82411</v>
          </cell>
          <cell r="F47">
            <v>138848669.90000001</v>
          </cell>
          <cell r="G47">
            <v>98771</v>
          </cell>
          <cell r="H47">
            <v>389641461.30000001</v>
          </cell>
          <cell r="I47">
            <v>28498236.07</v>
          </cell>
          <cell r="J47">
            <v>243806.43</v>
          </cell>
          <cell r="K47">
            <v>2528959.7999999998</v>
          </cell>
          <cell r="L47">
            <v>9726342.25</v>
          </cell>
          <cell r="M47">
            <v>15758428.140000001</v>
          </cell>
          <cell r="N47">
            <v>82637.279999999999</v>
          </cell>
          <cell r="O47">
            <v>3566120.63</v>
          </cell>
          <cell r="P47">
            <v>4228402.0999999996</v>
          </cell>
          <cell r="Q47">
            <v>0.16587796505114893</v>
          </cell>
        </row>
        <row r="48">
          <cell r="A48">
            <v>210064</v>
          </cell>
          <cell r="B48">
            <v>2019</v>
          </cell>
          <cell r="C48">
            <v>1287</v>
          </cell>
          <cell r="D48">
            <v>57155287.210000001</v>
          </cell>
          <cell r="E48">
            <v>158</v>
          </cell>
          <cell r="F48">
            <v>2181638.8199999998</v>
          </cell>
          <cell r="G48">
            <v>1445</v>
          </cell>
          <cell r="H48">
            <v>59336926.030000001</v>
          </cell>
          <cell r="I48">
            <v>2506601.7400000002</v>
          </cell>
          <cell r="K48">
            <v>1152494.4099999999</v>
          </cell>
          <cell r="L48">
            <v>11492980.09</v>
          </cell>
          <cell r="O48">
            <v>636152.06000000006</v>
          </cell>
          <cell r="P48">
            <v>54202.03</v>
          </cell>
          <cell r="Q48">
            <v>0.26699108615755168</v>
          </cell>
        </row>
        <row r="49">
          <cell r="A49">
            <v>210065</v>
          </cell>
          <cell r="B49">
            <v>2019</v>
          </cell>
          <cell r="C49">
            <v>6212</v>
          </cell>
          <cell r="D49">
            <v>67591520.849999994</v>
          </cell>
          <cell r="E49">
            <v>32830</v>
          </cell>
          <cell r="F49">
            <v>43172520.060000002</v>
          </cell>
          <cell r="G49">
            <v>39042</v>
          </cell>
          <cell r="H49">
            <v>110764040.91</v>
          </cell>
          <cell r="I49">
            <v>11155509.310000001</v>
          </cell>
          <cell r="J49">
            <v>907241.79</v>
          </cell>
          <cell r="K49">
            <v>1901245.99</v>
          </cell>
          <cell r="L49">
            <v>6118729.2199999997</v>
          </cell>
          <cell r="M49">
            <v>8474746.7300000004</v>
          </cell>
          <cell r="N49">
            <v>931899.38</v>
          </cell>
          <cell r="O49">
            <v>2049852.33</v>
          </cell>
          <cell r="P49">
            <v>6212558.7000000002</v>
          </cell>
          <cell r="Q49">
            <v>0.34083068060576416</v>
          </cell>
        </row>
        <row r="50">
          <cell r="A50">
            <v>210087</v>
          </cell>
          <cell r="B50">
            <v>2019</v>
          </cell>
          <cell r="E50">
            <v>23533</v>
          </cell>
          <cell r="F50">
            <v>13824494.25</v>
          </cell>
          <cell r="G50">
            <v>23533</v>
          </cell>
          <cell r="H50">
            <v>13824494.25</v>
          </cell>
          <cell r="M50">
            <v>5020942.25</v>
          </cell>
          <cell r="O50">
            <v>448284.65</v>
          </cell>
          <cell r="P50">
            <v>1891896.09</v>
          </cell>
          <cell r="Q50">
            <v>0.53246960481031702</v>
          </cell>
        </row>
        <row r="51">
          <cell r="A51">
            <v>210088</v>
          </cell>
          <cell r="B51">
            <v>2019</v>
          </cell>
          <cell r="E51">
            <v>16002</v>
          </cell>
          <cell r="F51">
            <v>6839196.3600000003</v>
          </cell>
          <cell r="G51">
            <v>16002</v>
          </cell>
          <cell r="H51">
            <v>6839196.3600000003</v>
          </cell>
          <cell r="M51">
            <v>2079660.34</v>
          </cell>
          <cell r="N51">
            <v>4754.13</v>
          </cell>
          <cell r="O51">
            <v>208496.54</v>
          </cell>
          <cell r="P51">
            <v>356793.3</v>
          </cell>
          <cell r="Q51">
            <v>0.38742919058402348</v>
          </cell>
        </row>
        <row r="52">
          <cell r="A52">
            <v>210333</v>
          </cell>
          <cell r="B52">
            <v>2019</v>
          </cell>
          <cell r="E52">
            <v>32182</v>
          </cell>
          <cell r="F52">
            <v>21897695.550000001</v>
          </cell>
          <cell r="G52">
            <v>32182</v>
          </cell>
          <cell r="H52">
            <v>21897695.550000001</v>
          </cell>
          <cell r="M52">
            <v>6246445.9500000002</v>
          </cell>
          <cell r="O52">
            <v>639356.12</v>
          </cell>
          <cell r="P52">
            <v>1844836.2</v>
          </cell>
          <cell r="Q52">
            <v>0.39870123548228797</v>
          </cell>
        </row>
        <row r="53">
          <cell r="A53">
            <v>213028</v>
          </cell>
          <cell r="B53">
            <v>2019</v>
          </cell>
          <cell r="C53">
            <v>1714</v>
          </cell>
          <cell r="D53">
            <v>43859279.409999996</v>
          </cell>
          <cell r="E53">
            <v>103</v>
          </cell>
          <cell r="F53">
            <v>488252.52</v>
          </cell>
          <cell r="G53">
            <v>1817</v>
          </cell>
          <cell r="H53">
            <v>44347531.93</v>
          </cell>
          <cell r="I53">
            <v>964079.75</v>
          </cell>
          <cell r="K53">
            <v>126863.03</v>
          </cell>
          <cell r="M53">
            <v>66379.259999999995</v>
          </cell>
          <cell r="O53">
            <v>5102</v>
          </cell>
          <cell r="Q53">
            <v>2.6211696331485117E-2</v>
          </cell>
        </row>
        <row r="54">
          <cell r="A54">
            <v>213029</v>
          </cell>
          <cell r="B54">
            <v>2019</v>
          </cell>
          <cell r="C54">
            <v>1884</v>
          </cell>
          <cell r="D54">
            <v>60675106.590000004</v>
          </cell>
          <cell r="E54">
            <v>8912</v>
          </cell>
          <cell r="F54">
            <v>14431229</v>
          </cell>
          <cell r="G54">
            <v>10796</v>
          </cell>
          <cell r="H54">
            <v>75106335.590000004</v>
          </cell>
          <cell r="I54">
            <v>5118791.3</v>
          </cell>
          <cell r="K54">
            <v>270785.76</v>
          </cell>
          <cell r="L54">
            <v>3691734.6</v>
          </cell>
          <cell r="M54">
            <v>1605699</v>
          </cell>
          <cell r="O54">
            <v>936163</v>
          </cell>
          <cell r="P54">
            <v>123554</v>
          </cell>
          <cell r="Q54">
            <v>0.15640128848948945</v>
          </cell>
        </row>
        <row r="55">
          <cell r="A55">
            <v>213300</v>
          </cell>
          <cell r="B55">
            <v>2019</v>
          </cell>
          <cell r="C55">
            <v>577</v>
          </cell>
          <cell r="D55">
            <v>52360370.380000003</v>
          </cell>
          <cell r="E55">
            <v>19917</v>
          </cell>
          <cell r="F55">
            <v>12350263.33</v>
          </cell>
          <cell r="G55">
            <v>20494</v>
          </cell>
          <cell r="H55">
            <v>64710633.710000001</v>
          </cell>
          <cell r="I55">
            <v>43863850.090000004</v>
          </cell>
          <cell r="M55">
            <v>6925232.0899999999</v>
          </cell>
          <cell r="P55">
            <v>26014.57</v>
          </cell>
          <cell r="Q55">
            <v>0.78526656032650377</v>
          </cell>
        </row>
        <row r="56">
          <cell r="A56">
            <v>218992</v>
          </cell>
          <cell r="B56">
            <v>2019</v>
          </cell>
          <cell r="C56">
            <v>3946</v>
          </cell>
          <cell r="D56">
            <v>220342097.80000001</v>
          </cell>
          <cell r="E56">
            <v>11858</v>
          </cell>
          <cell r="F56">
            <v>32759859.449999999</v>
          </cell>
          <cell r="G56">
            <v>15804</v>
          </cell>
          <cell r="H56">
            <v>253101957.25</v>
          </cell>
          <cell r="I56">
            <v>74011338.700000003</v>
          </cell>
          <cell r="J56">
            <v>3392168.28</v>
          </cell>
          <cell r="K56">
            <v>1193440.25</v>
          </cell>
          <cell r="L56">
            <v>12323350.449999999</v>
          </cell>
          <cell r="M56">
            <v>12576715.85</v>
          </cell>
          <cell r="N56">
            <v>167293.57999999999</v>
          </cell>
          <cell r="O56">
            <v>2005732.18</v>
          </cell>
          <cell r="P56">
            <v>1549726.02</v>
          </cell>
          <cell r="Q56">
            <v>0.42362282170775273</v>
          </cell>
        </row>
        <row r="58">
          <cell r="A58" t="str">
            <v>Totals</v>
          </cell>
          <cell r="C58">
            <v>589448</v>
          </cell>
          <cell r="D58">
            <v>10131137650.199999</v>
          </cell>
          <cell r="E58">
            <v>5250904</v>
          </cell>
          <cell r="F58">
            <v>7435155794.0300007</v>
          </cell>
          <cell r="G58">
            <v>5840352</v>
          </cell>
          <cell r="H58">
            <v>17566293444.23</v>
          </cell>
          <cell r="I58">
            <v>2199941808.2199993</v>
          </cell>
          <cell r="J58">
            <v>45549484.440000013</v>
          </cell>
          <cell r="K58">
            <v>95609833.579999998</v>
          </cell>
          <cell r="L58">
            <v>898303170.81000006</v>
          </cell>
          <cell r="M58">
            <v>1458662596.97</v>
          </cell>
          <cell r="N58">
            <v>22106549.330000002</v>
          </cell>
          <cell r="O58">
            <v>447917208.69999993</v>
          </cell>
          <cell r="P58">
            <v>228576972.22000003</v>
          </cell>
          <cell r="Q58">
            <v>0.30721720785340989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DSH FOR FISCAL YEAR 2020 "/>
    </sheetNames>
    <sheetDataSet>
      <sheetData sheetId="0">
        <row r="1">
          <cell r="A1" t="str">
            <v>HOSPID</v>
          </cell>
          <cell r="B1" t="str">
            <v>FYEAR</v>
          </cell>
          <cell r="C1" t="str">
            <v>IPCASES</v>
          </cell>
          <cell r="D1" t="str">
            <v>IPTOT_CHG</v>
          </cell>
          <cell r="E1" t="str">
            <v>OPCASES</v>
          </cell>
          <cell r="F1" t="str">
            <v>OPTOT_CHG</v>
          </cell>
          <cell r="G1" t="str">
            <v>Total Cases</v>
          </cell>
          <cell r="H1" t="str">
            <v>Total_chg</v>
          </cell>
          <cell r="I1" t="str">
            <v>IP MCAID CHG</v>
          </cell>
          <cell r="J1" t="str">
            <v>IP_MCAID_CHG_OOS</v>
          </cell>
          <cell r="K1" t="str">
            <v>SELFCHG</v>
          </cell>
          <cell r="L1" t="str">
            <v>DUALCHG</v>
          </cell>
          <cell r="M1" t="str">
            <v>OP MCAID CHG</v>
          </cell>
          <cell r="N1" t="str">
            <v>OP_MCAID_CHG_OOS</v>
          </cell>
          <cell r="O1" t="str">
            <v>OP_DUALCHG</v>
          </cell>
          <cell r="P1" t="str">
            <v>OUPT_SELFCHG</v>
          </cell>
          <cell r="Q1" t="str">
            <v>Poor Share</v>
          </cell>
        </row>
        <row r="2">
          <cell r="A2">
            <v>210001</v>
          </cell>
          <cell r="B2">
            <v>2020</v>
          </cell>
          <cell r="C2">
            <v>15813</v>
          </cell>
          <cell r="D2">
            <v>207347301.19999999</v>
          </cell>
          <cell r="E2">
            <v>80004</v>
          </cell>
          <cell r="F2">
            <v>155641889.80000001</v>
          </cell>
          <cell r="G2">
            <v>95817</v>
          </cell>
          <cell r="H2">
            <v>362989191</v>
          </cell>
          <cell r="I2">
            <v>37436051.140000001</v>
          </cell>
          <cell r="J2">
            <v>1004846.59</v>
          </cell>
          <cell r="K2">
            <v>4307031.3899999997</v>
          </cell>
          <cell r="L2">
            <v>19670179.399999999</v>
          </cell>
          <cell r="M2">
            <v>27311149.809999999</v>
          </cell>
          <cell r="N2">
            <v>901558.6</v>
          </cell>
          <cell r="O2">
            <v>8914659.0700000003</v>
          </cell>
          <cell r="P2">
            <v>5317522.41</v>
          </cell>
          <cell r="Q2">
            <v>0.28888738565771782</v>
          </cell>
        </row>
        <row r="3">
          <cell r="A3">
            <v>210002</v>
          </cell>
          <cell r="B3">
            <v>2020</v>
          </cell>
          <cell r="C3">
            <v>22460</v>
          </cell>
          <cell r="D3">
            <v>1017855815</v>
          </cell>
          <cell r="E3">
            <v>211164</v>
          </cell>
          <cell r="F3">
            <v>537228942.89999998</v>
          </cell>
          <cell r="G3">
            <v>233624</v>
          </cell>
          <cell r="H3">
            <v>1555084757.9000001</v>
          </cell>
          <cell r="I3">
            <v>288091983.19999999</v>
          </cell>
          <cell r="J3">
            <v>4086280.5</v>
          </cell>
          <cell r="K3">
            <v>2507858.15</v>
          </cell>
          <cell r="L3">
            <v>93243429.109999999</v>
          </cell>
          <cell r="M3">
            <v>127968717.90000001</v>
          </cell>
          <cell r="N3">
            <v>486926.46</v>
          </cell>
          <cell r="O3">
            <v>37126081.229999997</v>
          </cell>
          <cell r="P3">
            <v>3962914.16</v>
          </cell>
          <cell r="Q3">
            <v>0.35848476289023495</v>
          </cell>
        </row>
        <row r="4">
          <cell r="A4">
            <v>210003</v>
          </cell>
          <cell r="B4">
            <v>2020</v>
          </cell>
          <cell r="C4">
            <v>11521</v>
          </cell>
          <cell r="D4">
            <v>256230928.40000001</v>
          </cell>
          <cell r="E4">
            <v>40634</v>
          </cell>
          <cell r="F4">
            <v>79800474.459999993</v>
          </cell>
          <cell r="G4">
            <v>52155</v>
          </cell>
          <cell r="H4">
            <v>336031402.86000001</v>
          </cell>
          <cell r="I4">
            <v>72113702.150000006</v>
          </cell>
          <cell r="J4">
            <v>18612760.399999999</v>
          </cell>
          <cell r="K4">
            <v>16284947.83</v>
          </cell>
          <cell r="L4">
            <v>23184177.93</v>
          </cell>
          <cell r="M4">
            <v>20881913.690000001</v>
          </cell>
          <cell r="N4">
            <v>7156122.0999999996</v>
          </cell>
          <cell r="O4">
            <v>3556642.12</v>
          </cell>
          <cell r="P4">
            <v>12451054.689999999</v>
          </cell>
          <cell r="Q4">
            <v>0.51852689786434558</v>
          </cell>
        </row>
        <row r="5">
          <cell r="A5">
            <v>210004</v>
          </cell>
          <cell r="B5">
            <v>2020</v>
          </cell>
          <cell r="C5">
            <v>33050</v>
          </cell>
          <cell r="D5">
            <v>376483815</v>
          </cell>
          <cell r="E5">
            <v>86047</v>
          </cell>
          <cell r="F5">
            <v>134787599.80000001</v>
          </cell>
          <cell r="G5">
            <v>119097</v>
          </cell>
          <cell r="H5">
            <v>511271414.80000001</v>
          </cell>
          <cell r="I5">
            <v>89942553.909999996</v>
          </cell>
          <cell r="J5">
            <v>12005660.57</v>
          </cell>
          <cell r="K5">
            <v>14341374.880000001</v>
          </cell>
          <cell r="L5">
            <v>21457123.670000002</v>
          </cell>
          <cell r="M5">
            <v>20610825.41</v>
          </cell>
          <cell r="N5">
            <v>3670020.83</v>
          </cell>
          <cell r="O5">
            <v>4621005.7</v>
          </cell>
          <cell r="P5">
            <v>20161582.48</v>
          </cell>
          <cell r="Q5">
            <v>0.36538351654781376</v>
          </cell>
        </row>
        <row r="6">
          <cell r="A6">
            <v>210005</v>
          </cell>
          <cell r="B6">
            <v>2020</v>
          </cell>
          <cell r="C6">
            <v>16669</v>
          </cell>
          <cell r="D6">
            <v>233420595.90000001</v>
          </cell>
          <cell r="E6">
            <v>81812</v>
          </cell>
          <cell r="F6">
            <v>126258662.5</v>
          </cell>
          <cell r="G6">
            <v>98481</v>
          </cell>
          <cell r="H6">
            <v>359679258.39999998</v>
          </cell>
          <cell r="I6">
            <v>18643332.190000001</v>
          </cell>
          <cell r="J6">
            <v>62544.12</v>
          </cell>
          <cell r="K6">
            <v>3859664.79</v>
          </cell>
          <cell r="L6">
            <v>14771104.310000001</v>
          </cell>
          <cell r="M6">
            <v>8582976.3599999994</v>
          </cell>
          <cell r="N6">
            <v>36306.9</v>
          </cell>
          <cell r="O6">
            <v>5237071.91</v>
          </cell>
          <cell r="P6">
            <v>5444359.9199999999</v>
          </cell>
          <cell r="Q6">
            <v>0.15746629581017843</v>
          </cell>
        </row>
        <row r="7">
          <cell r="A7">
            <v>210006</v>
          </cell>
          <cell r="B7">
            <v>2020</v>
          </cell>
          <cell r="C7">
            <v>3745</v>
          </cell>
          <cell r="D7">
            <v>54568840.880000003</v>
          </cell>
          <cell r="E7">
            <v>40387</v>
          </cell>
          <cell r="F7">
            <v>45888274.640000001</v>
          </cell>
          <cell r="G7">
            <v>44132</v>
          </cell>
          <cell r="H7">
            <v>100457115.52000001</v>
          </cell>
          <cell r="I7">
            <v>10720600.57</v>
          </cell>
          <cell r="J7">
            <v>2769.44</v>
          </cell>
          <cell r="K7">
            <v>155048.91</v>
          </cell>
          <cell r="L7">
            <v>7178210.8399999999</v>
          </cell>
          <cell r="M7">
            <v>10887647.85</v>
          </cell>
          <cell r="N7">
            <v>25705.05</v>
          </cell>
          <cell r="O7">
            <v>2895257.61</v>
          </cell>
          <cell r="P7">
            <v>407738.07</v>
          </cell>
          <cell r="Q7">
            <v>0.32126124837393694</v>
          </cell>
        </row>
        <row r="8">
          <cell r="A8">
            <v>210008</v>
          </cell>
          <cell r="B8">
            <v>2020</v>
          </cell>
          <cell r="C8">
            <v>14470</v>
          </cell>
          <cell r="D8">
            <v>233119118.90000001</v>
          </cell>
          <cell r="E8">
            <v>222182</v>
          </cell>
          <cell r="F8">
            <v>315432494.60000002</v>
          </cell>
          <cell r="G8">
            <v>236652</v>
          </cell>
          <cell r="H8">
            <v>548551613.5</v>
          </cell>
          <cell r="I8">
            <v>59813161.869999997</v>
          </cell>
          <cell r="J8">
            <v>95730.6</v>
          </cell>
          <cell r="K8">
            <v>3548705.18</v>
          </cell>
          <cell r="L8">
            <v>21403361.539999999</v>
          </cell>
          <cell r="M8">
            <v>53938102.43</v>
          </cell>
          <cell r="N8">
            <v>219164.42</v>
          </cell>
          <cell r="O8">
            <v>22417217.100000001</v>
          </cell>
          <cell r="P8">
            <v>6302658.21</v>
          </cell>
          <cell r="Q8">
            <v>0.30578362586477015</v>
          </cell>
        </row>
        <row r="9">
          <cell r="A9">
            <v>210009</v>
          </cell>
          <cell r="B9">
            <v>2020</v>
          </cell>
          <cell r="C9">
            <v>41445</v>
          </cell>
          <cell r="D9">
            <v>1529948034</v>
          </cell>
          <cell r="E9">
            <v>651469</v>
          </cell>
          <cell r="F9">
            <v>923912218.39999998</v>
          </cell>
          <cell r="G9">
            <v>692914</v>
          </cell>
          <cell r="H9">
            <v>2453860252.4000001</v>
          </cell>
          <cell r="I9">
            <v>350226306.89999998</v>
          </cell>
          <cell r="J9">
            <v>9353114.5099999998</v>
          </cell>
          <cell r="K9">
            <v>14787227.439999999</v>
          </cell>
          <cell r="L9">
            <v>98011312.75</v>
          </cell>
          <cell r="M9">
            <v>165799019.90000001</v>
          </cell>
          <cell r="N9">
            <v>1082760.6599999999</v>
          </cell>
          <cell r="O9">
            <v>44718684.590000004</v>
          </cell>
          <cell r="P9">
            <v>16648270.140000001</v>
          </cell>
          <cell r="Q9">
            <v>0.28552021094304431</v>
          </cell>
        </row>
        <row r="10">
          <cell r="A10">
            <v>210010</v>
          </cell>
          <cell r="B10">
            <v>2020</v>
          </cell>
          <cell r="C10">
            <v>1046</v>
          </cell>
          <cell r="D10">
            <v>16030045.33</v>
          </cell>
          <cell r="E10">
            <v>27292</v>
          </cell>
          <cell r="F10">
            <v>22376105.91</v>
          </cell>
          <cell r="G10">
            <v>28338</v>
          </cell>
          <cell r="H10">
            <v>38406151.240000002</v>
          </cell>
          <cell r="I10">
            <v>4763562.96</v>
          </cell>
          <cell r="J10">
            <v>71040.990000000005</v>
          </cell>
          <cell r="K10">
            <v>72129.39</v>
          </cell>
          <cell r="L10">
            <v>3973259.61</v>
          </cell>
          <cell r="M10">
            <v>8406105.8699999992</v>
          </cell>
          <cell r="N10">
            <v>104673.98</v>
          </cell>
          <cell r="O10">
            <v>2669267.48</v>
          </cell>
          <cell r="P10">
            <v>457774.04</v>
          </cell>
          <cell r="Q10">
            <v>0.53423250332438155</v>
          </cell>
        </row>
        <row r="11">
          <cell r="A11">
            <v>210011</v>
          </cell>
          <cell r="B11">
            <v>2020</v>
          </cell>
          <cell r="C11">
            <v>13327</v>
          </cell>
          <cell r="D11">
            <v>234215812.59999999</v>
          </cell>
          <cell r="E11">
            <v>111286</v>
          </cell>
          <cell r="F11">
            <v>185285758.80000001</v>
          </cell>
          <cell r="G11">
            <v>124613</v>
          </cell>
          <cell r="H11">
            <v>419501571.39999998</v>
          </cell>
          <cell r="I11">
            <v>63209201.240000002</v>
          </cell>
          <cell r="J11">
            <v>232583.28</v>
          </cell>
          <cell r="K11">
            <v>3488163.15</v>
          </cell>
          <cell r="L11">
            <v>30297756.350000001</v>
          </cell>
          <cell r="M11">
            <v>43940294.109999999</v>
          </cell>
          <cell r="N11">
            <v>167340.22</v>
          </cell>
          <cell r="O11">
            <v>13067790.560000001</v>
          </cell>
          <cell r="P11">
            <v>8853403.1899999995</v>
          </cell>
          <cell r="Q11">
            <v>0.38916786784651364</v>
          </cell>
        </row>
        <row r="12">
          <cell r="A12">
            <v>210012</v>
          </cell>
          <cell r="B12">
            <v>2020</v>
          </cell>
          <cell r="C12">
            <v>16993</v>
          </cell>
          <cell r="D12">
            <v>454566329.69999999</v>
          </cell>
          <cell r="E12">
            <v>175470</v>
          </cell>
          <cell r="F12">
            <v>363601495.69999999</v>
          </cell>
          <cell r="G12">
            <v>192463</v>
          </cell>
          <cell r="H12">
            <v>818167825.39999998</v>
          </cell>
          <cell r="I12">
            <v>109370899.5</v>
          </cell>
          <cell r="K12">
            <v>1464697.85</v>
          </cell>
          <cell r="L12">
            <v>59588919.170000002</v>
          </cell>
          <cell r="M12">
            <v>82210762.569999993</v>
          </cell>
          <cell r="O12">
            <v>28848056.059999999</v>
          </cell>
          <cell r="P12">
            <v>9020649.9000000004</v>
          </cell>
          <cell r="Q12">
            <v>0.35506649862205636</v>
          </cell>
        </row>
        <row r="13">
          <cell r="A13">
            <v>210013</v>
          </cell>
          <cell r="B13">
            <v>2020</v>
          </cell>
          <cell r="C13">
            <v>1720</v>
          </cell>
          <cell r="D13">
            <v>31809115.870000001</v>
          </cell>
          <cell r="E13">
            <v>26050</v>
          </cell>
          <cell r="F13">
            <v>37703124.210000001</v>
          </cell>
          <cell r="G13">
            <v>27770</v>
          </cell>
          <cell r="H13">
            <v>69512240.079999998</v>
          </cell>
          <cell r="I13">
            <v>15679265.57</v>
          </cell>
          <cell r="K13">
            <v>85564.43</v>
          </cell>
          <cell r="L13">
            <v>6374568.8200000003</v>
          </cell>
          <cell r="M13">
            <v>15458699.42</v>
          </cell>
          <cell r="O13">
            <v>5710348.2699999996</v>
          </cell>
          <cell r="P13">
            <v>577523.67000000004</v>
          </cell>
          <cell r="Q13">
            <v>0.6313416188212706</v>
          </cell>
        </row>
        <row r="14">
          <cell r="A14">
            <v>210015</v>
          </cell>
          <cell r="B14">
            <v>2020</v>
          </cell>
          <cell r="C14">
            <v>20049</v>
          </cell>
          <cell r="D14">
            <v>315687840.39999998</v>
          </cell>
          <cell r="E14">
            <v>131081</v>
          </cell>
          <cell r="F14">
            <v>273227645</v>
          </cell>
          <cell r="G14">
            <v>151130</v>
          </cell>
          <cell r="H14">
            <v>588915485.39999998</v>
          </cell>
          <cell r="I14">
            <v>91950185.810000002</v>
          </cell>
          <cell r="J14">
            <v>988366.99</v>
          </cell>
          <cell r="K14">
            <v>3471446.91</v>
          </cell>
          <cell r="L14">
            <v>28809017.09</v>
          </cell>
          <cell r="M14">
            <v>68121555.200000003</v>
          </cell>
          <cell r="N14">
            <v>53791.01</v>
          </cell>
          <cell r="O14">
            <v>24551795.850000001</v>
          </cell>
          <cell r="P14">
            <v>4606565.54</v>
          </cell>
          <cell r="Q14">
            <v>0.37790265312660087</v>
          </cell>
        </row>
        <row r="15">
          <cell r="A15">
            <v>210016</v>
          </cell>
          <cell r="B15">
            <v>2020</v>
          </cell>
          <cell r="C15">
            <v>11096</v>
          </cell>
          <cell r="D15">
            <v>197795275.59999999</v>
          </cell>
          <cell r="E15">
            <v>48680</v>
          </cell>
          <cell r="F15">
            <v>107456447.59999999</v>
          </cell>
          <cell r="G15">
            <v>59776</v>
          </cell>
          <cell r="H15">
            <v>305251723.19999999</v>
          </cell>
          <cell r="I15">
            <v>57885147.590000004</v>
          </cell>
          <cell r="K15">
            <v>2524211.7999999998</v>
          </cell>
          <cell r="L15">
            <v>19694696.149999999</v>
          </cell>
          <cell r="M15">
            <v>18466273.07</v>
          </cell>
          <cell r="O15">
            <v>8195748.8200000003</v>
          </cell>
          <cell r="P15">
            <v>10230831.93</v>
          </cell>
          <cell r="Q15">
            <v>0.3832800946494378</v>
          </cell>
        </row>
        <row r="16">
          <cell r="A16">
            <v>210017</v>
          </cell>
          <cell r="B16">
            <v>2020</v>
          </cell>
          <cell r="C16">
            <v>1623</v>
          </cell>
          <cell r="D16">
            <v>19087096.550000001</v>
          </cell>
          <cell r="E16">
            <v>56388</v>
          </cell>
          <cell r="F16">
            <v>40673130.659999996</v>
          </cell>
          <cell r="G16">
            <v>58011</v>
          </cell>
          <cell r="H16">
            <v>59760227.209999993</v>
          </cell>
          <cell r="I16">
            <v>2921971.25</v>
          </cell>
          <cell r="J16">
            <v>1174775.99</v>
          </cell>
          <cell r="K16">
            <v>310961.2</v>
          </cell>
          <cell r="L16">
            <v>1821403.15</v>
          </cell>
          <cell r="M16">
            <v>5113242.16</v>
          </cell>
          <cell r="N16">
            <v>1836983.56</v>
          </cell>
          <cell r="O16">
            <v>2700888.11</v>
          </cell>
          <cell r="P16">
            <v>939008.85</v>
          </cell>
          <cell r="Q16">
            <v>0.28144528652637968</v>
          </cell>
        </row>
        <row r="17">
          <cell r="A17">
            <v>210018</v>
          </cell>
          <cell r="B17">
            <v>2020</v>
          </cell>
          <cell r="C17">
            <v>5978</v>
          </cell>
          <cell r="D17">
            <v>89765840</v>
          </cell>
          <cell r="E17">
            <v>37884</v>
          </cell>
          <cell r="F17">
            <v>94333761.950000003</v>
          </cell>
          <cell r="G17">
            <v>43862</v>
          </cell>
          <cell r="H17">
            <v>184099601.94999999</v>
          </cell>
          <cell r="I17">
            <v>14491019.34</v>
          </cell>
          <cell r="J17">
            <v>22094.74</v>
          </cell>
          <cell r="K17">
            <v>431490.13</v>
          </cell>
          <cell r="L17">
            <v>7861868.8300000001</v>
          </cell>
          <cell r="M17">
            <v>14516496.300000001</v>
          </cell>
          <cell r="N17">
            <v>130777.88</v>
          </cell>
          <cell r="O17">
            <v>4413630.45</v>
          </cell>
          <cell r="P17">
            <v>2352855.7999999998</v>
          </cell>
          <cell r="Q17">
            <v>0.2401973334087375</v>
          </cell>
        </row>
        <row r="18">
          <cell r="A18">
            <v>210019</v>
          </cell>
          <cell r="B18">
            <v>2020</v>
          </cell>
          <cell r="C18">
            <v>16152</v>
          </cell>
          <cell r="D18">
            <v>251580434.19999999</v>
          </cell>
          <cell r="E18">
            <v>126582</v>
          </cell>
          <cell r="F18">
            <v>206243986.90000001</v>
          </cell>
          <cell r="G18">
            <v>142734</v>
          </cell>
          <cell r="H18">
            <v>457824421.10000002</v>
          </cell>
          <cell r="I18">
            <v>41084871.380000003</v>
          </cell>
          <cell r="J18">
            <v>3674258.26</v>
          </cell>
          <cell r="K18">
            <v>1821525.92</v>
          </cell>
          <cell r="L18">
            <v>25886905.149999999</v>
          </cell>
          <cell r="M18">
            <v>38087802.329999998</v>
          </cell>
          <cell r="N18">
            <v>2203845.42</v>
          </cell>
          <cell r="O18">
            <v>15302100.98</v>
          </cell>
          <cell r="P18">
            <v>4818470.1500000004</v>
          </cell>
          <cell r="Q18">
            <v>0.29024179022764673</v>
          </cell>
        </row>
        <row r="19">
          <cell r="A19">
            <v>210022</v>
          </cell>
          <cell r="B19">
            <v>2020</v>
          </cell>
          <cell r="C19">
            <v>11858</v>
          </cell>
          <cell r="D19">
            <v>205635952.69999999</v>
          </cell>
          <cell r="E19">
            <v>47988</v>
          </cell>
          <cell r="F19">
            <v>116127265.8</v>
          </cell>
          <cell r="G19">
            <v>59846</v>
          </cell>
          <cell r="H19">
            <v>321763218.5</v>
          </cell>
          <cell r="I19">
            <v>19034415.280000001</v>
          </cell>
          <cell r="J19">
            <v>1193307.21</v>
          </cell>
          <cell r="K19">
            <v>4028245.73</v>
          </cell>
          <cell r="L19">
            <v>13756814.220000001</v>
          </cell>
          <cell r="M19">
            <v>9169411.4499999993</v>
          </cell>
          <cell r="N19">
            <v>515987.32</v>
          </cell>
          <cell r="O19">
            <v>4234971.0599999996</v>
          </cell>
          <cell r="P19">
            <v>3586608.5</v>
          </cell>
          <cell r="Q19">
            <v>0.17254850019471696</v>
          </cell>
        </row>
        <row r="20">
          <cell r="A20">
            <v>210023</v>
          </cell>
          <cell r="B20">
            <v>2020</v>
          </cell>
          <cell r="C20">
            <v>28216</v>
          </cell>
          <cell r="D20">
            <v>315325455.69999999</v>
          </cell>
          <cell r="E20">
            <v>166529</v>
          </cell>
          <cell r="F20">
            <v>324059004.19999999</v>
          </cell>
          <cell r="G20">
            <v>194745</v>
          </cell>
          <cell r="H20">
            <v>639384459.89999998</v>
          </cell>
          <cell r="I20">
            <v>40202323.909999996</v>
          </cell>
          <cell r="J20">
            <v>191208.41</v>
          </cell>
          <cell r="K20">
            <v>3087729.4</v>
          </cell>
          <cell r="L20">
            <v>15361590.18</v>
          </cell>
          <cell r="M20">
            <v>29505855.109999999</v>
          </cell>
          <cell r="N20">
            <v>207651.55</v>
          </cell>
          <cell r="O20">
            <v>8158531.3499999996</v>
          </cell>
          <cell r="P20">
            <v>7064769.3499999996</v>
          </cell>
          <cell r="Q20">
            <v>0.16231182609009792</v>
          </cell>
        </row>
        <row r="21">
          <cell r="A21">
            <v>210024</v>
          </cell>
          <cell r="B21">
            <v>2020</v>
          </cell>
          <cell r="C21">
            <v>9361</v>
          </cell>
          <cell r="D21">
            <v>273577345.10000002</v>
          </cell>
          <cell r="E21">
            <v>77332</v>
          </cell>
          <cell r="F21">
            <v>156351621.5</v>
          </cell>
          <cell r="G21">
            <v>86693</v>
          </cell>
          <cell r="H21">
            <v>429928966.60000002</v>
          </cell>
          <cell r="I21">
            <v>47826121.869999997</v>
          </cell>
          <cell r="J21">
            <v>799342.47</v>
          </cell>
          <cell r="K21">
            <v>2056342.21</v>
          </cell>
          <cell r="L21">
            <v>39725897.479999997</v>
          </cell>
          <cell r="M21">
            <v>34046783.939999998</v>
          </cell>
          <cell r="N21">
            <v>80869.320000000007</v>
          </cell>
          <cell r="O21">
            <v>12462800.449999999</v>
          </cell>
          <cell r="P21">
            <v>3405430.88</v>
          </cell>
          <cell r="Q21">
            <v>0.32657392157209436</v>
          </cell>
        </row>
        <row r="22">
          <cell r="A22">
            <v>210027</v>
          </cell>
          <cell r="B22">
            <v>2020</v>
          </cell>
          <cell r="C22">
            <v>10810</v>
          </cell>
          <cell r="D22">
            <v>170324424.90000001</v>
          </cell>
          <cell r="E22">
            <v>88618</v>
          </cell>
          <cell r="F22">
            <v>167646949.09999999</v>
          </cell>
          <cell r="G22">
            <v>99428</v>
          </cell>
          <cell r="H22">
            <v>337971374</v>
          </cell>
          <cell r="I22">
            <v>22595423.670000002</v>
          </cell>
          <cell r="J22">
            <v>4997935.67</v>
          </cell>
          <cell r="K22">
            <v>1463387.68</v>
          </cell>
          <cell r="L22">
            <v>16388872.720000001</v>
          </cell>
          <cell r="M22">
            <v>22186569.32</v>
          </cell>
          <cell r="N22">
            <v>4300595.2300000004</v>
          </cell>
          <cell r="O22">
            <v>10439309.01</v>
          </cell>
          <cell r="P22">
            <v>1836996.26</v>
          </cell>
          <cell r="Q22">
            <v>0.2491604201958241</v>
          </cell>
        </row>
        <row r="23">
          <cell r="A23">
            <v>210028</v>
          </cell>
          <cell r="B23">
            <v>2020</v>
          </cell>
          <cell r="C23">
            <v>7802</v>
          </cell>
          <cell r="D23">
            <v>88891800.75</v>
          </cell>
          <cell r="E23">
            <v>78440</v>
          </cell>
          <cell r="F23">
            <v>110445789.8</v>
          </cell>
          <cell r="G23">
            <v>86242</v>
          </cell>
          <cell r="H23">
            <v>199337590.55000001</v>
          </cell>
          <cell r="I23">
            <v>15860892.619999999</v>
          </cell>
          <cell r="J23">
            <v>236296.58</v>
          </cell>
          <cell r="K23">
            <v>959873.2</v>
          </cell>
          <cell r="L23">
            <v>8834789.5800000001</v>
          </cell>
          <cell r="M23">
            <v>18218694.539999999</v>
          </cell>
          <cell r="N23">
            <v>73559.37</v>
          </cell>
          <cell r="O23">
            <v>6596032.0300000003</v>
          </cell>
          <cell r="P23">
            <v>1829659.97</v>
          </cell>
          <cell r="Q23">
            <v>0.26392311527816842</v>
          </cell>
        </row>
        <row r="24">
          <cell r="A24">
            <v>210029</v>
          </cell>
          <cell r="B24">
            <v>2020</v>
          </cell>
          <cell r="C24">
            <v>18970</v>
          </cell>
          <cell r="D24">
            <v>367152504.89999998</v>
          </cell>
          <cell r="E24">
            <v>316482</v>
          </cell>
          <cell r="F24">
            <v>287742119.60000002</v>
          </cell>
          <cell r="G24">
            <v>335452</v>
          </cell>
          <cell r="H24">
            <v>654894624.5</v>
          </cell>
          <cell r="I24">
            <v>95866153.739999995</v>
          </cell>
          <cell r="J24">
            <v>869968.71</v>
          </cell>
          <cell r="K24">
            <v>7596207.3099999996</v>
          </cell>
          <cell r="L24">
            <v>40677779.109999999</v>
          </cell>
          <cell r="M24">
            <v>61126274.32</v>
          </cell>
          <cell r="N24">
            <v>232033.05</v>
          </cell>
          <cell r="O24">
            <v>21774165.050000001</v>
          </cell>
          <cell r="P24">
            <v>12536061.98</v>
          </cell>
          <cell r="Q24">
            <v>0.36750743442695644</v>
          </cell>
        </row>
        <row r="25">
          <cell r="A25">
            <v>210030</v>
          </cell>
          <cell r="B25">
            <v>2020</v>
          </cell>
          <cell r="C25">
            <v>579</v>
          </cell>
          <cell r="D25">
            <v>11482836.25</v>
          </cell>
          <cell r="E25">
            <v>31032</v>
          </cell>
          <cell r="F25">
            <v>30401055</v>
          </cell>
          <cell r="G25">
            <v>31611</v>
          </cell>
          <cell r="H25">
            <v>41883891.25</v>
          </cell>
          <cell r="I25">
            <v>1438294.68</v>
          </cell>
          <cell r="K25">
            <v>72341.039999999994</v>
          </cell>
          <cell r="L25">
            <v>2556843.2200000002</v>
          </cell>
          <cell r="M25">
            <v>6812035.2400000002</v>
          </cell>
          <cell r="N25">
            <v>68683.960000000006</v>
          </cell>
          <cell r="O25">
            <v>2885795.73</v>
          </cell>
          <cell r="P25">
            <v>481620.65</v>
          </cell>
          <cell r="Q25">
            <v>0.34179284905864615</v>
          </cell>
        </row>
        <row r="26">
          <cell r="A26">
            <v>210032</v>
          </cell>
          <cell r="B26">
            <v>2020</v>
          </cell>
          <cell r="C26">
            <v>4846</v>
          </cell>
          <cell r="D26">
            <v>77831823.349999994</v>
          </cell>
          <cell r="E26">
            <v>71363</v>
          </cell>
          <cell r="F26">
            <v>85767343.269999996</v>
          </cell>
          <cell r="G26">
            <v>76209</v>
          </cell>
          <cell r="H26">
            <v>163599166.62</v>
          </cell>
          <cell r="I26">
            <v>19613381.079999998</v>
          </cell>
          <cell r="J26">
            <v>1187237.07</v>
          </cell>
          <cell r="K26">
            <v>1312574.07</v>
          </cell>
          <cell r="L26">
            <v>9074341.1500000004</v>
          </cell>
          <cell r="M26">
            <v>18323588.109999999</v>
          </cell>
          <cell r="N26">
            <v>1663900.35</v>
          </cell>
          <cell r="O26">
            <v>6118004.75</v>
          </cell>
          <cell r="P26">
            <v>2206820.33</v>
          </cell>
          <cell r="Q26">
            <v>0.36369284843732291</v>
          </cell>
        </row>
        <row r="27">
          <cell r="A27">
            <v>210033</v>
          </cell>
          <cell r="B27">
            <v>2020</v>
          </cell>
          <cell r="C27">
            <v>10335</v>
          </cell>
          <cell r="D27">
            <v>144699773.69999999</v>
          </cell>
          <cell r="E27">
            <v>51572</v>
          </cell>
          <cell r="F27">
            <v>86388713.310000002</v>
          </cell>
          <cell r="G27">
            <v>61907</v>
          </cell>
          <cell r="H27">
            <v>231088487.00999999</v>
          </cell>
          <cell r="I27">
            <v>19869425.43</v>
          </cell>
          <cell r="K27">
            <v>592274.03</v>
          </cell>
          <cell r="L27">
            <v>10626047.24</v>
          </cell>
          <cell r="M27">
            <v>12979357.33</v>
          </cell>
          <cell r="O27">
            <v>3602491.33</v>
          </cell>
          <cell r="P27">
            <v>1754010.94</v>
          </cell>
          <cell r="Q27">
            <v>0.21387307926708296</v>
          </cell>
        </row>
        <row r="28">
          <cell r="A28">
            <v>210034</v>
          </cell>
          <cell r="B28">
            <v>2020</v>
          </cell>
          <cell r="C28">
            <v>8014</v>
          </cell>
          <cell r="D28">
            <v>119434552.59999999</v>
          </cell>
          <cell r="E28">
            <v>54305</v>
          </cell>
          <cell r="F28">
            <v>64959455.57</v>
          </cell>
          <cell r="G28">
            <v>62319</v>
          </cell>
          <cell r="H28">
            <v>184394008.16999999</v>
          </cell>
          <cell r="I28">
            <v>47945104.689999998</v>
          </cell>
          <cell r="J28">
            <v>294710.12</v>
          </cell>
          <cell r="K28">
            <v>1129394.9099999999</v>
          </cell>
          <cell r="L28">
            <v>15980719.27</v>
          </cell>
          <cell r="M28">
            <v>26603519.899999999</v>
          </cell>
          <cell r="N28">
            <v>41919.800000000003</v>
          </cell>
          <cell r="O28">
            <v>4897663.1500000004</v>
          </cell>
          <cell r="P28">
            <v>2496398.66</v>
          </cell>
          <cell r="Q28">
            <v>0.53900574908252452</v>
          </cell>
        </row>
        <row r="29">
          <cell r="A29">
            <v>210035</v>
          </cell>
          <cell r="B29">
            <v>2020</v>
          </cell>
          <cell r="C29">
            <v>6536</v>
          </cell>
          <cell r="D29">
            <v>88087499.060000002</v>
          </cell>
          <cell r="E29">
            <v>52705</v>
          </cell>
          <cell r="F29">
            <v>66996266.729999997</v>
          </cell>
          <cell r="G29">
            <v>59241</v>
          </cell>
          <cell r="H29">
            <v>155083765.78999999</v>
          </cell>
          <cell r="I29">
            <v>12346554.789999999</v>
          </cell>
          <cell r="J29">
            <v>251952.43</v>
          </cell>
          <cell r="K29">
            <v>681483.52</v>
          </cell>
          <cell r="L29">
            <v>8955552.9399999995</v>
          </cell>
          <cell r="M29">
            <v>13077265.27</v>
          </cell>
          <cell r="N29">
            <v>285136.13</v>
          </cell>
          <cell r="O29">
            <v>2756676.72</v>
          </cell>
          <cell r="P29">
            <v>3381346.01</v>
          </cell>
          <cell r="Q29">
            <v>0.26911887003385621</v>
          </cell>
        </row>
        <row r="30">
          <cell r="A30">
            <v>210037</v>
          </cell>
          <cell r="B30">
            <v>2020</v>
          </cell>
          <cell r="C30">
            <v>6684</v>
          </cell>
          <cell r="D30">
            <v>116008664.59999999</v>
          </cell>
          <cell r="E30">
            <v>47908</v>
          </cell>
          <cell r="F30">
            <v>122373791.09999999</v>
          </cell>
          <cell r="G30">
            <v>54592</v>
          </cell>
          <cell r="H30">
            <v>238382455.69999999</v>
          </cell>
          <cell r="I30">
            <v>22210891.969999999</v>
          </cell>
          <cell r="J30">
            <v>7325.66</v>
          </cell>
          <cell r="K30">
            <v>154479.54</v>
          </cell>
          <cell r="L30">
            <v>16464248.689999999</v>
          </cell>
          <cell r="M30">
            <v>21295228.09</v>
          </cell>
          <cell r="N30">
            <v>126187.21</v>
          </cell>
          <cell r="O30">
            <v>10592575.970000001</v>
          </cell>
          <cell r="P30">
            <v>1073947.53</v>
          </cell>
          <cell r="Q30">
            <v>0.3017205458715308</v>
          </cell>
        </row>
        <row r="31">
          <cell r="A31">
            <v>210038</v>
          </cell>
          <cell r="B31">
            <v>2020</v>
          </cell>
          <cell r="C31">
            <v>4524</v>
          </cell>
          <cell r="D31">
            <v>99874913.480000004</v>
          </cell>
          <cell r="E31">
            <v>82250</v>
          </cell>
          <cell r="F31">
            <v>98501105.060000002</v>
          </cell>
          <cell r="G31">
            <v>86774</v>
          </cell>
          <cell r="H31">
            <v>198376018.54000002</v>
          </cell>
          <cell r="I31">
            <v>43104157.93</v>
          </cell>
          <cell r="J31">
            <v>800656.7</v>
          </cell>
          <cell r="K31">
            <v>437772.35</v>
          </cell>
          <cell r="L31">
            <v>23757059.649999999</v>
          </cell>
          <cell r="M31">
            <v>39679214.93</v>
          </cell>
          <cell r="N31">
            <v>247994.11</v>
          </cell>
          <cell r="O31">
            <v>14687058.84</v>
          </cell>
          <cell r="P31">
            <v>940571.7</v>
          </cell>
          <cell r="Q31">
            <v>0.62333384408088943</v>
          </cell>
        </row>
        <row r="32">
          <cell r="A32">
            <v>210039</v>
          </cell>
          <cell r="B32">
            <v>2020</v>
          </cell>
          <cell r="C32">
            <v>6128</v>
          </cell>
          <cell r="D32">
            <v>79397915.439999998</v>
          </cell>
          <cell r="E32">
            <v>47362</v>
          </cell>
          <cell r="F32">
            <v>77588177.969999999</v>
          </cell>
          <cell r="G32">
            <v>53490</v>
          </cell>
          <cell r="H32">
            <v>156986093.41</v>
          </cell>
          <cell r="I32">
            <v>11734957.199999999</v>
          </cell>
          <cell r="J32">
            <v>240086.16</v>
          </cell>
          <cell r="K32">
            <v>499170.85</v>
          </cell>
          <cell r="L32">
            <v>7780962.0700000003</v>
          </cell>
          <cell r="M32">
            <v>11431075.25</v>
          </cell>
          <cell r="N32">
            <v>132915.74</v>
          </cell>
          <cell r="O32">
            <v>4463648.67</v>
          </cell>
          <cell r="P32">
            <v>1549851.16</v>
          </cell>
          <cell r="Q32">
            <v>0.24099374841561638</v>
          </cell>
        </row>
        <row r="33">
          <cell r="A33">
            <v>210040</v>
          </cell>
          <cell r="B33">
            <v>2020</v>
          </cell>
          <cell r="C33">
            <v>7752</v>
          </cell>
          <cell r="D33">
            <v>140322606.40000001</v>
          </cell>
          <cell r="E33">
            <v>67292</v>
          </cell>
          <cell r="F33">
            <v>126417705.7</v>
          </cell>
          <cell r="G33">
            <v>75044</v>
          </cell>
          <cell r="H33">
            <v>266740312.10000002</v>
          </cell>
          <cell r="I33">
            <v>30085375.07</v>
          </cell>
          <cell r="K33">
            <v>353415.65</v>
          </cell>
          <cell r="L33">
            <v>26044988.68</v>
          </cell>
          <cell r="M33">
            <v>24003623.739999998</v>
          </cell>
          <cell r="O33">
            <v>10947028.17</v>
          </cell>
          <cell r="P33">
            <v>8052839.9100000001</v>
          </cell>
          <cell r="Q33">
            <v>0.37297426263302325</v>
          </cell>
        </row>
        <row r="34">
          <cell r="A34">
            <v>210043</v>
          </cell>
          <cell r="B34">
            <v>2020</v>
          </cell>
          <cell r="C34">
            <v>18691</v>
          </cell>
          <cell r="D34">
            <v>278317254.89999998</v>
          </cell>
          <cell r="E34">
            <v>109385</v>
          </cell>
          <cell r="F34">
            <v>159998752.09999999</v>
          </cell>
          <cell r="G34">
            <v>128076</v>
          </cell>
          <cell r="H34">
            <v>438316007</v>
          </cell>
          <cell r="I34">
            <v>60268135.68</v>
          </cell>
          <cell r="J34">
            <v>278078.78000000003</v>
          </cell>
          <cell r="K34">
            <v>1295563.17</v>
          </cell>
          <cell r="L34">
            <v>21001924.550000001</v>
          </cell>
          <cell r="M34">
            <v>31418685.030000001</v>
          </cell>
          <cell r="N34">
            <v>243835.97</v>
          </cell>
          <cell r="O34">
            <v>7538683.5</v>
          </cell>
          <cell r="P34">
            <v>4683822.63</v>
          </cell>
          <cell r="Q34">
            <v>0.28912640032788034</v>
          </cell>
        </row>
        <row r="35">
          <cell r="A35">
            <v>210044</v>
          </cell>
          <cell r="B35">
            <v>2020</v>
          </cell>
          <cell r="C35">
            <v>19988</v>
          </cell>
          <cell r="D35">
            <v>235730609</v>
          </cell>
          <cell r="E35">
            <v>122889</v>
          </cell>
          <cell r="F35">
            <v>234464498.80000001</v>
          </cell>
          <cell r="G35">
            <v>142877</v>
          </cell>
          <cell r="H35">
            <v>470195107.80000001</v>
          </cell>
          <cell r="I35">
            <v>30964471.050000001</v>
          </cell>
          <cell r="J35">
            <v>129849.73</v>
          </cell>
          <cell r="K35">
            <v>1382197.11</v>
          </cell>
          <cell r="L35">
            <v>10829689.57</v>
          </cell>
          <cell r="M35">
            <v>23786619.960000001</v>
          </cell>
          <cell r="N35">
            <v>157860.74</v>
          </cell>
          <cell r="O35">
            <v>6117068.0099999998</v>
          </cell>
          <cell r="P35">
            <v>3804365.72</v>
          </cell>
          <cell r="Q35">
            <v>0.16412787077067073</v>
          </cell>
        </row>
        <row r="36">
          <cell r="A36">
            <v>210045</v>
          </cell>
          <cell r="B36">
            <v>2020</v>
          </cell>
          <cell r="C36">
            <v>97</v>
          </cell>
          <cell r="D36">
            <v>1134737.56</v>
          </cell>
          <cell r="E36">
            <v>16502</v>
          </cell>
          <cell r="F36">
            <v>10280454.279999999</v>
          </cell>
          <cell r="G36">
            <v>16599</v>
          </cell>
          <cell r="H36">
            <v>11415191.84</v>
          </cell>
          <cell r="I36">
            <v>146594.87</v>
          </cell>
          <cell r="K36">
            <v>12677.93</v>
          </cell>
          <cell r="L36">
            <v>166166.91</v>
          </cell>
          <cell r="M36">
            <v>2976812.44</v>
          </cell>
          <cell r="N36">
            <v>17462.53</v>
          </cell>
          <cell r="O36">
            <v>969514.3</v>
          </cell>
          <cell r="P36">
            <v>287235.71999999997</v>
          </cell>
          <cell r="Q36">
            <v>0.4009100122140391</v>
          </cell>
        </row>
        <row r="37">
          <cell r="A37">
            <v>210048</v>
          </cell>
          <cell r="B37">
            <v>2020</v>
          </cell>
          <cell r="C37">
            <v>17039</v>
          </cell>
          <cell r="D37">
            <v>191645082</v>
          </cell>
          <cell r="E37">
            <v>79960</v>
          </cell>
          <cell r="F37">
            <v>108465214.09999999</v>
          </cell>
          <cell r="G37">
            <v>96999</v>
          </cell>
          <cell r="H37">
            <v>300110296.10000002</v>
          </cell>
          <cell r="I37">
            <v>29106541.989999998</v>
          </cell>
          <cell r="J37">
            <v>192104.52</v>
          </cell>
          <cell r="K37">
            <v>1778658.34</v>
          </cell>
          <cell r="L37">
            <v>16600828.9</v>
          </cell>
          <cell r="M37">
            <v>18139405.440000001</v>
          </cell>
          <cell r="N37">
            <v>271225.17</v>
          </cell>
          <cell r="O37">
            <v>3297283.24</v>
          </cell>
          <cell r="P37">
            <v>3613297.57</v>
          </cell>
          <cell r="Q37">
            <v>0.24324172185574003</v>
          </cell>
        </row>
        <row r="38">
          <cell r="A38">
            <v>210049</v>
          </cell>
          <cell r="B38">
            <v>2020</v>
          </cell>
          <cell r="C38">
            <v>11826</v>
          </cell>
          <cell r="D38">
            <v>159238802.80000001</v>
          </cell>
          <cell r="E38">
            <v>110037</v>
          </cell>
          <cell r="F38">
            <v>151913519.80000001</v>
          </cell>
          <cell r="G38">
            <v>121863</v>
          </cell>
          <cell r="H38">
            <v>311152322.60000002</v>
          </cell>
          <cell r="I38">
            <v>22004437.530000001</v>
          </cell>
          <cell r="J38">
            <v>138035.39000000001</v>
          </cell>
          <cell r="K38">
            <v>476216.48</v>
          </cell>
          <cell r="L38">
            <v>11368159.960000001</v>
          </cell>
          <cell r="M38">
            <v>20648581.510000002</v>
          </cell>
          <cell r="N38">
            <v>24097.83</v>
          </cell>
          <cell r="O38">
            <v>5566534.3099999996</v>
          </cell>
          <cell r="P38">
            <v>997180.4</v>
          </cell>
          <cell r="Q38">
            <v>0.19676293237478151</v>
          </cell>
        </row>
        <row r="39">
          <cell r="A39">
            <v>210051</v>
          </cell>
          <cell r="B39">
            <v>2020</v>
          </cell>
          <cell r="C39">
            <v>10340</v>
          </cell>
          <cell r="D39">
            <v>156759746.30000001</v>
          </cell>
          <cell r="E39">
            <v>57661</v>
          </cell>
          <cell r="F39">
            <v>98799830.569999993</v>
          </cell>
          <cell r="G39">
            <v>68001</v>
          </cell>
          <cell r="H39">
            <v>255559576.87</v>
          </cell>
          <cell r="I39">
            <v>26432641.550000001</v>
          </cell>
          <cell r="J39">
            <v>1009824</v>
          </cell>
          <cell r="K39">
            <v>2926642.65</v>
          </cell>
          <cell r="L39">
            <v>17191671.129999999</v>
          </cell>
          <cell r="M39">
            <v>20692257.579999998</v>
          </cell>
          <cell r="N39">
            <v>514202.3</v>
          </cell>
          <cell r="O39">
            <v>6698308.04</v>
          </cell>
          <cell r="P39">
            <v>5862374.4199999999</v>
          </cell>
          <cell r="Q39">
            <v>0.31823468588449927</v>
          </cell>
        </row>
        <row r="40">
          <cell r="A40">
            <v>210055</v>
          </cell>
          <cell r="B40">
            <v>2020</v>
          </cell>
          <cell r="C40">
            <v>279</v>
          </cell>
          <cell r="D40">
            <v>7577359.4100000001</v>
          </cell>
          <cell r="E40">
            <v>21934</v>
          </cell>
          <cell r="F40">
            <v>31041695.100000001</v>
          </cell>
          <cell r="G40">
            <v>22213</v>
          </cell>
          <cell r="H40">
            <v>38619054.510000005</v>
          </cell>
          <cell r="I40">
            <v>1319589.55</v>
          </cell>
          <cell r="J40">
            <v>224738.44</v>
          </cell>
          <cell r="K40">
            <v>1559559.55</v>
          </cell>
          <cell r="L40">
            <v>967953.83</v>
          </cell>
          <cell r="M40">
            <v>8103744.5199999996</v>
          </cell>
          <cell r="N40">
            <v>660116.01</v>
          </cell>
          <cell r="O40">
            <v>1438201.65</v>
          </cell>
          <cell r="P40">
            <v>4110419.96</v>
          </cell>
          <cell r="Q40">
            <v>0.47604281728957321</v>
          </cell>
        </row>
        <row r="41">
          <cell r="A41">
            <v>210056</v>
          </cell>
          <cell r="B41">
            <v>2020</v>
          </cell>
          <cell r="C41">
            <v>7753</v>
          </cell>
          <cell r="D41">
            <v>164498534.30000001</v>
          </cell>
          <cell r="E41">
            <v>81328</v>
          </cell>
          <cell r="F41">
            <v>102810414.90000001</v>
          </cell>
          <cell r="G41">
            <v>89081</v>
          </cell>
          <cell r="H41">
            <v>267308949.20000002</v>
          </cell>
          <cell r="I41">
            <v>34602119.729999997</v>
          </cell>
          <cell r="J41">
            <v>79228.899999999994</v>
          </cell>
          <cell r="K41">
            <v>2006600.26</v>
          </cell>
          <cell r="L41">
            <v>30019550.5</v>
          </cell>
          <cell r="M41">
            <v>26704651.989999998</v>
          </cell>
          <cell r="N41">
            <v>81598.929999999993</v>
          </cell>
          <cell r="O41">
            <v>15272840.01</v>
          </cell>
          <cell r="P41">
            <v>2727720.23</v>
          </cell>
          <cell r="Q41">
            <v>0.41709905666712338</v>
          </cell>
        </row>
        <row r="42">
          <cell r="A42">
            <v>210057</v>
          </cell>
          <cell r="B42">
            <v>2020</v>
          </cell>
          <cell r="C42">
            <v>22248</v>
          </cell>
          <cell r="D42">
            <v>296739944</v>
          </cell>
          <cell r="E42">
            <v>80248</v>
          </cell>
          <cell r="F42">
            <v>161971522.19999999</v>
          </cell>
          <cell r="G42">
            <v>102496</v>
          </cell>
          <cell r="H42">
            <v>458711466.19999999</v>
          </cell>
          <cell r="I42">
            <v>58877517.200000003</v>
          </cell>
          <cell r="K42">
            <v>12048434.42</v>
          </cell>
          <cell r="L42">
            <v>25305883.859999999</v>
          </cell>
          <cell r="M42">
            <v>25436289.960000001</v>
          </cell>
          <cell r="O42">
            <v>8645363.7799999993</v>
          </cell>
          <cell r="P42">
            <v>10478723.98</v>
          </cell>
          <cell r="Q42">
            <v>0.30692978827482381</v>
          </cell>
        </row>
        <row r="43">
          <cell r="A43">
            <v>210058</v>
          </cell>
          <cell r="B43">
            <v>2020</v>
          </cell>
          <cell r="C43">
            <v>1643</v>
          </cell>
          <cell r="D43">
            <v>53575985.280000001</v>
          </cell>
          <cell r="E43">
            <v>24407</v>
          </cell>
          <cell r="F43">
            <v>45169790.969999999</v>
          </cell>
          <cell r="G43">
            <v>26050</v>
          </cell>
          <cell r="H43">
            <v>98745776.25</v>
          </cell>
          <cell r="I43">
            <v>15492334.689999999</v>
          </cell>
          <cell r="J43">
            <v>268511.71999999997</v>
          </cell>
          <cell r="K43">
            <v>46801.4</v>
          </cell>
          <cell r="L43">
            <v>3718395.77</v>
          </cell>
          <cell r="M43">
            <v>12453302.529999999</v>
          </cell>
          <cell r="N43">
            <v>57744.49</v>
          </cell>
          <cell r="O43">
            <v>2974533.83</v>
          </cell>
          <cell r="P43">
            <v>315886.96999999997</v>
          </cell>
          <cell r="Q43">
            <v>0.3577622531475112</v>
          </cell>
        </row>
        <row r="44">
          <cell r="A44">
            <v>210060</v>
          </cell>
          <cell r="B44">
            <v>2020</v>
          </cell>
          <cell r="C44">
            <v>1538</v>
          </cell>
          <cell r="D44">
            <v>30708775.579999998</v>
          </cell>
          <cell r="E44">
            <v>30842</v>
          </cell>
          <cell r="F44">
            <v>30515306.16</v>
          </cell>
          <cell r="G44">
            <v>32380</v>
          </cell>
          <cell r="H44">
            <v>61224081.739999995</v>
          </cell>
          <cell r="I44">
            <v>2830647.36</v>
          </cell>
          <cell r="K44">
            <v>780595.59</v>
          </cell>
          <cell r="L44">
            <v>1881998.43</v>
          </cell>
          <cell r="M44">
            <v>7355468.8200000003</v>
          </cell>
          <cell r="O44">
            <v>1528341.43</v>
          </cell>
          <cell r="P44">
            <v>2348282.54</v>
          </cell>
          <cell r="Q44">
            <v>0.27318227884621271</v>
          </cell>
        </row>
        <row r="45">
          <cell r="A45">
            <v>210061</v>
          </cell>
          <cell r="B45">
            <v>2020</v>
          </cell>
          <cell r="C45">
            <v>2652</v>
          </cell>
          <cell r="D45">
            <v>40469488.93</v>
          </cell>
          <cell r="E45">
            <v>70107</v>
          </cell>
          <cell r="F45">
            <v>66303704.829999998</v>
          </cell>
          <cell r="G45">
            <v>72759</v>
          </cell>
          <cell r="H45">
            <v>106773193.75999999</v>
          </cell>
          <cell r="I45">
            <v>4030629.14</v>
          </cell>
          <cell r="J45">
            <v>1497599.87</v>
          </cell>
          <cell r="K45">
            <v>523162.73</v>
          </cell>
          <cell r="L45">
            <v>2218400.81</v>
          </cell>
          <cell r="M45">
            <v>8836053.6199999992</v>
          </cell>
          <cell r="N45">
            <v>1536723.45</v>
          </cell>
          <cell r="O45">
            <v>2418107.2400000002</v>
          </cell>
          <cell r="P45">
            <v>1850379.36</v>
          </cell>
          <cell r="Q45">
            <v>0.21457685598033571</v>
          </cell>
        </row>
        <row r="46">
          <cell r="A46">
            <v>210062</v>
          </cell>
          <cell r="B46">
            <v>2020</v>
          </cell>
          <cell r="C46">
            <v>10907</v>
          </cell>
          <cell r="D46">
            <v>183719728</v>
          </cell>
          <cell r="E46">
            <v>47757</v>
          </cell>
          <cell r="F46">
            <v>98008854.150000006</v>
          </cell>
          <cell r="G46">
            <v>58664</v>
          </cell>
          <cell r="H46">
            <v>281728582.14999998</v>
          </cell>
          <cell r="I46">
            <v>41466703.670000002</v>
          </cell>
          <cell r="J46">
            <v>3292512.13</v>
          </cell>
          <cell r="K46">
            <v>2640930.81</v>
          </cell>
          <cell r="L46">
            <v>17971500.289999999</v>
          </cell>
          <cell r="M46">
            <v>20579789.149999999</v>
          </cell>
          <cell r="N46">
            <v>1222013.6499999999</v>
          </cell>
          <cell r="O46">
            <v>4865781.26</v>
          </cell>
          <cell r="P46">
            <v>3781482.54</v>
          </cell>
          <cell r="Q46">
            <v>0.34011711828721186</v>
          </cell>
        </row>
        <row r="47">
          <cell r="A47">
            <v>210063</v>
          </cell>
          <cell r="B47">
            <v>2020</v>
          </cell>
          <cell r="C47">
            <v>14722</v>
          </cell>
          <cell r="D47">
            <v>250012935.09999999</v>
          </cell>
          <cell r="E47">
            <v>63710</v>
          </cell>
          <cell r="F47">
            <v>122772403.09999999</v>
          </cell>
          <cell r="G47">
            <v>78432</v>
          </cell>
          <cell r="H47">
            <v>372785338.19999999</v>
          </cell>
          <cell r="I47">
            <v>31013784.149999999</v>
          </cell>
          <cell r="J47">
            <v>115528.24</v>
          </cell>
          <cell r="K47">
            <v>1215183.03</v>
          </cell>
          <cell r="L47">
            <v>11762515.390000001</v>
          </cell>
          <cell r="M47">
            <v>14715169.16</v>
          </cell>
          <cell r="N47">
            <v>79474.62</v>
          </cell>
          <cell r="O47">
            <v>3028143.85</v>
          </cell>
          <cell r="P47">
            <v>2895327.25</v>
          </cell>
          <cell r="Q47">
            <v>0.1738939787788038</v>
          </cell>
        </row>
        <row r="48">
          <cell r="A48">
            <v>210064</v>
          </cell>
          <cell r="B48">
            <v>2020</v>
          </cell>
          <cell r="C48">
            <v>1060</v>
          </cell>
          <cell r="D48">
            <v>58574033.369999997</v>
          </cell>
          <cell r="E48">
            <v>129</v>
          </cell>
          <cell r="F48">
            <v>1832770.35</v>
          </cell>
          <cell r="G48">
            <v>1189</v>
          </cell>
          <cell r="H48">
            <v>60406803.719999999</v>
          </cell>
          <cell r="I48">
            <v>4350371.28</v>
          </cell>
          <cell r="K48">
            <v>845082.16</v>
          </cell>
          <cell r="L48">
            <v>12503450.02</v>
          </cell>
          <cell r="O48">
            <v>376731.47</v>
          </cell>
          <cell r="P48">
            <v>8329.66</v>
          </cell>
          <cell r="Q48">
            <v>0.29936966494409317</v>
          </cell>
        </row>
        <row r="49">
          <cell r="A49">
            <v>210065</v>
          </cell>
          <cell r="B49">
            <v>2020</v>
          </cell>
          <cell r="C49">
            <v>6346</v>
          </cell>
          <cell r="D49">
            <v>76874628.450000003</v>
          </cell>
          <cell r="E49">
            <v>29660</v>
          </cell>
          <cell r="F49">
            <v>42412895.619999997</v>
          </cell>
          <cell r="G49">
            <v>36006</v>
          </cell>
          <cell r="H49">
            <v>119287524.06999999</v>
          </cell>
          <cell r="I49">
            <v>13315018.199999999</v>
          </cell>
          <cell r="J49">
            <v>895236.41</v>
          </cell>
          <cell r="K49">
            <v>2584349.17</v>
          </cell>
          <cell r="L49">
            <v>5898719.4900000002</v>
          </cell>
          <cell r="M49">
            <v>8073076.1699999999</v>
          </cell>
          <cell r="N49">
            <v>1114614.6200000001</v>
          </cell>
          <cell r="O49">
            <v>2170499.36</v>
          </cell>
          <cell r="P49">
            <v>6567593.9800000004</v>
          </cell>
          <cell r="Q49">
            <v>0.34051429700363306</v>
          </cell>
        </row>
        <row r="50">
          <cell r="A50">
            <v>210068</v>
          </cell>
          <cell r="B50">
            <v>2020</v>
          </cell>
          <cell r="C50">
            <v>137</v>
          </cell>
          <cell r="D50">
            <v>1349202.12</v>
          </cell>
          <cell r="G50">
            <v>137</v>
          </cell>
          <cell r="H50">
            <v>1349202.12</v>
          </cell>
          <cell r="I50">
            <v>784391.09</v>
          </cell>
          <cell r="K50">
            <v>2038.97</v>
          </cell>
          <cell r="L50">
            <v>187791.54</v>
          </cell>
          <cell r="Q50">
            <v>0.72207239045844362</v>
          </cell>
        </row>
        <row r="51">
          <cell r="A51">
            <v>210087</v>
          </cell>
          <cell r="B51">
            <v>2020</v>
          </cell>
          <cell r="E51">
            <v>19778</v>
          </cell>
          <cell r="F51">
            <v>13939593.01</v>
          </cell>
          <cell r="G51">
            <v>19778</v>
          </cell>
          <cell r="H51">
            <v>13939593.01</v>
          </cell>
          <cell r="M51">
            <v>4858923.33</v>
          </cell>
          <cell r="O51">
            <v>444546.16</v>
          </cell>
          <cell r="P51">
            <v>2002789.02</v>
          </cell>
          <cell r="Q51">
            <v>0.52413714695677471</v>
          </cell>
        </row>
        <row r="52">
          <cell r="A52">
            <v>210088</v>
          </cell>
          <cell r="B52">
            <v>2020</v>
          </cell>
          <cell r="E52">
            <v>14998</v>
          </cell>
          <cell r="F52">
            <v>6972216.9900000002</v>
          </cell>
          <cell r="G52">
            <v>14998</v>
          </cell>
          <cell r="H52">
            <v>6972216.9900000002</v>
          </cell>
          <cell r="M52">
            <v>1967658.22</v>
          </cell>
          <cell r="N52">
            <v>18644.95</v>
          </cell>
          <cell r="O52">
            <v>200383.25</v>
          </cell>
          <cell r="P52">
            <v>385250.28</v>
          </cell>
          <cell r="Q52">
            <v>0.36888362821880566</v>
          </cell>
        </row>
        <row r="53">
          <cell r="A53">
            <v>210089</v>
          </cell>
          <cell r="B53">
            <v>2020</v>
          </cell>
          <cell r="C53">
            <v>316</v>
          </cell>
          <cell r="D53">
            <v>10768333.26</v>
          </cell>
          <cell r="G53">
            <v>316</v>
          </cell>
          <cell r="H53">
            <v>10768333.26</v>
          </cell>
          <cell r="I53">
            <v>1904383.96</v>
          </cell>
          <cell r="K53">
            <v>99076.01</v>
          </cell>
          <cell r="L53">
            <v>573434.21</v>
          </cell>
          <cell r="Q53">
            <v>0.23930297454408461</v>
          </cell>
        </row>
        <row r="54">
          <cell r="A54">
            <v>210333</v>
          </cell>
          <cell r="B54">
            <v>2020</v>
          </cell>
          <cell r="E54">
            <v>26739</v>
          </cell>
          <cell r="F54">
            <v>18827710.399999999</v>
          </cell>
          <cell r="G54">
            <v>26739</v>
          </cell>
          <cell r="H54">
            <v>18827710.399999999</v>
          </cell>
          <cell r="M54">
            <v>4393426.3099999996</v>
          </cell>
          <cell r="N54">
            <v>967737.22</v>
          </cell>
          <cell r="O54">
            <v>503838.38</v>
          </cell>
          <cell r="P54">
            <v>1777270.63</v>
          </cell>
          <cell r="Q54">
            <v>0.40590557097160362</v>
          </cell>
        </row>
        <row r="55">
          <cell r="A55">
            <v>213028</v>
          </cell>
          <cell r="B55">
            <v>2020</v>
          </cell>
          <cell r="C55">
            <v>1697</v>
          </cell>
          <cell r="D55">
            <v>45833143.340000004</v>
          </cell>
          <cell r="E55">
            <v>54</v>
          </cell>
          <cell r="F55">
            <v>174426</v>
          </cell>
          <cell r="G55">
            <v>1751</v>
          </cell>
          <cell r="H55">
            <v>46007569.340000004</v>
          </cell>
          <cell r="I55">
            <v>1479533.33</v>
          </cell>
          <cell r="K55">
            <v>184215.09</v>
          </cell>
          <cell r="M55">
            <v>16061</v>
          </cell>
          <cell r="O55">
            <v>16114</v>
          </cell>
          <cell r="Q55">
            <v>3.6861834787814504E-2</v>
          </cell>
        </row>
        <row r="56">
          <cell r="A56">
            <v>213029</v>
          </cell>
          <cell r="B56">
            <v>2020</v>
          </cell>
          <cell r="C56">
            <v>1484</v>
          </cell>
          <cell r="D56">
            <v>50237483.57</v>
          </cell>
          <cell r="E56">
            <v>4749</v>
          </cell>
          <cell r="F56">
            <v>7988831</v>
          </cell>
          <cell r="G56">
            <v>6233</v>
          </cell>
          <cell r="H56">
            <v>58226314.57</v>
          </cell>
          <cell r="I56">
            <v>2704603.61</v>
          </cell>
          <cell r="K56">
            <v>477666.81</v>
          </cell>
          <cell r="L56">
            <v>2868385.47</v>
          </cell>
          <cell r="M56">
            <v>588659</v>
          </cell>
          <cell r="O56">
            <v>418490</v>
          </cell>
          <cell r="P56">
            <v>125126</v>
          </cell>
          <cell r="Q56">
            <v>0.1233622794615421</v>
          </cell>
        </row>
        <row r="57">
          <cell r="A57">
            <v>213300</v>
          </cell>
          <cell r="B57">
            <v>2020</v>
          </cell>
          <cell r="C57">
            <v>513</v>
          </cell>
          <cell r="D57">
            <v>41267743.799999997</v>
          </cell>
          <cell r="E57">
            <v>18409</v>
          </cell>
          <cell r="F57">
            <v>12460064.619999999</v>
          </cell>
          <cell r="G57">
            <v>18922</v>
          </cell>
          <cell r="H57">
            <v>53727808.419999994</v>
          </cell>
          <cell r="I57">
            <v>32716807.469999999</v>
          </cell>
          <cell r="M57">
            <v>7045609.8300000001</v>
          </cell>
          <cell r="P57">
            <v>56380.160000000003</v>
          </cell>
          <cell r="Q57">
            <v>0.74112082050191319</v>
          </cell>
        </row>
        <row r="58">
          <cell r="A58">
            <v>218992</v>
          </cell>
          <cell r="B58">
            <v>2020</v>
          </cell>
          <cell r="C58">
            <v>3816</v>
          </cell>
          <cell r="D58">
            <v>228270725.69999999</v>
          </cell>
          <cell r="E58">
            <v>9932</v>
          </cell>
          <cell r="F58">
            <v>27686403.969999999</v>
          </cell>
          <cell r="G58">
            <v>13748</v>
          </cell>
          <cell r="H58">
            <v>255957129.66999999</v>
          </cell>
          <cell r="I58">
            <v>80606765.849999994</v>
          </cell>
          <cell r="J58">
            <v>5570595.25</v>
          </cell>
          <cell r="K58">
            <v>1346376.2</v>
          </cell>
          <cell r="L58">
            <v>14120914.09</v>
          </cell>
          <cell r="M58">
            <v>10077099.07</v>
          </cell>
          <cell r="N58">
            <v>271228.23</v>
          </cell>
          <cell r="O58">
            <v>1142385.3799999999</v>
          </cell>
          <cell r="P58">
            <v>1489276.85</v>
          </cell>
          <cell r="Q58">
            <v>0.44782749778364478</v>
          </cell>
        </row>
        <row r="60">
          <cell r="A60" t="str">
            <v>Totals</v>
          </cell>
          <cell r="C60">
            <v>544664</v>
          </cell>
          <cell r="D60">
            <v>10380864585.230001</v>
          </cell>
          <cell r="E60">
            <v>4476805</v>
          </cell>
          <cell r="F60">
            <v>7126429250.5600023</v>
          </cell>
          <cell r="G60">
            <v>5021469</v>
          </cell>
          <cell r="H60">
            <v>17507293835.790005</v>
          </cell>
          <cell r="I60">
            <v>2274495313.4499998</v>
          </cell>
          <cell r="J60">
            <v>76148697.549999982</v>
          </cell>
          <cell r="K60">
            <v>132118768.72000006</v>
          </cell>
          <cell r="L60">
            <v>946371134.79000008</v>
          </cell>
          <cell r="M60">
            <v>1357627425.5599999</v>
          </cell>
          <cell r="N60">
            <v>33291990.940000005</v>
          </cell>
          <cell r="O60">
            <v>435194690.64000005</v>
          </cell>
          <cell r="P60">
            <v>224918632.84999993</v>
          </cell>
          <cell r="Q60">
            <v>0.3130219156599145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DSH FOR FISCAL YEAR 2021 "/>
    </sheetNames>
    <sheetDataSet>
      <sheetData sheetId="0">
        <row r="1">
          <cell r="A1" t="str">
            <v>HOSPID</v>
          </cell>
          <cell r="B1" t="str">
            <v>FYEAR</v>
          </cell>
          <cell r="C1" t="str">
            <v>IPCASES</v>
          </cell>
          <cell r="D1" t="str">
            <v>IPTOT_CHG</v>
          </cell>
          <cell r="E1" t="str">
            <v>OPCASES</v>
          </cell>
          <cell r="F1" t="str">
            <v>OPTOT_CHG</v>
          </cell>
          <cell r="G1" t="str">
            <v>Total Cases</v>
          </cell>
          <cell r="H1" t="str">
            <v>tot_chg</v>
          </cell>
          <cell r="I1" t="str">
            <v>IP MCAID CHG</v>
          </cell>
          <cell r="J1" t="str">
            <v>IP_MCAID_CHG_OOS</v>
          </cell>
          <cell r="K1" t="str">
            <v>SELFCHG</v>
          </cell>
          <cell r="L1" t="str">
            <v>DUALCHG</v>
          </cell>
          <cell r="M1" t="str">
            <v>OP MCAID CHG</v>
          </cell>
          <cell r="N1" t="str">
            <v>OP_MCAID_CHG_OOS</v>
          </cell>
          <cell r="O1" t="str">
            <v>OP_DUALCHG</v>
          </cell>
          <cell r="P1" t="str">
            <v>OUPT_SELFCHG</v>
          </cell>
          <cell r="Q1" t="str">
            <v>Poor Share</v>
          </cell>
          <cell r="R1" t="str">
            <v>Duals %</v>
          </cell>
        </row>
        <row r="2">
          <cell r="A2">
            <v>210001</v>
          </cell>
          <cell r="B2">
            <v>2021</v>
          </cell>
          <cell r="C2">
            <v>16164</v>
          </cell>
          <cell r="D2">
            <v>245081468.09999999</v>
          </cell>
          <cell r="E2">
            <v>78523</v>
          </cell>
          <cell r="F2">
            <v>184214762.5</v>
          </cell>
          <cell r="G2">
            <v>94687</v>
          </cell>
          <cell r="H2">
            <v>429296230.60000002</v>
          </cell>
          <cell r="I2">
            <v>48762460.479999997</v>
          </cell>
          <cell r="J2">
            <v>1408317.59</v>
          </cell>
          <cell r="K2">
            <v>4161045.71</v>
          </cell>
          <cell r="L2">
            <v>26170254.890000001</v>
          </cell>
          <cell r="M2">
            <v>32327194.960000001</v>
          </cell>
          <cell r="N2">
            <v>1341020.8600000001</v>
          </cell>
          <cell r="O2">
            <v>10985286.279999999</v>
          </cell>
          <cell r="P2">
            <v>4207811.18</v>
          </cell>
          <cell r="Q2">
            <v>0.30133828980794219</v>
          </cell>
          <cell r="R2">
            <v>6.0960830831017318E-2</v>
          </cell>
        </row>
        <row r="3">
          <cell r="A3">
            <v>210002</v>
          </cell>
          <cell r="B3">
            <v>2021</v>
          </cell>
          <cell r="C3">
            <v>22232</v>
          </cell>
          <cell r="D3">
            <v>1153346545</v>
          </cell>
          <cell r="E3">
            <v>192034</v>
          </cell>
          <cell r="F3">
            <v>548135344.29999995</v>
          </cell>
          <cell r="G3">
            <v>214266</v>
          </cell>
          <cell r="H3">
            <v>1701481889.3</v>
          </cell>
          <cell r="I3">
            <v>320634830.5</v>
          </cell>
          <cell r="J3">
            <v>4903347.71</v>
          </cell>
          <cell r="K3">
            <v>4530424.54</v>
          </cell>
          <cell r="L3">
            <v>103757602.09999999</v>
          </cell>
          <cell r="M3">
            <v>129062769.59999999</v>
          </cell>
          <cell r="N3">
            <v>586083.49</v>
          </cell>
          <cell r="O3">
            <v>39444411.189999998</v>
          </cell>
          <cell r="P3">
            <v>3959367.77</v>
          </cell>
          <cell r="Q3">
            <v>0.35667663624070295</v>
          </cell>
          <cell r="R3">
            <v>6.0980726713868526E-2</v>
          </cell>
        </row>
        <row r="4">
          <cell r="A4">
            <v>210003</v>
          </cell>
          <cell r="B4">
            <v>2021</v>
          </cell>
          <cell r="C4">
            <v>11189</v>
          </cell>
          <cell r="D4">
            <v>268835647.69999999</v>
          </cell>
          <cell r="E4">
            <v>32768</v>
          </cell>
          <cell r="F4">
            <v>80566396.959999993</v>
          </cell>
          <cell r="G4">
            <v>43957</v>
          </cell>
          <cell r="H4">
            <v>349402044.65999997</v>
          </cell>
          <cell r="I4">
            <v>79279763.560000002</v>
          </cell>
          <cell r="J4">
            <v>19587475.710000001</v>
          </cell>
          <cell r="K4">
            <v>12127704.76</v>
          </cell>
          <cell r="L4">
            <v>20439568.440000001</v>
          </cell>
          <cell r="M4">
            <v>24088006.859999999</v>
          </cell>
          <cell r="N4">
            <v>6757910.7699999996</v>
          </cell>
          <cell r="O4">
            <v>4123367.14</v>
          </cell>
          <cell r="P4">
            <v>8768053.9700000007</v>
          </cell>
          <cell r="Q4">
            <v>0.50134752754654932</v>
          </cell>
          <cell r="R4">
            <v>5.8498708729336615E-2</v>
          </cell>
        </row>
        <row r="5">
          <cell r="A5">
            <v>210004</v>
          </cell>
          <cell r="B5">
            <v>2021</v>
          </cell>
          <cell r="C5">
            <v>31112</v>
          </cell>
          <cell r="D5">
            <v>410805708.39999998</v>
          </cell>
          <cell r="E5">
            <v>76205</v>
          </cell>
          <cell r="F5">
            <v>146850089</v>
          </cell>
          <cell r="G5">
            <v>107317</v>
          </cell>
          <cell r="H5">
            <v>557655797.39999998</v>
          </cell>
          <cell r="I5">
            <v>94293227.489999995</v>
          </cell>
          <cell r="J5">
            <v>11333467.52</v>
          </cell>
          <cell r="K5">
            <v>18802307.370000001</v>
          </cell>
          <cell r="L5">
            <v>21845115.09</v>
          </cell>
          <cell r="M5">
            <v>21540949.82</v>
          </cell>
          <cell r="N5">
            <v>4251774.92</v>
          </cell>
          <cell r="O5">
            <v>5843380.9500000002</v>
          </cell>
          <cell r="P5">
            <v>20744943.399999999</v>
          </cell>
          <cell r="Q5">
            <v>0.35623258555941623</v>
          </cell>
          <cell r="R5">
            <v>3.9173115731693457E-2</v>
          </cell>
        </row>
        <row r="6">
          <cell r="A6">
            <v>210005</v>
          </cell>
          <cell r="B6">
            <v>2021</v>
          </cell>
          <cell r="C6">
            <v>16568</v>
          </cell>
          <cell r="D6">
            <v>247281187</v>
          </cell>
          <cell r="E6">
            <v>70358</v>
          </cell>
          <cell r="F6">
            <v>135518175.90000001</v>
          </cell>
          <cell r="G6">
            <v>86926</v>
          </cell>
          <cell r="H6">
            <v>382799362.89999998</v>
          </cell>
          <cell r="I6">
            <v>18537636.73</v>
          </cell>
          <cell r="J6">
            <v>283912.90000000002</v>
          </cell>
          <cell r="K6">
            <v>3828019.53</v>
          </cell>
          <cell r="L6">
            <v>17291183.129999999</v>
          </cell>
          <cell r="M6">
            <v>8544928.0500000007</v>
          </cell>
          <cell r="N6">
            <v>26975.599999999999</v>
          </cell>
          <cell r="O6">
            <v>5398594.5499999998</v>
          </cell>
          <cell r="P6">
            <v>4493830.66</v>
          </cell>
          <cell r="Q6">
            <v>0.15257361116679125</v>
          </cell>
          <cell r="R6">
            <v>4.5170355036659338E-2</v>
          </cell>
        </row>
        <row r="7">
          <cell r="A7">
            <v>210006</v>
          </cell>
          <cell r="B7">
            <v>2021</v>
          </cell>
          <cell r="C7">
            <v>4051</v>
          </cell>
          <cell r="D7">
            <v>64872032.630000003</v>
          </cell>
          <cell r="E7">
            <v>36143</v>
          </cell>
          <cell r="F7">
            <v>44078128.289999999</v>
          </cell>
          <cell r="G7">
            <v>40194</v>
          </cell>
          <cell r="H7">
            <v>108950160.92</v>
          </cell>
          <cell r="I7">
            <v>14044847.23</v>
          </cell>
          <cell r="J7">
            <v>127478.7</v>
          </cell>
          <cell r="K7">
            <v>513178.02</v>
          </cell>
          <cell r="L7">
            <v>8990074.8100000005</v>
          </cell>
          <cell r="M7">
            <v>10315678.43</v>
          </cell>
          <cell r="N7">
            <v>156092.38</v>
          </cell>
          <cell r="O7">
            <v>3146968.83</v>
          </cell>
          <cell r="P7">
            <v>830604.87</v>
          </cell>
          <cell r="Q7">
            <v>0.34992993996580135</v>
          </cell>
          <cell r="R7">
            <v>8.2515479867911704E-2</v>
          </cell>
        </row>
        <row r="8">
          <cell r="A8">
            <v>210008</v>
          </cell>
          <cell r="B8">
            <v>2021</v>
          </cell>
          <cell r="C8">
            <v>13036</v>
          </cell>
          <cell r="D8">
            <v>237597627.59999999</v>
          </cell>
          <cell r="E8">
            <v>247908</v>
          </cell>
          <cell r="F8">
            <v>382074607.89999998</v>
          </cell>
          <cell r="G8">
            <v>260944</v>
          </cell>
          <cell r="H8">
            <v>619672235.5</v>
          </cell>
          <cell r="I8">
            <v>58582645.18</v>
          </cell>
          <cell r="J8">
            <v>394151.67999999999</v>
          </cell>
          <cell r="K8">
            <v>2912282.73</v>
          </cell>
          <cell r="L8">
            <v>25837486.77</v>
          </cell>
          <cell r="M8">
            <v>62900122.270000003</v>
          </cell>
          <cell r="N8">
            <v>126130.94</v>
          </cell>
          <cell r="O8">
            <v>26894694.449999999</v>
          </cell>
          <cell r="P8">
            <v>6291050.7599999998</v>
          </cell>
          <cell r="Q8">
            <v>0.29683202545226828</v>
          </cell>
          <cell r="R8">
            <v>4.1695408136451839E-2</v>
          </cell>
        </row>
        <row r="9">
          <cell r="A9">
            <v>210009</v>
          </cell>
          <cell r="B9">
            <v>2021</v>
          </cell>
          <cell r="C9">
            <v>39733</v>
          </cell>
          <cell r="D9">
            <v>1718747292</v>
          </cell>
          <cell r="E9">
            <v>643995</v>
          </cell>
          <cell r="F9">
            <v>1033936461</v>
          </cell>
          <cell r="G9">
            <v>683728</v>
          </cell>
          <cell r="H9">
            <v>2752683753</v>
          </cell>
          <cell r="I9">
            <v>367988721.10000002</v>
          </cell>
          <cell r="J9">
            <v>10684019.26</v>
          </cell>
          <cell r="K9">
            <v>30736837.940000001</v>
          </cell>
          <cell r="L9">
            <v>112205053.09999999</v>
          </cell>
          <cell r="M9">
            <v>176393952.80000001</v>
          </cell>
          <cell r="N9">
            <v>1437566.1</v>
          </cell>
          <cell r="O9">
            <v>55136441.109999999</v>
          </cell>
          <cell r="P9">
            <v>19695888.57</v>
          </cell>
          <cell r="Q9">
            <v>0.28128130561171666</v>
          </cell>
          <cell r="R9">
            <v>4.0762057384076109E-2</v>
          </cell>
        </row>
        <row r="10">
          <cell r="A10">
            <v>210010</v>
          </cell>
          <cell r="B10">
            <v>2021</v>
          </cell>
          <cell r="C10">
            <v>853</v>
          </cell>
          <cell r="D10">
            <v>12862681.49</v>
          </cell>
          <cell r="E10">
            <v>25023</v>
          </cell>
          <cell r="F10">
            <v>24296768.469999999</v>
          </cell>
          <cell r="G10">
            <v>25876</v>
          </cell>
          <cell r="H10">
            <v>37159449.960000001</v>
          </cell>
          <cell r="I10">
            <v>3974931.51</v>
          </cell>
          <cell r="J10">
            <v>81792.45</v>
          </cell>
          <cell r="K10">
            <v>122385.4</v>
          </cell>
          <cell r="L10">
            <v>2632273.0699999998</v>
          </cell>
          <cell r="M10">
            <v>7946297.3099999996</v>
          </cell>
          <cell r="N10">
            <v>100297.03</v>
          </cell>
          <cell r="O10">
            <v>2602552.84</v>
          </cell>
          <cell r="P10">
            <v>634429.84</v>
          </cell>
          <cell r="Q10">
            <v>0.48695444818150369</v>
          </cell>
          <cell r="R10">
            <v>7.0837245245381444E-2</v>
          </cell>
        </row>
        <row r="11">
          <cell r="A11">
            <v>210011</v>
          </cell>
          <cell r="B11">
            <v>2021</v>
          </cell>
          <cell r="C11">
            <v>11985</v>
          </cell>
          <cell r="D11">
            <v>230846177.80000001</v>
          </cell>
          <cell r="E11">
            <v>100173</v>
          </cell>
          <cell r="F11">
            <v>203804857.5</v>
          </cell>
          <cell r="G11">
            <v>112158</v>
          </cell>
          <cell r="H11">
            <v>434651035.30000001</v>
          </cell>
          <cell r="I11">
            <v>62592015.420000002</v>
          </cell>
          <cell r="J11">
            <v>516817.96</v>
          </cell>
          <cell r="K11">
            <v>3824728.37</v>
          </cell>
          <cell r="L11">
            <v>26683926.260000002</v>
          </cell>
          <cell r="M11">
            <v>44234590.240000002</v>
          </cell>
          <cell r="N11">
            <v>191470.56</v>
          </cell>
          <cell r="O11">
            <v>12122864.32</v>
          </cell>
          <cell r="P11">
            <v>9061527.8300000001</v>
          </cell>
          <cell r="Q11">
            <v>0.36633512410731855</v>
          </cell>
          <cell r="R11">
            <v>6.1391608653554725E-2</v>
          </cell>
        </row>
        <row r="12">
          <cell r="A12">
            <v>210012</v>
          </cell>
          <cell r="B12">
            <v>2021</v>
          </cell>
          <cell r="C12">
            <v>17029</v>
          </cell>
          <cell r="D12">
            <v>496877014.80000001</v>
          </cell>
          <cell r="E12">
            <v>191665</v>
          </cell>
          <cell r="F12">
            <v>394480224.80000001</v>
          </cell>
          <cell r="G12">
            <v>208694</v>
          </cell>
          <cell r="H12">
            <v>891357239.60000002</v>
          </cell>
          <cell r="I12">
            <v>121083306.40000001</v>
          </cell>
          <cell r="K12">
            <v>581313.41</v>
          </cell>
          <cell r="L12">
            <v>71300815.780000001</v>
          </cell>
          <cell r="M12">
            <v>88664511.140000001</v>
          </cell>
          <cell r="O12">
            <v>34673030.530000001</v>
          </cell>
          <cell r="P12">
            <v>7145402.29</v>
          </cell>
          <cell r="Q12">
            <v>0.36287177035230983</v>
          </cell>
          <cell r="R12">
            <v>7.9991290374212376E-2</v>
          </cell>
        </row>
        <row r="13">
          <cell r="A13">
            <v>210013</v>
          </cell>
          <cell r="B13">
            <v>2021</v>
          </cell>
          <cell r="C13">
            <v>358</v>
          </cell>
          <cell r="D13">
            <v>5110547.9000000004</v>
          </cell>
          <cell r="E13">
            <v>23287</v>
          </cell>
          <cell r="F13">
            <v>30814272.449999999</v>
          </cell>
          <cell r="G13">
            <v>23645</v>
          </cell>
          <cell r="H13">
            <v>35924820.350000001</v>
          </cell>
          <cell r="I13">
            <v>730050.89</v>
          </cell>
          <cell r="K13">
            <v>24792.959999999999</v>
          </cell>
          <cell r="L13">
            <v>1147207.8500000001</v>
          </cell>
          <cell r="M13">
            <v>13627006.789999999</v>
          </cell>
          <cell r="O13">
            <v>5040249.1100000003</v>
          </cell>
          <cell r="P13">
            <v>553117.69999999995</v>
          </cell>
          <cell r="Q13">
            <v>0.58796189081012329</v>
          </cell>
          <cell r="R13">
            <v>3.1933572355359048E-2</v>
          </cell>
        </row>
        <row r="14">
          <cell r="A14">
            <v>210015</v>
          </cell>
          <cell r="B14">
            <v>2021</v>
          </cell>
          <cell r="C14">
            <v>19581</v>
          </cell>
          <cell r="D14">
            <v>329063341.89999998</v>
          </cell>
          <cell r="E14">
            <v>149298</v>
          </cell>
          <cell r="F14">
            <v>274933485.89999998</v>
          </cell>
          <cell r="G14">
            <v>168879</v>
          </cell>
          <cell r="H14">
            <v>603996827.79999995</v>
          </cell>
          <cell r="I14">
            <v>88715729.439999998</v>
          </cell>
          <cell r="J14">
            <v>601513.67000000004</v>
          </cell>
          <cell r="K14">
            <v>4018524.72</v>
          </cell>
          <cell r="L14">
            <v>32821912.550000001</v>
          </cell>
          <cell r="M14">
            <v>72673138.049999997</v>
          </cell>
          <cell r="N14">
            <v>61481.1</v>
          </cell>
          <cell r="O14">
            <v>20057697.030000001</v>
          </cell>
          <cell r="P14">
            <v>3930914.71</v>
          </cell>
          <cell r="Q14">
            <v>0.36901006927771818</v>
          </cell>
          <cell r="R14">
            <v>5.4341200217144586E-2</v>
          </cell>
        </row>
        <row r="15">
          <cell r="A15">
            <v>210016</v>
          </cell>
          <cell r="B15">
            <v>2021</v>
          </cell>
          <cell r="C15">
            <v>11833</v>
          </cell>
          <cell r="D15">
            <v>246989094.90000001</v>
          </cell>
          <cell r="E15">
            <v>38606</v>
          </cell>
          <cell r="F15">
            <v>119940302</v>
          </cell>
          <cell r="G15">
            <v>50439</v>
          </cell>
          <cell r="H15">
            <v>366929396.89999998</v>
          </cell>
          <cell r="I15">
            <v>63391698.359999999</v>
          </cell>
          <cell r="J15">
            <v>11396.12</v>
          </cell>
          <cell r="K15">
            <v>2635324.5499999998</v>
          </cell>
          <cell r="L15">
            <v>28671732.120000001</v>
          </cell>
          <cell r="M15">
            <v>20913523.309999999</v>
          </cell>
          <cell r="N15">
            <v>12689.71</v>
          </cell>
          <cell r="O15">
            <v>9231433.8300000001</v>
          </cell>
          <cell r="P15">
            <v>8619555.3100000005</v>
          </cell>
          <cell r="Q15">
            <v>0.36379574500644213</v>
          </cell>
          <cell r="R15">
            <v>7.8139643109091009E-2</v>
          </cell>
        </row>
        <row r="16">
          <cell r="A16">
            <v>210017</v>
          </cell>
          <cell r="B16">
            <v>2021</v>
          </cell>
          <cell r="C16">
            <v>1678</v>
          </cell>
          <cell r="D16">
            <v>21376848.859999999</v>
          </cell>
          <cell r="E16">
            <v>56054</v>
          </cell>
          <cell r="F16">
            <v>44652507.369999997</v>
          </cell>
          <cell r="G16">
            <v>57732</v>
          </cell>
          <cell r="H16">
            <v>66029356.229999997</v>
          </cell>
          <cell r="I16">
            <v>3058375.92</v>
          </cell>
          <cell r="J16">
            <v>1063697.01</v>
          </cell>
          <cell r="K16">
            <v>307182.08000000002</v>
          </cell>
          <cell r="L16">
            <v>1660609.17</v>
          </cell>
          <cell r="M16">
            <v>5323603.3</v>
          </cell>
          <cell r="N16">
            <v>1821835.3</v>
          </cell>
          <cell r="O16">
            <v>2783750.82</v>
          </cell>
          <cell r="P16">
            <v>862696.43</v>
          </cell>
          <cell r="Q16">
            <v>0.25567037139050419</v>
          </cell>
          <cell r="R16">
            <v>2.5149558693493869E-2</v>
          </cell>
        </row>
        <row r="17">
          <cell r="A17">
            <v>210018</v>
          </cell>
          <cell r="B17">
            <v>2021</v>
          </cell>
          <cell r="C17">
            <v>5606</v>
          </cell>
          <cell r="D17">
            <v>87074612.650000006</v>
          </cell>
          <cell r="E17">
            <v>42189</v>
          </cell>
          <cell r="F17">
            <v>102048240.40000001</v>
          </cell>
          <cell r="G17">
            <v>47795</v>
          </cell>
          <cell r="H17">
            <v>189122853.05000001</v>
          </cell>
          <cell r="I17">
            <v>16330851.619999999</v>
          </cell>
          <cell r="J17">
            <v>47139.89</v>
          </cell>
          <cell r="K17">
            <v>972079.05</v>
          </cell>
          <cell r="L17">
            <v>8695792.8100000005</v>
          </cell>
          <cell r="M17">
            <v>18374208.43</v>
          </cell>
          <cell r="N17">
            <v>108378.77</v>
          </cell>
          <cell r="O17">
            <v>4410446.3</v>
          </cell>
          <cell r="P17">
            <v>2225631.17</v>
          </cell>
          <cell r="Q17">
            <v>0.27053593584733621</v>
          </cell>
          <cell r="R17">
            <v>4.5979598286310853E-2</v>
          </cell>
        </row>
        <row r="18">
          <cell r="A18">
            <v>210019</v>
          </cell>
          <cell r="B18">
            <v>2021</v>
          </cell>
          <cell r="C18">
            <v>15581</v>
          </cell>
          <cell r="D18">
            <v>272892366.39999998</v>
          </cell>
          <cell r="E18">
            <v>122002</v>
          </cell>
          <cell r="F18">
            <v>232122921.59999999</v>
          </cell>
          <cell r="G18">
            <v>137583</v>
          </cell>
          <cell r="H18">
            <v>505015288</v>
          </cell>
          <cell r="I18">
            <v>42764241.060000002</v>
          </cell>
          <cell r="J18">
            <v>3957112.07</v>
          </cell>
          <cell r="K18">
            <v>1860872.15</v>
          </cell>
          <cell r="L18">
            <v>33568011.600000001</v>
          </cell>
          <cell r="M18">
            <v>40482951.299999997</v>
          </cell>
          <cell r="N18">
            <v>2759546.81</v>
          </cell>
          <cell r="O18">
            <v>18149288.899999999</v>
          </cell>
          <cell r="P18">
            <v>4218078.3600000003</v>
          </cell>
          <cell r="Q18">
            <v>0.29258540436502589</v>
          </cell>
          <cell r="R18">
            <v>6.6469297856186882E-2</v>
          </cell>
        </row>
        <row r="19">
          <cell r="A19">
            <v>210022</v>
          </cell>
          <cell r="B19">
            <v>2021</v>
          </cell>
          <cell r="C19">
            <v>11134</v>
          </cell>
          <cell r="D19">
            <v>231232469</v>
          </cell>
          <cell r="E19">
            <v>75765</v>
          </cell>
          <cell r="F19">
            <v>139114107.30000001</v>
          </cell>
          <cell r="G19">
            <v>86899</v>
          </cell>
          <cell r="H19">
            <v>370346576.30000001</v>
          </cell>
          <cell r="I19">
            <v>20365609.210000001</v>
          </cell>
          <cell r="J19">
            <v>2543614.5499999998</v>
          </cell>
          <cell r="K19">
            <v>5195979.12</v>
          </cell>
          <cell r="L19">
            <v>17172835.010000002</v>
          </cell>
          <cell r="M19">
            <v>10715325.539999999</v>
          </cell>
          <cell r="N19">
            <v>739845.3</v>
          </cell>
          <cell r="O19">
            <v>4644376.37</v>
          </cell>
          <cell r="P19">
            <v>3636272.98</v>
          </cell>
          <cell r="Q19">
            <v>0.17554869476459095</v>
          </cell>
          <cell r="R19">
            <v>4.6369633497270704E-2</v>
          </cell>
        </row>
        <row r="20">
          <cell r="A20">
            <v>210023</v>
          </cell>
          <cell r="B20">
            <v>2021</v>
          </cell>
          <cell r="C20">
            <v>28355</v>
          </cell>
          <cell r="D20">
            <v>376315872.19999999</v>
          </cell>
          <cell r="E20">
            <v>138995</v>
          </cell>
          <cell r="F20">
            <v>321038800.60000002</v>
          </cell>
          <cell r="G20">
            <v>167350</v>
          </cell>
          <cell r="H20">
            <v>697354672.79999995</v>
          </cell>
          <cell r="I20">
            <v>46285396.270000003</v>
          </cell>
          <cell r="J20">
            <v>499368.93</v>
          </cell>
          <cell r="K20">
            <v>2707691.24</v>
          </cell>
          <cell r="L20">
            <v>18698741.359999999</v>
          </cell>
          <cell r="M20">
            <v>32198186.539999999</v>
          </cell>
          <cell r="N20">
            <v>337669.2</v>
          </cell>
          <cell r="O20">
            <v>8663790.5500000007</v>
          </cell>
          <cell r="P20">
            <v>5496502.7999999998</v>
          </cell>
          <cell r="Q20">
            <v>0.16474736797662426</v>
          </cell>
          <cell r="R20">
            <v>2.6813818117718075E-2</v>
          </cell>
        </row>
        <row r="21">
          <cell r="A21">
            <v>210024</v>
          </cell>
          <cell r="B21">
            <v>2021</v>
          </cell>
          <cell r="C21">
            <v>9682</v>
          </cell>
          <cell r="D21">
            <v>277372627.89999998</v>
          </cell>
          <cell r="E21">
            <v>83513</v>
          </cell>
          <cell r="F21">
            <v>176081225.80000001</v>
          </cell>
          <cell r="G21">
            <v>93195</v>
          </cell>
          <cell r="H21">
            <v>453453853.69999999</v>
          </cell>
          <cell r="I21">
            <v>53994072.060000002</v>
          </cell>
          <cell r="J21">
            <v>160462.5</v>
          </cell>
          <cell r="K21">
            <v>2709210.81</v>
          </cell>
          <cell r="L21">
            <v>48683905.539999999</v>
          </cell>
          <cell r="M21">
            <v>34849919.140000001</v>
          </cell>
          <cell r="N21">
            <v>183487.28</v>
          </cell>
          <cell r="O21">
            <v>12720165.52</v>
          </cell>
          <cell r="P21">
            <v>3067875.98</v>
          </cell>
          <cell r="Q21">
            <v>0.34484015860509604</v>
          </cell>
          <cell r="R21">
            <v>0.10736242539953962</v>
          </cell>
        </row>
        <row r="22">
          <cell r="A22">
            <v>210027</v>
          </cell>
          <cell r="B22">
            <v>2021</v>
          </cell>
          <cell r="C22">
            <v>9976</v>
          </cell>
          <cell r="D22">
            <v>176294161.09999999</v>
          </cell>
          <cell r="E22">
            <v>83196</v>
          </cell>
          <cell r="F22">
            <v>176562510.09999999</v>
          </cell>
          <cell r="G22">
            <v>93172</v>
          </cell>
          <cell r="H22">
            <v>352856671.19999999</v>
          </cell>
          <cell r="I22">
            <v>24822742.489999998</v>
          </cell>
          <cell r="J22">
            <v>6078641.9400000004</v>
          </cell>
          <cell r="K22">
            <v>867979</v>
          </cell>
          <cell r="L22">
            <v>17488941.010000002</v>
          </cell>
          <cell r="M22">
            <v>24817897.98</v>
          </cell>
          <cell r="N22">
            <v>4341866.5199999996</v>
          </cell>
          <cell r="O22">
            <v>10802366.109999999</v>
          </cell>
          <cell r="P22">
            <v>1403338.2</v>
          </cell>
          <cell r="Q22">
            <v>0.25682885048426429</v>
          </cell>
          <cell r="R22">
            <v>4.9563866684235736E-2</v>
          </cell>
        </row>
        <row r="23">
          <cell r="A23">
            <v>210028</v>
          </cell>
          <cell r="B23">
            <v>2021</v>
          </cell>
          <cell r="C23">
            <v>7674</v>
          </cell>
          <cell r="D23">
            <v>93466996.670000002</v>
          </cell>
          <cell r="E23">
            <v>79143</v>
          </cell>
          <cell r="F23">
            <v>113730716.2</v>
          </cell>
          <cell r="G23">
            <v>86817</v>
          </cell>
          <cell r="H23">
            <v>207197712.87</v>
          </cell>
          <cell r="I23">
            <v>16861882.949999999</v>
          </cell>
          <cell r="J23">
            <v>26188.57</v>
          </cell>
          <cell r="K23">
            <v>1204093.69</v>
          </cell>
          <cell r="L23">
            <v>9206185.3699999992</v>
          </cell>
          <cell r="M23">
            <v>20950467.219999999</v>
          </cell>
          <cell r="N23">
            <v>71639.070000000007</v>
          </cell>
          <cell r="O23">
            <v>6204354.71</v>
          </cell>
          <cell r="P23">
            <v>1624157.2</v>
          </cell>
          <cell r="Q23">
            <v>0.27099222284962665</v>
          </cell>
          <cell r="R23">
            <v>4.4431887024622439E-2</v>
          </cell>
        </row>
        <row r="24">
          <cell r="A24">
            <v>210029</v>
          </cell>
          <cell r="B24">
            <v>2021</v>
          </cell>
          <cell r="C24">
            <v>18117</v>
          </cell>
          <cell r="D24">
            <v>441875901.5</v>
          </cell>
          <cell r="E24">
            <v>313597</v>
          </cell>
          <cell r="F24">
            <v>301371067.30000001</v>
          </cell>
          <cell r="G24">
            <v>331714</v>
          </cell>
          <cell r="H24">
            <v>743246968.79999995</v>
          </cell>
          <cell r="I24">
            <v>103015058.2</v>
          </cell>
          <cell r="J24">
            <v>770101.07</v>
          </cell>
          <cell r="K24">
            <v>15039822.039999999</v>
          </cell>
          <cell r="L24">
            <v>49536906.170000002</v>
          </cell>
          <cell r="M24">
            <v>56624076.840000004</v>
          </cell>
          <cell r="N24">
            <v>252713.62</v>
          </cell>
          <cell r="O24">
            <v>21113956.16</v>
          </cell>
          <cell r="P24">
            <v>14365281.140000001</v>
          </cell>
          <cell r="Q24">
            <v>0.35078234582098444</v>
          </cell>
          <cell r="R24">
            <v>6.664932148997417E-2</v>
          </cell>
        </row>
        <row r="25">
          <cell r="A25">
            <v>210030</v>
          </cell>
          <cell r="B25">
            <v>2021</v>
          </cell>
          <cell r="C25">
            <v>535</v>
          </cell>
          <cell r="D25">
            <v>10112767.220000001</v>
          </cell>
          <cell r="E25">
            <v>30855</v>
          </cell>
          <cell r="F25">
            <v>31943604.149999999</v>
          </cell>
          <cell r="G25">
            <v>31390</v>
          </cell>
          <cell r="H25">
            <v>42056371.369999997</v>
          </cell>
          <cell r="I25">
            <v>1047463.56</v>
          </cell>
          <cell r="J25">
            <v>37333.19</v>
          </cell>
          <cell r="K25">
            <v>95544.29</v>
          </cell>
          <cell r="L25">
            <v>1802748.95</v>
          </cell>
          <cell r="M25">
            <v>6238801.6500000004</v>
          </cell>
          <cell r="N25">
            <v>118159.38</v>
          </cell>
          <cell r="O25">
            <v>2929520.91</v>
          </cell>
          <cell r="P25">
            <v>562730.46</v>
          </cell>
          <cell r="Q25">
            <v>0.30512148271435624</v>
          </cell>
          <cell r="R25">
            <v>4.2865061613136503E-2</v>
          </cell>
        </row>
        <row r="26">
          <cell r="A26">
            <v>210032</v>
          </cell>
          <cell r="B26">
            <v>2021</v>
          </cell>
          <cell r="C26">
            <v>4840</v>
          </cell>
          <cell r="D26">
            <v>87884924.430000007</v>
          </cell>
          <cell r="E26">
            <v>69434</v>
          </cell>
          <cell r="F26">
            <v>91309572.879999995</v>
          </cell>
          <cell r="G26">
            <v>74274</v>
          </cell>
          <cell r="H26">
            <v>179194497.31</v>
          </cell>
          <cell r="I26">
            <v>19288818.300000001</v>
          </cell>
          <cell r="J26">
            <v>1640504.26</v>
          </cell>
          <cell r="K26">
            <v>843836.63</v>
          </cell>
          <cell r="L26">
            <v>10586846.68</v>
          </cell>
          <cell r="M26">
            <v>17776483.77</v>
          </cell>
          <cell r="N26">
            <v>2095682.89</v>
          </cell>
          <cell r="O26">
            <v>6657366.0899999999</v>
          </cell>
          <cell r="P26">
            <v>1543609.66</v>
          </cell>
          <cell r="Q26">
            <v>0.33724890656353607</v>
          </cell>
          <cell r="R26">
            <v>5.9080199665311917E-2</v>
          </cell>
        </row>
        <row r="27">
          <cell r="A27">
            <v>210033</v>
          </cell>
          <cell r="B27">
            <v>2021</v>
          </cell>
          <cell r="C27">
            <v>8967</v>
          </cell>
          <cell r="D27">
            <v>147252593.69999999</v>
          </cell>
          <cell r="E27">
            <v>47309</v>
          </cell>
          <cell r="F27">
            <v>103192079.7</v>
          </cell>
          <cell r="G27">
            <v>56276</v>
          </cell>
          <cell r="H27">
            <v>250444673.39999998</v>
          </cell>
          <cell r="I27">
            <v>20476803.460000001</v>
          </cell>
          <cell r="K27">
            <v>577213.43999999994</v>
          </cell>
          <cell r="L27">
            <v>10508162.619999999</v>
          </cell>
          <cell r="M27">
            <v>15242816.83</v>
          </cell>
          <cell r="O27">
            <v>4249663.32</v>
          </cell>
          <cell r="P27">
            <v>1435924.25</v>
          </cell>
          <cell r="Q27">
            <v>0.20958954010638586</v>
          </cell>
          <cell r="R27">
            <v>4.1958020018324736E-2</v>
          </cell>
        </row>
        <row r="28">
          <cell r="A28">
            <v>210034</v>
          </cell>
          <cell r="B28">
            <v>2021</v>
          </cell>
          <cell r="C28">
            <v>8117</v>
          </cell>
          <cell r="D28">
            <v>130423815.40000001</v>
          </cell>
          <cell r="E28">
            <v>50478</v>
          </cell>
          <cell r="F28">
            <v>69518911.099999994</v>
          </cell>
          <cell r="G28">
            <v>58595</v>
          </cell>
          <cell r="H28">
            <v>199942726.5</v>
          </cell>
          <cell r="I28">
            <v>52563792.439999998</v>
          </cell>
          <cell r="J28">
            <v>152140.43</v>
          </cell>
          <cell r="K28">
            <v>1276775.26</v>
          </cell>
          <cell r="L28">
            <v>15670191.359999999</v>
          </cell>
          <cell r="M28">
            <v>27663301.670000002</v>
          </cell>
          <cell r="N28">
            <v>90773.27</v>
          </cell>
          <cell r="O28">
            <v>4934361.2699999996</v>
          </cell>
          <cell r="P28">
            <v>2348048.42</v>
          </cell>
          <cell r="Q28">
            <v>0.52364687604677629</v>
          </cell>
          <cell r="R28">
            <v>7.837340039473753E-2</v>
          </cell>
        </row>
        <row r="29">
          <cell r="A29">
            <v>210035</v>
          </cell>
          <cell r="B29">
            <v>2021</v>
          </cell>
          <cell r="C29">
            <v>6015</v>
          </cell>
          <cell r="D29">
            <v>95840292.689999998</v>
          </cell>
          <cell r="E29">
            <v>52635</v>
          </cell>
          <cell r="F29">
            <v>73302216.650000006</v>
          </cell>
          <cell r="G29">
            <v>58650</v>
          </cell>
          <cell r="H29">
            <v>169142509.34</v>
          </cell>
          <cell r="I29">
            <v>15918825.83</v>
          </cell>
          <cell r="J29">
            <v>351055.38</v>
          </cell>
          <cell r="K29">
            <v>835676.28</v>
          </cell>
          <cell r="L29">
            <v>8626039.6600000001</v>
          </cell>
          <cell r="M29">
            <v>15376563.119999999</v>
          </cell>
          <cell r="N29">
            <v>337230.13</v>
          </cell>
          <cell r="O29">
            <v>3670544.58</v>
          </cell>
          <cell r="P29">
            <v>2592396.92</v>
          </cell>
          <cell r="Q29">
            <v>0.2820599746696415</v>
          </cell>
          <cell r="R29">
            <v>5.0998650153998001E-2</v>
          </cell>
        </row>
        <row r="30">
          <cell r="A30">
            <v>210037</v>
          </cell>
          <cell r="B30">
            <v>2021</v>
          </cell>
          <cell r="C30">
            <v>6187</v>
          </cell>
          <cell r="D30">
            <v>111495103.2</v>
          </cell>
          <cell r="E30">
            <v>46274</v>
          </cell>
          <cell r="F30">
            <v>136299486.40000001</v>
          </cell>
          <cell r="G30">
            <v>52461</v>
          </cell>
          <cell r="H30">
            <v>247794589.60000002</v>
          </cell>
          <cell r="I30">
            <v>21377138.719999999</v>
          </cell>
          <cell r="J30">
            <v>120332.9</v>
          </cell>
          <cell r="K30">
            <v>620992.48</v>
          </cell>
          <cell r="L30">
            <v>14559970.119999999</v>
          </cell>
          <cell r="M30">
            <v>24427624.690000001</v>
          </cell>
          <cell r="N30">
            <v>114269.3</v>
          </cell>
          <cell r="O30">
            <v>10146254.35</v>
          </cell>
          <cell r="P30">
            <v>1527084.42</v>
          </cell>
          <cell r="Q30">
            <v>0.29416972782847228</v>
          </cell>
          <cell r="R30">
            <v>5.8758224477391888E-2</v>
          </cell>
        </row>
        <row r="31">
          <cell r="A31">
            <v>210038</v>
          </cell>
          <cell r="B31">
            <v>2021</v>
          </cell>
          <cell r="C31">
            <v>4560</v>
          </cell>
          <cell r="D31">
            <v>114587686.90000001</v>
          </cell>
          <cell r="E31">
            <v>75691</v>
          </cell>
          <cell r="F31">
            <v>107302082.59999999</v>
          </cell>
          <cell r="G31">
            <v>80251</v>
          </cell>
          <cell r="H31">
            <v>221889769.5</v>
          </cell>
          <cell r="I31">
            <v>44670434.149999999</v>
          </cell>
          <cell r="J31">
            <v>635053.21</v>
          </cell>
          <cell r="K31">
            <v>780384.28</v>
          </cell>
          <cell r="L31">
            <v>26933317.010000002</v>
          </cell>
          <cell r="M31">
            <v>41088775.590000004</v>
          </cell>
          <cell r="N31">
            <v>250532.86</v>
          </cell>
          <cell r="O31">
            <v>14586265.42</v>
          </cell>
          <cell r="P31">
            <v>725229.75</v>
          </cell>
          <cell r="Q31">
            <v>0.58438923327648062</v>
          </cell>
          <cell r="R31">
            <v>0.12138151781711595</v>
          </cell>
        </row>
        <row r="32">
          <cell r="A32">
            <v>210039</v>
          </cell>
          <cell r="B32">
            <v>2021</v>
          </cell>
          <cell r="C32">
            <v>5883</v>
          </cell>
          <cell r="D32">
            <v>81008515.989999995</v>
          </cell>
          <cell r="E32">
            <v>43693</v>
          </cell>
          <cell r="F32">
            <v>82423180.230000004</v>
          </cell>
          <cell r="G32">
            <v>49576</v>
          </cell>
          <cell r="H32">
            <v>163431696.22</v>
          </cell>
          <cell r="I32">
            <v>11742366.18</v>
          </cell>
          <cell r="J32">
            <v>124160.42</v>
          </cell>
          <cell r="K32">
            <v>654728.31999999995</v>
          </cell>
          <cell r="L32">
            <v>9108936.1799999997</v>
          </cell>
          <cell r="M32">
            <v>11981767.050000001</v>
          </cell>
          <cell r="N32">
            <v>149543.65</v>
          </cell>
          <cell r="O32">
            <v>3706422.31</v>
          </cell>
          <cell r="P32">
            <v>1058682.94</v>
          </cell>
          <cell r="Q32">
            <v>0.23573522114179282</v>
          </cell>
          <cell r="R32">
            <v>5.5735431930769443E-2</v>
          </cell>
        </row>
        <row r="33">
          <cell r="A33">
            <v>210040</v>
          </cell>
          <cell r="B33">
            <v>2021</v>
          </cell>
          <cell r="C33">
            <v>7507</v>
          </cell>
          <cell r="D33">
            <v>143408524.90000001</v>
          </cell>
          <cell r="E33">
            <v>60971</v>
          </cell>
          <cell r="F33">
            <v>129035792.3</v>
          </cell>
          <cell r="G33">
            <v>68478</v>
          </cell>
          <cell r="H33">
            <v>272444317.19999999</v>
          </cell>
          <cell r="I33">
            <v>32762121.120000001</v>
          </cell>
          <cell r="K33">
            <v>796210.84</v>
          </cell>
          <cell r="L33">
            <v>26234151.239999998</v>
          </cell>
          <cell r="M33">
            <v>22128475.699999999</v>
          </cell>
          <cell r="O33">
            <v>10307876.41</v>
          </cell>
          <cell r="P33">
            <v>8192320.5499999998</v>
          </cell>
          <cell r="Q33">
            <v>0.36859332171821863</v>
          </cell>
          <cell r="R33">
            <v>9.6291790959771209E-2</v>
          </cell>
        </row>
        <row r="34">
          <cell r="A34">
            <v>210043</v>
          </cell>
          <cell r="B34">
            <v>2021</v>
          </cell>
          <cell r="C34">
            <v>18032</v>
          </cell>
          <cell r="D34">
            <v>308100531.80000001</v>
          </cell>
          <cell r="E34">
            <v>105755</v>
          </cell>
          <cell r="F34">
            <v>168490570.30000001</v>
          </cell>
          <cell r="G34">
            <v>123787</v>
          </cell>
          <cell r="H34">
            <v>476591102.10000002</v>
          </cell>
          <cell r="I34">
            <v>62544968.740000002</v>
          </cell>
          <cell r="J34">
            <v>428044.95</v>
          </cell>
          <cell r="K34">
            <v>1298709.2</v>
          </cell>
          <cell r="L34">
            <v>24013326.34</v>
          </cell>
          <cell r="M34">
            <v>32264659.98</v>
          </cell>
          <cell r="N34">
            <v>338700.53</v>
          </cell>
          <cell r="O34">
            <v>8572610.1199999992</v>
          </cell>
          <cell r="P34">
            <v>4359590.3600000003</v>
          </cell>
          <cell r="Q34">
            <v>0.28078705126962544</v>
          </cell>
          <cell r="R34">
            <v>5.0385595186712991E-2</v>
          </cell>
        </row>
        <row r="35">
          <cell r="A35">
            <v>210044</v>
          </cell>
          <cell r="B35">
            <v>2021</v>
          </cell>
          <cell r="C35">
            <v>18707</v>
          </cell>
          <cell r="D35">
            <v>256604120.40000001</v>
          </cell>
          <cell r="E35">
            <v>117125</v>
          </cell>
          <cell r="F35">
            <v>267853497.19999999</v>
          </cell>
          <cell r="G35">
            <v>135832</v>
          </cell>
          <cell r="H35">
            <v>524457617.60000002</v>
          </cell>
          <cell r="I35">
            <v>38666689.310000002</v>
          </cell>
          <cell r="J35">
            <v>482766.77</v>
          </cell>
          <cell r="K35">
            <v>846555.48</v>
          </cell>
          <cell r="L35">
            <v>14229560.449999999</v>
          </cell>
          <cell r="M35">
            <v>28657170.68</v>
          </cell>
          <cell r="N35">
            <v>172721.52</v>
          </cell>
          <cell r="O35">
            <v>9077519.0999999996</v>
          </cell>
          <cell r="P35">
            <v>3511069.9</v>
          </cell>
          <cell r="Q35">
            <v>0.18236755459417697</v>
          </cell>
          <cell r="R35">
            <v>2.7131954942549392E-2</v>
          </cell>
        </row>
        <row r="36">
          <cell r="A36">
            <v>210045</v>
          </cell>
          <cell r="B36">
            <v>2021</v>
          </cell>
          <cell r="E36">
            <v>15331</v>
          </cell>
          <cell r="F36">
            <v>4775499.99</v>
          </cell>
          <cell r="G36">
            <v>15331</v>
          </cell>
          <cell r="H36">
            <v>4775499.99</v>
          </cell>
          <cell r="M36">
            <v>1149656.8700000001</v>
          </cell>
          <cell r="N36">
            <v>29087.05</v>
          </cell>
          <cell r="O36">
            <v>494069.53</v>
          </cell>
          <cell r="P36">
            <v>126227.33</v>
          </cell>
          <cell r="Q36">
            <v>0.37672302036796784</v>
          </cell>
          <cell r="R36">
            <v>0</v>
          </cell>
        </row>
        <row r="37">
          <cell r="A37">
            <v>210048</v>
          </cell>
          <cell r="B37">
            <v>2021</v>
          </cell>
          <cell r="C37">
            <v>16407</v>
          </cell>
          <cell r="D37">
            <v>203910171.90000001</v>
          </cell>
          <cell r="E37">
            <v>109966</v>
          </cell>
          <cell r="F37">
            <v>114931064.5</v>
          </cell>
          <cell r="G37">
            <v>126373</v>
          </cell>
          <cell r="H37">
            <v>318841236.39999998</v>
          </cell>
          <cell r="I37">
            <v>30032606.02</v>
          </cell>
          <cell r="J37">
            <v>422986.98</v>
          </cell>
          <cell r="K37">
            <v>3054238.62</v>
          </cell>
          <cell r="L37">
            <v>16173941.890000001</v>
          </cell>
          <cell r="M37">
            <v>16687819</v>
          </cell>
          <cell r="N37">
            <v>320614.5</v>
          </cell>
          <cell r="O37">
            <v>3464749.24</v>
          </cell>
          <cell r="P37">
            <v>4283400.76</v>
          </cell>
          <cell r="Q37">
            <v>0.23347154794184585</v>
          </cell>
          <cell r="R37">
            <v>5.0727258721670172E-2</v>
          </cell>
        </row>
        <row r="38">
          <cell r="A38">
            <v>210049</v>
          </cell>
          <cell r="B38">
            <v>2021</v>
          </cell>
          <cell r="C38">
            <v>12447</v>
          </cell>
          <cell r="D38">
            <v>189271280.59999999</v>
          </cell>
          <cell r="E38">
            <v>103607</v>
          </cell>
          <cell r="F38">
            <v>156786958.90000001</v>
          </cell>
          <cell r="G38">
            <v>116054</v>
          </cell>
          <cell r="H38">
            <v>346058239.5</v>
          </cell>
          <cell r="I38">
            <v>26484444.440000001</v>
          </cell>
          <cell r="J38">
            <v>466788.48</v>
          </cell>
          <cell r="K38">
            <v>1314366.3899999999</v>
          </cell>
          <cell r="L38">
            <v>18303142.02</v>
          </cell>
          <cell r="M38">
            <v>20446019.370000001</v>
          </cell>
          <cell r="N38">
            <v>159410.17000000001</v>
          </cell>
          <cell r="O38">
            <v>6457352.4699999997</v>
          </cell>
          <cell r="P38">
            <v>1684269.96</v>
          </cell>
          <cell r="Q38">
            <v>0.21763906968035071</v>
          </cell>
          <cell r="R38">
            <v>5.2890351769821098E-2</v>
          </cell>
        </row>
        <row r="39">
          <cell r="A39">
            <v>210051</v>
          </cell>
          <cell r="B39">
            <v>2021</v>
          </cell>
          <cell r="C39">
            <v>9756</v>
          </cell>
          <cell r="D39">
            <v>166279412.40000001</v>
          </cell>
          <cell r="E39">
            <v>46832</v>
          </cell>
          <cell r="F39">
            <v>86020649.019999996</v>
          </cell>
          <cell r="G39">
            <v>56588</v>
          </cell>
          <cell r="H39">
            <v>252300061.42000002</v>
          </cell>
          <cell r="I39">
            <v>32709508.649999999</v>
          </cell>
          <cell r="J39">
            <v>1718706.92</v>
          </cell>
          <cell r="K39">
            <v>2778915.44</v>
          </cell>
          <cell r="L39">
            <v>16634624.619999999</v>
          </cell>
          <cell r="M39">
            <v>19037432.260000002</v>
          </cell>
          <cell r="N39">
            <v>1056641.21</v>
          </cell>
          <cell r="O39">
            <v>5269984.91</v>
          </cell>
          <cell r="P39">
            <v>4916118.78</v>
          </cell>
          <cell r="Q39">
            <v>0.33342018355660846</v>
          </cell>
          <cell r="R39">
            <v>6.5931908721609853E-2</v>
          </cell>
        </row>
        <row r="40">
          <cell r="A40">
            <v>210055</v>
          </cell>
          <cell r="B40">
            <v>2021</v>
          </cell>
          <cell r="C40">
            <v>1895</v>
          </cell>
          <cell r="D40">
            <v>69916771.079999998</v>
          </cell>
          <cell r="E40">
            <v>17633</v>
          </cell>
          <cell r="F40">
            <v>26444789.77</v>
          </cell>
          <cell r="G40">
            <v>19528</v>
          </cell>
          <cell r="H40">
            <v>96361560.849999994</v>
          </cell>
          <cell r="I40">
            <v>14196602.6</v>
          </cell>
          <cell r="J40">
            <v>823872.94</v>
          </cell>
          <cell r="K40">
            <v>5388987.8300000001</v>
          </cell>
          <cell r="L40">
            <v>5984409.1699999999</v>
          </cell>
          <cell r="M40">
            <v>7791039.3399999999</v>
          </cell>
          <cell r="N40">
            <v>804419.17</v>
          </cell>
          <cell r="O40">
            <v>1294810.68</v>
          </cell>
          <cell r="P40">
            <v>2052044.65</v>
          </cell>
          <cell r="Q40">
            <v>0.39783691797682208</v>
          </cell>
          <cell r="R40">
            <v>6.2103696922422777E-2</v>
          </cell>
        </row>
        <row r="41">
          <cell r="A41">
            <v>210056</v>
          </cell>
          <cell r="B41">
            <v>2021</v>
          </cell>
          <cell r="C41">
            <v>8377</v>
          </cell>
          <cell r="D41">
            <v>185075904</v>
          </cell>
          <cell r="E41">
            <v>84738</v>
          </cell>
          <cell r="F41">
            <v>102114791.5</v>
          </cell>
          <cell r="G41">
            <v>93115</v>
          </cell>
          <cell r="H41">
            <v>287190695.5</v>
          </cell>
          <cell r="I41">
            <v>39623147.310000002</v>
          </cell>
          <cell r="J41">
            <v>72811.740000000005</v>
          </cell>
          <cell r="K41">
            <v>6285834.25</v>
          </cell>
          <cell r="L41">
            <v>30016730.32</v>
          </cell>
          <cell r="M41">
            <v>27426556.469999999</v>
          </cell>
          <cell r="N41">
            <v>72812.14</v>
          </cell>
          <cell r="O41">
            <v>14318187.49</v>
          </cell>
          <cell r="P41">
            <v>2331260.5099999998</v>
          </cell>
          <cell r="Q41">
            <v>0.4183538746644388</v>
          </cell>
          <cell r="R41">
            <v>0.1045184638302462</v>
          </cell>
        </row>
        <row r="42">
          <cell r="A42">
            <v>210057</v>
          </cell>
          <cell r="B42">
            <v>2021</v>
          </cell>
          <cell r="C42">
            <v>20339</v>
          </cell>
          <cell r="D42">
            <v>322384227.19999999</v>
          </cell>
          <cell r="E42">
            <v>61742</v>
          </cell>
          <cell r="F42">
            <v>173904491.09999999</v>
          </cell>
          <cell r="G42">
            <v>82081</v>
          </cell>
          <cell r="H42">
            <v>496288718.29999995</v>
          </cell>
          <cell r="I42">
            <v>66254751.810000002</v>
          </cell>
          <cell r="K42">
            <v>9117369.5399999991</v>
          </cell>
          <cell r="L42">
            <v>31062255.530000001</v>
          </cell>
          <cell r="M42">
            <v>26458075.050000001</v>
          </cell>
          <cell r="N42">
            <v>1455.02</v>
          </cell>
          <cell r="O42">
            <v>9399781.5899999999</v>
          </cell>
          <cell r="P42">
            <v>8626385.5999999996</v>
          </cell>
          <cell r="Q42">
            <v>0.30409732999163364</v>
          </cell>
          <cell r="R42">
            <v>6.2589082492951767E-2</v>
          </cell>
        </row>
        <row r="43">
          <cell r="A43">
            <v>210058</v>
          </cell>
          <cell r="B43">
            <v>2021</v>
          </cell>
          <cell r="C43">
            <v>1680</v>
          </cell>
          <cell r="D43">
            <v>57187132.020000003</v>
          </cell>
          <cell r="E43">
            <v>27781</v>
          </cell>
          <cell r="F43">
            <v>55099542.82</v>
          </cell>
          <cell r="G43">
            <v>29461</v>
          </cell>
          <cell r="H43">
            <v>112286674.84</v>
          </cell>
          <cell r="I43">
            <v>16315915.699999999</v>
          </cell>
          <cell r="J43">
            <v>174832.14</v>
          </cell>
          <cell r="K43">
            <v>222046.74</v>
          </cell>
          <cell r="L43">
            <v>3433936.97</v>
          </cell>
          <cell r="M43">
            <v>14917643.939999999</v>
          </cell>
          <cell r="N43">
            <v>144521.49</v>
          </cell>
          <cell r="O43">
            <v>3323591.42</v>
          </cell>
          <cell r="P43">
            <v>214445.66</v>
          </cell>
          <cell r="Q43">
            <v>0.34507152442808947</v>
          </cell>
          <cell r="R43">
            <v>3.0581874250823617E-2</v>
          </cell>
        </row>
        <row r="44">
          <cell r="A44">
            <v>210060</v>
          </cell>
          <cell r="B44">
            <v>2021</v>
          </cell>
          <cell r="C44">
            <v>1603</v>
          </cell>
          <cell r="D44">
            <v>30779193.34</v>
          </cell>
          <cell r="E44">
            <v>22494</v>
          </cell>
          <cell r="F44">
            <v>32581309.530000001</v>
          </cell>
          <cell r="G44">
            <v>24097</v>
          </cell>
          <cell r="H44">
            <v>63360502.870000005</v>
          </cell>
          <cell r="I44">
            <v>4280283.67</v>
          </cell>
          <cell r="K44">
            <v>906334.07</v>
          </cell>
          <cell r="L44">
            <v>2529261.25</v>
          </cell>
          <cell r="M44">
            <v>7847147.8799999999</v>
          </cell>
          <cell r="O44">
            <v>1952529.07</v>
          </cell>
          <cell r="P44">
            <v>1636788.81</v>
          </cell>
          <cell r="Q44">
            <v>0.30227576932739703</v>
          </cell>
          <cell r="R44">
            <v>3.9918579168940864E-2</v>
          </cell>
        </row>
        <row r="45">
          <cell r="A45">
            <v>210061</v>
          </cell>
          <cell r="B45">
            <v>2021</v>
          </cell>
          <cell r="C45">
            <v>2594</v>
          </cell>
          <cell r="D45">
            <v>45688289.649999999</v>
          </cell>
          <cell r="E45">
            <v>69299</v>
          </cell>
          <cell r="F45">
            <v>76415793.010000005</v>
          </cell>
          <cell r="G45">
            <v>71893</v>
          </cell>
          <cell r="H45">
            <v>122104082.66</v>
          </cell>
          <cell r="I45">
            <v>5179845.76</v>
          </cell>
          <cell r="J45">
            <v>896626.19</v>
          </cell>
          <cell r="K45">
            <v>520698.71</v>
          </cell>
          <cell r="L45">
            <v>2406136.2999999998</v>
          </cell>
          <cell r="M45">
            <v>10345863.630000001</v>
          </cell>
          <cell r="N45">
            <v>1385180.31</v>
          </cell>
          <cell r="O45">
            <v>3126148.08</v>
          </cell>
          <cell r="P45">
            <v>1765974.22</v>
          </cell>
          <cell r="Q45">
            <v>0.20987400782787222</v>
          </cell>
          <cell r="R45">
            <v>1.9705617106185628E-2</v>
          </cell>
        </row>
        <row r="46">
          <cell r="A46">
            <v>210062</v>
          </cell>
          <cell r="B46">
            <v>2021</v>
          </cell>
          <cell r="C46">
            <v>10726</v>
          </cell>
          <cell r="D46">
            <v>190753444.19999999</v>
          </cell>
          <cell r="E46">
            <v>55687</v>
          </cell>
          <cell r="F46">
            <v>106386118.3</v>
          </cell>
          <cell r="G46">
            <v>66413</v>
          </cell>
          <cell r="H46">
            <v>297139562.5</v>
          </cell>
          <cell r="I46">
            <v>44216363.240000002</v>
          </cell>
          <cell r="J46">
            <v>2569735.17</v>
          </cell>
          <cell r="K46">
            <v>3809382.86</v>
          </cell>
          <cell r="L46">
            <v>17402390.059999999</v>
          </cell>
          <cell r="M46">
            <v>26580416.920000002</v>
          </cell>
          <cell r="N46">
            <v>882518.49</v>
          </cell>
          <cell r="O46">
            <v>4964614.28</v>
          </cell>
          <cell r="P46">
            <v>3716866.53</v>
          </cell>
          <cell r="Q46">
            <v>0.35048273839334337</v>
          </cell>
          <cell r="R46">
            <v>5.8566385147719932E-2</v>
          </cell>
        </row>
        <row r="47">
          <cell r="A47">
            <v>210063</v>
          </cell>
          <cell r="B47">
            <v>2021</v>
          </cell>
          <cell r="C47">
            <v>14398</v>
          </cell>
          <cell r="D47">
            <v>271900944.80000001</v>
          </cell>
          <cell r="E47">
            <v>70452</v>
          </cell>
          <cell r="F47">
            <v>145667805.40000001</v>
          </cell>
          <cell r="G47">
            <v>84850</v>
          </cell>
          <cell r="H47">
            <v>417568750.20000005</v>
          </cell>
          <cell r="I47">
            <v>31786935.399999999</v>
          </cell>
          <cell r="J47">
            <v>278362.44</v>
          </cell>
          <cell r="K47">
            <v>1655890.72</v>
          </cell>
          <cell r="L47">
            <v>15844465.01</v>
          </cell>
          <cell r="M47">
            <v>16015272.779999999</v>
          </cell>
          <cell r="N47">
            <v>79275.259999999995</v>
          </cell>
          <cell r="O47">
            <v>3624470.05</v>
          </cell>
          <cell r="P47">
            <v>2212910.8199999998</v>
          </cell>
          <cell r="Q47">
            <v>0.1712234989944896</v>
          </cell>
          <cell r="R47">
            <v>3.7944566020352538E-2</v>
          </cell>
        </row>
        <row r="48">
          <cell r="A48">
            <v>210064</v>
          </cell>
          <cell r="B48">
            <v>2021</v>
          </cell>
          <cell r="C48">
            <v>858</v>
          </cell>
          <cell r="D48">
            <v>49760371.030000001</v>
          </cell>
          <cell r="E48">
            <v>44</v>
          </cell>
          <cell r="F48">
            <v>1038437.09</v>
          </cell>
          <cell r="G48">
            <v>902</v>
          </cell>
          <cell r="H48">
            <v>50798808.120000005</v>
          </cell>
          <cell r="I48">
            <v>1712232.76</v>
          </cell>
          <cell r="K48">
            <v>1065817.67</v>
          </cell>
          <cell r="L48">
            <v>9626722.2200000007</v>
          </cell>
          <cell r="O48">
            <v>136040.41</v>
          </cell>
          <cell r="P48">
            <v>9150.7999999999993</v>
          </cell>
          <cell r="Q48">
            <v>0.24705232906948763</v>
          </cell>
          <cell r="R48">
            <v>0.18950685215407373</v>
          </cell>
        </row>
        <row r="49">
          <cell r="A49">
            <v>210065</v>
          </cell>
          <cell r="B49">
            <v>2021</v>
          </cell>
          <cell r="C49">
            <v>7290</v>
          </cell>
          <cell r="D49">
            <v>82156067.590000004</v>
          </cell>
          <cell r="E49">
            <v>26956</v>
          </cell>
          <cell r="F49">
            <v>49570612.460000001</v>
          </cell>
          <cell r="G49">
            <v>34246</v>
          </cell>
          <cell r="H49">
            <v>131726680.05000001</v>
          </cell>
          <cell r="I49">
            <v>15636715.550000001</v>
          </cell>
          <cell r="J49">
            <v>1644862.14</v>
          </cell>
          <cell r="K49">
            <v>3393912.95</v>
          </cell>
          <cell r="L49">
            <v>6174664.9699999997</v>
          </cell>
          <cell r="M49">
            <v>8646029.9600000009</v>
          </cell>
          <cell r="N49">
            <v>1075390.71</v>
          </cell>
          <cell r="O49">
            <v>2469750.2599999998</v>
          </cell>
          <cell r="P49">
            <v>6277893.9699999997</v>
          </cell>
          <cell r="Q49">
            <v>0.344039798868369</v>
          </cell>
          <cell r="R49">
            <v>4.6874824201568417E-2</v>
          </cell>
        </row>
        <row r="50">
          <cell r="A50">
            <v>210068</v>
          </cell>
          <cell r="B50">
            <v>2021</v>
          </cell>
          <cell r="C50">
            <v>1343</v>
          </cell>
          <cell r="D50">
            <v>13711167.539999999</v>
          </cell>
          <cell r="E50">
            <v>2196</v>
          </cell>
          <cell r="F50">
            <v>690237.38</v>
          </cell>
          <cell r="G50">
            <v>3539</v>
          </cell>
          <cell r="H50">
            <v>14401404.92</v>
          </cell>
          <cell r="I50">
            <v>5649294.96</v>
          </cell>
          <cell r="J50">
            <v>108071.7</v>
          </cell>
          <cell r="K50">
            <v>63985.49</v>
          </cell>
          <cell r="L50">
            <v>1381689.05</v>
          </cell>
          <cell r="M50">
            <v>69582.38</v>
          </cell>
          <cell r="N50">
            <v>638.54999999999995</v>
          </cell>
          <cell r="O50">
            <v>21052.799999999999</v>
          </cell>
          <cell r="P50">
            <v>5521.57</v>
          </cell>
          <cell r="Q50">
            <v>0.50688363673896342</v>
          </cell>
          <cell r="R50">
            <v>9.5941268069004479E-2</v>
          </cell>
        </row>
        <row r="51">
          <cell r="A51">
            <v>210087</v>
          </cell>
          <cell r="B51">
            <v>2021</v>
          </cell>
          <cell r="E51">
            <v>14780</v>
          </cell>
          <cell r="F51">
            <v>12150112.26</v>
          </cell>
          <cell r="G51">
            <v>14780</v>
          </cell>
          <cell r="H51">
            <v>12150112.26</v>
          </cell>
          <cell r="M51">
            <v>4097336.84</v>
          </cell>
          <cell r="O51">
            <v>448772.27</v>
          </cell>
          <cell r="P51">
            <v>1455169.42</v>
          </cell>
          <cell r="Q51">
            <v>0.49392782565121746</v>
          </cell>
          <cell r="R51">
            <v>0</v>
          </cell>
        </row>
        <row r="52">
          <cell r="A52">
            <v>210088</v>
          </cell>
          <cell r="B52">
            <v>2021</v>
          </cell>
          <cell r="E52">
            <v>13274</v>
          </cell>
          <cell r="F52">
            <v>7840813.8899999997</v>
          </cell>
          <cell r="G52">
            <v>13274</v>
          </cell>
          <cell r="H52">
            <v>7840813.8899999997</v>
          </cell>
          <cell r="M52">
            <v>2077248.49</v>
          </cell>
          <cell r="N52">
            <v>16690.78</v>
          </cell>
          <cell r="O52">
            <v>254662.14</v>
          </cell>
          <cell r="P52">
            <v>405732.82</v>
          </cell>
          <cell r="Q52">
            <v>0.35128167415283468</v>
          </cell>
          <cell r="R52">
            <v>0</v>
          </cell>
        </row>
        <row r="53">
          <cell r="A53">
            <v>210089</v>
          </cell>
          <cell r="B53">
            <v>2021</v>
          </cell>
          <cell r="C53">
            <v>841</v>
          </cell>
          <cell r="D53">
            <v>29859458.640000001</v>
          </cell>
          <cell r="G53">
            <v>841</v>
          </cell>
          <cell r="H53">
            <v>29859458.640000001</v>
          </cell>
          <cell r="I53">
            <v>3675453.47</v>
          </cell>
          <cell r="K53">
            <v>55182.69</v>
          </cell>
          <cell r="L53">
            <v>2474998.5699999998</v>
          </cell>
          <cell r="Q53">
            <v>0.20782810582127823</v>
          </cell>
          <cell r="R53">
            <v>8.2888259959424365E-2</v>
          </cell>
        </row>
        <row r="54">
          <cell r="A54">
            <v>210333</v>
          </cell>
          <cell r="B54">
            <v>2021</v>
          </cell>
          <cell r="E54">
            <v>21643</v>
          </cell>
          <cell r="F54">
            <v>18168612.75</v>
          </cell>
          <cell r="G54">
            <v>21643</v>
          </cell>
          <cell r="H54">
            <v>18168612.75</v>
          </cell>
          <cell r="M54">
            <v>4642259.3600000003</v>
          </cell>
          <cell r="N54">
            <v>830044.08</v>
          </cell>
          <cell r="O54">
            <v>548732.80000000005</v>
          </cell>
          <cell r="P54">
            <v>1026589.52</v>
          </cell>
          <cell r="Q54">
            <v>0.38790114891958383</v>
          </cell>
          <cell r="R54">
            <v>0</v>
          </cell>
        </row>
        <row r="55">
          <cell r="A55">
            <v>213028</v>
          </cell>
          <cell r="B55">
            <v>2021</v>
          </cell>
          <cell r="C55">
            <v>1423</v>
          </cell>
          <cell r="D55">
            <v>41698856.490000002</v>
          </cell>
          <cell r="E55">
            <v>78</v>
          </cell>
          <cell r="F55">
            <v>265088.49</v>
          </cell>
          <cell r="G55">
            <v>1501</v>
          </cell>
          <cell r="H55">
            <v>41963944.980000004</v>
          </cell>
          <cell r="I55">
            <v>899733.51</v>
          </cell>
          <cell r="K55">
            <v>246166.3</v>
          </cell>
          <cell r="M55">
            <v>2874</v>
          </cell>
          <cell r="O55">
            <v>39097</v>
          </cell>
          <cell r="Q55">
            <v>2.8306938505570405E-2</v>
          </cell>
          <cell r="R55">
            <v>0</v>
          </cell>
        </row>
        <row r="56">
          <cell r="A56">
            <v>213029</v>
          </cell>
          <cell r="B56">
            <v>2021</v>
          </cell>
          <cell r="C56">
            <v>1073</v>
          </cell>
          <cell r="D56">
            <v>34183049.710000001</v>
          </cell>
          <cell r="E56">
            <v>4090</v>
          </cell>
          <cell r="F56">
            <v>7096042.7300000004</v>
          </cell>
          <cell r="G56">
            <v>5163</v>
          </cell>
          <cell r="H56">
            <v>41279092.439999998</v>
          </cell>
          <cell r="I56">
            <v>1804937.95</v>
          </cell>
          <cell r="K56">
            <v>36717.120000000003</v>
          </cell>
          <cell r="L56">
            <v>2420122.9900000002</v>
          </cell>
          <cell r="M56">
            <v>561239.4</v>
          </cell>
          <cell r="O56">
            <v>296206.37</v>
          </cell>
          <cell r="P56">
            <v>84842.8</v>
          </cell>
          <cell r="Q56">
            <v>0.12607027728538892</v>
          </cell>
          <cell r="R56">
            <v>5.8628299387097675E-2</v>
          </cell>
        </row>
        <row r="57">
          <cell r="A57">
            <v>213300</v>
          </cell>
          <cell r="B57">
            <v>2021</v>
          </cell>
          <cell r="C57">
            <v>549</v>
          </cell>
          <cell r="D57">
            <v>45862488.670000002</v>
          </cell>
          <cell r="E57">
            <v>24645</v>
          </cell>
          <cell r="F57">
            <v>16649385.439999999</v>
          </cell>
          <cell r="G57">
            <v>25194</v>
          </cell>
          <cell r="H57">
            <v>62511874.109999999</v>
          </cell>
          <cell r="I57">
            <v>36683298.310000002</v>
          </cell>
          <cell r="K57">
            <v>10271.81</v>
          </cell>
          <cell r="M57">
            <v>9588569.7400000002</v>
          </cell>
          <cell r="P57">
            <v>48328.51</v>
          </cell>
          <cell r="Q57">
            <v>0.74114668660347427</v>
          </cell>
          <cell r="R57">
            <v>0</v>
          </cell>
        </row>
        <row r="58">
          <cell r="A58">
            <v>218992</v>
          </cell>
          <cell r="B58">
            <v>2021</v>
          </cell>
          <cell r="C58">
            <v>3741</v>
          </cell>
          <cell r="D58">
            <v>260984062.19999999</v>
          </cell>
          <cell r="E58">
            <v>10035</v>
          </cell>
          <cell r="F58">
            <v>28458201.379999999</v>
          </cell>
          <cell r="G58">
            <v>13776</v>
          </cell>
          <cell r="H58">
            <v>289442263.57999998</v>
          </cell>
          <cell r="I58">
            <v>97970030.370000005</v>
          </cell>
          <cell r="J58">
            <v>6001312.75</v>
          </cell>
          <cell r="K58">
            <v>2695340.67</v>
          </cell>
          <cell r="L58">
            <v>13076649.189999999</v>
          </cell>
          <cell r="M58">
            <v>11033339.310000001</v>
          </cell>
          <cell r="N58">
            <v>198502.49</v>
          </cell>
          <cell r="O58">
            <v>1445989.37</v>
          </cell>
          <cell r="P58">
            <v>1752627.62</v>
          </cell>
          <cell r="Q58">
            <v>0.46355977910915985</v>
          </cell>
          <cell r="R58">
            <v>4.5178782905647426E-2</v>
          </cell>
        </row>
        <row r="60">
          <cell r="A60" t="str">
            <v>Totals</v>
          </cell>
          <cell r="C60">
            <v>530217</v>
          </cell>
          <cell r="D60">
            <v>11424299393.189997</v>
          </cell>
          <cell r="E60">
            <v>4403963</v>
          </cell>
          <cell r="F60">
            <v>7694093324.8599997</v>
          </cell>
          <cell r="G60">
            <v>4934180</v>
          </cell>
          <cell r="H60">
            <v>19118392718.049995</v>
          </cell>
          <cell r="I60">
            <v>2466281617.3600001</v>
          </cell>
          <cell r="J60">
            <v>84230378.899999991</v>
          </cell>
          <cell r="K60">
            <v>170931865.56000003</v>
          </cell>
          <cell r="L60">
            <v>1061725524.74</v>
          </cell>
          <cell r="M60">
            <v>1435837169.6399999</v>
          </cell>
          <cell r="N60">
            <v>36391290.279999994</v>
          </cell>
          <cell r="O60">
            <v>466382463.7100001</v>
          </cell>
          <cell r="P60">
            <v>208325571.41000003</v>
          </cell>
          <cell r="Q60">
            <v>0.31017805571078616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DSH FOR FISCAL YEAR 2022 "/>
    </sheetNames>
    <sheetDataSet>
      <sheetData sheetId="0">
        <row r="1">
          <cell r="A1" t="str">
            <v>HOSPID</v>
          </cell>
          <cell r="B1" t="str">
            <v>FYEAR</v>
          </cell>
          <cell r="C1" t="str">
            <v>IPCASES</v>
          </cell>
          <cell r="D1" t="str">
            <v>IPTOT_CHG</v>
          </cell>
          <cell r="E1" t="str">
            <v>OPCASES</v>
          </cell>
          <cell r="F1" t="str">
            <v>OPTOT_CHG</v>
          </cell>
          <cell r="G1" t="str">
            <v>Total Cases</v>
          </cell>
          <cell r="H1" t="str">
            <v>Total Charges</v>
          </cell>
          <cell r="I1" t="str">
            <v>MDCHG</v>
          </cell>
          <cell r="J1" t="str">
            <v>MDCHG_OOS</v>
          </cell>
          <cell r="K1" t="str">
            <v>SELFCHG</v>
          </cell>
          <cell r="L1" t="str">
            <v>DUALCHG</v>
          </cell>
          <cell r="M1" t="str">
            <v>OUPT_MDCHG</v>
          </cell>
          <cell r="N1" t="str">
            <v>OUPT_MDCHG_OOS</v>
          </cell>
          <cell r="O1" t="str">
            <v>OP_DUALCHG</v>
          </cell>
          <cell r="P1" t="str">
            <v>OUPT_SELFCHG</v>
          </cell>
          <cell r="Q1" t="str">
            <v>Poor Share</v>
          </cell>
        </row>
        <row r="2">
          <cell r="A2">
            <v>210001</v>
          </cell>
          <cell r="B2">
            <v>2022</v>
          </cell>
          <cell r="C2">
            <v>16099</v>
          </cell>
          <cell r="D2">
            <v>238902770</v>
          </cell>
          <cell r="E2">
            <v>86844</v>
          </cell>
          <cell r="F2">
            <v>189537698</v>
          </cell>
          <cell r="G2">
            <v>102943</v>
          </cell>
          <cell r="H2">
            <v>428440468</v>
          </cell>
          <cell r="I2">
            <v>45616034</v>
          </cell>
          <cell r="J2">
            <v>10923902</v>
          </cell>
          <cell r="K2">
            <v>4223101</v>
          </cell>
          <cell r="L2">
            <v>25748483</v>
          </cell>
          <cell r="M2">
            <v>34497288</v>
          </cell>
          <cell r="N2">
            <v>7985565</v>
          </cell>
          <cell r="O2">
            <v>10794881</v>
          </cell>
          <cell r="P2">
            <v>4417632</v>
          </cell>
          <cell r="Q2">
            <v>0.33660000000000001</v>
          </cell>
        </row>
        <row r="3">
          <cell r="A3">
            <v>210002</v>
          </cell>
          <cell r="B3">
            <v>2022</v>
          </cell>
          <cell r="C3">
            <v>21288</v>
          </cell>
          <cell r="D3">
            <v>1161411233</v>
          </cell>
          <cell r="E3">
            <v>216491</v>
          </cell>
          <cell r="F3">
            <v>602981404</v>
          </cell>
          <cell r="G3">
            <v>237779</v>
          </cell>
          <cell r="H3">
            <v>1764392637</v>
          </cell>
          <cell r="I3">
            <v>314376319</v>
          </cell>
          <cell r="J3">
            <v>41401451</v>
          </cell>
          <cell r="K3">
            <v>4921376</v>
          </cell>
          <cell r="L3">
            <v>117155663</v>
          </cell>
          <cell r="M3">
            <v>139816079</v>
          </cell>
          <cell r="N3">
            <v>13708674</v>
          </cell>
          <cell r="O3">
            <v>46129408</v>
          </cell>
          <cell r="P3">
            <v>6484677</v>
          </cell>
          <cell r="Q3">
            <v>0.38769999999999999</v>
          </cell>
        </row>
        <row r="4">
          <cell r="A4">
            <v>210003</v>
          </cell>
          <cell r="B4">
            <v>2022</v>
          </cell>
          <cell r="C4">
            <v>10820</v>
          </cell>
          <cell r="D4">
            <v>295316883</v>
          </cell>
          <cell r="E4">
            <v>40073</v>
          </cell>
          <cell r="F4">
            <v>93948606</v>
          </cell>
          <cell r="G4">
            <v>50893</v>
          </cell>
          <cell r="H4">
            <v>389265489</v>
          </cell>
          <cell r="I4">
            <v>81515440</v>
          </cell>
          <cell r="J4">
            <v>19243539</v>
          </cell>
          <cell r="K4">
            <v>7081274</v>
          </cell>
          <cell r="L4">
            <v>23539141</v>
          </cell>
          <cell r="M4">
            <v>27355444</v>
          </cell>
          <cell r="N4">
            <v>5756785</v>
          </cell>
          <cell r="O4">
            <v>5133377</v>
          </cell>
          <cell r="P4">
            <v>6037455</v>
          </cell>
          <cell r="Q4">
            <v>0.45129999999999998</v>
          </cell>
        </row>
        <row r="5">
          <cell r="A5">
            <v>210004</v>
          </cell>
          <cell r="B5">
            <v>2022</v>
          </cell>
          <cell r="C5">
            <v>29739</v>
          </cell>
          <cell r="D5">
            <v>408057087</v>
          </cell>
          <cell r="E5">
            <v>91023</v>
          </cell>
          <cell r="F5">
            <v>168234763</v>
          </cell>
          <cell r="G5">
            <v>120762</v>
          </cell>
          <cell r="H5">
            <v>576291851</v>
          </cell>
          <cell r="I5">
            <v>102953388</v>
          </cell>
          <cell r="J5">
            <v>10346565</v>
          </cell>
          <cell r="K5">
            <v>16312295</v>
          </cell>
          <cell r="L5">
            <v>24568607</v>
          </cell>
          <cell r="M5">
            <v>32652381</v>
          </cell>
          <cell r="N5">
            <v>4186805</v>
          </cell>
          <cell r="O5">
            <v>6456820</v>
          </cell>
          <cell r="P5">
            <v>22868826</v>
          </cell>
          <cell r="Q5">
            <v>0.38240000000000002</v>
          </cell>
        </row>
        <row r="6">
          <cell r="A6">
            <v>210005</v>
          </cell>
          <cell r="B6">
            <v>2022</v>
          </cell>
          <cell r="C6">
            <v>16986</v>
          </cell>
          <cell r="D6">
            <v>254804964</v>
          </cell>
          <cell r="E6">
            <v>73837</v>
          </cell>
          <cell r="F6">
            <v>140594513</v>
          </cell>
          <cell r="G6">
            <v>90823</v>
          </cell>
          <cell r="H6">
            <v>395399478</v>
          </cell>
          <cell r="I6">
            <v>37549791</v>
          </cell>
          <cell r="J6">
            <v>3965850</v>
          </cell>
          <cell r="K6">
            <v>4501787</v>
          </cell>
          <cell r="L6">
            <v>17263362</v>
          </cell>
          <cell r="M6">
            <v>21239328</v>
          </cell>
          <cell r="N6">
            <v>3584634</v>
          </cell>
          <cell r="O6">
            <v>5840226</v>
          </cell>
          <cell r="P6">
            <v>4672056</v>
          </cell>
          <cell r="Q6">
            <v>0.24940000000000001</v>
          </cell>
        </row>
        <row r="7">
          <cell r="A7">
            <v>210006</v>
          </cell>
          <cell r="B7">
            <v>2022</v>
          </cell>
          <cell r="C7">
            <v>3837</v>
          </cell>
          <cell r="D7">
            <v>69953550</v>
          </cell>
          <cell r="E7">
            <v>36939</v>
          </cell>
          <cell r="F7">
            <v>49088577</v>
          </cell>
          <cell r="G7">
            <v>40776</v>
          </cell>
          <cell r="H7">
            <v>119042127</v>
          </cell>
          <cell r="I7">
            <v>15120244</v>
          </cell>
          <cell r="J7">
            <v>5934596</v>
          </cell>
          <cell r="K7">
            <v>535189</v>
          </cell>
          <cell r="L7">
            <v>9712456</v>
          </cell>
          <cell r="M7">
            <v>12328674</v>
          </cell>
          <cell r="N7">
            <v>3170554</v>
          </cell>
          <cell r="O7">
            <v>3646408</v>
          </cell>
          <cell r="P7">
            <v>594190</v>
          </cell>
          <cell r="Q7">
            <v>0.42880000000000001</v>
          </cell>
        </row>
        <row r="8">
          <cell r="A8">
            <v>210008</v>
          </cell>
          <cell r="B8">
            <v>2022</v>
          </cell>
          <cell r="C8">
            <v>11915</v>
          </cell>
          <cell r="D8">
            <v>212484675</v>
          </cell>
          <cell r="E8">
            <v>253632</v>
          </cell>
          <cell r="F8">
            <v>415181071</v>
          </cell>
          <cell r="G8">
            <v>265547</v>
          </cell>
          <cell r="H8">
            <v>627665746</v>
          </cell>
          <cell r="I8">
            <v>55929514</v>
          </cell>
          <cell r="J8">
            <v>2447981</v>
          </cell>
          <cell r="K8">
            <v>3463118</v>
          </cell>
          <cell r="L8">
            <v>22687836</v>
          </cell>
          <cell r="M8">
            <v>64742025</v>
          </cell>
          <cell r="N8">
            <v>2407057</v>
          </cell>
          <cell r="O8">
            <v>29888234</v>
          </cell>
          <cell r="P8">
            <v>7405679</v>
          </cell>
          <cell r="Q8">
            <v>0.30109999999999998</v>
          </cell>
        </row>
        <row r="9">
          <cell r="A9">
            <v>210009</v>
          </cell>
          <cell r="B9">
            <v>2022</v>
          </cell>
          <cell r="C9">
            <v>40370</v>
          </cell>
          <cell r="D9">
            <v>1692206314</v>
          </cell>
          <cell r="E9">
            <v>673485</v>
          </cell>
          <cell r="F9">
            <v>1108995606</v>
          </cell>
          <cell r="G9">
            <v>713855</v>
          </cell>
          <cell r="H9">
            <v>2801201921</v>
          </cell>
          <cell r="I9">
            <v>346113602</v>
          </cell>
          <cell r="J9">
            <v>60799583</v>
          </cell>
          <cell r="K9">
            <v>33630253</v>
          </cell>
          <cell r="L9">
            <v>117556450</v>
          </cell>
          <cell r="M9">
            <v>178225606</v>
          </cell>
          <cell r="N9">
            <v>37035269</v>
          </cell>
          <cell r="O9">
            <v>59825642</v>
          </cell>
          <cell r="P9">
            <v>26693474</v>
          </cell>
          <cell r="Q9">
            <v>0.307</v>
          </cell>
        </row>
        <row r="10">
          <cell r="A10">
            <v>210010</v>
          </cell>
          <cell r="B10">
            <v>2022</v>
          </cell>
          <cell r="C10">
            <v>106</v>
          </cell>
          <cell r="D10">
            <v>1325604</v>
          </cell>
          <cell r="E10">
            <v>18645</v>
          </cell>
          <cell r="F10">
            <v>20536146</v>
          </cell>
          <cell r="G10">
            <v>18751</v>
          </cell>
          <cell r="H10">
            <v>21861750</v>
          </cell>
          <cell r="I10">
            <v>614243</v>
          </cell>
          <cell r="J10">
            <v>57514</v>
          </cell>
          <cell r="K10">
            <v>42847</v>
          </cell>
          <cell r="L10">
            <v>243425</v>
          </cell>
          <cell r="M10">
            <v>8310332</v>
          </cell>
          <cell r="N10">
            <v>545127</v>
          </cell>
          <cell r="O10">
            <v>1987002</v>
          </cell>
          <cell r="P10">
            <v>758538</v>
          </cell>
          <cell r="Q10">
            <v>0.57450000000000001</v>
          </cell>
        </row>
        <row r="11">
          <cell r="A11">
            <v>210011</v>
          </cell>
          <cell r="B11">
            <v>2022</v>
          </cell>
          <cell r="C11">
            <v>11369</v>
          </cell>
          <cell r="D11">
            <v>227138797</v>
          </cell>
          <cell r="E11">
            <v>103617</v>
          </cell>
          <cell r="F11">
            <v>238441606</v>
          </cell>
          <cell r="G11">
            <v>114986</v>
          </cell>
          <cell r="H11">
            <v>465580403</v>
          </cell>
          <cell r="I11">
            <v>60801299</v>
          </cell>
          <cell r="J11">
            <v>2714992</v>
          </cell>
          <cell r="K11">
            <v>3672196</v>
          </cell>
          <cell r="L11">
            <v>26155058</v>
          </cell>
          <cell r="M11">
            <v>50365412</v>
          </cell>
          <cell r="N11">
            <v>1802450</v>
          </cell>
          <cell r="O11">
            <v>16337685</v>
          </cell>
          <cell r="P11">
            <v>13349435</v>
          </cell>
          <cell r="Q11">
            <v>0.37630000000000002</v>
          </cell>
        </row>
        <row r="12">
          <cell r="A12">
            <v>210012</v>
          </cell>
          <cell r="B12">
            <v>2022</v>
          </cell>
          <cell r="C12">
            <v>17622</v>
          </cell>
          <cell r="D12">
            <v>522100744</v>
          </cell>
          <cell r="E12">
            <v>171351</v>
          </cell>
          <cell r="F12">
            <v>413795042</v>
          </cell>
          <cell r="G12">
            <v>188973</v>
          </cell>
          <cell r="H12">
            <v>935895786</v>
          </cell>
          <cell r="I12">
            <v>139128120</v>
          </cell>
          <cell r="J12">
            <v>3827722</v>
          </cell>
          <cell r="K12">
            <v>3656624</v>
          </cell>
          <cell r="L12">
            <v>76313727</v>
          </cell>
          <cell r="M12">
            <v>98380953</v>
          </cell>
          <cell r="N12">
            <v>2506398</v>
          </cell>
          <cell r="O12">
            <v>37388114</v>
          </cell>
          <cell r="P12">
            <v>5715252</v>
          </cell>
          <cell r="Q12">
            <v>0.39200000000000002</v>
          </cell>
        </row>
        <row r="13">
          <cell r="A13">
            <v>210013</v>
          </cell>
          <cell r="B13">
            <v>2022</v>
          </cell>
          <cell r="E13">
            <v>23797</v>
          </cell>
          <cell r="F13">
            <v>34372650</v>
          </cell>
          <cell r="G13">
            <v>23797</v>
          </cell>
          <cell r="H13">
            <v>34372650</v>
          </cell>
          <cell r="M13">
            <v>20006163</v>
          </cell>
          <cell r="N13">
            <v>198790</v>
          </cell>
          <cell r="O13">
            <v>6687439</v>
          </cell>
          <cell r="P13">
            <v>717454</v>
          </cell>
          <cell r="Q13">
            <v>0.80330000000000001</v>
          </cell>
        </row>
        <row r="14">
          <cell r="A14">
            <v>210015</v>
          </cell>
          <cell r="B14">
            <v>2022</v>
          </cell>
          <cell r="C14">
            <v>19053</v>
          </cell>
          <cell r="D14">
            <v>331071817</v>
          </cell>
          <cell r="E14">
            <v>130204</v>
          </cell>
          <cell r="F14">
            <v>277241646</v>
          </cell>
          <cell r="G14">
            <v>149257</v>
          </cell>
          <cell r="H14">
            <v>608313463</v>
          </cell>
          <cell r="I14">
            <v>89336218</v>
          </cell>
          <cell r="J14">
            <v>6556830</v>
          </cell>
          <cell r="K14">
            <v>3009130</v>
          </cell>
          <cell r="L14">
            <v>36543986</v>
          </cell>
          <cell r="M14">
            <v>74891571</v>
          </cell>
          <cell r="N14">
            <v>3132068</v>
          </cell>
          <cell r="O14">
            <v>21940596</v>
          </cell>
          <cell r="P14">
            <v>3908463</v>
          </cell>
          <cell r="Q14">
            <v>0.39340000000000003</v>
          </cell>
        </row>
        <row r="15">
          <cell r="A15">
            <v>210016</v>
          </cell>
          <cell r="B15">
            <v>2022</v>
          </cell>
          <cell r="C15">
            <v>11736</v>
          </cell>
          <cell r="D15">
            <v>261210633</v>
          </cell>
          <cell r="E15">
            <v>41363</v>
          </cell>
          <cell r="F15">
            <v>115539520</v>
          </cell>
          <cell r="G15">
            <v>53099</v>
          </cell>
          <cell r="H15">
            <v>376750153</v>
          </cell>
          <cell r="I15">
            <v>64367543</v>
          </cell>
          <cell r="J15">
            <v>6453642</v>
          </cell>
          <cell r="K15">
            <v>4369155</v>
          </cell>
          <cell r="L15">
            <v>26222847</v>
          </cell>
          <cell r="M15">
            <v>21008415</v>
          </cell>
          <cell r="N15">
            <v>1667925</v>
          </cell>
          <cell r="O15">
            <v>7757736</v>
          </cell>
          <cell r="P15">
            <v>7832572</v>
          </cell>
          <cell r="Q15">
            <v>0.37069999999999997</v>
          </cell>
        </row>
        <row r="16">
          <cell r="A16">
            <v>210017</v>
          </cell>
          <cell r="B16">
            <v>2022</v>
          </cell>
          <cell r="C16">
            <v>1723</v>
          </cell>
          <cell r="D16">
            <v>23270440</v>
          </cell>
          <cell r="E16">
            <v>57279</v>
          </cell>
          <cell r="F16">
            <v>47233013</v>
          </cell>
          <cell r="G16">
            <v>59002</v>
          </cell>
          <cell r="H16">
            <v>70503453</v>
          </cell>
          <cell r="I16">
            <v>3385192</v>
          </cell>
          <cell r="J16">
            <v>1577368</v>
          </cell>
          <cell r="K16">
            <v>438891</v>
          </cell>
          <cell r="L16">
            <v>2610307</v>
          </cell>
          <cell r="M16">
            <v>6285042</v>
          </cell>
          <cell r="N16">
            <v>2702024</v>
          </cell>
          <cell r="O16">
            <v>2546537</v>
          </cell>
          <cell r="P16">
            <v>1062252</v>
          </cell>
          <cell r="Q16">
            <v>0.2923</v>
          </cell>
        </row>
        <row r="17">
          <cell r="A17">
            <v>210018</v>
          </cell>
          <cell r="B17">
            <v>2022</v>
          </cell>
          <cell r="C17">
            <v>5545</v>
          </cell>
          <cell r="D17">
            <v>84145116</v>
          </cell>
          <cell r="E17">
            <v>39843</v>
          </cell>
          <cell r="F17">
            <v>107637879</v>
          </cell>
          <cell r="G17">
            <v>45388</v>
          </cell>
          <cell r="H17">
            <v>191782995</v>
          </cell>
          <cell r="I17">
            <v>13986139</v>
          </cell>
          <cell r="J17">
            <v>1652481</v>
          </cell>
          <cell r="K17">
            <v>786226</v>
          </cell>
          <cell r="L17">
            <v>8806306</v>
          </cell>
          <cell r="M17">
            <v>16679599</v>
          </cell>
          <cell r="N17">
            <v>1535357</v>
          </cell>
          <cell r="O17">
            <v>6355228</v>
          </cell>
          <cell r="P17">
            <v>2594799</v>
          </cell>
          <cell r="Q17">
            <v>0.2732</v>
          </cell>
        </row>
        <row r="18">
          <cell r="A18">
            <v>210019</v>
          </cell>
          <cell r="B18">
            <v>2022</v>
          </cell>
          <cell r="C18">
            <v>16819</v>
          </cell>
          <cell r="D18">
            <v>299993859</v>
          </cell>
          <cell r="E18">
            <v>124025</v>
          </cell>
          <cell r="F18">
            <v>219457838</v>
          </cell>
          <cell r="G18">
            <v>140844</v>
          </cell>
          <cell r="H18">
            <v>519451697</v>
          </cell>
          <cell r="I18">
            <v>51920816</v>
          </cell>
          <cell r="J18">
            <v>10552474</v>
          </cell>
          <cell r="K18">
            <v>1872335</v>
          </cell>
          <cell r="L18">
            <v>38379283</v>
          </cell>
          <cell r="M18">
            <v>41152780</v>
          </cell>
          <cell r="N18">
            <v>8395761</v>
          </cell>
          <cell r="O18">
            <v>17054971</v>
          </cell>
          <cell r="P18">
            <v>4334320</v>
          </cell>
          <cell r="Q18">
            <v>0.33429999999999999</v>
          </cell>
        </row>
        <row r="19">
          <cell r="A19">
            <v>210022</v>
          </cell>
          <cell r="B19">
            <v>2022</v>
          </cell>
          <cell r="C19">
            <v>10894</v>
          </cell>
          <cell r="D19">
            <v>225339321</v>
          </cell>
          <cell r="E19">
            <v>59547</v>
          </cell>
          <cell r="F19">
            <v>166089790</v>
          </cell>
          <cell r="G19">
            <v>70441</v>
          </cell>
          <cell r="H19">
            <v>391429111</v>
          </cell>
          <cell r="I19">
            <v>15444352</v>
          </cell>
          <cell r="J19">
            <v>4249611</v>
          </cell>
          <cell r="K19">
            <v>6690029</v>
          </cell>
          <cell r="L19">
            <v>16973418</v>
          </cell>
          <cell r="M19">
            <v>11492146</v>
          </cell>
          <cell r="N19">
            <v>3598691</v>
          </cell>
          <cell r="O19">
            <v>6352870</v>
          </cell>
          <cell r="P19">
            <v>5223692</v>
          </cell>
          <cell r="Q19">
            <v>0.1789</v>
          </cell>
        </row>
        <row r="20">
          <cell r="A20">
            <v>210023</v>
          </cell>
          <cell r="B20">
            <v>2022</v>
          </cell>
          <cell r="C20">
            <v>29002</v>
          </cell>
          <cell r="D20">
            <v>380978795</v>
          </cell>
          <cell r="E20">
            <v>158280</v>
          </cell>
          <cell r="F20">
            <v>341293044</v>
          </cell>
          <cell r="G20">
            <v>187282</v>
          </cell>
          <cell r="H20">
            <v>722271839</v>
          </cell>
          <cell r="I20">
            <v>50886399</v>
          </cell>
          <cell r="J20">
            <v>6380820</v>
          </cell>
          <cell r="K20">
            <v>2708845</v>
          </cell>
          <cell r="L20">
            <v>20405535</v>
          </cell>
          <cell r="M20">
            <v>37681532</v>
          </cell>
          <cell r="N20">
            <v>10471917</v>
          </cell>
          <cell r="O20">
            <v>9055818</v>
          </cell>
          <cell r="P20">
            <v>6047614</v>
          </cell>
          <cell r="Q20">
            <v>0.19889999999999999</v>
          </cell>
        </row>
        <row r="21">
          <cell r="A21">
            <v>210024</v>
          </cell>
          <cell r="B21">
            <v>2022</v>
          </cell>
          <cell r="C21">
            <v>9207</v>
          </cell>
          <cell r="D21">
            <v>261183836</v>
          </cell>
          <cell r="E21">
            <v>75846</v>
          </cell>
          <cell r="F21">
            <v>179782496</v>
          </cell>
          <cell r="G21">
            <v>85053</v>
          </cell>
          <cell r="H21">
            <v>440966332</v>
          </cell>
          <cell r="I21">
            <v>50647245</v>
          </cell>
          <cell r="J21">
            <v>4495628</v>
          </cell>
          <cell r="K21">
            <v>2280020</v>
          </cell>
          <cell r="L21">
            <v>40881325</v>
          </cell>
          <cell r="M21">
            <v>35600499</v>
          </cell>
          <cell r="N21">
            <v>1964738</v>
          </cell>
          <cell r="O21">
            <v>13641637</v>
          </cell>
          <cell r="P21">
            <v>2996666</v>
          </cell>
          <cell r="Q21">
            <v>0.3458</v>
          </cell>
        </row>
        <row r="22">
          <cell r="A22">
            <v>210027</v>
          </cell>
          <cell r="B22">
            <v>2022</v>
          </cell>
          <cell r="C22">
            <v>9899</v>
          </cell>
          <cell r="D22">
            <v>186982744</v>
          </cell>
          <cell r="E22">
            <v>80706</v>
          </cell>
          <cell r="F22">
            <v>174933764</v>
          </cell>
          <cell r="G22">
            <v>90605</v>
          </cell>
          <cell r="H22">
            <v>361916508</v>
          </cell>
          <cell r="I22">
            <v>25161664</v>
          </cell>
          <cell r="J22">
            <v>11392388</v>
          </cell>
          <cell r="K22">
            <v>636407</v>
          </cell>
          <cell r="L22">
            <v>19346924</v>
          </cell>
          <cell r="M22">
            <v>22961073</v>
          </cell>
          <cell r="N22">
            <v>10788475</v>
          </cell>
          <cell r="O22">
            <v>11206539</v>
          </cell>
          <cell r="P22">
            <v>1313071</v>
          </cell>
          <cell r="Q22">
            <v>0.28410000000000002</v>
          </cell>
        </row>
        <row r="23">
          <cell r="A23">
            <v>210028</v>
          </cell>
          <cell r="B23">
            <v>2022</v>
          </cell>
          <cell r="C23">
            <v>8049</v>
          </cell>
          <cell r="D23">
            <v>94460465</v>
          </cell>
          <cell r="E23">
            <v>72711</v>
          </cell>
          <cell r="F23">
            <v>110036342</v>
          </cell>
          <cell r="G23">
            <v>80760</v>
          </cell>
          <cell r="H23">
            <v>204496808</v>
          </cell>
          <cell r="I23">
            <v>17047817</v>
          </cell>
          <cell r="J23">
            <v>5364988</v>
          </cell>
          <cell r="K23">
            <v>1156150</v>
          </cell>
          <cell r="L23">
            <v>10050921</v>
          </cell>
          <cell r="M23">
            <v>20191245</v>
          </cell>
          <cell r="N23">
            <v>9059491</v>
          </cell>
          <cell r="O23">
            <v>6162188</v>
          </cell>
          <cell r="P23">
            <v>1697139</v>
          </cell>
          <cell r="Q23">
            <v>0.34589999999999999</v>
          </cell>
        </row>
        <row r="24">
          <cell r="A24">
            <v>210029</v>
          </cell>
          <cell r="B24">
            <v>2022</v>
          </cell>
          <cell r="C24">
            <v>17002</v>
          </cell>
          <cell r="D24">
            <v>455968949</v>
          </cell>
          <cell r="E24">
            <v>322193</v>
          </cell>
          <cell r="F24">
            <v>313833284</v>
          </cell>
          <cell r="G24">
            <v>339195</v>
          </cell>
          <cell r="H24">
            <v>769802233</v>
          </cell>
          <cell r="I24">
            <v>96253453</v>
          </cell>
          <cell r="J24">
            <v>13408414</v>
          </cell>
          <cell r="K24">
            <v>19511365</v>
          </cell>
          <cell r="L24">
            <v>54693111</v>
          </cell>
          <cell r="M24">
            <v>45848675</v>
          </cell>
          <cell r="N24">
            <v>11074048</v>
          </cell>
          <cell r="O24">
            <v>24178367</v>
          </cell>
          <cell r="P24">
            <v>17587601</v>
          </cell>
          <cell r="Q24">
            <v>0.36699999999999999</v>
          </cell>
        </row>
        <row r="25">
          <cell r="A25">
            <v>210030</v>
          </cell>
          <cell r="B25">
            <v>2022</v>
          </cell>
          <cell r="C25">
            <v>270</v>
          </cell>
          <cell r="D25">
            <v>6750583</v>
          </cell>
          <cell r="E25">
            <v>32607</v>
          </cell>
          <cell r="F25">
            <v>45601618</v>
          </cell>
          <cell r="G25">
            <v>32877</v>
          </cell>
          <cell r="H25">
            <v>52352201</v>
          </cell>
          <cell r="I25">
            <v>379503</v>
          </cell>
          <cell r="J25">
            <v>187194</v>
          </cell>
          <cell r="K25">
            <v>132210</v>
          </cell>
          <cell r="L25">
            <v>1352258</v>
          </cell>
          <cell r="M25">
            <v>9083950</v>
          </cell>
          <cell r="N25">
            <v>684903</v>
          </cell>
          <cell r="O25">
            <v>4550607</v>
          </cell>
          <cell r="P25">
            <v>703555</v>
          </cell>
          <cell r="Q25">
            <v>0.3261</v>
          </cell>
        </row>
        <row r="26">
          <cell r="A26">
            <v>210032</v>
          </cell>
          <cell r="B26">
            <v>2022</v>
          </cell>
          <cell r="C26">
            <v>6379</v>
          </cell>
          <cell r="D26">
            <v>97108696</v>
          </cell>
          <cell r="E26">
            <v>75220</v>
          </cell>
          <cell r="F26">
            <v>81165929</v>
          </cell>
          <cell r="G26">
            <v>81599</v>
          </cell>
          <cell r="H26">
            <v>178274625</v>
          </cell>
          <cell r="I26">
            <v>17602492</v>
          </cell>
          <cell r="J26">
            <v>5313440</v>
          </cell>
          <cell r="K26">
            <v>957769</v>
          </cell>
          <cell r="L26">
            <v>9840501</v>
          </cell>
          <cell r="M26">
            <v>14854066</v>
          </cell>
          <cell r="N26">
            <v>3210334</v>
          </cell>
          <cell r="O26">
            <v>5963981</v>
          </cell>
          <cell r="P26">
            <v>1507892</v>
          </cell>
          <cell r="Q26">
            <v>0.33239999999999997</v>
          </cell>
        </row>
        <row r="27">
          <cell r="A27">
            <v>210033</v>
          </cell>
          <cell r="B27">
            <v>2022</v>
          </cell>
          <cell r="C27">
            <v>9839</v>
          </cell>
          <cell r="D27">
            <v>156270716</v>
          </cell>
          <cell r="E27">
            <v>51492</v>
          </cell>
          <cell r="F27">
            <v>101114946</v>
          </cell>
          <cell r="G27">
            <v>61331</v>
          </cell>
          <cell r="H27">
            <v>257385662</v>
          </cell>
          <cell r="I27">
            <v>22394800</v>
          </cell>
          <cell r="J27">
            <v>1519845</v>
          </cell>
          <cell r="K27">
            <v>865679</v>
          </cell>
          <cell r="L27">
            <v>12565532</v>
          </cell>
          <cell r="M27">
            <v>15550977</v>
          </cell>
          <cell r="N27">
            <v>1398967</v>
          </cell>
          <cell r="O27">
            <v>4420512</v>
          </cell>
          <cell r="P27">
            <v>1038879</v>
          </cell>
          <cell r="Q27">
            <v>0.23219999999999999</v>
          </cell>
        </row>
        <row r="28">
          <cell r="A28">
            <v>210034</v>
          </cell>
          <cell r="B28">
            <v>2022</v>
          </cell>
          <cell r="C28">
            <v>7618</v>
          </cell>
          <cell r="D28">
            <v>126757308</v>
          </cell>
          <cell r="E28">
            <v>51501</v>
          </cell>
          <cell r="F28">
            <v>74689470</v>
          </cell>
          <cell r="G28">
            <v>59119</v>
          </cell>
          <cell r="H28">
            <v>201446777</v>
          </cell>
          <cell r="I28">
            <v>44610561</v>
          </cell>
          <cell r="J28">
            <v>2871288</v>
          </cell>
          <cell r="K28">
            <v>1180405</v>
          </cell>
          <cell r="L28">
            <v>17453517</v>
          </cell>
          <cell r="M28">
            <v>30051546</v>
          </cell>
          <cell r="N28">
            <v>1177059</v>
          </cell>
          <cell r="O28">
            <v>5269965</v>
          </cell>
          <cell r="P28">
            <v>2653604</v>
          </cell>
          <cell r="Q28">
            <v>0.52259999999999995</v>
          </cell>
        </row>
        <row r="29">
          <cell r="A29">
            <v>210035</v>
          </cell>
          <cell r="B29">
            <v>2022</v>
          </cell>
          <cell r="C29">
            <v>6083</v>
          </cell>
          <cell r="D29">
            <v>97867761</v>
          </cell>
          <cell r="E29">
            <v>56652</v>
          </cell>
          <cell r="F29">
            <v>77399150</v>
          </cell>
          <cell r="G29">
            <v>62735</v>
          </cell>
          <cell r="H29">
            <v>175266910</v>
          </cell>
          <cell r="I29">
            <v>15116576</v>
          </cell>
          <cell r="J29">
            <v>3471765</v>
          </cell>
          <cell r="K29">
            <v>1738990</v>
          </cell>
          <cell r="L29">
            <v>9109066</v>
          </cell>
          <cell r="M29">
            <v>16263027</v>
          </cell>
          <cell r="N29">
            <v>4177560</v>
          </cell>
          <cell r="O29">
            <v>3756788</v>
          </cell>
          <cell r="P29">
            <v>2655219</v>
          </cell>
          <cell r="Q29">
            <v>0.32119999999999999</v>
          </cell>
        </row>
        <row r="30">
          <cell r="A30">
            <v>210037</v>
          </cell>
          <cell r="B30">
            <v>2022</v>
          </cell>
          <cell r="C30">
            <v>6330</v>
          </cell>
          <cell r="D30">
            <v>126952759</v>
          </cell>
          <cell r="E30">
            <v>45671</v>
          </cell>
          <cell r="F30">
            <v>160401834</v>
          </cell>
          <cell r="G30">
            <v>52001</v>
          </cell>
          <cell r="H30">
            <v>287354593</v>
          </cell>
          <cell r="I30">
            <v>24483095</v>
          </cell>
          <cell r="J30">
            <v>3135196</v>
          </cell>
          <cell r="K30">
            <v>564343</v>
          </cell>
          <cell r="L30">
            <v>17052890</v>
          </cell>
          <cell r="M30">
            <v>27403407</v>
          </cell>
          <cell r="N30">
            <v>3329531</v>
          </cell>
          <cell r="O30">
            <v>12915540</v>
          </cell>
          <cell r="P30">
            <v>1717417</v>
          </cell>
          <cell r="Q30">
            <v>0.31530000000000002</v>
          </cell>
        </row>
        <row r="31">
          <cell r="A31">
            <v>210038</v>
          </cell>
          <cell r="B31">
            <v>2022</v>
          </cell>
          <cell r="C31">
            <v>4104</v>
          </cell>
          <cell r="D31">
            <v>109568921</v>
          </cell>
          <cell r="E31">
            <v>82733</v>
          </cell>
          <cell r="F31">
            <v>114901879</v>
          </cell>
          <cell r="G31">
            <v>86837</v>
          </cell>
          <cell r="H31">
            <v>224470800</v>
          </cell>
          <cell r="I31">
            <v>43848174</v>
          </cell>
          <cell r="J31">
            <v>2539476</v>
          </cell>
          <cell r="K31">
            <v>506181</v>
          </cell>
          <cell r="L31">
            <v>23129883</v>
          </cell>
          <cell r="M31">
            <v>42263472</v>
          </cell>
          <cell r="N31">
            <v>2141401</v>
          </cell>
          <cell r="O31">
            <v>16592181</v>
          </cell>
          <cell r="P31">
            <v>797037</v>
          </cell>
          <cell r="Q31">
            <v>0.58720000000000006</v>
          </cell>
        </row>
        <row r="32">
          <cell r="A32">
            <v>210039</v>
          </cell>
          <cell r="B32">
            <v>2022</v>
          </cell>
          <cell r="C32">
            <v>5901</v>
          </cell>
          <cell r="D32">
            <v>80579444</v>
          </cell>
          <cell r="E32">
            <v>47526</v>
          </cell>
          <cell r="F32">
            <v>89702631</v>
          </cell>
          <cell r="G32">
            <v>53427</v>
          </cell>
          <cell r="H32">
            <v>170282075</v>
          </cell>
          <cell r="I32">
            <v>12354847</v>
          </cell>
          <cell r="J32">
            <v>2691870</v>
          </cell>
          <cell r="K32">
            <v>565445</v>
          </cell>
          <cell r="L32">
            <v>7164490</v>
          </cell>
          <cell r="M32">
            <v>13833598</v>
          </cell>
          <cell r="N32">
            <v>3981584</v>
          </cell>
          <cell r="O32">
            <v>3331402</v>
          </cell>
          <cell r="P32">
            <v>1265069</v>
          </cell>
          <cell r="Q32">
            <v>0.26540000000000002</v>
          </cell>
        </row>
        <row r="33">
          <cell r="A33">
            <v>210040</v>
          </cell>
          <cell r="B33">
            <v>2022</v>
          </cell>
          <cell r="C33">
            <v>7319</v>
          </cell>
          <cell r="D33">
            <v>158961210</v>
          </cell>
          <cell r="E33">
            <v>63095</v>
          </cell>
          <cell r="F33">
            <v>142322829</v>
          </cell>
          <cell r="G33">
            <v>70414</v>
          </cell>
          <cell r="H33">
            <v>301284039</v>
          </cell>
          <cell r="I33">
            <v>36159184</v>
          </cell>
          <cell r="J33">
            <v>1147232</v>
          </cell>
          <cell r="K33">
            <v>1852562</v>
          </cell>
          <cell r="L33">
            <v>31025584</v>
          </cell>
          <cell r="M33">
            <v>23715120</v>
          </cell>
          <cell r="N33">
            <v>1436439</v>
          </cell>
          <cell r="O33">
            <v>11326895</v>
          </cell>
          <cell r="P33">
            <v>5287953</v>
          </cell>
          <cell r="Q33">
            <v>0.37159999999999999</v>
          </cell>
        </row>
        <row r="34">
          <cell r="A34">
            <v>210043</v>
          </cell>
          <cell r="B34">
            <v>2022</v>
          </cell>
          <cell r="C34">
            <v>16852</v>
          </cell>
          <cell r="D34">
            <v>335927766</v>
          </cell>
          <cell r="E34">
            <v>106253</v>
          </cell>
          <cell r="F34">
            <v>175702790</v>
          </cell>
          <cell r="G34">
            <v>123105</v>
          </cell>
          <cell r="H34">
            <v>511630556</v>
          </cell>
          <cell r="I34">
            <v>65771423</v>
          </cell>
          <cell r="J34">
            <v>10160495</v>
          </cell>
          <cell r="K34">
            <v>1910726</v>
          </cell>
          <cell r="L34">
            <v>30023667</v>
          </cell>
          <cell r="M34">
            <v>33598350</v>
          </cell>
          <cell r="N34">
            <v>7463923</v>
          </cell>
          <cell r="O34">
            <v>10106200</v>
          </cell>
          <cell r="P34">
            <v>3979743</v>
          </cell>
          <cell r="Q34">
            <v>0.31859999999999999</v>
          </cell>
        </row>
        <row r="35">
          <cell r="A35">
            <v>210044</v>
          </cell>
          <cell r="B35">
            <v>2022</v>
          </cell>
          <cell r="C35">
            <v>18151</v>
          </cell>
          <cell r="D35">
            <v>263487308</v>
          </cell>
          <cell r="E35">
            <v>124152</v>
          </cell>
          <cell r="F35">
            <v>228733316</v>
          </cell>
          <cell r="G35">
            <v>142303</v>
          </cell>
          <cell r="H35">
            <v>492220624</v>
          </cell>
          <cell r="I35">
            <v>43624794</v>
          </cell>
          <cell r="J35">
            <v>1497424</v>
          </cell>
          <cell r="K35">
            <v>750114</v>
          </cell>
          <cell r="L35">
            <v>15511740</v>
          </cell>
          <cell r="M35">
            <v>30188985</v>
          </cell>
          <cell r="N35">
            <v>1243649</v>
          </cell>
          <cell r="O35">
            <v>7399695</v>
          </cell>
          <cell r="P35">
            <v>2595751</v>
          </cell>
          <cell r="Q35">
            <v>0.2089</v>
          </cell>
        </row>
        <row r="36">
          <cell r="A36">
            <v>210045</v>
          </cell>
          <cell r="B36">
            <v>2022</v>
          </cell>
          <cell r="E36">
            <v>16645</v>
          </cell>
          <cell r="F36">
            <v>5228783</v>
          </cell>
          <cell r="G36">
            <v>16645</v>
          </cell>
          <cell r="H36">
            <v>5228783</v>
          </cell>
          <cell r="M36">
            <v>1778480</v>
          </cell>
          <cell r="N36">
            <v>60713</v>
          </cell>
          <cell r="O36">
            <v>573904</v>
          </cell>
          <cell r="P36">
            <v>144025</v>
          </cell>
          <cell r="Q36">
            <v>0.48899999999999999</v>
          </cell>
        </row>
        <row r="37">
          <cell r="A37">
            <v>210048</v>
          </cell>
          <cell r="B37">
            <v>2022</v>
          </cell>
          <cell r="C37">
            <v>16692</v>
          </cell>
          <cell r="D37">
            <v>215795067</v>
          </cell>
          <cell r="E37">
            <v>88107</v>
          </cell>
          <cell r="F37">
            <v>129315456</v>
          </cell>
          <cell r="G37">
            <v>104799</v>
          </cell>
          <cell r="H37">
            <v>345110523</v>
          </cell>
          <cell r="I37">
            <v>24602679</v>
          </cell>
          <cell r="J37">
            <v>9043642</v>
          </cell>
          <cell r="K37">
            <v>3975177</v>
          </cell>
          <cell r="L37">
            <v>19762110</v>
          </cell>
          <cell r="M37">
            <v>18608100</v>
          </cell>
          <cell r="N37">
            <v>7804476</v>
          </cell>
          <cell r="O37">
            <v>3898100</v>
          </cell>
          <cell r="P37">
            <v>5410868</v>
          </cell>
          <cell r="Q37">
            <v>0.26979999999999998</v>
          </cell>
        </row>
        <row r="38">
          <cell r="A38">
            <v>210049</v>
          </cell>
          <cell r="B38">
            <v>2022</v>
          </cell>
          <cell r="C38">
            <v>12177</v>
          </cell>
          <cell r="D38">
            <v>205442639</v>
          </cell>
          <cell r="E38">
            <v>104811</v>
          </cell>
          <cell r="F38">
            <v>161205665</v>
          </cell>
          <cell r="G38">
            <v>116988</v>
          </cell>
          <cell r="H38">
            <v>366648304</v>
          </cell>
          <cell r="I38">
            <v>31077160</v>
          </cell>
          <cell r="J38">
            <v>7067563</v>
          </cell>
          <cell r="K38">
            <v>1049319</v>
          </cell>
          <cell r="L38">
            <v>15155138</v>
          </cell>
          <cell r="M38">
            <v>23288060</v>
          </cell>
          <cell r="N38">
            <v>6261199</v>
          </cell>
          <cell r="O38">
            <v>6809073</v>
          </cell>
          <cell r="P38">
            <v>1063891</v>
          </cell>
          <cell r="Q38">
            <v>0.25030000000000002</v>
          </cell>
        </row>
        <row r="39">
          <cell r="A39">
            <v>210051</v>
          </cell>
          <cell r="B39">
            <v>2022</v>
          </cell>
          <cell r="C39">
            <v>8994</v>
          </cell>
          <cell r="D39">
            <v>161249804</v>
          </cell>
          <cell r="E39">
            <v>50636</v>
          </cell>
          <cell r="F39">
            <v>97986634</v>
          </cell>
          <cell r="G39">
            <v>59630</v>
          </cell>
          <cell r="H39">
            <v>259236438</v>
          </cell>
          <cell r="I39">
            <v>30135758</v>
          </cell>
          <cell r="J39">
            <v>4293206</v>
          </cell>
          <cell r="K39">
            <v>4152135</v>
          </cell>
          <cell r="L39">
            <v>17616702</v>
          </cell>
          <cell r="M39">
            <v>22519532</v>
          </cell>
          <cell r="N39">
            <v>3441239</v>
          </cell>
          <cell r="O39">
            <v>5869948</v>
          </cell>
          <cell r="P39">
            <v>6467052</v>
          </cell>
          <cell r="Q39">
            <v>0.36449999999999999</v>
          </cell>
        </row>
        <row r="40">
          <cell r="A40">
            <v>210055</v>
          </cell>
          <cell r="B40">
            <v>2022</v>
          </cell>
          <cell r="C40">
            <v>1410</v>
          </cell>
          <cell r="D40">
            <v>51610015</v>
          </cell>
          <cell r="E40">
            <v>21192</v>
          </cell>
          <cell r="F40">
            <v>34544178</v>
          </cell>
          <cell r="G40">
            <v>22602</v>
          </cell>
          <cell r="H40">
            <v>86154193</v>
          </cell>
          <cell r="I40">
            <v>11187751</v>
          </cell>
          <cell r="J40">
            <v>2424672</v>
          </cell>
          <cell r="K40">
            <v>836316</v>
          </cell>
          <cell r="L40">
            <v>3966611</v>
          </cell>
          <cell r="M40">
            <v>10052604</v>
          </cell>
          <cell r="N40">
            <v>2000248</v>
          </cell>
          <cell r="O40">
            <v>1921516</v>
          </cell>
          <cell r="P40">
            <v>2112538</v>
          </cell>
          <cell r="Q40">
            <v>0.40050000000000002</v>
          </cell>
        </row>
        <row r="41">
          <cell r="A41">
            <v>210056</v>
          </cell>
          <cell r="B41">
            <v>2022</v>
          </cell>
          <cell r="C41">
            <v>7973</v>
          </cell>
          <cell r="D41">
            <v>182021731</v>
          </cell>
          <cell r="E41">
            <v>79274</v>
          </cell>
          <cell r="F41">
            <v>106993200</v>
          </cell>
          <cell r="G41">
            <v>87247</v>
          </cell>
          <cell r="H41">
            <v>289014931</v>
          </cell>
          <cell r="I41">
            <v>41349693</v>
          </cell>
          <cell r="J41">
            <v>3233059</v>
          </cell>
          <cell r="K41">
            <v>2855031</v>
          </cell>
          <cell r="L41">
            <v>34549515</v>
          </cell>
          <cell r="M41">
            <v>29731010</v>
          </cell>
          <cell r="N41">
            <v>996880</v>
          </cell>
          <cell r="O41">
            <v>14832722</v>
          </cell>
          <cell r="P41">
            <v>2444830</v>
          </cell>
          <cell r="Q41">
            <v>0.44979999999999998</v>
          </cell>
        </row>
        <row r="42">
          <cell r="A42">
            <v>210057</v>
          </cell>
          <cell r="B42">
            <v>2022</v>
          </cell>
          <cell r="C42">
            <v>21011</v>
          </cell>
          <cell r="D42">
            <v>326421820</v>
          </cell>
          <cell r="E42">
            <v>73311</v>
          </cell>
          <cell r="F42">
            <v>180805947</v>
          </cell>
          <cell r="G42">
            <v>94322</v>
          </cell>
          <cell r="H42">
            <v>507227768</v>
          </cell>
          <cell r="I42">
            <v>52148448</v>
          </cell>
          <cell r="J42">
            <v>5741543</v>
          </cell>
          <cell r="K42">
            <v>7013823</v>
          </cell>
          <cell r="L42">
            <v>26146066</v>
          </cell>
          <cell r="M42">
            <v>28682651</v>
          </cell>
          <cell r="N42">
            <v>1748101</v>
          </cell>
          <cell r="O42">
            <v>9235937</v>
          </cell>
          <cell r="P42">
            <v>9568522</v>
          </cell>
          <cell r="Q42">
            <v>0.27660000000000001</v>
          </cell>
        </row>
        <row r="43">
          <cell r="A43">
            <v>210058</v>
          </cell>
          <cell r="B43">
            <v>2022</v>
          </cell>
          <cell r="C43">
            <v>1397</v>
          </cell>
          <cell r="D43">
            <v>54355102</v>
          </cell>
          <cell r="E43">
            <v>28506</v>
          </cell>
          <cell r="F43">
            <v>60958296</v>
          </cell>
          <cell r="G43">
            <v>29903</v>
          </cell>
          <cell r="H43">
            <v>115313398</v>
          </cell>
          <cell r="I43">
            <v>15347476</v>
          </cell>
          <cell r="J43">
            <v>1064341</v>
          </cell>
          <cell r="K43">
            <v>1001963</v>
          </cell>
          <cell r="L43">
            <v>3961716</v>
          </cell>
          <cell r="M43">
            <v>16908800</v>
          </cell>
          <cell r="N43">
            <v>1538210</v>
          </cell>
          <cell r="O43">
            <v>3067464</v>
          </cell>
          <cell r="P43">
            <v>227042</v>
          </cell>
          <cell r="Q43">
            <v>0.37390000000000001</v>
          </cell>
        </row>
        <row r="44">
          <cell r="A44">
            <v>210060</v>
          </cell>
          <cell r="B44">
            <v>2022</v>
          </cell>
          <cell r="C44">
            <v>1764</v>
          </cell>
          <cell r="D44">
            <v>33264262</v>
          </cell>
          <cell r="E44">
            <v>22857</v>
          </cell>
          <cell r="F44">
            <v>34120593</v>
          </cell>
          <cell r="G44">
            <v>24621</v>
          </cell>
          <cell r="H44">
            <v>67384854</v>
          </cell>
          <cell r="I44">
            <v>4498745</v>
          </cell>
          <cell r="J44">
            <v>1389173</v>
          </cell>
          <cell r="K44">
            <v>842017</v>
          </cell>
          <cell r="L44">
            <v>2839023</v>
          </cell>
          <cell r="M44">
            <v>6338104</v>
          </cell>
          <cell r="N44">
            <v>2181835</v>
          </cell>
          <cell r="O44">
            <v>1648244</v>
          </cell>
          <cell r="P44">
            <v>1656829</v>
          </cell>
          <cell r="Q44">
            <v>0.3175</v>
          </cell>
        </row>
        <row r="45">
          <cell r="A45">
            <v>210061</v>
          </cell>
          <cell r="B45">
            <v>2022</v>
          </cell>
          <cell r="C45">
            <v>2576</v>
          </cell>
          <cell r="D45">
            <v>46601173</v>
          </cell>
          <cell r="E45">
            <v>73938</v>
          </cell>
          <cell r="F45">
            <v>78344536</v>
          </cell>
          <cell r="G45">
            <v>76514</v>
          </cell>
          <cell r="H45">
            <v>124945709</v>
          </cell>
          <cell r="I45">
            <v>4976059</v>
          </cell>
          <cell r="J45">
            <v>2177888</v>
          </cell>
          <cell r="K45">
            <v>506258</v>
          </cell>
          <cell r="L45">
            <v>2933879</v>
          </cell>
          <cell r="M45">
            <v>10909003</v>
          </cell>
          <cell r="N45">
            <v>3071040</v>
          </cell>
          <cell r="O45">
            <v>2806286</v>
          </cell>
          <cell r="P45">
            <v>1793547</v>
          </cell>
          <cell r="Q45">
            <v>0.23350000000000001</v>
          </cell>
        </row>
        <row r="46">
          <cell r="A46">
            <v>210062</v>
          </cell>
          <cell r="B46">
            <v>2022</v>
          </cell>
          <cell r="C46">
            <v>10520</v>
          </cell>
          <cell r="D46">
            <v>190114645</v>
          </cell>
          <cell r="E46">
            <v>50507</v>
          </cell>
          <cell r="F46">
            <v>107902860</v>
          </cell>
          <cell r="G46">
            <v>61027</v>
          </cell>
          <cell r="H46">
            <v>298017505</v>
          </cell>
          <cell r="I46">
            <v>38360205</v>
          </cell>
          <cell r="J46">
            <v>12523288</v>
          </cell>
          <cell r="K46">
            <v>2036682</v>
          </cell>
          <cell r="L46">
            <v>19682897</v>
          </cell>
          <cell r="M46">
            <v>23417909</v>
          </cell>
          <cell r="N46">
            <v>7235601</v>
          </cell>
          <cell r="O46">
            <v>5669981</v>
          </cell>
          <cell r="P46">
            <v>3190963</v>
          </cell>
          <cell r="Q46">
            <v>0.37619999999999998</v>
          </cell>
        </row>
        <row r="47">
          <cell r="A47">
            <v>210063</v>
          </cell>
          <cell r="B47">
            <v>2022</v>
          </cell>
          <cell r="C47">
            <v>13443</v>
          </cell>
          <cell r="D47">
            <v>268835390</v>
          </cell>
          <cell r="E47">
            <v>73834</v>
          </cell>
          <cell r="F47">
            <v>161979979</v>
          </cell>
          <cell r="G47">
            <v>87277</v>
          </cell>
          <cell r="H47">
            <v>430815368</v>
          </cell>
          <cell r="I47">
            <v>34081554</v>
          </cell>
          <cell r="J47">
            <v>2878843</v>
          </cell>
          <cell r="K47">
            <v>1648720</v>
          </cell>
          <cell r="L47">
            <v>16753695</v>
          </cell>
          <cell r="M47">
            <v>18934906</v>
          </cell>
          <cell r="N47">
            <v>1455982</v>
          </cell>
          <cell r="O47">
            <v>4407251</v>
          </cell>
          <cell r="P47">
            <v>1554265</v>
          </cell>
          <cell r="Q47">
            <v>0.18970000000000001</v>
          </cell>
        </row>
        <row r="48">
          <cell r="A48">
            <v>210064</v>
          </cell>
          <cell r="B48">
            <v>2022</v>
          </cell>
          <cell r="C48">
            <v>967</v>
          </cell>
          <cell r="D48">
            <v>61954113</v>
          </cell>
          <cell r="E48">
            <v>469</v>
          </cell>
          <cell r="F48">
            <v>4832871</v>
          </cell>
          <cell r="G48">
            <v>1436</v>
          </cell>
          <cell r="H48">
            <v>66786985</v>
          </cell>
          <cell r="I48">
            <v>4375121</v>
          </cell>
          <cell r="J48">
            <v>60223</v>
          </cell>
          <cell r="K48">
            <v>1133926</v>
          </cell>
          <cell r="L48">
            <v>13499603</v>
          </cell>
          <cell r="O48">
            <v>858677</v>
          </cell>
          <cell r="P48">
            <v>8109</v>
          </cell>
          <cell r="Q48">
            <v>0.29849999999999999</v>
          </cell>
        </row>
        <row r="49">
          <cell r="A49">
            <v>210065</v>
          </cell>
          <cell r="B49">
            <v>2022</v>
          </cell>
          <cell r="C49">
            <v>7216</v>
          </cell>
          <cell r="D49">
            <v>84282966</v>
          </cell>
          <cell r="E49">
            <v>33904</v>
          </cell>
          <cell r="F49">
            <v>61292882</v>
          </cell>
          <cell r="G49">
            <v>41120</v>
          </cell>
          <cell r="H49">
            <v>145575847</v>
          </cell>
          <cell r="I49">
            <v>20427414</v>
          </cell>
          <cell r="J49">
            <v>1406337</v>
          </cell>
          <cell r="K49">
            <v>2281766</v>
          </cell>
          <cell r="L49">
            <v>6732596</v>
          </cell>
          <cell r="M49">
            <v>12331759</v>
          </cell>
          <cell r="N49">
            <v>1495712</v>
          </cell>
          <cell r="O49">
            <v>3257144</v>
          </cell>
          <cell r="P49">
            <v>6254817</v>
          </cell>
          <cell r="Q49">
            <v>0.37219999999999998</v>
          </cell>
        </row>
        <row r="50">
          <cell r="A50">
            <v>210068</v>
          </cell>
          <cell r="B50">
            <v>2022</v>
          </cell>
          <cell r="E50">
            <v>3142</v>
          </cell>
          <cell r="F50">
            <v>1358522</v>
          </cell>
          <cell r="G50">
            <v>3142</v>
          </cell>
          <cell r="H50">
            <v>1358522</v>
          </cell>
          <cell r="M50">
            <v>175232</v>
          </cell>
          <cell r="N50">
            <v>22082</v>
          </cell>
          <cell r="O50">
            <v>21211</v>
          </cell>
          <cell r="P50">
            <v>10831</v>
          </cell>
          <cell r="Q50">
            <v>0.16880000000000001</v>
          </cell>
        </row>
        <row r="51">
          <cell r="A51">
            <v>210087</v>
          </cell>
          <cell r="B51">
            <v>2022</v>
          </cell>
          <cell r="E51">
            <v>21533</v>
          </cell>
          <cell r="F51">
            <v>16794635</v>
          </cell>
          <cell r="G51">
            <v>21533</v>
          </cell>
          <cell r="H51">
            <v>16794635</v>
          </cell>
          <cell r="M51">
            <v>6172001</v>
          </cell>
          <cell r="N51">
            <v>258996</v>
          </cell>
          <cell r="O51">
            <v>590853</v>
          </cell>
          <cell r="P51">
            <v>1761650</v>
          </cell>
          <cell r="Q51">
            <v>0.52300000000000002</v>
          </cell>
        </row>
        <row r="52">
          <cell r="A52">
            <v>210088</v>
          </cell>
          <cell r="B52">
            <v>2022</v>
          </cell>
          <cell r="E52">
            <v>17720</v>
          </cell>
          <cell r="F52">
            <v>7676321</v>
          </cell>
          <cell r="G52">
            <v>17720</v>
          </cell>
          <cell r="H52">
            <v>7676321</v>
          </cell>
          <cell r="M52">
            <v>2079360</v>
          </cell>
          <cell r="N52">
            <v>175730</v>
          </cell>
          <cell r="O52">
            <v>290344</v>
          </cell>
          <cell r="P52">
            <v>343884</v>
          </cell>
          <cell r="Q52">
            <v>0.37640000000000001</v>
          </cell>
        </row>
        <row r="53">
          <cell r="A53">
            <v>210089</v>
          </cell>
          <cell r="B53">
            <v>2022</v>
          </cell>
          <cell r="C53">
            <v>883</v>
          </cell>
          <cell r="D53">
            <v>38808399</v>
          </cell>
          <cell r="G53">
            <v>883</v>
          </cell>
          <cell r="H53">
            <v>38808399</v>
          </cell>
          <cell r="I53">
            <v>5289906</v>
          </cell>
          <cell r="J53">
            <v>263940</v>
          </cell>
          <cell r="K53">
            <v>168433</v>
          </cell>
          <cell r="L53">
            <v>2915874</v>
          </cell>
          <cell r="Q53">
            <v>0.22259999999999999</v>
          </cell>
        </row>
        <row r="54">
          <cell r="A54">
            <v>210333</v>
          </cell>
          <cell r="B54">
            <v>2022</v>
          </cell>
          <cell r="E54">
            <v>22528</v>
          </cell>
          <cell r="F54">
            <v>17493993</v>
          </cell>
          <cell r="G54">
            <v>22528</v>
          </cell>
          <cell r="H54">
            <v>17493993</v>
          </cell>
          <cell r="M54">
            <v>4650093</v>
          </cell>
          <cell r="N54">
            <v>1023975</v>
          </cell>
          <cell r="O54">
            <v>544096</v>
          </cell>
          <cell r="P54">
            <v>1190544</v>
          </cell>
          <cell r="Q54">
            <v>0.42349999999999999</v>
          </cell>
        </row>
        <row r="55">
          <cell r="A55">
            <v>213028</v>
          </cell>
          <cell r="B55">
            <v>2022</v>
          </cell>
          <cell r="C55">
            <v>1637</v>
          </cell>
          <cell r="D55">
            <v>47064936</v>
          </cell>
          <cell r="E55">
            <v>16</v>
          </cell>
          <cell r="F55">
            <v>243126</v>
          </cell>
          <cell r="G55">
            <v>1653</v>
          </cell>
          <cell r="H55">
            <v>47308062</v>
          </cell>
          <cell r="I55">
            <v>1195621</v>
          </cell>
          <cell r="J55">
            <v>83171</v>
          </cell>
          <cell r="K55">
            <v>70940</v>
          </cell>
          <cell r="L55">
            <v>5944043</v>
          </cell>
          <cell r="M55">
            <v>15373</v>
          </cell>
          <cell r="O55">
            <v>5339</v>
          </cell>
          <cell r="Q55">
            <v>0.15459999999999999</v>
          </cell>
        </row>
        <row r="56">
          <cell r="A56">
            <v>213029</v>
          </cell>
          <cell r="B56">
            <v>2022</v>
          </cell>
          <cell r="C56">
            <v>1123</v>
          </cell>
          <cell r="D56">
            <v>43395568</v>
          </cell>
          <cell r="E56">
            <v>4685</v>
          </cell>
          <cell r="F56">
            <v>7623037</v>
          </cell>
          <cell r="G56">
            <v>5808</v>
          </cell>
          <cell r="H56">
            <v>51018605</v>
          </cell>
          <cell r="I56">
            <v>2574661</v>
          </cell>
          <cell r="J56">
            <v>490210</v>
          </cell>
          <cell r="K56">
            <v>44544</v>
          </cell>
          <cell r="L56">
            <v>2789720</v>
          </cell>
          <cell r="M56">
            <v>509460</v>
          </cell>
          <cell r="N56">
            <v>54500</v>
          </cell>
          <cell r="O56">
            <v>287169</v>
          </cell>
          <cell r="P56">
            <v>15945</v>
          </cell>
          <cell r="Q56">
            <v>0.1326</v>
          </cell>
        </row>
        <row r="57">
          <cell r="A57">
            <v>213300</v>
          </cell>
          <cell r="B57">
            <v>2022</v>
          </cell>
          <cell r="C57">
            <v>412</v>
          </cell>
          <cell r="D57">
            <v>41763719</v>
          </cell>
          <cell r="E57">
            <v>27025</v>
          </cell>
          <cell r="F57">
            <v>17478709</v>
          </cell>
          <cell r="G57">
            <v>27437</v>
          </cell>
          <cell r="H57">
            <v>59242428</v>
          </cell>
          <cell r="I57">
            <v>32198307</v>
          </cell>
          <cell r="J57">
            <v>823003</v>
          </cell>
          <cell r="M57">
            <v>9772431</v>
          </cell>
          <cell r="N57">
            <v>479142</v>
          </cell>
          <cell r="O57">
            <v>17101</v>
          </cell>
          <cell r="P57">
            <v>62979</v>
          </cell>
          <cell r="Q57">
            <v>0.73180000000000001</v>
          </cell>
        </row>
        <row r="58">
          <cell r="A58">
            <v>218992</v>
          </cell>
          <cell r="B58">
            <v>2022</v>
          </cell>
          <cell r="C58">
            <v>3331</v>
          </cell>
          <cell r="D58">
            <v>265693083</v>
          </cell>
          <cell r="E58">
            <v>9437</v>
          </cell>
          <cell r="F58">
            <v>30357927</v>
          </cell>
          <cell r="G58">
            <v>12768</v>
          </cell>
          <cell r="H58">
            <v>296051011</v>
          </cell>
          <cell r="I58">
            <v>109123662</v>
          </cell>
          <cell r="J58">
            <v>9220477</v>
          </cell>
          <cell r="K58">
            <v>2935798</v>
          </cell>
          <cell r="L58">
            <v>13808312</v>
          </cell>
          <cell r="M58">
            <v>9925158</v>
          </cell>
          <cell r="N58">
            <v>1241208</v>
          </cell>
          <cell r="O58">
            <v>1332411</v>
          </cell>
          <cell r="P58">
            <v>1734927</v>
          </cell>
          <cell r="Q58">
            <v>0.50439999999999996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Adjustment%20Methodologies\ROC\FY%202020\Data%20Variables\PAU%20ECMAD%20and%20rev%20over%20time%20created%202020-02-2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Adjustment%20Methodologies\ROC\FY%202020\Modelling\Chestertown%20Special%20Exemption%20Idea\Copy%20of%20RY20%20ICC%20v17%20(CAH%20Adjustment)%20v5f_No%20Productivy-Pop%20Health%20Inv%20NO%20PEER%20GROUPS_w%20OOS%20Medicaid%20for%20DSH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Adjustment%20Methodologies\ROC\FY%202023\Data%20Variables\FY22_ACR_SCH_P_V02%20(DME)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lan Pack" refreshedDate="43891.680658333331" createdVersion="4" refreshedVersion="4" minRefreshableVersion="3" recordCount="4294">
  <cacheSource type="worksheet">
    <worksheetSource ref="A1:M65536" sheet="PAU ECMAD and rev over time cre" r:id="rId2"/>
  </cacheSource>
  <cacheFields count="13">
    <cacheField name="ICD9 / ICD10 CODING FLAG" numFmtId="0">
      <sharedItems containsString="0" containsBlank="1" containsNumber="1" containsInteger="1" minValue="0" maxValue="9" count="3">
        <n v="0"/>
        <n v="9"/>
        <m/>
      </sharedItems>
    </cacheField>
    <cacheField name="FISCAL YEAR" numFmtId="0">
      <sharedItems containsString="0" containsBlank="1" containsNumber="1" containsInteger="1" minValue="2013" maxValue="2020" count="9">
        <n v="2016"/>
        <n v="2013"/>
        <n v="2017"/>
        <n v="2014"/>
        <n v="2018"/>
        <n v="2015"/>
        <n v="2019"/>
        <n v="2020"/>
        <m/>
      </sharedItems>
    </cacheField>
    <cacheField name="Year" numFmtId="0">
      <sharedItems containsString="0" containsBlank="1" containsNumber="1" containsInteger="1" minValue="2012" maxValue="2019" count="9">
        <n v="2015"/>
        <n v="2012"/>
        <n v="2016"/>
        <n v="2013"/>
        <n v="2017"/>
        <n v="2014"/>
        <n v="2018"/>
        <n v="2019"/>
        <m/>
      </sharedItems>
    </cacheField>
    <cacheField name="MONTH" numFmtId="0">
      <sharedItems containsString="0" containsBlank="1" containsNumber="1" containsInteger="1" minValue="1" maxValue="12" count="13">
        <n v="10"/>
        <n v="7"/>
        <n v="11"/>
        <n v="8"/>
        <n v="12"/>
        <n v="9"/>
        <n v="1"/>
        <n v="2"/>
        <n v="3"/>
        <n v="4"/>
        <n v="5"/>
        <n v="6"/>
        <m/>
      </sharedItems>
    </cacheField>
    <cacheField name="Hospital ID" numFmtId="0">
      <sharedItems containsString="0" containsBlank="1" containsNumber="1" containsInteger="1" minValue="210001" maxValue="210065" count="49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4"/>
        <n v="210065"/>
        <m/>
      </sharedItems>
    </cacheField>
    <cacheField name="Hospital Name" numFmtId="0">
      <sharedItems containsBlank="1" count="51">
        <s v="Meritus"/>
        <s v="UMMC"/>
        <s v="UM-PGHC"/>
        <s v="Holy Cross"/>
        <s v="Frederick"/>
        <s v="UM-Harford"/>
        <s v="Mercy"/>
        <s v="Johns Hopkins"/>
        <s v="UM-Dorchester"/>
        <s v="St. Agnes"/>
        <s v="Sinai"/>
        <s v="Bon Secours"/>
        <s v="MedStar Fr Square"/>
        <s v="Washington Adventist"/>
        <s v="Garrett"/>
        <s v="MedStar Montgomery"/>
        <s v="Peninsula"/>
        <s v="Suburban"/>
        <s v="Anne Arundel"/>
        <s v="MedStar Union Mem"/>
        <s v="Western Maryland"/>
        <s v="MedStar St. Mary's"/>
        <s v="JH Bayview"/>
        <s v="UM-Chestertown"/>
        <s v="Union of Cecil"/>
        <s v="Carroll"/>
        <s v="MedStar Harbor"/>
        <s v="UM-Charles Regional"/>
        <s v="UM-Easton"/>
        <s v="UMMC Midtown"/>
        <s v="Calvert"/>
        <s v="Northwest"/>
        <s v="UM-BWMC"/>
        <s v="GBMC"/>
        <s v="McCready"/>
        <s v="Howard County"/>
        <s v="UM-Upper Chesapeake"/>
        <s v="Doctors"/>
        <s v="UM-Laurel"/>
        <s v="MedStar Good Sam"/>
        <s v="Shady Grove"/>
        <s v="UMROI"/>
        <s v="Ft. Washington"/>
        <s v="Atlantic General"/>
        <s v="MedStar Southern MD"/>
        <s v="UM-St. Joe"/>
        <s v="Levindale"/>
        <s v="HC-Germantown"/>
        <m/>
        <s v="Adventist White Oak" u="1"/>
        <s v="Grace Medical center" u="1"/>
      </sharedItems>
    </cacheField>
    <cacheField name="_TYPE_" numFmtId="0">
      <sharedItems containsString="0" containsBlank="1" containsNumber="1" containsInteger="1" minValue="63" maxValue="63" count="2">
        <n v="63"/>
        <m/>
      </sharedItems>
    </cacheField>
    <cacheField name="_FREQ_" numFmtId="0">
      <sharedItems containsString="0" containsBlank="1" containsNumber="1" containsInteger="1" minValue="8" maxValue="4409"/>
    </cacheField>
    <cacheField name="pauweight" numFmtId="0">
      <sharedItems containsString="0" containsBlank="1" containsNumber="1" minValue="0" maxValue="911.39940900000124"/>
    </cacheField>
    <cacheField name="WEIGHT" numFmtId="0">
      <sharedItems containsString="0" containsBlank="1" containsNumber="1" minValue="3.8902079504079659" maxValue="6457.8271279999917"/>
    </cacheField>
    <cacheField name="Total charges" numFmtId="0">
      <sharedItems containsString="0" containsBlank="1" containsNumber="1" minValue="62667.11" maxValue="139995873.06999975"/>
    </cacheField>
    <cacheField name="paureal" numFmtId="0">
      <sharedItems containsString="0" containsBlank="1" containsNumber="1" containsInteger="1" minValue="0" maxValue="810"/>
    </cacheField>
    <cacheField name="pauchg" numFmtId="0">
      <sharedItems containsString="0" containsBlank="1" containsNumber="1" minValue="0" maxValue="21181562.1999999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lan Pack" refreshedDate="43891.680661921295" createdVersion="4" refreshedVersion="4" minRefreshableVersion="3" recordCount="53">
  <cacheSource type="worksheet">
    <worksheetSource ref="A2:AD54" sheet="Capital Methodol - REM Cycle II"/>
  </cacheSource>
  <cacheFields count="30">
    <cacheField name="HOSPID" numFmtId="0">
      <sharedItems containsSemiMixedTypes="0" containsString="0" containsNumber="1" containsInteger="1" minValue="210001" maxValue="990099" count="53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5"/>
        <n v="910003"/>
        <n v="910008"/>
        <n v="910012"/>
        <n v="910024"/>
        <n v="910029"/>
        <n v="990099"/>
      </sharedItems>
    </cacheField>
    <cacheField name="HOSPITAL NAME" numFmtId="0">
      <sharedItems count="50">
        <s v="MERITUS MEDICAL CENTER"/>
        <s v="UNIVERSITY OF MARYLAND MEDICAL CENTER"/>
        <s v="PRINCE GEORGES HOSPITAL CENTER"/>
        <s v="HOLY CROSS HOSPITAL"/>
        <s v="FREDERICK MEMORIAL HOSPITAL"/>
        <s v="UM-HARFORD MEMORIAL HOSPITAL"/>
        <s v="MERCY MEDICAL CENTER"/>
        <s v="JOHNS HOPKINS HOSPITAL"/>
        <s v="UM-SHORE REGIONAL HEALTH AT DORCHESTER"/>
        <s v="ST. AGNES HOSPITAL"/>
        <s v="SINAI HOSPITAL"/>
        <s v="BON SECOURS HOSPITAL"/>
        <s v="MEDSTAR FRANKLIN SQUARE"/>
        <s v="WASHINGTON ADVENTIST HOSPITAL"/>
        <s v="GARRETT COUNTY MEMORIAL HOSPITAL"/>
        <s v="MEDSTAR MONTGOMERY MEDICAL CENTER"/>
        <s v="PENINSULA REGIONAL MEDICAL CENTER"/>
        <s v="SUBURBAN HOSPITAL"/>
        <s v="ANNE ARUNDEL MEDICAL CENTER"/>
        <s v="MEDSTAR UNION MEMORIAL HOSPITAL"/>
        <s v="WESTERN MARYLAND REGIONAL MEDICAL CENTER"/>
        <s v="MEDSTAR ST. MARY'S HOSPITAL "/>
        <s v="JOHNS HOPKINS BAYVIEW MEDICAL CENTER"/>
        <s v="UM-SHORE REGIONAL HEALTH AT CHESTERTOWN"/>
        <s v="UNION HOSPITAL OF CECIL COUNTY"/>
        <s v="CARROLL HOSPITAL CENTER"/>
        <s v="MEDSTAR HARBOR HOSPITAL CENTER"/>
        <s v="UM-CHARLES REGIONAL MEDICAL CENTER"/>
        <s v="UM-SHORE REGIONAL HEALTH AT EASTON"/>
        <s v="UMMC MIDTOWN CAMPUS"/>
        <s v="CALVERT MEMORIAL HOSPITAL"/>
        <s v="NORTHWEST HOSPITAL CENTER"/>
        <s v="UM-BALTIMORE WASHINGTON MEDICAL CENTER"/>
        <s v="GREATER BALTIMORE MEDICAL CENTER"/>
        <s v="MCCREADY MEMORIAL HOSPITAL"/>
        <s v="HOWARD COUNTY GENERAL HOSPITAL"/>
        <s v="UM-UPPER CHESAPEAKE MEDICAL CENTER"/>
        <s v="DOCTORS COMMUNITY HOSPITAL"/>
        <s v="LAUREL REGIONAL HOSPITAL"/>
        <s v="MEDSTAR GOOD SAMARITAN"/>
        <s v="SHADY GROVE ADVENTIST HOSPITAL"/>
        <s v="UM-REHABILITATION &amp; ORTHOPAEDIC INSTITUTE"/>
        <s v="FORT WASHINGTON MEDICAL CENTER"/>
        <s v="ATLANTIC GENERAL HOSPITAL"/>
        <s v="MEDSTAR SOUTHERN MARYLAND HOSPITAL CENTER"/>
        <s v="UM-ST. JOSEPH MEDICAL CENTER"/>
        <s v="Holy Cross Germantown"/>
        <s v="Prince Georges Hospital"/>
        <s v="Union Memorial Hospital"/>
        <s v="Holy Cross Hospitals"/>
      </sharedItems>
    </cacheField>
    <cacheField name="PEER GROUP" numFmtId="0">
      <sharedItems containsMixedTypes="1" containsNumber="1" containsInteger="1" minValue="1" maxValue="5" count="5">
        <n v="3"/>
        <n v="5"/>
        <n v="4"/>
        <s v="NA"/>
        <n v="1"/>
      </sharedItems>
    </cacheField>
    <cacheField name="REM PEER STANDARD EFFICIENCY CHARGE " numFmtId="0">
      <sharedItems containsSemiMixedTypes="0" containsString="0" containsNumber="1" minValue="0" maxValue="15873.943808574768"/>
    </cacheField>
    <cacheField name=" Excess Capacity per Hospital" numFmtId="0">
      <sharedItems containsSemiMixedTypes="0" containsString="0" containsNumber="1" minValue="-1765.3040102838263" maxValue="740.73064683487507"/>
    </cacheField>
    <cacheField name="Weighted Excess Capacity" numFmtId="0">
      <sharedItems containsSemiMixedTypes="0" containsString="0" containsNumber="1" minValue="-165.15314225383889" maxValue="247.5742889387781"/>
    </cacheField>
    <cacheField name=" Excess Capacity per Peer Group" numFmtId="0">
      <sharedItems containsSemiMixedTypes="0" containsString="0" containsNumber="1" containsInteger="1" minValue="0" maxValue="0"/>
    </cacheField>
    <cacheField name="ICC Standard Adjusted for Excess Capacity" numFmtId="0">
      <sharedItems containsSemiMixedTypes="0" containsString="0" containsNumber="1" minValue="0" maxValue="15873.943808574768"/>
    </cacheField>
    <cacheField name="ECMAD" numFmtId="0">
      <sharedItems containsSemiMixedTypes="0" containsString="0" containsNumber="1" minValue="761.50570848710015" maxValue="107197.39183395408"/>
    </cacheField>
    <cacheField name="IME Adjustment Per ECMAD" numFmtId="0">
      <sharedItems containsSemiMixedTypes="0" containsString="0" containsNumber="1" minValue="0" maxValue="2674.2625813638347"/>
    </cacheField>
    <cacheField name="ICC Standard Adjusted for IME" numFmtId="0">
      <sharedItems containsSemiMixedTypes="0" containsString="0" containsNumber="1" minValue="0" maxValue="18548.206389938601"/>
    </cacheField>
    <cacheField name="TOTAL ICC PERMANENT REVENUE ADJUSTED FOR IME/DSH" numFmtId="0">
      <sharedItems containsSemiMixedTypes="0" containsString="0" containsNumber="1" minValue="0" maxValue="1964440667.9016645"/>
    </cacheField>
    <cacheField name="LMA" numFmtId="0">
      <sharedItems containsSemiMixedTypes="0" containsString="0" containsNumber="1" minValue="0.93365670027608294" maxValue="1.0181752931904677"/>
    </cacheField>
    <cacheField name="TOTAL ICC PERMANENT REVENUE ADJUSTED FOR LMA" numFmtId="0">
      <sharedItems containsSemiMixedTypes="0" containsString="0" containsNumber="1" minValue="0" maxValue="1957994573.753875"/>
    </cacheField>
    <cacheField name="ICC Standard Adjusted for LMA" numFmtId="0">
      <sharedItems containsSemiMixedTypes="0" containsString="0" containsNumber="1" minValue="0" maxValue="18487.34250811422"/>
    </cacheField>
    <cacheField name="DIRECT STRIP" numFmtId="0">
      <sharedItems containsSemiMixedTypes="0" containsString="0" containsNumber="1" minValue="0" maxValue="116178105.15508722"/>
    </cacheField>
    <cacheField name="TOTAL ICC PERMANENT REVENUE ADJUSTED FOR DIRECT STRIP" numFmtId="0">
      <sharedItems containsSemiMixedTypes="0" containsString="0" containsNumber="1" minValue="0" maxValue="2074172678.9089622"/>
    </cacheField>
    <cacheField name="ICC Standard Adjusted for Direct Strip" numFmtId="0">
      <sharedItems containsSemiMixedTypes="0" containsString="0" containsNumber="1" minValue="0" maxValue="19374.762405943471"/>
    </cacheField>
    <cacheField name="MARKUP" numFmtId="0">
      <sharedItems containsSemiMixedTypes="0" containsString="0" containsNumber="1" minValue="1.1000250372583604" maxValue="1.124045673216447"/>
    </cacheField>
    <cacheField name="TOTAL ICC PERMANENT REVENUE ADJUSTED FOR MARKUP" numFmtId="0">
      <sharedItems containsSemiMixedTypes="0" containsString="0" containsNumber="1" minValue="0" maxValue="2286999991.619844"/>
    </cacheField>
    <cacheField name="ICC Standard Adjusted for Markup" numFmtId="0">
      <sharedItems containsSemiMixedTypes="0" containsString="0" containsNumber="1" minValue="0" maxValue="21472.637075360784"/>
    </cacheField>
    <cacheField name="PAU &amp; Genreal Volume ECMADS" numFmtId="0">
      <sharedItems containsSemiMixedTypes="0" containsString="0" containsNumber="1" containsInteger="1" minValue="0" maxValue="0"/>
    </cacheField>
    <cacheField name="ECMADS ADJUSTED FOR PAU &amp; General Volume" numFmtId="0">
      <sharedItems containsSemiMixedTypes="0" containsString="0" containsNumber="1" minValue="761.50570848710015" maxValue="107197.39183395408"/>
    </cacheField>
    <cacheField name="TOTAL ECMAD APPROVED ICC  REVENUE " numFmtId="0">
      <sharedItems containsSemiMixedTypes="0" containsString="0" containsNumber="1" minValue="0" maxValue="2286999991.619844"/>
    </cacheField>
    <cacheField name="TOTAL PERMANENT ICC REVENUE" numFmtId="0">
      <sharedItems containsSemiMixedTypes="0" containsString="0" containsNumber="1" minValue="-1387911.6579789929" maxValue="2271913453.7494617"/>
    </cacheField>
    <cacheField name="% OVER/UNDER  TOTAL PERMANENT REVENUE" numFmtId="0">
      <sharedItems containsSemiMixedTypes="0" containsString="0" containsNumber="1" minValue="-1" maxValue="0.18578329056952847"/>
    </cacheField>
    <cacheField name="Non-ECMAD Revenue to be added back to the ICC" numFmtId="0">
      <sharedItems containsSemiMixedTypes="0" containsString="0" containsNumber="1" containsInteger="1" minValue="0" maxValue="0"/>
    </cacheField>
    <cacheField name="Non-ECMAD Revenue to be added back to the ICC with ICC Result" numFmtId="0">
      <sharedItems containsSemiMixedTypes="0" containsString="0" containsNumber="1" containsInteger="1" minValue="0" maxValue="0"/>
    </cacheField>
    <cacheField name="TOTAL Rate Application REVENUE without Drugs" numFmtId="0">
      <sharedItems containsSemiMixedTypes="0" containsString="0" containsNumber="1" minValue="-1387911.6579789929" maxValue="2271913453.7494617"/>
    </cacheField>
    <cacheField name="TOTAL ICC Approved Rate Application REVENUE without Drugs" numFmtId="0">
      <sharedItems containsSemiMixedTypes="0" containsString="0" containsNumber="1" minValue="0" maxValue="2286999991.6198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llan Pack" refreshedDate="43891.680662152779" createdVersion="4" refreshedVersion="4" minRefreshableVersion="3" recordCount="53">
  <cacheSource type="worksheet">
    <worksheetSource ref="A2:AD55" sheet="Capital Methodol - ICC Cycle II" r:id="rId2"/>
  </cacheSource>
  <cacheFields count="30">
    <cacheField name="HOSPID" numFmtId="0">
      <sharedItems containsSemiMixedTypes="0" containsString="0" containsNumber="1" containsInteger="1" minValue="210001" maxValue="990099" count="53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5"/>
        <n v="910003"/>
        <n v="910008"/>
        <n v="910012"/>
        <n v="910024"/>
        <n v="910029"/>
        <n v="990099"/>
      </sharedItems>
    </cacheField>
    <cacheField name="HOSPITAL NAME" numFmtId="0">
      <sharedItems count="50">
        <s v="MERITUS MEDICAL CENTER"/>
        <s v="UNIVERSITY OF MARYLAND MEDICAL CENTER"/>
        <s v="PRINCE GEORGES HOSPITAL CENTER"/>
        <s v="HOLY CROSS HOSPITAL"/>
        <s v="FREDERICK MEMORIAL HOSPITAL"/>
        <s v="UM-HARFORD MEMORIAL HOSPITAL"/>
        <s v="MERCY MEDICAL CENTER"/>
        <s v="JOHNS HOPKINS HOSPITAL"/>
        <s v="UM-SHORE REGIONAL HEALTH AT DORCHESTER"/>
        <s v="ST. AGNES HOSPITAL"/>
        <s v="SINAI HOSPITAL"/>
        <s v="BON SECOURS HOSPITAL"/>
        <s v="MEDSTAR FRANKLIN SQUARE"/>
        <s v="WASHINGTON ADVENTIST HOSPITAL"/>
        <s v="GARRETT COUNTY MEMORIAL HOSPITAL"/>
        <s v="MEDSTAR MONTGOMERY MEDICAL CENTER"/>
        <s v="PENINSULA REGIONAL MEDICAL CENTER"/>
        <s v="SUBURBAN HOSPITAL"/>
        <s v="ANNE ARUNDEL MEDICAL CENTER"/>
        <s v="MEDSTAR UNION MEMORIAL HOSPITAL"/>
        <s v="WESTERN MARYLAND REGIONAL MEDICAL CENTER"/>
        <s v="MEDSTAR ST. MARY'S HOSPITAL "/>
        <s v="JOHNS HOPKINS BAYVIEW MEDICAL CENTER"/>
        <s v="UM-SHORE REGIONAL HEALTH AT CHESTERTOWN"/>
        <s v="UNION HOSPITAL OF CECIL COUNTY"/>
        <s v="CARROLL HOSPITAL CENTER"/>
        <s v="MEDSTAR HARBOR HOSPITAL CENTER"/>
        <s v="UM-CHARLES REGIONAL MEDICAL CENTER"/>
        <s v="UM-SHORE REGIONAL HEALTH AT EASTON"/>
        <s v="UMMC MIDTOWN CAMPUS"/>
        <s v="CALVERT MEMORIAL HOSPITAL"/>
        <s v="NORTHWEST HOSPITAL CENTER"/>
        <s v="UM-BALTIMORE WASHINGTON MEDICAL CENTER"/>
        <s v="GREATER BALTIMORE MEDICAL CENTER"/>
        <s v="MCCREADY MEMORIAL HOSPITAL"/>
        <s v="HOWARD COUNTY GENERAL HOSPITAL"/>
        <s v="UM-UPPER CHESAPEAKE MEDICAL CENTER"/>
        <s v="DOCTORS COMMUNITY HOSPITAL"/>
        <s v="LAUREL REGIONAL HOSPITAL"/>
        <s v="MEDSTAR GOOD SAMARITAN"/>
        <s v="SHADY GROVE ADVENTIST HOSPITAL"/>
        <s v="UM-REHABILITATION &amp; ORTHOPAEDIC INSTITUTE"/>
        <s v="FORT WASHINGTON MEDICAL CENTER"/>
        <s v="ATLANTIC GENERAL HOSPITAL"/>
        <s v="MEDSTAR SOUTHERN MARYLAND HOSPITAL CENTER"/>
        <s v="UM-ST. JOSEPH MEDICAL CENTER"/>
        <s v="Holy Cross Germantown"/>
        <s v="Prince Georges Hospital"/>
        <s v="Union Memorial Hospital"/>
        <s v="Holy Cross Hospitals"/>
      </sharedItems>
    </cacheField>
    <cacheField name="PEER GROUP" numFmtId="0">
      <sharedItems containsMixedTypes="1" containsNumber="1" containsInteger="1" minValue="1" maxValue="5" count="5">
        <n v="3"/>
        <n v="5"/>
        <n v="4"/>
        <s v="NA"/>
        <n v="1"/>
      </sharedItems>
    </cacheField>
    <cacheField name="REM PEER STANDARD EFFICIENCY CHARGE Less Profit (ICC Standard)" numFmtId="0">
      <sharedItems containsSemiMixedTypes="0" containsString="0" containsNumber="1" minValue="0" maxValue="15193.493273003131"/>
    </cacheField>
    <cacheField name=" Excess Capacity per Hospital" numFmtId="0">
      <sharedItems containsSemiMixedTypes="0" containsString="0" containsNumber="1" minValue="-1560.320839893453" maxValue="708.97857744170699"/>
    </cacheField>
    <cacheField name="Weighted Excess Capacity" numFmtId="0">
      <sharedItems containsSemiMixedTypes="0" containsString="0" containsNumber="1" minValue="-152.08187915097827" maxValue="236.96179972162719"/>
    </cacheField>
    <cacheField name=" Excess Capacity per Peer Group" numFmtId="0">
      <sharedItems containsSemiMixedTypes="0" containsString="0" containsNumber="1" containsInteger="1" minValue="0" maxValue="0"/>
    </cacheField>
    <cacheField name="ICC Standard Adjusted for Excess Capacity" numFmtId="0">
      <sharedItems containsSemiMixedTypes="0" containsString="0" containsNumber="1" minValue="0" maxValue="15193.493273003131"/>
    </cacheField>
    <cacheField name="ECMAD" numFmtId="0">
      <sharedItems containsSemiMixedTypes="0" containsString="0" containsNumber="1" minValue="761.50570848710015" maxValue="107197.39183395408"/>
    </cacheField>
    <cacheField name="IME Adjustment Per ECMAD" numFmtId="0">
      <sharedItems containsSemiMixedTypes="0" containsString="0" containsNumber="1" minValue="0" maxValue="2674.2625813638347"/>
    </cacheField>
    <cacheField name="ICC Standard Adjusted for IME" numFmtId="0">
      <sharedItems containsSemiMixedTypes="0" containsString="0" containsNumber="1" minValue="0" maxValue="17867.755854366966"/>
    </cacheField>
    <cacheField name="TOTAL ICC PERMANENT REVENUE ADJUSTED FOR IME/DSH" numFmtId="0">
      <sharedItems containsSemiMixedTypes="0" containsString="0" containsNumber="1" minValue="0" maxValue="1891498145.216368"/>
    </cacheField>
    <cacheField name="LMA" numFmtId="0">
      <sharedItems containsSemiMixedTypes="0" containsString="0" containsNumber="1" minValue="0.93365670027608294" maxValue="1.0181752931904677"/>
    </cacheField>
    <cacheField name="TOTAL ICC PERMANENT REVENUE ADJUSTED FOR LMA" numFmtId="0">
      <sharedItems containsSemiMixedTypes="0" containsString="0" containsNumber="1" minValue="0" maxValue="1885291403.8656824"/>
    </cacheField>
    <cacheField name="ICC Standard Adjusted for LMA" numFmtId="0">
      <sharedItems containsSemiMixedTypes="0" containsString="0" containsNumber="1" minValue="0" maxValue="17809.12479549666"/>
    </cacheField>
    <cacheField name="DIRECT STRIP" numFmtId="0">
      <sharedItems containsSemiMixedTypes="0" containsString="0" containsNumber="1" minValue="0" maxValue="116178105.15508722"/>
    </cacheField>
    <cacheField name="TOTAL ICC PERMANENT REVENUE ADJUSTED FOR DIRECT STRIP" numFmtId="0">
      <sharedItems containsSemiMixedTypes="0" containsString="0" containsNumber="1" minValue="0" maxValue="2001469509.0207696"/>
    </cacheField>
    <cacheField name="ICC Standard Adjusted for Direct Strip" numFmtId="0">
      <sharedItems containsSemiMixedTypes="0" containsString="0" containsNumber="1" minValue="0" maxValue="18696.544693325915"/>
    </cacheField>
    <cacheField name="MARKUP" numFmtId="0">
      <sharedItems containsSemiMixedTypes="0" containsString="0" containsNumber="1" minValue="1.1000250372583604" maxValue="1.124045673216447"/>
    </cacheField>
    <cacheField name="TOTAL ICC PERMANENT REVENUE ADJUSTED FOR MARKUP" numFmtId="0">
      <sharedItems containsSemiMixedTypes="0" containsString="0" containsNumber="1" minValue="0" maxValue="2206836873.7580786"/>
    </cacheField>
    <cacheField name="ICC Standard Adjusted for Markup" numFmtId="0">
      <sharedItems containsSemiMixedTypes="0" containsString="0" containsNumber="1" minValue="0" maxValue="20720.98281008573"/>
    </cacheField>
    <cacheField name="PAU &amp; Genreal Volume ECMADS" numFmtId="0">
      <sharedItems containsSemiMixedTypes="0" containsString="0" containsNumber="1" containsInteger="1" minValue="0" maxValue="0"/>
    </cacheField>
    <cacheField name="ECMADS ADJUSTED FOR PAU &amp; General Volume" numFmtId="0">
      <sharedItems containsSemiMixedTypes="0" containsString="0" containsNumber="1" minValue="761.50570848710015" maxValue="107197.39183395408"/>
    </cacheField>
    <cacheField name="TOTAL ECMAD APPROVED ICC  REVENUE " numFmtId="0">
      <sharedItems containsSemiMixedTypes="0" containsString="0" containsNumber="1" minValue="0" maxValue="2206836873.7580786"/>
    </cacheField>
    <cacheField name="TOTAL PERMANENT ICC REVENUE" numFmtId="0">
      <sharedItems containsSemiMixedTypes="0" containsString="0" containsNumber="1" minValue="-1387911.6579789929" maxValue="2271913453.7494617"/>
    </cacheField>
    <cacheField name="% OVER/UNDER  TOTAL PERMANENT REVENUE" numFmtId="0">
      <sharedItems containsSemiMixedTypes="0" containsString="0" containsNumber="1" minValue="-1" maxValue="0.13119828778354936"/>
    </cacheField>
    <cacheField name="Non-ECMAD Revenue to be added back to the ICC" numFmtId="0">
      <sharedItems containsSemiMixedTypes="0" containsString="0" containsNumber="1" containsInteger="1" minValue="0" maxValue="0"/>
    </cacheField>
    <cacheField name="Non-ECMAD Revenue to be added back to the ICC with ICC Result" numFmtId="0">
      <sharedItems containsSemiMixedTypes="0" containsString="0" containsNumber="1" containsInteger="1" minValue="0" maxValue="0"/>
    </cacheField>
    <cacheField name="TOTAL Rate Application REVENUE without Drugs" numFmtId="0">
      <sharedItems containsSemiMixedTypes="0" containsString="0" containsNumber="1" minValue="-1387911.6579789929" maxValue="2271913453.7494617"/>
    </cacheField>
    <cacheField name="TOTAL ICC Approved Rate Application REVENUE without Drugs" numFmtId="0">
      <sharedItems containsSemiMixedTypes="0" containsString="0" containsNumber="1" minValue="0" maxValue="2206836873.7580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llan Pack" refreshedDate="43891.680662615741" createdVersion="4" refreshedVersion="4" minRefreshableVersion="3" recordCount="53">
  <cacheSource type="worksheet">
    <worksheetSource ref="A2:AD54" sheet="Integrated Effic - REM Cycle II"/>
  </cacheSource>
  <cacheFields count="30">
    <cacheField name="HOSPID" numFmtId="0">
      <sharedItems containsSemiMixedTypes="0" containsString="0" containsNumber="1" containsInteger="1" minValue="210001" maxValue="990099" count="53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5"/>
        <n v="910003"/>
        <n v="910008"/>
        <n v="910012"/>
        <n v="910024"/>
        <n v="910029"/>
        <n v="990099"/>
      </sharedItems>
    </cacheField>
    <cacheField name="HOSPITAL NAME" numFmtId="0">
      <sharedItems count="50">
        <s v="MERITUS MEDICAL CENTER"/>
        <s v="UNIVERSITY OF MARYLAND MEDICAL CENTER"/>
        <s v="PRINCE GEORGES HOSPITAL CENTER"/>
        <s v="HOLY CROSS HOSPITAL"/>
        <s v="FREDERICK MEMORIAL HOSPITAL"/>
        <s v="UM-HARFORD MEMORIAL HOSPITAL"/>
        <s v="MERCY MEDICAL CENTER"/>
        <s v="JOHNS HOPKINS HOSPITAL"/>
        <s v="UM-SHORE REGIONAL HEALTH AT DORCHESTER"/>
        <s v="ST. AGNES HOSPITAL"/>
        <s v="SINAI HOSPITAL"/>
        <s v="BON SECOURS HOSPITAL"/>
        <s v="MEDSTAR FRANKLIN SQUARE"/>
        <s v="WASHINGTON ADVENTIST HOSPITAL"/>
        <s v="GARRETT COUNTY MEMORIAL HOSPITAL"/>
        <s v="MEDSTAR MONTGOMERY MEDICAL CENTER"/>
        <s v="PENINSULA REGIONAL MEDICAL CENTER"/>
        <s v="SUBURBAN HOSPITAL"/>
        <s v="ANNE ARUNDEL MEDICAL CENTER"/>
        <s v="MEDSTAR UNION MEMORIAL HOSPITAL"/>
        <s v="WESTERN MARYLAND REGIONAL MEDICAL CENTER"/>
        <s v="MEDSTAR ST. MARY'S HOSPITAL "/>
        <s v="JOHNS HOPKINS BAYVIEW MEDICAL CENTER"/>
        <s v="UM-SHORE REGIONAL HEALTH AT CHESTERTOWN"/>
        <s v="UNION HOSPITAL OF CECIL COUNTY"/>
        <s v="CARROLL HOSPITAL CENTER"/>
        <s v="MEDSTAR HARBOR HOSPITAL CENTER"/>
        <s v="UM-CHARLES REGIONAL MEDICAL CENTER"/>
        <s v="UM-SHORE REGIONAL HEALTH AT EASTON"/>
        <s v="UMMC MIDTOWN CAMPUS"/>
        <s v="CALVERT MEMORIAL HOSPITAL"/>
        <s v="NORTHWEST HOSPITAL CENTER"/>
        <s v="UM-BALTIMORE WASHINGTON MEDICAL CENTER"/>
        <s v="GREATER BALTIMORE MEDICAL CENTER"/>
        <s v="MCCREADY MEMORIAL HOSPITAL"/>
        <s v="HOWARD COUNTY GENERAL HOSPITAL"/>
        <s v="UM-UPPER CHESAPEAKE MEDICAL CENTER"/>
        <s v="DOCTORS COMMUNITY HOSPITAL"/>
        <s v="LAUREL REGIONAL HOSPITAL"/>
        <s v="MEDSTAR GOOD SAMARITAN"/>
        <s v="SHADY GROVE ADVENTIST HOSPITAL"/>
        <s v="UM-REHABILITATION &amp; ORTHOPAEDIC INSTITUTE"/>
        <s v="FORT WASHINGTON MEDICAL CENTER"/>
        <s v="ATLANTIC GENERAL HOSPITAL"/>
        <s v="MEDSTAR SOUTHERN MARYLAND HOSPITAL CENTER"/>
        <s v="UM-ST. JOSEPH MEDICAL CENTER"/>
        <s v="Holy Cross Germantown"/>
        <s v="Prince Georges Hospital"/>
        <s v="Union Memorial Hospital"/>
        <s v="Holy Cross Hospitals"/>
      </sharedItems>
    </cacheField>
    <cacheField name="PEER GROUP" numFmtId="0">
      <sharedItems containsMixedTypes="1" containsNumber="1" containsInteger="1" minValue="1" maxValue="5" count="5">
        <n v="3"/>
        <n v="5"/>
        <n v="4"/>
        <s v="NA"/>
        <n v="1"/>
      </sharedItems>
    </cacheField>
    <cacheField name="REM PEER STANDARD EFFICIENCY CHARGE " numFmtId="0">
      <sharedItems containsSemiMixedTypes="0" containsString="0" containsNumber="1" minValue="0" maxValue="15873.943808574768"/>
    </cacheField>
    <cacheField name=" Excess Capacity per Hospital" numFmtId="0">
      <sharedItems containsSemiMixedTypes="0" containsString="0" containsNumber="1" minValue="-1765.3040102838263" maxValue="740.73064683487507"/>
    </cacheField>
    <cacheField name="Weighted Excess Capacity" numFmtId="0">
      <sharedItems containsSemiMixedTypes="0" containsString="0" containsNumber="1" minValue="-165.15314225383889" maxValue="247.5742889387781"/>
    </cacheField>
    <cacheField name=" Excess Capacity per Peer Group" numFmtId="0">
      <sharedItems containsSemiMixedTypes="0" containsString="0" containsNumber="1" minValue="-637.09771780697565" maxValue="0"/>
    </cacheField>
    <cacheField name="ICC Standard Adjusted for Excess Capacity" numFmtId="0">
      <sharedItems containsSemiMixedTypes="0" containsString="0" containsNumber="1" minValue="0" maxValue="15556.464932403273"/>
    </cacheField>
    <cacheField name="ECMAD" numFmtId="0">
      <sharedItems containsSemiMixedTypes="0" containsString="0" containsNumber="1" minValue="761.50570848710015" maxValue="107197.39183395408"/>
    </cacheField>
    <cacheField name="IME Adjustment Per ECMAD" numFmtId="0">
      <sharedItems containsSemiMixedTypes="0" containsString="0" containsNumber="1" minValue="0" maxValue="2674.2625813638347"/>
    </cacheField>
    <cacheField name="ICC Standard Adjusted for IME" numFmtId="0">
      <sharedItems containsSemiMixedTypes="0" containsString="0" containsNumber="1" minValue="0" maxValue="18230.727513767106"/>
    </cacheField>
    <cacheField name="TOTAL ICC PERMANENT REVENUE ADJUSTED FOR IME/DSH" numFmtId="0">
      <sharedItems containsSemiMixedTypes="0" containsString="0" containsNumber="1" minValue="0" maxValue="1930407760.4137053"/>
    </cacheField>
    <cacheField name="LMA" numFmtId="0">
      <sharedItems containsSemiMixedTypes="0" containsString="0" containsNumber="1" minValue="0.93365670027608294" maxValue="1.0181752931904677"/>
    </cacheField>
    <cacheField name="TOTAL ICC PERMANENT REVENUE ADJUSTED FOR LMA" numFmtId="0">
      <sharedItems containsSemiMixedTypes="0" containsString="0" containsNumber="1" minValue="0" maxValue="1924073341.4767661"/>
    </cacheField>
    <cacheField name="ICC Standard Adjusted for LMA" numFmtId="0">
      <sharedItems containsSemiMixedTypes="0" containsString="0" containsNumber="1" minValue="0" maxValue="18170.90540365881"/>
    </cacheField>
    <cacheField name="DIRECT STRIP" numFmtId="0">
      <sharedItems containsSemiMixedTypes="0" containsString="0" containsNumber="1" minValue="0" maxValue="116178105.15508722"/>
    </cacheField>
    <cacheField name="TOTAL ICC PERMANENT REVENUE ADJUSTED FOR DIRECT STRIP" numFmtId="0">
      <sharedItems containsSemiMixedTypes="0" containsString="0" containsNumber="1" minValue="0" maxValue="2040251446.6318533"/>
    </cacheField>
    <cacheField name="ICC Standard Adjusted for Direct Strip" numFmtId="0">
      <sharedItems containsSemiMixedTypes="0" containsString="0" containsNumber="1" minValue="0" maxValue="19058.325301488061"/>
    </cacheField>
    <cacheField name="MARKUP" numFmtId="0">
      <sharedItems containsSemiMixedTypes="0" containsString="0" containsNumber="1" minValue="1.1000250372583604" maxValue="1.124045673216447"/>
    </cacheField>
    <cacheField name="TOTAL ICC PERMANENT REVENUE ADJUSTED FOR MARKUP" numFmtId="0">
      <sharedItems containsSemiMixedTypes="0" containsString="0" containsNumber="1" minValue="0" maxValue="2249598159.688334"/>
    </cacheField>
    <cacheField name="ICC Standard Adjusted for Markup" numFmtId="0">
      <sharedItems containsSemiMixedTypes="0" containsString="0" containsNumber="1" minValue="0" maxValue="21121.936563076582"/>
    </cacheField>
    <cacheField name="PAU &amp; Genreal Volume ECMADS" numFmtId="0">
      <sharedItems containsSemiMixedTypes="0" containsString="0" containsNumber="1" minValue="-724.50787177656002" maxValue="2439.3172481154938"/>
    </cacheField>
    <cacheField name="ECMADS ADJUSTED FOR PAU &amp; General Volume" numFmtId="0">
      <sharedItems containsSemiMixedTypes="0" containsString="0" containsNumber="1" minValue="1097.4356092941084" maxValue="107363.85486599525"/>
    </cacheField>
    <cacheField name="TOTAL ECMAD APPROVED ICC  REVENUE " numFmtId="0">
      <sharedItems containsSemiMixedTypes="0" containsString="0" containsNumber="1" minValue="0" maxValue="2253091480.9728293"/>
    </cacheField>
    <cacheField name="TOTAL PERMANENT ICC REVENUE" numFmtId="0">
      <sharedItems containsSemiMixedTypes="0" containsString="0" containsNumber="1" minValue="-1387911.6579789929" maxValue="2271913453.7494617"/>
    </cacheField>
    <cacheField name="% OVER/UNDER  TOTAL PERMANENT REVENUE" numFmtId="0">
      <sharedItems containsSemiMixedTypes="0" containsString="0" containsNumber="1" minValue="-1" maxValue="0.55251072450432792"/>
    </cacheField>
    <cacheField name="Non-ECMAD Revenue to be added back to the ICC" numFmtId="0">
      <sharedItems containsSemiMixedTypes="0" containsString="0" containsNumber="1" containsInteger="1" minValue="0" maxValue="0"/>
    </cacheField>
    <cacheField name="Non-ECMAD Revenue to be added back to the ICC with ICC Result" numFmtId="0">
      <sharedItems containsSemiMixedTypes="0" containsString="0" containsNumber="1" containsInteger="1" minValue="0" maxValue="0"/>
    </cacheField>
    <cacheField name="TOTAL Rate Application REVENUE without Drugs" numFmtId="0">
      <sharedItems containsSemiMixedTypes="0" containsString="0" containsNumber="1" minValue="-1387911.6579789929" maxValue="2271913453.7494617"/>
    </cacheField>
    <cacheField name="TOTAL ICC Approved Rate Application REVENUE without Drugs" numFmtId="0">
      <sharedItems containsSemiMixedTypes="0" containsString="0" containsNumber="1" minValue="0" maxValue="2253091480.97282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llan Pack" refreshedDate="45078.529626736112" createdVersion="4" refreshedVersion="4" minRefreshableVersion="3" recordCount="52">
  <cacheSource type="worksheet">
    <worksheetSource ref="A2:Z54" sheet="Rate Application - ICC Cycle II"/>
  </cacheSource>
  <cacheFields count="26">
    <cacheField name="HOSPID" numFmtId="0">
      <sharedItems containsSemiMixedTypes="0" containsString="0" containsNumber="1" containsInteger="1" minValue="210001" maxValue="990099" count="53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5"/>
        <n v="910003"/>
        <n v="910008"/>
        <n v="910012"/>
        <n v="910024"/>
        <n v="910029"/>
        <n v="990099" u="1"/>
      </sharedItems>
    </cacheField>
    <cacheField name="HOSPITAL NAME" numFmtId="0">
      <sharedItems count="50">
        <s v="MERITUS MEDICAL CENTER"/>
        <s v="UNIVERSITY OF MARYLAND MEDICAL CENTER"/>
        <s v="PRINCE GEORGES HOSPITAL CENTER"/>
        <s v="HOLY CROSS HOSPITAL"/>
        <s v="FREDERICK MEMORIAL HOSPITAL"/>
        <s v="UM-HARFORD MEMORIAL HOSPITAL"/>
        <s v="MERCY MEDICAL CENTER"/>
        <s v="JOHNS HOPKINS HOSPITAL"/>
        <s v="UM-SHORE REGIONAL HEALTH AT DORCHESTER"/>
        <s v="ST. AGNES HOSPITAL"/>
        <s v="SINAI HOSPITAL"/>
        <s v="BON SECOURS HOSPITAL"/>
        <s v="MEDSTAR FRANKLIN SQUARE"/>
        <s v="WASHINGTON ADVENTIST HOSPITAL"/>
        <s v="GARRETT COUNTY MEMORIAL HOSPITAL"/>
        <s v="MEDSTAR MONTGOMERY MEDICAL CENTER"/>
        <s v="PENINSULA REGIONAL MEDICAL CENTER"/>
        <s v="SUBURBAN HOSPITAL"/>
        <s v="ANNE ARUNDEL MEDICAL CENTER"/>
        <s v="MEDSTAR UNION MEMORIAL HOSPITAL"/>
        <s v="WESTERN MARYLAND REGIONAL MEDICAL CENTER"/>
        <s v="MEDSTAR ST. MARY'S HOSPITAL "/>
        <s v="JOHNS HOPKINS BAYVIEW MEDICAL CENTER"/>
        <s v="UM-SHORE REGIONAL HEALTH AT CHESTERTOWN"/>
        <s v="UNION HOSPITAL OF CECIL COUNTY"/>
        <s v="CARROLL HOSPITAL CENTER"/>
        <s v="MEDSTAR HARBOR HOSPITAL CENTER"/>
        <s v="UM-CHARLES REGIONAL MEDICAL CENTER"/>
        <s v="UM-SHORE REGIONAL HEALTH AT EASTON"/>
        <s v="UMMC MIDTOWN CAMPUS"/>
        <s v="CALVERT MEMORIAL HOSPITAL"/>
        <s v="NORTHWEST HOSPITAL CENTER"/>
        <s v="UM-BALTIMORE WASHINGTON MEDICAL CENTER"/>
        <s v="GREATER BALTIMORE MEDICAL CENTER"/>
        <s v="MCCREADY MEMORIAL HOSPITAL"/>
        <s v="HOWARD COUNTY GENERAL HOSPITAL"/>
        <s v="UM-UPPER CHESAPEAKE MEDICAL CENTER"/>
        <s v="DOCTORS COMMUNITY HOSPITAL"/>
        <s v="LAUREL REGIONAL HOSPITAL"/>
        <s v="MEDSTAR GOOD SAMARITAN"/>
        <s v="SHADY GROVE ADVENTIST HOSPITAL"/>
        <s v="UM-REHABILITATION &amp; ORTHOPAEDIC INSTITUTE"/>
        <s v="FORT WASHINGTON MEDICAL CENTER"/>
        <s v="ATLANTIC GENERAL HOSPITAL"/>
        <s v="MEDSTAR SOUTHERN MARYLAND HOSPITAL CENTER"/>
        <s v="UM-ST. JOSEPH MEDICAL CENTER"/>
        <s v="Holy Cross Germantown"/>
        <s v="Prince Georges Hospital"/>
        <s v="Union Memorial Hospital"/>
        <s v="Holy Cross Hospitals" u="1"/>
      </sharedItems>
    </cacheField>
    <cacheField name="PEER GROUP" numFmtId="0">
      <sharedItems containsMixedTypes="1" containsNumber="1" containsInteger="1" minValue="1" maxValue="5" count="5">
        <n v="1"/>
        <n v="5"/>
        <s v="NA"/>
        <n v="3" u="1"/>
        <n v="4" u="1"/>
      </sharedItems>
    </cacheField>
    <cacheField name="REM PEER STANDARD EFFICIENCY CHARGE Less Profit (ICC Standard)" numFmtId="0">
      <sharedItems containsSemiMixedTypes="0" containsString="0" containsNumber="1" minValue="0" maxValue="12771.642324394885"/>
    </cacheField>
    <cacheField name=" Excess Capacity per Hospital" numFmtId="0">
      <sharedItems containsSemiMixedTypes="0" containsString="0" containsNumber="1" containsInteger="1" minValue="0" maxValue="0"/>
    </cacheField>
    <cacheField name="Weighted Excess Capacity" numFmtId="0">
      <sharedItems containsSemiMixedTypes="0" containsString="0" containsNumber="1" containsInteger="1" minValue="0" maxValue="0"/>
    </cacheField>
    <cacheField name=" Excess Capacity per Peer Group" numFmtId="0">
      <sharedItems containsSemiMixedTypes="0" containsString="0" containsNumber="1" containsInteger="1" minValue="0" maxValue="0"/>
    </cacheField>
    <cacheField name="ICC Standard Adjusted for Excess Capacity" numFmtId="0">
      <sharedItems containsSemiMixedTypes="0" containsString="0" containsNumber="1" minValue="0" maxValue="12576.85873805299"/>
    </cacheField>
    <cacheField name="ECMAD" numFmtId="0">
      <sharedItems containsSemiMixedTypes="0" containsString="0" containsNumber="1" minValue="566.52872944799947" maxValue="104111.82276682714"/>
    </cacheField>
    <cacheField name="IME Adjustment Per ECMAD" numFmtId="0">
      <sharedItems containsSemiMixedTypes="0" containsString="0" containsNumber="1" minValue="0" maxValue="2904.7925350190649"/>
    </cacheField>
    <cacheField name="ICC Standard Adjusted for IME" numFmtId="0">
      <sharedItems containsSemiMixedTypes="0" containsString="0" containsNumber="1" minValue="0" maxValue="15481.651273072055"/>
    </cacheField>
    <cacheField name="TOTAL ICC PERMANENT REVENUE ADJUSTED FOR IME/DSH" numFmtId="0">
      <sharedItems containsSemiMixedTypes="0" containsString="0" containsNumber="1" minValue="0" maxValue="1881449978.0790854"/>
    </cacheField>
    <cacheField name="LMA" numFmtId="0">
      <sharedItems containsSemiMixedTypes="0" containsString="0" containsNumber="1" minValue="0.99671861092415948" maxValue="1.0181752931904677"/>
    </cacheField>
    <cacheField name="TOTAL ICC PERMANENT REVENUE ADJUSTED FOR LMA" numFmtId="0">
      <sharedItems containsSemiMixedTypes="0" containsString="0" containsNumber="1" minValue="0" maxValue="1875276208.6742764"/>
    </cacheField>
    <cacheField name="ICC Standard Adjusted for LMA" numFmtId="0">
      <sharedItems containsSemiMixedTypes="0" containsString="0" containsNumber="1" minValue="0" maxValue="18986.279775809133"/>
    </cacheField>
    <cacheField name="DIRECT STRIP" numFmtId="0">
      <sharedItems containsSemiMixedTypes="0" containsString="0" containsNumber="1" minValue="0" maxValue="121878078.47076836"/>
    </cacheField>
    <cacheField name="TOTAL ICC PERMANENT REVENUE ADJUSTED FOR DIRECT STRIP" numFmtId="0">
      <sharedItems containsSemiMixedTypes="0" containsString="0" containsNumber="1" minValue="62612.30027663122" maxValue="1997154287.1450448"/>
    </cacheField>
    <cacheField name="ICC Standard Adjusted for Direct Strip" numFmtId="0">
      <sharedItems containsSemiMixedTypes="0" containsString="0" containsNumber="1" minValue="52.815548825294293" maxValue="20104.641965478237"/>
    </cacheField>
    <cacheField name="MARKUP" numFmtId="0">
      <sharedItems containsSemiMixedTypes="0" containsString="0" containsNumber="1" minValue="1.1035189993630976" maxValue="1.2317684965243516"/>
    </cacheField>
    <cacheField name="TOTAL ICC PERMANENT REVENUE ADJUSTED FOR MARKUP" numFmtId="0">
      <sharedItems containsSemiMixedTypes="0" containsString="0" containsNumber="1" minValue="70362.450495052093" maxValue="2208956803.631578"/>
    </cacheField>
    <cacheField name="ICC Standard Adjusted for Markup" numFmtId="0">
      <sharedItems containsSemiMixedTypes="0" containsString="0" containsNumber="1" minValue="59.35305719754534" maxValue="22415.932957349036"/>
    </cacheField>
    <cacheField name="PAU &amp; Genreal Volume ECMADS" numFmtId="0">
      <sharedItems containsSemiMixedTypes="0" containsString="0" containsNumber="1" containsInteger="1" minValue="0" maxValue="0"/>
    </cacheField>
    <cacheField name="ECMADS ADJUSTED FOR PAU &amp; General Volume" numFmtId="0">
      <sharedItems containsSemiMixedTypes="0" containsString="0" containsNumber="1" minValue="566.52872944799947" maxValue="104111.82276682714"/>
    </cacheField>
    <cacheField name="TOTAL ECMAD APPROVED ICC  REVENUE " numFmtId="0">
      <sharedItems containsSemiMixedTypes="0" containsString="0" containsNumber="1" minValue="70362.450495052093" maxValue="2208956803.631578"/>
    </cacheField>
    <cacheField name="TOTAL PERMANENT ICC REVENUE" numFmtId="0">
      <sharedItems containsSemiMixedTypes="0" containsString="0" containsNumber="1" minValue="6636375.6778513948" maxValue="2412318168.0345168"/>
    </cacheField>
    <cacheField name="% OVER/UNDER  TOTAL PERMANENT REVENUE" numFmtId="0">
      <sharedItems containsSemiMixedTypes="0" containsString="0" containsNumber="1" minValue="-0.99319501749002159" maxValue="0.128810774640461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llan Pack" refreshedDate="45079.583610532405" createdVersion="4" refreshedVersion="4" minRefreshableVersion="3" recordCount="876">
  <cacheSource type="worksheet">
    <worksheetSource ref="A1:AG65536" sheet="P-Schedule" r:id="rId2"/>
  </cacheSource>
  <cacheFields count="34">
    <cacheField name="BASEYEAR" numFmtId="0">
      <sharedItems containsBlank="1" count="2">
        <s v="FY2022"/>
        <m/>
      </sharedItems>
    </cacheField>
    <cacheField name="HOSPNUMB" numFmtId="0">
      <sharedItems containsString="0" containsBlank="1" containsNumber="1" containsInteger="1" minValue="210001" maxValue="218992" count="49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7"/>
        <n v="210018"/>
        <n v="210022"/>
        <n v="210023"/>
        <n v="210024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8"/>
        <n v="210049"/>
        <n v="210051"/>
        <n v="210055"/>
        <n v="210056"/>
        <n v="210058"/>
        <n v="210061"/>
        <n v="210062"/>
        <n v="210063"/>
        <n v="210064"/>
        <n v="210065"/>
        <n v="210088"/>
        <n v="210333"/>
        <n v="213300"/>
        <n v="214000"/>
        <n v="214020"/>
        <n v="218992"/>
        <m/>
      </sharedItems>
    </cacheField>
    <cacheField name="Hospital Name" numFmtId="0">
      <sharedItems containsBlank="1" count="44">
        <s v="Meritus"/>
        <s v="UMMC"/>
        <s v="PG Hospital"/>
        <s v="Holy Cross"/>
        <s v="Frederick"/>
        <s v="UM-Harford"/>
        <s v="Mercy"/>
        <s v="Johns Hopkins"/>
        <s v="UM-Dorchester"/>
        <s v="St. Agnes"/>
        <s v="Sinai"/>
        <s v="Bon Secours"/>
        <s v="MedStar Fr Square"/>
        <s v="Garrett"/>
        <s v="MedStar Montgomery"/>
        <s v="Suburban"/>
        <s v="Anne Arundel"/>
        <s v="MedStar Union Mem"/>
        <s v="MedStar St. Mary's"/>
        <s v="JH Bayview"/>
        <s v="UM-Chestertown"/>
        <s v="Union of Cecil"/>
        <s v="Carroll"/>
        <s v="MedStar Harbor"/>
        <s v="UM-Charles Regional"/>
        <s v="UM-Easton"/>
        <s v="UMMC Midtown"/>
        <s v="Calvert"/>
        <s v="Northwest"/>
        <s v="UM-BWMC"/>
        <s v="GBMC"/>
        <s v="Howard County"/>
        <s v="UM-Upper Chesapeake"/>
        <s v="Doctors"/>
        <s v="Laurel Regional"/>
        <s v="MedStar Good Sam"/>
        <s v="UMROI"/>
        <s v="Atlantic General"/>
        <s v="MedStar Southern MD"/>
        <s v="UM-St. Joe"/>
        <s v="Levindale"/>
        <s v="HC-Germantown"/>
        <m/>
        <s v="Shock Trauma"/>
      </sharedItems>
    </cacheField>
    <cacheField name="Eligble Hospitals" numFmtId="0">
      <sharedItems containsString="0" containsBlank="1" containsNumber="1" containsInteger="1" minValue="1" maxValue="1" count="2">
        <n v="1"/>
        <m/>
      </sharedItems>
    </cacheField>
    <cacheField name="SCHEDULE" numFmtId="0">
      <sharedItems containsBlank="1" count="5">
        <s v="P1"/>
        <s v="P4"/>
        <s v="P3"/>
        <s v="P2"/>
        <m/>
      </sharedItems>
    </cacheField>
    <cacheField name="COST_CENTER" numFmtId="0">
      <sharedItems containsBlank="1"/>
    </cacheField>
    <cacheField name="COST_CENTER_DESCRIPTION" numFmtId="0">
      <sharedItems containsBlank="1" count="56">
        <s v="Medical Surgical Acute"/>
        <s v="Psychiatric Acute"/>
        <s v="Definitive Observation"/>
        <s v="Medical Surgical Intensive Care"/>
        <s v="Newborn Nursery"/>
        <s v="Emergency Services"/>
        <s v="Clinic Services"/>
        <s v="Operating Room"/>
        <s v="Anesthesiology"/>
        <s v="Laboratory Services"/>
        <s v="Interventional Rad/Cardio"/>
        <s v="Radiology Diagnostic"/>
        <s v="Cat Scanner"/>
        <s v="Radiology-Therapeutic"/>
        <s v="Nuclear Medicine"/>
        <s v="Respiratory Therapy"/>
        <s v="Physical Therapy"/>
        <s v="MRI Scanner"/>
        <s v="Rehabilitation"/>
        <s v="Total"/>
        <s v="Pediatric Acute"/>
        <s v="Obstetric Acute"/>
        <s v="D- Reserved For Future Use 5"/>
        <s v="D- Reserved For Future Use 6"/>
        <s v="Coronary Care"/>
        <s v="Pediatric Intensive Care"/>
        <s v="Neonatal Intensive Care"/>
        <s v="Oncology"/>
        <s v="Labor &amp; Delivery"/>
        <s v="Electrocardiography"/>
        <s v="Pulmonary Function Testing"/>
        <s v="Electroencephalography"/>
        <s v="Occupational Therapy"/>
        <s v="Renal Dialysis"/>
        <s v="Oncology Clinic"/>
        <s v="Speech Therapy"/>
        <s v="Same Day Surgery"/>
        <s v="Medical Staff Administration"/>
        <s v="Observation"/>
        <s v="Operating Room Clinic"/>
        <s v="Psych Day/Night Care"/>
        <s v="Leukopheresis"/>
        <s v="Burn Care"/>
        <s v="Chronic Care"/>
        <s v="Premature Nursery"/>
        <s v="Hyperbaric Chamber"/>
        <s v="Freestanding Emergency"/>
        <s v="PEDIATRIC STEP DOWN"/>
        <s v="Adolescent Dual Diagnosed"/>
        <s v="Psychiatric- Adult"/>
        <s v="Psychiatric- Child/Adolescent"/>
        <s v="Psychiatric- Geriatric"/>
        <s v="Electro-Convulsive Therapy"/>
        <s v="Transcranial Magnetic Stimulation"/>
        <s v="Shock Trauma"/>
        <m/>
      </sharedItems>
    </cacheField>
    <cacheField name="P1_RESEARCH" numFmtId="0">
      <sharedItems containsString="0" containsBlank="1" containsNumber="1" minValue="0" maxValue="589.76673335817304" count="14">
        <n v="0"/>
        <m/>
        <n v="108.64891601111113"/>
        <n v="71.032508685530502"/>
        <n v="48.832092985958973"/>
        <n v="3.0066414791480347"/>
        <n v="247.13712627594137"/>
        <n v="0.29179664373107267"/>
        <n v="97.664185971917959"/>
        <n v="13.153465304834114"/>
        <n v="589.76673335817304"/>
        <n v="8.9805662983421239"/>
        <n v="38.562777705545095"/>
        <n v="77.125555411090204"/>
      </sharedItems>
    </cacheField>
    <cacheField name="P1_CHMEDSTF" numFmtId="0">
      <sharedItems containsString="0" containsBlank="1" containsNumber="1" minValue="0" maxValue="940.6" count="27">
        <n v="0"/>
        <m/>
        <n v="103.6"/>
        <n v="637.6576"/>
        <n v="169.14422849999997"/>
        <n v="326.85944866968475"/>
        <n v="932.97250172010001"/>
        <n v="294.07299999999998"/>
        <n v="640.65153505492106"/>
        <n v="340.79120414618092"/>
        <n v="394.52774986812091"/>
        <n v="689.76099999999997"/>
        <n v="436.8"/>
        <n v="461.46848950608762"/>
        <n v="106.82088"/>
        <n v="767.10424520996116"/>
        <n v="28.5"/>
        <n v="410.19798255750078"/>
        <n v="417.82600000000002"/>
        <n v="117.2404943326566"/>
        <n v="257.983"/>
        <n v="940.6"/>
        <n v="346.4761762710408"/>
        <n v="546.67445095740231"/>
        <n v="435"/>
        <n v="60.466999999999999"/>
        <n v="189.06512499999999"/>
      </sharedItems>
    </cacheField>
    <cacheField name="P1_MEDCARVM" numFmtId="0">
      <sharedItems containsString="0" containsBlank="1" containsNumber="1" minValue="0" maxValue="3931.177022996751"/>
    </cacheField>
    <cacheField name="P1_ADMINSUP" numFmtId="0">
      <sharedItems containsString="0" containsBlank="1" containsNumber="1" minValue="-221.828" maxValue="20367.381962169609"/>
    </cacheField>
    <cacheField name="P1_PROFCOMP" numFmtId="0">
      <sharedItems containsString="0" containsBlank="1" containsNumber="1" minValue="-6.3892363875382525" maxValue="2144.6708187206978" count="6">
        <n v="0"/>
        <m/>
        <n v="2144.6708187206978"/>
        <n v="-6.3892363875382525"/>
        <n v="2138.2815823331598"/>
        <n v="46.537167877400741"/>
      </sharedItems>
    </cacheField>
    <cacheField name="P1_EDUCATIO" numFmtId="0">
      <sharedItems containsString="0" containsBlank="1" containsNumber="1" minValue="0" maxValue="77802.645999999964"/>
    </cacheField>
    <cacheField name="P1_TOTAL" numFmtId="0">
      <sharedItems containsString="0" containsBlank="1" containsNumber="1" minValue="-221.828" maxValue="90784.882999999973"/>
    </cacheField>
    <cacheField name="P2_WSF" numFmtId="0">
      <sharedItems containsString="0" containsBlank="1" containsNumber="1" minValue="-6.3892363875382525" maxValue="2144.6708187206978" count="6">
        <m/>
        <n v="0"/>
        <n v="2144.6708187206978"/>
        <n v="-6.3892363875382525"/>
        <n v="2138.2815823331593"/>
        <n v="46.537167877400741"/>
      </sharedItems>
    </cacheField>
    <cacheField name="P2_CAFE" numFmtId="0">
      <sharedItems containsString="0" containsBlank="1" containsNumber="1" minValue="0" maxValue="8.2836545553876846" count="5">
        <m/>
        <n v="7.8868427651394706"/>
        <n v="0.39681179024821495"/>
        <n v="0"/>
        <n v="8.2836545553876846"/>
      </sharedItems>
    </cacheField>
    <cacheField name="P2_DONA" numFmtId="0">
      <sharedItems containsString="0" containsBlank="1" containsNumber="1" containsInteger="1" minValue="0" maxValue="0" count="2">
        <m/>
        <n v="0"/>
      </sharedItems>
    </cacheField>
    <cacheField name="P2_ADJTEX" numFmtId="0">
      <sharedItems containsString="0" containsBlank="1" containsNumber="1" minValue="-6.3892363875382525" maxValue="2146.5652368885471" count="7">
        <m/>
        <n v="7.8868427651394706"/>
        <n v="0.39681179024821495"/>
        <n v="2144.6708187206978"/>
        <n v="-6.3892363875382525"/>
        <n v="2146.5652368885471"/>
        <n v="46.537167877400741"/>
      </sharedItems>
    </cacheField>
    <cacheField name="P2_FTE" numFmtId="0">
      <sharedItems containsString="0" containsBlank="1" containsNumber="1" minValue="0" maxValue="3.6614294294083232" count="5">
        <m/>
        <n v="0"/>
        <n v="3.4860360258041068"/>
        <n v="0.17539340360421626"/>
        <n v="3.6614294294083232"/>
      </sharedItems>
    </cacheField>
    <cacheField name="P3_WSF" numFmtId="0">
      <sharedItems containsString="0" containsBlank="1" containsNumber="1" minValue="4.1486814440324024E-2" maxValue="54219.894102416001"/>
    </cacheField>
    <cacheField name="P3_CAFE" numFmtId="0">
      <sharedItems containsString="0" containsBlank="1" containsNumber="1" minValue="0" maxValue="71.753926195529516"/>
    </cacheField>
    <cacheField name="P3_DONA" numFmtId="0">
      <sharedItems containsString="0" containsBlank="1" containsNumber="1" containsInteger="1" minValue="0" maxValue="0" count="2">
        <m/>
        <n v="0"/>
      </sharedItems>
    </cacheField>
    <cacheField name="P3_ADJTEX" numFmtId="0">
      <sharedItems containsString="0" containsBlank="1" containsNumber="1" minValue="4.1486814440324024E-2" maxValue="54219.894102416001"/>
    </cacheField>
    <cacheField name="P3_FTE" numFmtId="0">
      <sharedItems containsString="0" containsBlank="1" containsNumber="1" minValue="0" maxValue="288.40181511169538"/>
    </cacheField>
    <cacheField name="P4_WSF" numFmtId="0">
      <sharedItems containsString="0" containsBlank="1" containsNumber="1" minValue="0" maxValue="65317.028146092343"/>
    </cacheField>
    <cacheField name="P4_SUPWSF" numFmtId="0">
      <sharedItems containsString="0" containsBlank="1" containsNumber="1" minValue="0" maxValue="77802.645999999964"/>
    </cacheField>
    <cacheField name="P4_OEX" numFmtId="0">
      <sharedItems containsString="0" containsBlank="1" containsNumber="1" minValue="0" maxValue="68392.639103597743"/>
    </cacheField>
    <cacheField name="P4_ADJWSF" numFmtId="0">
      <sharedItems containsString="0" containsBlank="1" containsNumber="1" minValue="0" maxValue="146521.70961469889"/>
    </cacheField>
    <cacheField name="P4_CAFE" numFmtId="0">
      <sharedItems containsString="0" containsBlank="1" containsNumber="1" minValue="0" maxValue="190.24984285822563"/>
    </cacheField>
    <cacheField name="P4_ADJTEX" numFmtId="0">
      <sharedItems containsString="0" containsBlank="1" containsNumber="1" minValue="2.0406440389387607E-2" maxValue="146521.70961469889"/>
    </cacheField>
    <cacheField name="P4_RESINTR_FTE" numFmtId="0">
      <sharedItems containsString="0" containsBlank="1" containsNumber="1" minValue="0" maxValue="902.5599999999996"/>
    </cacheField>
    <cacheField name="P4_PHYSUP_FTE" numFmtId="0">
      <sharedItems containsString="0" containsBlank="1" containsNumber="1" minValue="0" maxValue="238.78263595336904"/>
    </cacheField>
    <cacheField name="P4_TOTAL_FTE" numFmtId="0">
      <sharedItems containsString="0" containsBlank="1" containsNumber="1" minValue="2.2836538461538463E-3" maxValue="1044.2093808834293"/>
    </cacheField>
    <cacheField name="Cost per Resident" numFmtId="0" formula="P4_ADJWSF/P4_RESINTR_FTE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Allan Pack" refreshedDate="45081.614631828706" createdVersion="4" refreshedVersion="4" minRefreshableVersion="3" recordCount="52">
  <cacheSource type="worksheet">
    <worksheetSource ref="A2:Z54" sheet="Integrated Effic - ICC Cycle II"/>
  </cacheSource>
  <cacheFields count="26">
    <cacheField name="HOSPID" numFmtId="0">
      <sharedItems containsSemiMixedTypes="0" containsString="0" containsNumber="1" containsInteger="1" minValue="210001" maxValue="990099" count="53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5"/>
        <n v="910003"/>
        <n v="910008"/>
        <n v="910012"/>
        <n v="910024"/>
        <n v="910029"/>
        <n v="990099" u="1"/>
      </sharedItems>
    </cacheField>
    <cacheField name="HOSPITAL NAME" numFmtId="0">
      <sharedItems count="50">
        <s v="MERITUS MEDICAL CENTER"/>
        <s v="UNIVERSITY OF MARYLAND MEDICAL CENTER"/>
        <s v="PRINCE GEORGES HOSPITAL CENTER"/>
        <s v="HOLY CROSS HOSPITAL"/>
        <s v="FREDERICK MEMORIAL HOSPITAL"/>
        <s v="UM-HARFORD MEMORIAL HOSPITAL"/>
        <s v="MERCY MEDICAL CENTER"/>
        <s v="JOHNS HOPKINS HOSPITAL"/>
        <s v="UM-SHORE REGIONAL HEALTH AT DORCHESTER"/>
        <s v="ST. AGNES HOSPITAL"/>
        <s v="SINAI HOSPITAL"/>
        <s v="BON SECOURS HOSPITAL"/>
        <s v="MEDSTAR FRANKLIN SQUARE"/>
        <s v="WASHINGTON ADVENTIST HOSPITAL"/>
        <s v="GARRETT COUNTY MEMORIAL HOSPITAL"/>
        <s v="MEDSTAR MONTGOMERY MEDICAL CENTER"/>
        <s v="PENINSULA REGIONAL MEDICAL CENTER"/>
        <s v="SUBURBAN HOSPITAL"/>
        <s v="ANNE ARUNDEL MEDICAL CENTER"/>
        <s v="MEDSTAR UNION MEMORIAL HOSPITAL"/>
        <s v="WESTERN MARYLAND REGIONAL MEDICAL CENTER"/>
        <s v="MEDSTAR ST. MARY'S HOSPITAL "/>
        <s v="JOHNS HOPKINS BAYVIEW MEDICAL CENTER"/>
        <s v="UM-SHORE REGIONAL HEALTH AT CHESTERTOWN"/>
        <s v="UNION HOSPITAL OF CECIL COUNTY"/>
        <s v="CARROLL HOSPITAL CENTER"/>
        <s v="MEDSTAR HARBOR HOSPITAL CENTER"/>
        <s v="UM-CHARLES REGIONAL MEDICAL CENTER"/>
        <s v="UM-SHORE REGIONAL HEALTH AT EASTON"/>
        <s v="UMMC MIDTOWN CAMPUS"/>
        <s v="CALVERT MEMORIAL HOSPITAL"/>
        <s v="NORTHWEST HOSPITAL CENTER"/>
        <s v="UM-BALTIMORE WASHINGTON MEDICAL CENTER"/>
        <s v="GREATER BALTIMORE MEDICAL CENTER"/>
        <s v="MCCREADY MEMORIAL HOSPITAL"/>
        <s v="HOWARD COUNTY GENERAL HOSPITAL"/>
        <s v="UM-UPPER CHESAPEAKE MEDICAL CENTER"/>
        <s v="DOCTORS COMMUNITY HOSPITAL"/>
        <s v="LAUREL REGIONAL HOSPITAL"/>
        <s v="MEDSTAR GOOD SAMARITAN"/>
        <s v="SHADY GROVE ADVENTIST HOSPITAL"/>
        <s v="UM-REHABILITATION &amp; ORTHOPAEDIC INSTITUTE"/>
        <s v="FORT WASHINGTON MEDICAL CENTER"/>
        <s v="ATLANTIC GENERAL HOSPITAL"/>
        <s v="MEDSTAR SOUTHERN MARYLAND HOSPITAL CENTER"/>
        <s v="UM-ST. JOSEPH MEDICAL CENTER"/>
        <s v="Holy Cross Germantown"/>
        <s v="Prince Georges Hospital"/>
        <s v="Union Memorial Hospital"/>
        <s v="Holy Cross Hospitals" u="1"/>
      </sharedItems>
    </cacheField>
    <cacheField name="PEER GROUP" numFmtId="0">
      <sharedItems containsMixedTypes="1" containsNumber="1" containsInteger="1" minValue="1" maxValue="5" count="5">
        <n v="1"/>
        <n v="5"/>
        <s v="NA"/>
        <n v="3" u="1"/>
        <n v="4" u="1"/>
      </sharedItems>
    </cacheField>
    <cacheField name="REM PEER STANDARD EFFICIENCY CHARGE Less Profit (ICC Standard)" numFmtId="0">
      <sharedItems containsSemiMixedTypes="0" containsString="0" containsNumber="1" minValue="0" maxValue="12764.987141656744"/>
    </cacheField>
    <cacheField name=" Excess Capacity per Hospital" numFmtId="0">
      <sharedItems containsSemiMixedTypes="0" containsString="0" containsNumber="1" containsInteger="1" minValue="0" maxValue="0"/>
    </cacheField>
    <cacheField name="Weighted Excess Capacity" numFmtId="0">
      <sharedItems containsSemiMixedTypes="0" containsString="0" containsNumber="1" containsInteger="1" minValue="0" maxValue="0"/>
    </cacheField>
    <cacheField name="ICC Standard Adjusted for Excess Capacity" numFmtId="0">
      <sharedItems containsSemiMixedTypes="0" containsString="0" containsNumber="1" minValue="0" maxValue="12570.305055210365"/>
    </cacheField>
    <cacheField name="ECMAD" numFmtId="0">
      <sharedItems containsSemiMixedTypes="0" containsString="0" containsNumber="1" minValue="566.52872944799947" maxValue="104111.82276682714"/>
    </cacheField>
    <cacheField name="IME Adjustment Per ECMAD" numFmtId="0">
      <sharedItems containsSemiMixedTypes="0" containsString="0" containsNumber="1" minValue="0" maxValue="2904.7925350190649"/>
    </cacheField>
    <cacheField name="DSH Adjustment Per ECMAD" numFmtId="0">
      <sharedItems containsSemiMixedTypes="0" containsString="0" containsNumber="1" minValue="0" maxValue="7868.5453936392714"/>
    </cacheField>
    <cacheField name="ICC Standard Adjusted for IME/DSH" numFmtId="0">
      <sharedItems containsSemiMixedTypes="0" containsString="0" containsNumber="1" minValue="0" maxValue="19042.232572091471"/>
    </cacheField>
    <cacheField name="TOTAL ICC PERMANENT REVENUE ADJUSTED FOR IME/DSH" numFmtId="0">
      <sharedItems containsSemiMixedTypes="0" containsString="0" containsNumber="1" minValue="0" maxValue="1880767662.2125044"/>
    </cacheField>
    <cacheField name="LMA" numFmtId="0">
      <sharedItems containsSemiMixedTypes="0" containsString="0" containsNumber="1" minValue="0.99671861092415948" maxValue="1.0181752931904677"/>
    </cacheField>
    <cacheField name="TOTAL ICC PERMANENT REVENUE ADJUSTED FOR LMA" numFmtId="0">
      <sharedItems containsSemiMixedTypes="0" containsString="0" containsNumber="1" minValue="0" maxValue="1874596131.7515261"/>
    </cacheField>
    <cacheField name="ICC Standard Adjusted for LMA" numFmtId="0">
      <sharedItems containsSemiMixedTypes="0" containsString="0" containsNumber="1" minValue="0" maxValue="18979.747598149792"/>
    </cacheField>
    <cacheField name="DIRECT STRIP" numFmtId="0">
      <sharedItems containsSemiMixedTypes="0" containsString="0" containsNumber="1" minValue="0" maxValue="121878078.47076836"/>
    </cacheField>
    <cacheField name="TOTAL ICC PERMANENT REVENUE ADJUSTED FOR DIRECT STRIP" numFmtId="0">
      <sharedItems containsSemiMixedTypes="0" containsString="0" containsNumber="1" minValue="62612.30027663122" maxValue="1996474210.2222946"/>
    </cacheField>
    <cacheField name="ICC Standard Adjusted for Direct Strip" numFmtId="0">
      <sharedItems containsSemiMixedTypes="0" containsString="0" containsNumber="1" minValue="52.815548825294293" maxValue="20095.438324822819"/>
    </cacheField>
    <cacheField name="MARKUP" numFmtId="0">
      <sharedItems containsSemiMixedTypes="0" containsString="0" containsNumber="1" minValue="1.1035189993630976" maxValue="1.2317684965243516"/>
    </cacheField>
    <cacheField name="TOTAL ICC PERMANENT REVENUE ADJUSTED FOR MARKUP" numFmtId="0">
      <sharedItems containsSemiMixedTypes="0" containsString="0" containsNumber="1" minValue="70362.450495052093" maxValue="2208204603.0854449"/>
    </cacheField>
    <cacheField name="ICC Standard Adjusted for Markup" numFmtId="0">
      <sharedItems containsSemiMixedTypes="0" containsString="0" containsNumber="1" minValue="59.35305719754534" maxValue="22405.671238077954"/>
    </cacheField>
    <cacheField name="PAU &amp; Genreal Volume ECMADS" numFmtId="0">
      <sharedItems containsSemiMixedTypes="0" containsString="0" containsNumber="1" minValue="-1311.7021578670669" maxValue="1654.6617448541529"/>
    </cacheField>
    <cacheField name="ECMADS ADJUSTED FOR PAU &amp; General Volume" numFmtId="0">
      <sharedItems containsSemiMixedTypes="0" containsString="0" containsNumber="1" minValue="566.52872944799947" maxValue="104687.19225776945"/>
    </cacheField>
    <cacheField name="TOTAL ECMAD APPROVED ICC  REVENUE " numFmtId="0">
      <sharedItems containsSemiMixedTypes="0" containsString="0" containsNumber="1" minValue="79322.044162506252" maxValue="2220408150.4310646"/>
    </cacheField>
    <cacheField name="TOTAL PERMANENT ICC REVENUE" numFmtId="0">
      <sharedItems containsSemiMixedTypes="0" containsString="0" containsNumber="1" minValue="6636375.6778513948" maxValue="2412318168.0345168"/>
    </cacheField>
    <cacheField name="% OVER/UNDER  TOTAL PERMANENT REVENUE" numFmtId="0">
      <sharedItems containsSemiMixedTypes="0" containsString="0" containsNumber="1" minValue="-0.9923285059092769" maxValue="0.142159670909245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94">
  <r>
    <x v="0"/>
    <x v="0"/>
    <x v="0"/>
    <x v="0"/>
    <x v="0"/>
    <x v="0"/>
    <x v="0"/>
    <n v="1576"/>
    <n v="288.15585032661454"/>
    <n v="1441.3972456252036"/>
    <n v="17665722.869999968"/>
    <n v="326"/>
    <n v="3457555.4300000025"/>
  </r>
  <r>
    <x v="0"/>
    <x v="0"/>
    <x v="0"/>
    <x v="0"/>
    <x v="1"/>
    <x v="1"/>
    <x v="0"/>
    <n v="2679"/>
    <n v="497.84597965350287"/>
    <n v="4475.221231950266"/>
    <n v="109408524.93999986"/>
    <n v="417"/>
    <n v="12847351.369999986"/>
  </r>
  <r>
    <x v="0"/>
    <x v="0"/>
    <x v="0"/>
    <x v="0"/>
    <x v="2"/>
    <x v="2"/>
    <x v="0"/>
    <n v="1257"/>
    <n v="212.04752229683655"/>
    <n v="1170.7730150750858"/>
    <n v="17412705.649999991"/>
    <n v="223"/>
    <n v="2978808.5700000012"/>
  </r>
  <r>
    <x v="0"/>
    <x v="0"/>
    <x v="0"/>
    <x v="0"/>
    <x v="3"/>
    <x v="3"/>
    <x v="0"/>
    <n v="3171"/>
    <n v="337.79446569382577"/>
    <n v="2581.4685050915932"/>
    <n v="30841741.169999871"/>
    <n v="376"/>
    <n v="4308465.0299999984"/>
  </r>
  <r>
    <x v="0"/>
    <x v="0"/>
    <x v="0"/>
    <x v="0"/>
    <x v="4"/>
    <x v="4"/>
    <x v="0"/>
    <n v="1708"/>
    <n v="263.85638963638189"/>
    <n v="1459.0640453999824"/>
    <n v="16008438.80999998"/>
    <n v="301"/>
    <n v="2866126.9899999988"/>
  </r>
  <r>
    <x v="0"/>
    <x v="0"/>
    <x v="0"/>
    <x v="0"/>
    <x v="5"/>
    <x v="5"/>
    <x v="0"/>
    <n v="505"/>
    <n v="104.13293067252245"/>
    <n v="376.92071819504662"/>
    <n v="5344872.0400000019"/>
    <n v="145"/>
    <n v="1404789.3699999994"/>
  </r>
  <r>
    <x v="0"/>
    <x v="0"/>
    <x v="0"/>
    <x v="0"/>
    <x v="6"/>
    <x v="6"/>
    <x v="0"/>
    <n v="1632"/>
    <n v="137.26280425018564"/>
    <n v="1673.7804586627926"/>
    <n v="20772027.169999976"/>
    <n v="183"/>
    <n v="2017101.669999999"/>
  </r>
  <r>
    <x v="0"/>
    <x v="0"/>
    <x v="0"/>
    <x v="0"/>
    <x v="7"/>
    <x v="7"/>
    <x v="0"/>
    <n v="4219"/>
    <n v="736.66562060905119"/>
    <n v="5860.40483829206"/>
    <n v="124601660.50000007"/>
    <n v="687"/>
    <n v="17614705.839999992"/>
  </r>
  <r>
    <x v="0"/>
    <x v="0"/>
    <x v="0"/>
    <x v="0"/>
    <x v="8"/>
    <x v="8"/>
    <x v="0"/>
    <n v="218"/>
    <n v="46.96153340133845"/>
    <n v="148.80748310301502"/>
    <n v="2740825.6500000022"/>
    <n v="69"/>
    <n v="1150192.2300000002"/>
  </r>
  <r>
    <x v="0"/>
    <x v="0"/>
    <x v="0"/>
    <x v="0"/>
    <x v="9"/>
    <x v="9"/>
    <x v="0"/>
    <n v="1844"/>
    <n v="334.15401174023361"/>
    <n v="1594.1622806777609"/>
    <n v="20951138.309999995"/>
    <n v="421"/>
    <n v="4337931.3499999978"/>
  </r>
  <r>
    <x v="0"/>
    <x v="0"/>
    <x v="0"/>
    <x v="0"/>
    <x v="10"/>
    <x v="10"/>
    <x v="0"/>
    <n v="2128"/>
    <n v="320.43825091508091"/>
    <n v="2322.1098433979523"/>
    <n v="36206427.829999939"/>
    <n v="390"/>
    <n v="5116111.0699999975"/>
  </r>
  <r>
    <x v="1"/>
    <x v="1"/>
    <x v="1"/>
    <x v="1"/>
    <x v="11"/>
    <x v="11"/>
    <x v="0"/>
    <n v="632"/>
    <n v="203.45745300000002"/>
    <n v="638.68765699999938"/>
    <n v="7899671.2199999997"/>
    <n v="221"/>
    <n v="2531749.5899999994"/>
  </r>
  <r>
    <x v="0"/>
    <x v="0"/>
    <x v="0"/>
    <x v="0"/>
    <x v="12"/>
    <x v="12"/>
    <x v="0"/>
    <n v="2620"/>
    <n v="479.44217988811272"/>
    <n v="2125.0662719098327"/>
    <n v="28246888.920000043"/>
    <n v="601"/>
    <n v="6574744.5699999966"/>
  </r>
  <r>
    <x v="0"/>
    <x v="0"/>
    <x v="0"/>
    <x v="0"/>
    <x v="13"/>
    <x v="13"/>
    <x v="0"/>
    <n v="1200"/>
    <n v="201.2649934342914"/>
    <n v="1023.1408249570853"/>
    <n v="14776430.250000015"/>
    <n v="220"/>
    <n v="2925379.5100000002"/>
  </r>
  <r>
    <x v="0"/>
    <x v="0"/>
    <x v="0"/>
    <x v="0"/>
    <x v="14"/>
    <x v="14"/>
    <x v="0"/>
    <n v="215"/>
    <n v="17.943180771261879"/>
    <n v="172.85446279646624"/>
    <n v="1985957.82"/>
    <n v="26"/>
    <n v="298077.48000000004"/>
  </r>
  <r>
    <x v="0"/>
    <x v="0"/>
    <x v="0"/>
    <x v="0"/>
    <x v="15"/>
    <x v="15"/>
    <x v="0"/>
    <n v="808"/>
    <n v="120.27765146671086"/>
    <n v="665.24398151952494"/>
    <n v="7511324.0599999987"/>
    <n v="151"/>
    <n v="1386597.9400000002"/>
  </r>
  <r>
    <x v="0"/>
    <x v="0"/>
    <x v="0"/>
    <x v="0"/>
    <x v="16"/>
    <x v="16"/>
    <x v="0"/>
    <n v="1747"/>
    <n v="292.23702727458817"/>
    <n v="1722.6837920393707"/>
    <n v="21577797.470000047"/>
    <n v="324"/>
    <n v="3829229.2499999981"/>
  </r>
  <r>
    <x v="0"/>
    <x v="0"/>
    <x v="0"/>
    <x v="0"/>
    <x v="17"/>
    <x v="17"/>
    <x v="0"/>
    <n v="1299"/>
    <n v="196.93956948943165"/>
    <n v="1477.9970101586214"/>
    <n v="18233620.370000001"/>
    <n v="230"/>
    <n v="2260208.61"/>
  </r>
  <r>
    <x v="0"/>
    <x v="0"/>
    <x v="0"/>
    <x v="0"/>
    <x v="18"/>
    <x v="18"/>
    <x v="0"/>
    <n v="2854"/>
    <n v="368.83298129814909"/>
    <n v="2439.2744819042805"/>
    <n v="27412041.499999803"/>
    <n v="448"/>
    <n v="4355687.6800000016"/>
  </r>
  <r>
    <x v="0"/>
    <x v="0"/>
    <x v="0"/>
    <x v="0"/>
    <x v="19"/>
    <x v="19"/>
    <x v="0"/>
    <n v="1176"/>
    <n v="246.66950585547875"/>
    <n v="1518.1331296469709"/>
    <n v="22398203.190000016"/>
    <n v="269"/>
    <n v="3951504.1700000013"/>
  </r>
  <r>
    <x v="0"/>
    <x v="0"/>
    <x v="0"/>
    <x v="0"/>
    <x v="20"/>
    <x v="20"/>
    <x v="0"/>
    <n v="1195"/>
    <n v="193.02667353931292"/>
    <n v="1119.2970377312984"/>
    <n v="14769127.120000023"/>
    <n v="220"/>
    <n v="2373632.0000000005"/>
  </r>
  <r>
    <x v="0"/>
    <x v="0"/>
    <x v="0"/>
    <x v="0"/>
    <x v="21"/>
    <x v="21"/>
    <x v="0"/>
    <n v="938"/>
    <n v="133.06714230367157"/>
    <n v="665.34673151821266"/>
    <n v="8446273.6100000031"/>
    <n v="184"/>
    <n v="1732958.4400000006"/>
  </r>
  <r>
    <x v="0"/>
    <x v="0"/>
    <x v="0"/>
    <x v="0"/>
    <x v="22"/>
    <x v="22"/>
    <x v="0"/>
    <n v="1981"/>
    <n v="358.46327043034142"/>
    <n v="1809.6803609303574"/>
    <n v="29987522.790000036"/>
    <n v="438"/>
    <n v="6189884.3099999949"/>
  </r>
  <r>
    <x v="0"/>
    <x v="0"/>
    <x v="0"/>
    <x v="0"/>
    <x v="23"/>
    <x v="23"/>
    <x v="0"/>
    <n v="165"/>
    <n v="35.50925254733113"/>
    <n v="137.55872324641331"/>
    <n v="2279456.31"/>
    <n v="52"/>
    <n v="551114.09"/>
  </r>
  <r>
    <x v="0"/>
    <x v="0"/>
    <x v="0"/>
    <x v="0"/>
    <x v="24"/>
    <x v="24"/>
    <x v="0"/>
    <n v="600"/>
    <n v="120.76618746048315"/>
    <n v="464.43151607946726"/>
    <n v="6935728.7500000084"/>
    <n v="156"/>
    <n v="1678017.6499999997"/>
  </r>
  <r>
    <x v="0"/>
    <x v="0"/>
    <x v="0"/>
    <x v="0"/>
    <x v="25"/>
    <x v="25"/>
    <x v="0"/>
    <n v="1076"/>
    <n v="194.80094351669464"/>
    <n v="903.81725147821237"/>
    <n v="12146926.800000003"/>
    <n v="237"/>
    <n v="2518972.5600000024"/>
  </r>
  <r>
    <x v="0"/>
    <x v="0"/>
    <x v="0"/>
    <x v="0"/>
    <x v="26"/>
    <x v="26"/>
    <x v="0"/>
    <n v="886"/>
    <n v="145.02540115122875"/>
    <n v="730.60788568627038"/>
    <n v="10406301.269999975"/>
    <n v="182"/>
    <n v="1984734.2800000003"/>
  </r>
  <r>
    <x v="0"/>
    <x v="0"/>
    <x v="0"/>
    <x v="0"/>
    <x v="27"/>
    <x v="27"/>
    <x v="0"/>
    <n v="704"/>
    <n v="135.8275772684818"/>
    <n v="540.39235511112327"/>
    <n v="7119034.7100000056"/>
    <n v="157"/>
    <n v="1945068.7899999991"/>
  </r>
  <r>
    <x v="0"/>
    <x v="0"/>
    <x v="0"/>
    <x v="0"/>
    <x v="28"/>
    <x v="28"/>
    <x v="0"/>
    <n v="835"/>
    <n v="121.32983845329773"/>
    <n v="682.57571329858035"/>
    <n v="9114649.1800000109"/>
    <n v="155"/>
    <n v="1712061.8799999997"/>
  </r>
  <r>
    <x v="0"/>
    <x v="0"/>
    <x v="0"/>
    <x v="0"/>
    <x v="29"/>
    <x v="29"/>
    <x v="0"/>
    <n v="490"/>
    <n v="133.63323229645508"/>
    <n v="475.3620619401251"/>
    <n v="11380662.400000004"/>
    <n v="146"/>
    <n v="2871183.2500000005"/>
  </r>
  <r>
    <x v="0"/>
    <x v="0"/>
    <x v="0"/>
    <x v="0"/>
    <x v="30"/>
    <x v="30"/>
    <x v="0"/>
    <n v="568"/>
    <n v="98.570591743430597"/>
    <n v="417.59823867649391"/>
    <n v="6210968.3799999952"/>
    <n v="126"/>
    <n v="1391681.2099999997"/>
  </r>
  <r>
    <x v="0"/>
    <x v="0"/>
    <x v="0"/>
    <x v="0"/>
    <x v="31"/>
    <x v="31"/>
    <x v="0"/>
    <n v="938"/>
    <n v="242.44776390929707"/>
    <n v="815.48240760430019"/>
    <n v="10782929.399999987"/>
    <n v="283"/>
    <n v="3208777.0499999993"/>
  </r>
  <r>
    <x v="0"/>
    <x v="0"/>
    <x v="0"/>
    <x v="0"/>
    <x v="32"/>
    <x v="32"/>
    <x v="0"/>
    <n v="1778"/>
    <n v="427.07994855562163"/>
    <n v="1659.8071208409215"/>
    <n v="20989659.330000009"/>
    <n v="483"/>
    <n v="5557991.1999999993"/>
  </r>
  <r>
    <x v="0"/>
    <x v="0"/>
    <x v="0"/>
    <x v="0"/>
    <x v="33"/>
    <x v="33"/>
    <x v="0"/>
    <n v="2005"/>
    <n v="224.73600213508485"/>
    <n v="1596.1086366529571"/>
    <n v="20149134.079999946"/>
    <n v="257"/>
    <n v="3136850.6699999995"/>
  </r>
  <r>
    <x v="0"/>
    <x v="0"/>
    <x v="0"/>
    <x v="0"/>
    <x v="34"/>
    <x v="34"/>
    <x v="0"/>
    <n v="18"/>
    <n v="2.8380729638204913"/>
    <n v="12.309912843074295"/>
    <n v="173956.37000000002"/>
    <n v="4"/>
    <n v="46581.57"/>
  </r>
  <r>
    <x v="0"/>
    <x v="0"/>
    <x v="0"/>
    <x v="0"/>
    <x v="35"/>
    <x v="35"/>
    <x v="0"/>
    <n v="2000"/>
    <n v="253.00564477470593"/>
    <n v="1460.6002113804068"/>
    <n v="15835954.900000008"/>
    <n v="305"/>
    <n v="2663981.9699999983"/>
  </r>
  <r>
    <x v="0"/>
    <x v="0"/>
    <x v="0"/>
    <x v="0"/>
    <x v="36"/>
    <x v="36"/>
    <x v="0"/>
    <n v="1492"/>
    <n v="235.8018389940186"/>
    <n v="1165.9702431363173"/>
    <n v="14111010.76"/>
    <n v="307"/>
    <n v="2914160.8499999996"/>
  </r>
  <r>
    <x v="0"/>
    <x v="0"/>
    <x v="0"/>
    <x v="0"/>
    <x v="37"/>
    <x v="37"/>
    <x v="0"/>
    <n v="928"/>
    <n v="227.76323809649398"/>
    <n v="901.37312450937384"/>
    <n v="12535209.730000012"/>
    <n v="246"/>
    <n v="3389228.0399999996"/>
  </r>
  <r>
    <x v="0"/>
    <x v="0"/>
    <x v="0"/>
    <x v="0"/>
    <x v="38"/>
    <x v="38"/>
    <x v="0"/>
    <n v="423"/>
    <n v="88.426509872746507"/>
    <n v="423.35531060310291"/>
    <n v="5232070.2799999975"/>
    <n v="85"/>
    <n v="1036271.3899999995"/>
  </r>
  <r>
    <x v="0"/>
    <x v="0"/>
    <x v="0"/>
    <x v="0"/>
    <x v="39"/>
    <x v="39"/>
    <x v="0"/>
    <n v="1097"/>
    <n v="300.22865217271118"/>
    <n v="1196.2199227506906"/>
    <n v="15582480.85999999"/>
    <n v="303"/>
    <n v="3805538.9599999995"/>
  </r>
  <r>
    <x v="0"/>
    <x v="0"/>
    <x v="0"/>
    <x v="0"/>
    <x v="40"/>
    <x v="40"/>
    <x v="0"/>
    <n v="1892"/>
    <n v="211.69830630128831"/>
    <n v="1552.4437502095875"/>
    <n v="19763952.229999918"/>
    <n v="228"/>
    <n v="3002508.87"/>
  </r>
  <r>
    <x v="0"/>
    <x v="0"/>
    <x v="0"/>
    <x v="0"/>
    <x v="41"/>
    <x v="41"/>
    <x v="0"/>
    <n v="275"/>
    <n v="1.6592449788480887"/>
    <n v="512.89553046165202"/>
    <n v="6140697.2700000023"/>
    <n v="1"/>
    <n v="32778.519999999997"/>
  </r>
  <r>
    <x v="0"/>
    <x v="0"/>
    <x v="0"/>
    <x v="0"/>
    <x v="42"/>
    <x v="42"/>
    <x v="0"/>
    <n v="233"/>
    <n v="54.097882310364888"/>
    <n v="171.72844681082066"/>
    <n v="1974126.2399999998"/>
    <n v="69"/>
    <n v="623697.34000000008"/>
  </r>
  <r>
    <x v="0"/>
    <x v="0"/>
    <x v="0"/>
    <x v="0"/>
    <x v="43"/>
    <x v="43"/>
    <x v="0"/>
    <n v="307"/>
    <n v="61.044443221810717"/>
    <n v="332.48599276149764"/>
    <n v="3491412.3600000008"/>
    <n v="71"/>
    <n v="538067.19000000018"/>
  </r>
  <r>
    <x v="0"/>
    <x v="0"/>
    <x v="0"/>
    <x v="0"/>
    <x v="44"/>
    <x v="44"/>
    <x v="0"/>
    <n v="1302"/>
    <n v="248.24349483541377"/>
    <n v="1049.7440376179509"/>
    <n v="14948891.739999993"/>
    <n v="287"/>
    <n v="3209210.6099999985"/>
  </r>
  <r>
    <x v="0"/>
    <x v="0"/>
    <x v="0"/>
    <x v="0"/>
    <x v="45"/>
    <x v="45"/>
    <x v="0"/>
    <n v="1656"/>
    <n v="186.46421162297048"/>
    <n v="1670.5649007037835"/>
    <n v="22890492.180000037"/>
    <n v="215"/>
    <n v="2559865.580000001"/>
  </r>
  <r>
    <x v="0"/>
    <x v="0"/>
    <x v="0"/>
    <x v="0"/>
    <x v="46"/>
    <x v="46"/>
    <x v="0"/>
    <n v="133"/>
    <n v="14.999204808791434"/>
    <n v="126.68853638498538"/>
    <n v="4935623.9300000034"/>
    <n v="17"/>
    <n v="560363.69999999995"/>
  </r>
  <r>
    <x v="0"/>
    <x v="0"/>
    <x v="0"/>
    <x v="0"/>
    <x v="47"/>
    <x v="47"/>
    <x v="0"/>
    <n v="444"/>
    <n v="57.513383266824377"/>
    <n v="347.99839756374683"/>
    <n v="3934612.0099999993"/>
    <n v="75"/>
    <n v="699357.63"/>
  </r>
  <r>
    <x v="0"/>
    <x v="0"/>
    <x v="0"/>
    <x v="2"/>
    <x v="0"/>
    <x v="0"/>
    <x v="0"/>
    <n v="1464"/>
    <n v="234.62817900898034"/>
    <n v="1286.1893346037775"/>
    <n v="15076003.070000004"/>
    <n v="272"/>
    <n v="2594147.0800000005"/>
  </r>
  <r>
    <x v="0"/>
    <x v="0"/>
    <x v="0"/>
    <x v="2"/>
    <x v="1"/>
    <x v="1"/>
    <x v="0"/>
    <n v="2406"/>
    <n v="421.35380662861832"/>
    <n v="4000.9050349968084"/>
    <n v="82045421.9599998"/>
    <n v="352"/>
    <n v="8380837.5400000038"/>
  </r>
  <r>
    <x v="0"/>
    <x v="0"/>
    <x v="0"/>
    <x v="2"/>
    <x v="2"/>
    <x v="2"/>
    <x v="0"/>
    <n v="1219"/>
    <n v="173.51781678800987"/>
    <n v="1106.1920678983563"/>
    <n v="18265331.249999996"/>
    <n v="193"/>
    <n v="3048194.5800000019"/>
  </r>
  <r>
    <x v="0"/>
    <x v="0"/>
    <x v="0"/>
    <x v="2"/>
    <x v="3"/>
    <x v="3"/>
    <x v="0"/>
    <n v="3008"/>
    <n v="316.99840795893181"/>
    <n v="2396.9860284433839"/>
    <n v="28674924.67000005"/>
    <n v="344"/>
    <n v="4384319.6000000043"/>
  </r>
  <r>
    <x v="0"/>
    <x v="0"/>
    <x v="0"/>
    <x v="2"/>
    <x v="4"/>
    <x v="4"/>
    <x v="0"/>
    <n v="1531"/>
    <n v="198.5229714692465"/>
    <n v="1315.7731212266438"/>
    <n v="15347310.52999999"/>
    <n v="234"/>
    <n v="2278112.4500000016"/>
  </r>
  <r>
    <x v="0"/>
    <x v="0"/>
    <x v="0"/>
    <x v="2"/>
    <x v="5"/>
    <x v="5"/>
    <x v="0"/>
    <n v="521"/>
    <n v="107.43211663046472"/>
    <n v="385.69541408318815"/>
    <n v="5207754.2699999986"/>
    <n v="147"/>
    <n v="1344792.8700000003"/>
  </r>
  <r>
    <x v="0"/>
    <x v="0"/>
    <x v="0"/>
    <x v="2"/>
    <x v="6"/>
    <x v="6"/>
    <x v="0"/>
    <n v="1550"/>
    <n v="149.427829095107"/>
    <n v="1505.954042802221"/>
    <n v="18837597.930000003"/>
    <n v="178"/>
    <n v="2332386.66"/>
  </r>
  <r>
    <x v="0"/>
    <x v="0"/>
    <x v="0"/>
    <x v="2"/>
    <x v="7"/>
    <x v="7"/>
    <x v="0"/>
    <n v="3933"/>
    <n v="752.87497640241497"/>
    <n v="5464.8999263339247"/>
    <n v="118731780.26000009"/>
    <n v="724"/>
    <n v="17214171.790000007"/>
  </r>
  <r>
    <x v="0"/>
    <x v="0"/>
    <x v="0"/>
    <x v="2"/>
    <x v="8"/>
    <x v="8"/>
    <x v="0"/>
    <n v="221"/>
    <n v="48.255762384839706"/>
    <n v="163.13603292035603"/>
    <n v="2788348.1500000004"/>
    <n v="75"/>
    <n v="877602.01000000013"/>
  </r>
  <r>
    <x v="0"/>
    <x v="0"/>
    <x v="0"/>
    <x v="2"/>
    <x v="9"/>
    <x v="9"/>
    <x v="0"/>
    <n v="1732"/>
    <n v="294.25252524889464"/>
    <n v="1431.8626007467476"/>
    <n v="19030700.490000065"/>
    <n v="370"/>
    <n v="3837286.5799999991"/>
  </r>
  <r>
    <x v="0"/>
    <x v="0"/>
    <x v="0"/>
    <x v="2"/>
    <x v="10"/>
    <x v="10"/>
    <x v="0"/>
    <n v="1950"/>
    <n v="314.93249198526826"/>
    <n v="2128.4727928664211"/>
    <n v="34743359.519999966"/>
    <n v="353"/>
    <n v="5157635.2300000014"/>
  </r>
  <r>
    <x v="1"/>
    <x v="1"/>
    <x v="1"/>
    <x v="3"/>
    <x v="11"/>
    <x v="11"/>
    <x v="0"/>
    <n v="615"/>
    <n v="206.165379"/>
    <n v="577.5513659999998"/>
    <n v="8051091.0099999961"/>
    <n v="210"/>
    <n v="2982311.9499999993"/>
  </r>
  <r>
    <x v="0"/>
    <x v="0"/>
    <x v="0"/>
    <x v="2"/>
    <x v="12"/>
    <x v="12"/>
    <x v="0"/>
    <n v="2406"/>
    <n v="431.56132449849343"/>
    <n v="1969.0179118991318"/>
    <n v="27257915.840000018"/>
    <n v="545"/>
    <n v="6056115.0600000154"/>
  </r>
  <r>
    <x v="0"/>
    <x v="0"/>
    <x v="0"/>
    <x v="2"/>
    <x v="13"/>
    <x v="13"/>
    <x v="0"/>
    <n v="1041"/>
    <n v="182.47938967376859"/>
    <n v="949.25961789891642"/>
    <n v="13285390.450000001"/>
    <n v="188"/>
    <n v="2457984.0900000008"/>
  </r>
  <r>
    <x v="0"/>
    <x v="0"/>
    <x v="0"/>
    <x v="2"/>
    <x v="14"/>
    <x v="14"/>
    <x v="0"/>
    <n v="217"/>
    <n v="31.495146598502604"/>
    <n v="162.36733193015533"/>
    <n v="1865226.0099999993"/>
    <n v="42"/>
    <n v="460934.82"/>
  </r>
  <r>
    <x v="0"/>
    <x v="0"/>
    <x v="0"/>
    <x v="2"/>
    <x v="15"/>
    <x v="15"/>
    <x v="0"/>
    <n v="792"/>
    <n v="131.0383643295342"/>
    <n v="629.29187397783892"/>
    <n v="7499788.9200000064"/>
    <n v="151"/>
    <n v="1653456.9499999993"/>
  </r>
  <r>
    <x v="0"/>
    <x v="0"/>
    <x v="0"/>
    <x v="2"/>
    <x v="16"/>
    <x v="16"/>
    <x v="0"/>
    <n v="1630"/>
    <n v="276.23452047858672"/>
    <n v="1604.6351525442435"/>
    <n v="19498026.369999971"/>
    <n v="322"/>
    <n v="3643790.2800000017"/>
  </r>
  <r>
    <x v="0"/>
    <x v="0"/>
    <x v="0"/>
    <x v="2"/>
    <x v="17"/>
    <x v="17"/>
    <x v="0"/>
    <n v="1184"/>
    <n v="177.37484673884083"/>
    <n v="1336.004394968732"/>
    <n v="16927636.36999999"/>
    <n v="204"/>
    <n v="2393124.6099999989"/>
  </r>
  <r>
    <x v="0"/>
    <x v="0"/>
    <x v="0"/>
    <x v="2"/>
    <x v="18"/>
    <x v="18"/>
    <x v="0"/>
    <n v="2710"/>
    <n v="310.3696100434351"/>
    <n v="2287.0579508447299"/>
    <n v="25317109.199999884"/>
    <n v="356"/>
    <n v="3643130.9099999964"/>
  </r>
  <r>
    <x v="0"/>
    <x v="0"/>
    <x v="0"/>
    <x v="2"/>
    <x v="19"/>
    <x v="19"/>
    <x v="0"/>
    <n v="1110"/>
    <n v="211.50247730378484"/>
    <n v="1402.9952481147411"/>
    <n v="20158878.930000007"/>
    <n v="221"/>
    <n v="3023150.3799999985"/>
  </r>
  <r>
    <x v="0"/>
    <x v="0"/>
    <x v="0"/>
    <x v="2"/>
    <x v="20"/>
    <x v="20"/>
    <x v="0"/>
    <n v="1065"/>
    <n v="190.36599057323099"/>
    <n v="984.15703545405063"/>
    <n v="13834382.029999992"/>
    <n v="199"/>
    <n v="2445818.3900000015"/>
  </r>
  <r>
    <x v="0"/>
    <x v="0"/>
    <x v="0"/>
    <x v="2"/>
    <x v="21"/>
    <x v="21"/>
    <x v="0"/>
    <n v="860"/>
    <n v="143.63186716899335"/>
    <n v="646.21073376215861"/>
    <n v="6457648.650000005"/>
    <n v="162"/>
    <n v="1607730.1600000001"/>
  </r>
  <r>
    <x v="0"/>
    <x v="0"/>
    <x v="0"/>
    <x v="2"/>
    <x v="22"/>
    <x v="22"/>
    <x v="0"/>
    <n v="1788"/>
    <n v="339.79494866832391"/>
    <n v="1707.2298092363858"/>
    <n v="29469724.119999979"/>
    <n v="392"/>
    <n v="6608800.3600000022"/>
  </r>
  <r>
    <x v="0"/>
    <x v="0"/>
    <x v="0"/>
    <x v="2"/>
    <x v="23"/>
    <x v="23"/>
    <x v="0"/>
    <n v="148"/>
    <n v="36.935764529146077"/>
    <n v="112.27230856876236"/>
    <n v="1580797.9900000005"/>
    <n v="49"/>
    <n v="444547.25999999995"/>
  </r>
  <r>
    <x v="0"/>
    <x v="0"/>
    <x v="0"/>
    <x v="2"/>
    <x v="24"/>
    <x v="24"/>
    <x v="0"/>
    <n v="571"/>
    <n v="98.428245745245221"/>
    <n v="431.69713249676266"/>
    <n v="6757839.8000000035"/>
    <n v="129"/>
    <n v="1442020.8999999994"/>
  </r>
  <r>
    <x v="0"/>
    <x v="0"/>
    <x v="0"/>
    <x v="2"/>
    <x v="25"/>
    <x v="25"/>
    <x v="0"/>
    <n v="1033"/>
    <n v="170.72241982364525"/>
    <n v="837.83563931934088"/>
    <n v="11033845.24"/>
    <n v="235"/>
    <n v="2160379.8800000004"/>
  </r>
  <r>
    <x v="0"/>
    <x v="0"/>
    <x v="0"/>
    <x v="2"/>
    <x v="26"/>
    <x v="26"/>
    <x v="0"/>
    <n v="793"/>
    <n v="143.12122717550295"/>
    <n v="642.63626280772849"/>
    <n v="9236121.7799999975"/>
    <n v="166"/>
    <n v="1904129.4999999993"/>
  </r>
  <r>
    <x v="0"/>
    <x v="0"/>
    <x v="0"/>
    <x v="2"/>
    <x v="27"/>
    <x v="27"/>
    <x v="0"/>
    <n v="634"/>
    <n v="131.53286432323037"/>
    <n v="486.58311879708066"/>
    <n v="6182146.4199999999"/>
    <n v="163"/>
    <n v="1579955.6200000003"/>
  </r>
  <r>
    <x v="0"/>
    <x v="0"/>
    <x v="0"/>
    <x v="2"/>
    <x v="28"/>
    <x v="28"/>
    <x v="0"/>
    <n v="794"/>
    <n v="123.35303542750623"/>
    <n v="628.58263498687961"/>
    <n v="8547431.7999999933"/>
    <n v="163"/>
    <n v="1904961.7499999998"/>
  </r>
  <r>
    <x v="0"/>
    <x v="0"/>
    <x v="0"/>
    <x v="2"/>
    <x v="29"/>
    <x v="29"/>
    <x v="0"/>
    <n v="455"/>
    <n v="114.50504854029955"/>
    <n v="424.71688358574625"/>
    <n v="12262333.670000011"/>
    <n v="137"/>
    <n v="2021700.4999999998"/>
  </r>
  <r>
    <x v="0"/>
    <x v="0"/>
    <x v="0"/>
    <x v="2"/>
    <x v="30"/>
    <x v="30"/>
    <x v="0"/>
    <n v="554"/>
    <n v="77.842722007667732"/>
    <n v="392.8448249920479"/>
    <n v="5701050.4400000041"/>
    <n v="102"/>
    <n v="1127091.7599999998"/>
  </r>
  <r>
    <x v="0"/>
    <x v="0"/>
    <x v="0"/>
    <x v="2"/>
    <x v="31"/>
    <x v="31"/>
    <x v="0"/>
    <n v="886"/>
    <n v="203.72752240289944"/>
    <n v="737.0789906037802"/>
    <n v="10573992.599999996"/>
    <n v="262"/>
    <n v="3142960.4100000025"/>
  </r>
  <r>
    <x v="0"/>
    <x v="0"/>
    <x v="0"/>
    <x v="2"/>
    <x v="32"/>
    <x v="32"/>
    <x v="0"/>
    <n v="1712"/>
    <n v="377.35584018950061"/>
    <n v="1609.7095494795597"/>
    <n v="20312210.749999963"/>
    <n v="448"/>
    <n v="4685100.4399999995"/>
  </r>
  <r>
    <x v="0"/>
    <x v="0"/>
    <x v="0"/>
    <x v="2"/>
    <x v="33"/>
    <x v="33"/>
    <x v="0"/>
    <n v="1716"/>
    <n v="189.84192557991162"/>
    <n v="1367.2524745703934"/>
    <n v="16923730.26999997"/>
    <n v="234"/>
    <n v="2747404.6400000011"/>
  </r>
  <r>
    <x v="0"/>
    <x v="0"/>
    <x v="0"/>
    <x v="2"/>
    <x v="34"/>
    <x v="34"/>
    <x v="0"/>
    <n v="23"/>
    <n v="5.7100209272091469"/>
    <n v="16.965939783719669"/>
    <n v="263858.80999999994"/>
    <n v="8"/>
    <n v="113169.77"/>
  </r>
  <r>
    <x v="0"/>
    <x v="0"/>
    <x v="0"/>
    <x v="2"/>
    <x v="35"/>
    <x v="35"/>
    <x v="0"/>
    <n v="1828"/>
    <n v="276.55583447449015"/>
    <n v="1410.105408024107"/>
    <n v="14562545.219999971"/>
    <n v="315"/>
    <n v="2794315.4199999995"/>
  </r>
  <r>
    <x v="0"/>
    <x v="0"/>
    <x v="0"/>
    <x v="2"/>
    <x v="36"/>
    <x v="36"/>
    <x v="0"/>
    <n v="1324"/>
    <n v="236.94360297946363"/>
    <n v="1084.891148169904"/>
    <n v="13526078.690000022"/>
    <n v="281"/>
    <n v="2823937.0100000021"/>
  </r>
  <r>
    <x v="0"/>
    <x v="0"/>
    <x v="0"/>
    <x v="2"/>
    <x v="37"/>
    <x v="37"/>
    <x v="0"/>
    <n v="861"/>
    <n v="223.57670914986366"/>
    <n v="842.45567226044784"/>
    <n v="10561222.820000023"/>
    <n v="258"/>
    <n v="2921951.98"/>
  </r>
  <r>
    <x v="0"/>
    <x v="0"/>
    <x v="0"/>
    <x v="2"/>
    <x v="38"/>
    <x v="38"/>
    <x v="0"/>
    <n v="349"/>
    <n v="50.9384613506409"/>
    <n v="342.54182063330603"/>
    <n v="4423064.1800000053"/>
    <n v="67"/>
    <n v="569539.43000000005"/>
  </r>
  <r>
    <x v="0"/>
    <x v="0"/>
    <x v="0"/>
    <x v="2"/>
    <x v="39"/>
    <x v="39"/>
    <x v="0"/>
    <n v="948"/>
    <n v="243.52936789550918"/>
    <n v="1000.7531352424849"/>
    <n v="13154149.85"/>
    <n v="266"/>
    <n v="3364424.0600000005"/>
  </r>
  <r>
    <x v="0"/>
    <x v="0"/>
    <x v="0"/>
    <x v="2"/>
    <x v="40"/>
    <x v="40"/>
    <x v="0"/>
    <n v="1875"/>
    <n v="206.91569036225673"/>
    <n v="1508.6893087673677"/>
    <n v="20416750.849999979"/>
    <n v="232"/>
    <n v="3073915.63"/>
  </r>
  <r>
    <x v="0"/>
    <x v="0"/>
    <x v="0"/>
    <x v="2"/>
    <x v="41"/>
    <x v="41"/>
    <x v="0"/>
    <n v="218"/>
    <n v="0"/>
    <n v="400.52534789413721"/>
    <n v="5360481.1899999967"/>
    <n v="0"/>
    <n v="0"/>
  </r>
  <r>
    <x v="0"/>
    <x v="0"/>
    <x v="0"/>
    <x v="2"/>
    <x v="42"/>
    <x v="42"/>
    <x v="0"/>
    <n v="200"/>
    <n v="48.016388387891254"/>
    <n v="160.58114295292555"/>
    <n v="1921282.8400000003"/>
    <n v="60"/>
    <n v="522625.82999999996"/>
  </r>
  <r>
    <x v="0"/>
    <x v="0"/>
    <x v="0"/>
    <x v="2"/>
    <x v="43"/>
    <x v="43"/>
    <x v="0"/>
    <n v="269"/>
    <n v="47.00564140077617"/>
    <n v="280.00722543049199"/>
    <n v="3292389.9600000009"/>
    <n v="55"/>
    <n v="477207.42999999993"/>
  </r>
  <r>
    <x v="0"/>
    <x v="0"/>
    <x v="0"/>
    <x v="2"/>
    <x v="44"/>
    <x v="44"/>
    <x v="0"/>
    <n v="1218"/>
    <n v="202.30859842098772"/>
    <n v="967.87112266166184"/>
    <n v="14529950.320000002"/>
    <n v="254"/>
    <n v="2859047.6699999976"/>
  </r>
  <r>
    <x v="0"/>
    <x v="0"/>
    <x v="0"/>
    <x v="2"/>
    <x v="45"/>
    <x v="45"/>
    <x v="0"/>
    <n v="1581"/>
    <n v="187.24237361305055"/>
    <n v="1657.5471168697343"/>
    <n v="21920299.729999993"/>
    <n v="222"/>
    <n v="2456706.9899999998"/>
  </r>
  <r>
    <x v="0"/>
    <x v="0"/>
    <x v="0"/>
    <x v="2"/>
    <x v="46"/>
    <x v="46"/>
    <x v="0"/>
    <n v="119"/>
    <n v="9.9153218736003357"/>
    <n v="106.08479664764013"/>
    <n v="3987180.3100000019"/>
    <n v="12"/>
    <n v="400193.55999999994"/>
  </r>
  <r>
    <x v="0"/>
    <x v="0"/>
    <x v="0"/>
    <x v="2"/>
    <x v="47"/>
    <x v="47"/>
    <x v="0"/>
    <n v="436"/>
    <n v="60.594380227548108"/>
    <n v="339.46921067247627"/>
    <n v="3745555.68"/>
    <n v="76"/>
    <n v="593799.99999999988"/>
  </r>
  <r>
    <x v="0"/>
    <x v="0"/>
    <x v="0"/>
    <x v="4"/>
    <x v="0"/>
    <x v="0"/>
    <x v="0"/>
    <n v="1709"/>
    <n v="276.86611747053513"/>
    <n v="1554.0448231891792"/>
    <n v="18572752.919999965"/>
    <n v="317"/>
    <n v="3204313.53"/>
  </r>
  <r>
    <x v="0"/>
    <x v="0"/>
    <x v="0"/>
    <x v="4"/>
    <x v="1"/>
    <x v="1"/>
    <x v="0"/>
    <n v="2552"/>
    <n v="563.73419781356574"/>
    <n v="4268.8401835811928"/>
    <n v="79671470.039999992"/>
    <n v="416"/>
    <n v="10347770.940000014"/>
  </r>
  <r>
    <x v="0"/>
    <x v="0"/>
    <x v="0"/>
    <x v="4"/>
    <x v="2"/>
    <x v="2"/>
    <x v="0"/>
    <n v="1413"/>
    <n v="204.50226539302298"/>
    <n v="1165.6648871402035"/>
    <n v="20883157.979999974"/>
    <n v="255"/>
    <n v="3292524.8699999996"/>
  </r>
  <r>
    <x v="0"/>
    <x v="0"/>
    <x v="0"/>
    <x v="4"/>
    <x v="3"/>
    <x v="3"/>
    <x v="0"/>
    <n v="3210"/>
    <n v="358.72504442700449"/>
    <n v="2451.1971467522912"/>
    <n v="31030196.920000035"/>
    <n v="377"/>
    <n v="5570381.0100000044"/>
  </r>
  <r>
    <x v="0"/>
    <x v="0"/>
    <x v="0"/>
    <x v="4"/>
    <x v="4"/>
    <x v="4"/>
    <x v="0"/>
    <n v="1589"/>
    <n v="241.00250092772123"/>
    <n v="1409.6886880294146"/>
    <n v="17481636.830000017"/>
    <n v="266"/>
    <n v="3042963.8600000008"/>
  </r>
  <r>
    <x v="0"/>
    <x v="0"/>
    <x v="0"/>
    <x v="4"/>
    <x v="5"/>
    <x v="5"/>
    <x v="0"/>
    <n v="514"/>
    <n v="106.90063963723985"/>
    <n v="400.6253148928626"/>
    <n v="5247948.6999999965"/>
    <n v="145"/>
    <n v="1459601.5199999989"/>
  </r>
  <r>
    <x v="0"/>
    <x v="0"/>
    <x v="0"/>
    <x v="4"/>
    <x v="6"/>
    <x v="6"/>
    <x v="0"/>
    <n v="1482"/>
    <n v="165.28812389292125"/>
    <n v="1569.020352998258"/>
    <n v="17705551.519999988"/>
    <n v="172"/>
    <n v="2093260.6000000003"/>
  </r>
  <r>
    <x v="0"/>
    <x v="0"/>
    <x v="0"/>
    <x v="4"/>
    <x v="7"/>
    <x v="7"/>
    <x v="0"/>
    <n v="4213"/>
    <n v="725.6353137496634"/>
    <n v="5833.2146886386754"/>
    <n v="121130997.33000001"/>
    <n v="739"/>
    <n v="16489467.159999978"/>
  </r>
  <r>
    <x v="0"/>
    <x v="0"/>
    <x v="0"/>
    <x v="4"/>
    <x v="8"/>
    <x v="8"/>
    <x v="0"/>
    <n v="246"/>
    <n v="57.497148267031321"/>
    <n v="168.41288185308704"/>
    <n v="2529466.8099999996"/>
    <n v="77"/>
    <n v="872895.14000000013"/>
  </r>
  <r>
    <x v="0"/>
    <x v="0"/>
    <x v="0"/>
    <x v="4"/>
    <x v="9"/>
    <x v="9"/>
    <x v="0"/>
    <n v="1766"/>
    <n v="352.35295650823491"/>
    <n v="1586.6580407734284"/>
    <n v="21985958.360000003"/>
    <n v="414"/>
    <n v="5157715.3599999985"/>
  </r>
  <r>
    <x v="0"/>
    <x v="0"/>
    <x v="0"/>
    <x v="4"/>
    <x v="10"/>
    <x v="10"/>
    <x v="0"/>
    <n v="2163"/>
    <n v="324.85719885874863"/>
    <n v="2319.0765064366205"/>
    <n v="36556141.550000019"/>
    <n v="383"/>
    <n v="5246003.9800000042"/>
  </r>
  <r>
    <x v="1"/>
    <x v="1"/>
    <x v="1"/>
    <x v="5"/>
    <x v="11"/>
    <x v="11"/>
    <x v="0"/>
    <n v="527"/>
    <n v="153.623265"/>
    <n v="469.24030399999941"/>
    <n v="6156930.9899999993"/>
    <n v="177"/>
    <n v="2073613.87"/>
  </r>
  <r>
    <x v="0"/>
    <x v="0"/>
    <x v="0"/>
    <x v="4"/>
    <x v="12"/>
    <x v="12"/>
    <x v="0"/>
    <n v="2610"/>
    <n v="539.68283512016978"/>
    <n v="2141.3655857020626"/>
    <n v="27522663.480000023"/>
    <n v="629"/>
    <n v="7184058.4200000037"/>
  </r>
  <r>
    <x v="0"/>
    <x v="0"/>
    <x v="0"/>
    <x v="4"/>
    <x v="13"/>
    <x v="13"/>
    <x v="0"/>
    <n v="1169"/>
    <n v="206.29289237019597"/>
    <n v="1017.3115260313959"/>
    <n v="14087668.839999976"/>
    <n v="214"/>
    <n v="2795374.49"/>
  </r>
  <r>
    <x v="0"/>
    <x v="0"/>
    <x v="0"/>
    <x v="4"/>
    <x v="14"/>
    <x v="14"/>
    <x v="0"/>
    <n v="237"/>
    <n v="30.396136612512691"/>
    <n v="168.88937284701308"/>
    <n v="1401989.7700000007"/>
    <n v="41"/>
    <n v="260501.7099999999"/>
  </r>
  <r>
    <x v="0"/>
    <x v="0"/>
    <x v="0"/>
    <x v="4"/>
    <x v="15"/>
    <x v="15"/>
    <x v="0"/>
    <n v="828"/>
    <n v="143.29885817323856"/>
    <n v="665.3838525177415"/>
    <n v="7327685.2000000039"/>
    <n v="174"/>
    <n v="1613588.8199999994"/>
  </r>
  <r>
    <x v="0"/>
    <x v="0"/>
    <x v="0"/>
    <x v="4"/>
    <x v="16"/>
    <x v="16"/>
    <x v="0"/>
    <n v="1773"/>
    <n v="296.55016721960459"/>
    <n v="1684.3008045286776"/>
    <n v="22951835.029999997"/>
    <n v="346"/>
    <n v="4347395.4900000039"/>
  </r>
  <r>
    <x v="0"/>
    <x v="0"/>
    <x v="0"/>
    <x v="4"/>
    <x v="17"/>
    <x v="17"/>
    <x v="0"/>
    <n v="1282"/>
    <n v="211.3130733061991"/>
    <n v="1450.5680355082841"/>
    <n v="17528208.290000018"/>
    <n v="237"/>
    <n v="2748122.2600000012"/>
  </r>
  <r>
    <x v="0"/>
    <x v="0"/>
    <x v="0"/>
    <x v="4"/>
    <x v="18"/>
    <x v="18"/>
    <x v="0"/>
    <n v="2795"/>
    <n v="342.60286963252867"/>
    <n v="2443.0961888555648"/>
    <n v="26111908.76000005"/>
    <n v="411"/>
    <n v="4165357.6800000006"/>
  </r>
  <r>
    <x v="0"/>
    <x v="0"/>
    <x v="0"/>
    <x v="4"/>
    <x v="19"/>
    <x v="19"/>
    <x v="0"/>
    <n v="1161"/>
    <n v="228.24132109039962"/>
    <n v="1394.3959982243637"/>
    <n v="21857137.54000001"/>
    <n v="262"/>
    <n v="3777416.28"/>
  </r>
  <r>
    <x v="0"/>
    <x v="0"/>
    <x v="0"/>
    <x v="4"/>
    <x v="20"/>
    <x v="20"/>
    <x v="0"/>
    <n v="1167"/>
    <n v="175.83036475852984"/>
    <n v="1068.5898873777123"/>
    <n v="15017069.000000002"/>
    <n v="199"/>
    <n v="2277297.5100000016"/>
  </r>
  <r>
    <x v="0"/>
    <x v="0"/>
    <x v="0"/>
    <x v="4"/>
    <x v="21"/>
    <x v="21"/>
    <x v="0"/>
    <n v="874"/>
    <n v="134.61388828395383"/>
    <n v="629.7924019714568"/>
    <n v="5400096.4000000088"/>
    <n v="176"/>
    <n v="1348541.5900000005"/>
  </r>
  <r>
    <x v="0"/>
    <x v="0"/>
    <x v="0"/>
    <x v="4"/>
    <x v="22"/>
    <x v="22"/>
    <x v="0"/>
    <n v="1851"/>
    <n v="406.84357381359303"/>
    <n v="1735.3709908776468"/>
    <n v="33051584.319999989"/>
    <n v="457"/>
    <n v="6572319.1600000001"/>
  </r>
  <r>
    <x v="0"/>
    <x v="0"/>
    <x v="0"/>
    <x v="4"/>
    <x v="23"/>
    <x v="23"/>
    <x v="0"/>
    <n v="176"/>
    <n v="37.36707352364779"/>
    <n v="146.75784512914367"/>
    <n v="2084576.3599999987"/>
    <n v="56"/>
    <n v="524035.13000000012"/>
  </r>
  <r>
    <x v="0"/>
    <x v="0"/>
    <x v="0"/>
    <x v="4"/>
    <x v="24"/>
    <x v="24"/>
    <x v="0"/>
    <n v="615"/>
    <n v="127.204819378404"/>
    <n v="458.24768915829821"/>
    <n v="7046605.4699999997"/>
    <n v="164"/>
    <n v="1850003.62"/>
  </r>
  <r>
    <x v="0"/>
    <x v="0"/>
    <x v="0"/>
    <x v="4"/>
    <x v="25"/>
    <x v="25"/>
    <x v="0"/>
    <n v="1152"/>
    <n v="218.01460922076882"/>
    <n v="961.25479274600525"/>
    <n v="12506429.630000016"/>
    <n v="261"/>
    <n v="2863630.3800000004"/>
  </r>
  <r>
    <x v="0"/>
    <x v="0"/>
    <x v="0"/>
    <x v="4"/>
    <x v="26"/>
    <x v="26"/>
    <x v="0"/>
    <n v="900"/>
    <n v="169.43148284010226"/>
    <n v="722.45413079021637"/>
    <n v="8892516.2600000016"/>
    <n v="214"/>
    <n v="2054371.9000000004"/>
  </r>
  <r>
    <x v="0"/>
    <x v="0"/>
    <x v="0"/>
    <x v="4"/>
    <x v="27"/>
    <x v="27"/>
    <x v="0"/>
    <n v="699"/>
    <n v="132.06349031646602"/>
    <n v="518.979207384098"/>
    <n v="7499642.8100000033"/>
    <n v="171"/>
    <n v="1741826.0000000002"/>
  </r>
  <r>
    <x v="0"/>
    <x v="0"/>
    <x v="0"/>
    <x v="4"/>
    <x v="28"/>
    <x v="28"/>
    <x v="0"/>
    <n v="809"/>
    <n v="140.18143721297918"/>
    <n v="656.53036663060584"/>
    <n v="7856211.5700000031"/>
    <n v="187"/>
    <n v="1744760.73"/>
  </r>
  <r>
    <x v="0"/>
    <x v="0"/>
    <x v="0"/>
    <x v="4"/>
    <x v="29"/>
    <x v="29"/>
    <x v="0"/>
    <n v="470"/>
    <n v="121.94050444551299"/>
    <n v="445.60795631942847"/>
    <n v="9203631.4900000021"/>
    <n v="143"/>
    <n v="2278960.6099999989"/>
  </r>
  <r>
    <x v="0"/>
    <x v="0"/>
    <x v="0"/>
    <x v="4"/>
    <x v="30"/>
    <x v="30"/>
    <x v="0"/>
    <n v="622"/>
    <n v="122.3120434407767"/>
    <n v="462.55469910339292"/>
    <n v="5896495.139999995"/>
    <n v="149"/>
    <n v="1576627.8700000003"/>
  </r>
  <r>
    <x v="0"/>
    <x v="0"/>
    <x v="0"/>
    <x v="4"/>
    <x v="31"/>
    <x v="31"/>
    <x v="0"/>
    <n v="967"/>
    <n v="240.53278593370916"/>
    <n v="804.76741774089419"/>
    <n v="11351782.999999991"/>
    <n v="319"/>
    <n v="3511921.1400000015"/>
  </r>
  <r>
    <x v="0"/>
    <x v="0"/>
    <x v="0"/>
    <x v="4"/>
    <x v="32"/>
    <x v="32"/>
    <x v="0"/>
    <n v="1834"/>
    <n v="418.07605267040265"/>
    <n v="1651.4361269476335"/>
    <n v="19388859.059999976"/>
    <n v="466"/>
    <n v="4972846.5399999982"/>
  </r>
  <r>
    <x v="0"/>
    <x v="0"/>
    <x v="0"/>
    <x v="4"/>
    <x v="33"/>
    <x v="33"/>
    <x v="0"/>
    <n v="1861"/>
    <n v="205.04505938610347"/>
    <n v="1492.4832159739658"/>
    <n v="18290290.189999986"/>
    <n v="242"/>
    <n v="2424171.609999998"/>
  </r>
  <r>
    <x v="0"/>
    <x v="0"/>
    <x v="0"/>
    <x v="4"/>
    <x v="34"/>
    <x v="34"/>
    <x v="0"/>
    <n v="26"/>
    <n v="7.8169869003497263"/>
    <n v="17.488993777051817"/>
    <n v="287502.84999999998"/>
    <n v="12"/>
    <n v="127280.12000000001"/>
  </r>
  <r>
    <x v="0"/>
    <x v="0"/>
    <x v="0"/>
    <x v="4"/>
    <x v="35"/>
    <x v="35"/>
    <x v="0"/>
    <n v="1979"/>
    <n v="313.66592100141389"/>
    <n v="1511.0645657370947"/>
    <n v="14423194.110000033"/>
    <n v="367"/>
    <n v="2964352.7000000025"/>
  </r>
  <r>
    <x v="0"/>
    <x v="0"/>
    <x v="0"/>
    <x v="4"/>
    <x v="36"/>
    <x v="36"/>
    <x v="0"/>
    <n v="1440"/>
    <n v="287.96251732907899"/>
    <n v="1257.9384249639145"/>
    <n v="14524196.130000005"/>
    <n v="324"/>
    <n v="3316743.6999999997"/>
  </r>
  <r>
    <x v="0"/>
    <x v="0"/>
    <x v="0"/>
    <x v="4"/>
    <x v="37"/>
    <x v="37"/>
    <x v="0"/>
    <n v="944"/>
    <n v="224.88200213322381"/>
    <n v="989.4427943866682"/>
    <n v="13364109.780000009"/>
    <n v="269"/>
    <n v="2719807.1100000008"/>
  </r>
  <r>
    <x v="0"/>
    <x v="0"/>
    <x v="0"/>
    <x v="4"/>
    <x v="38"/>
    <x v="38"/>
    <x v="0"/>
    <n v="346"/>
    <n v="76.708883022121782"/>
    <n v="358.624784428282"/>
    <n v="5054969.51"/>
    <n v="84"/>
    <n v="893326.49999999988"/>
  </r>
  <r>
    <x v="0"/>
    <x v="0"/>
    <x v="0"/>
    <x v="4"/>
    <x v="39"/>
    <x v="39"/>
    <x v="0"/>
    <n v="1098"/>
    <n v="310.20626404551757"/>
    <n v="1175.6233590132547"/>
    <n v="13692444.209999992"/>
    <n v="330"/>
    <n v="3799693.6099999994"/>
  </r>
  <r>
    <x v="0"/>
    <x v="0"/>
    <x v="0"/>
    <x v="4"/>
    <x v="40"/>
    <x v="40"/>
    <x v="0"/>
    <n v="2036"/>
    <n v="253.46340576887059"/>
    <n v="1689.9226124570218"/>
    <n v="22900682.920000017"/>
    <n v="278"/>
    <n v="3748827.6099999994"/>
  </r>
  <r>
    <x v="0"/>
    <x v="0"/>
    <x v="0"/>
    <x v="4"/>
    <x v="41"/>
    <x v="41"/>
    <x v="0"/>
    <n v="250"/>
    <n v="1.6592449788480887"/>
    <n v="462.26603310707264"/>
    <n v="6172864.7800000012"/>
    <n v="1"/>
    <n v="37780.79"/>
  </r>
  <r>
    <x v="0"/>
    <x v="0"/>
    <x v="0"/>
    <x v="4"/>
    <x v="42"/>
    <x v="42"/>
    <x v="0"/>
    <n v="204"/>
    <n v="50.503558356185017"/>
    <n v="157.93302398668354"/>
    <n v="1678085.110000001"/>
    <n v="70"/>
    <n v="545060.0199999999"/>
  </r>
  <r>
    <x v="0"/>
    <x v="0"/>
    <x v="0"/>
    <x v="4"/>
    <x v="43"/>
    <x v="43"/>
    <x v="0"/>
    <n v="265"/>
    <n v="52.64352832890485"/>
    <n v="280.52175042393304"/>
    <n v="3356074.5699999984"/>
    <n v="56"/>
    <n v="515463.61999999994"/>
  </r>
  <r>
    <x v="0"/>
    <x v="0"/>
    <x v="0"/>
    <x v="4"/>
    <x v="44"/>
    <x v="44"/>
    <x v="0"/>
    <n v="1329"/>
    <n v="268.92706757174136"/>
    <n v="1067.0816133969352"/>
    <n v="15045504.680000002"/>
    <n v="315"/>
    <n v="3623066.9700000007"/>
  </r>
  <r>
    <x v="0"/>
    <x v="0"/>
    <x v="0"/>
    <x v="4"/>
    <x v="45"/>
    <x v="45"/>
    <x v="0"/>
    <n v="1647"/>
    <n v="223.57159114992885"/>
    <n v="1638.2952851151558"/>
    <n v="17729286.500000026"/>
    <n v="276"/>
    <n v="2100784.7000000002"/>
  </r>
  <r>
    <x v="0"/>
    <x v="0"/>
    <x v="0"/>
    <x v="4"/>
    <x v="46"/>
    <x v="46"/>
    <x v="0"/>
    <n v="134"/>
    <n v="15.757357799126565"/>
    <n v="126.37798638894422"/>
    <n v="5568197.0800000029"/>
    <n v="19"/>
    <n v="559309.80999999994"/>
  </r>
  <r>
    <x v="0"/>
    <x v="0"/>
    <x v="0"/>
    <x v="4"/>
    <x v="47"/>
    <x v="47"/>
    <x v="0"/>
    <n v="523"/>
    <n v="79.732990983570744"/>
    <n v="413.70676972610255"/>
    <n v="4662877.1499999985"/>
    <n v="96"/>
    <n v="1079818.8799999999"/>
  </r>
  <r>
    <x v="0"/>
    <x v="0"/>
    <x v="2"/>
    <x v="6"/>
    <x v="0"/>
    <x v="0"/>
    <x v="0"/>
    <n v="1603"/>
    <n v="276.63580347347096"/>
    <n v="1400.9855501403617"/>
    <n v="16434860.649999991"/>
    <n v="313"/>
    <n v="3381734.4200000041"/>
  </r>
  <r>
    <x v="0"/>
    <x v="0"/>
    <x v="2"/>
    <x v="6"/>
    <x v="1"/>
    <x v="1"/>
    <x v="0"/>
    <n v="2383"/>
    <n v="441.98997236555033"/>
    <n v="3957.0866685553924"/>
    <n v="80884967.509999901"/>
    <n v="375"/>
    <n v="8014012.7000000002"/>
  </r>
  <r>
    <x v="0"/>
    <x v="0"/>
    <x v="2"/>
    <x v="6"/>
    <x v="2"/>
    <x v="2"/>
    <x v="0"/>
    <n v="1376"/>
    <n v="228.67989108480865"/>
    <n v="1206.3566896214702"/>
    <n v="19525527.120000023"/>
    <n v="231"/>
    <n v="3638077.9799999991"/>
  </r>
  <r>
    <x v="0"/>
    <x v="0"/>
    <x v="2"/>
    <x v="6"/>
    <x v="3"/>
    <x v="3"/>
    <x v="0"/>
    <n v="2963"/>
    <n v="337.82013569349846"/>
    <n v="2320.7676014150161"/>
    <n v="29987499.979999959"/>
    <n v="336"/>
    <n v="5094382.4600000009"/>
  </r>
  <r>
    <x v="0"/>
    <x v="0"/>
    <x v="2"/>
    <x v="6"/>
    <x v="4"/>
    <x v="4"/>
    <x v="0"/>
    <n v="1671"/>
    <n v="220.21453919272412"/>
    <n v="1494.3661719499542"/>
    <n v="19288891.029999997"/>
    <n v="260"/>
    <n v="3276386.6600000011"/>
  </r>
  <r>
    <x v="0"/>
    <x v="0"/>
    <x v="2"/>
    <x v="6"/>
    <x v="5"/>
    <x v="5"/>
    <x v="0"/>
    <n v="509"/>
    <n v="93.09479881323557"/>
    <n v="394.72899896802841"/>
    <n v="5054074.3899999987"/>
    <n v="132"/>
    <n v="1191741.1500000001"/>
  </r>
  <r>
    <x v="0"/>
    <x v="0"/>
    <x v="2"/>
    <x v="6"/>
    <x v="6"/>
    <x v="6"/>
    <x v="0"/>
    <n v="1467"/>
    <n v="146.27603813528572"/>
    <n v="1500.0829768770659"/>
    <n v="16223280.950000014"/>
    <n v="172"/>
    <n v="1864050.8100000003"/>
  </r>
  <r>
    <x v="0"/>
    <x v="0"/>
    <x v="2"/>
    <x v="6"/>
    <x v="7"/>
    <x v="7"/>
    <x v="0"/>
    <n v="3960"/>
    <n v="707.19189598477908"/>
    <n v="5271.2120698030431"/>
    <n v="105823235.24999999"/>
    <n v="691"/>
    <n v="15050196.830000002"/>
  </r>
  <r>
    <x v="0"/>
    <x v="0"/>
    <x v="2"/>
    <x v="6"/>
    <x v="8"/>
    <x v="8"/>
    <x v="0"/>
    <n v="230"/>
    <n v="51.179903347563027"/>
    <n v="164.44055290372606"/>
    <n v="2130471.3500000006"/>
    <n v="78"/>
    <n v="718722.33000000007"/>
  </r>
  <r>
    <x v="0"/>
    <x v="0"/>
    <x v="2"/>
    <x v="6"/>
    <x v="9"/>
    <x v="9"/>
    <x v="0"/>
    <n v="1838"/>
    <n v="381.17104814086485"/>
    <n v="1599.0367766156191"/>
    <n v="22038847.02"/>
    <n v="444"/>
    <n v="5233621.6100000003"/>
  </r>
  <r>
    <x v="0"/>
    <x v="0"/>
    <x v="2"/>
    <x v="6"/>
    <x v="10"/>
    <x v="10"/>
    <x v="0"/>
    <n v="1986"/>
    <n v="304.93507711271411"/>
    <n v="2121.7716669518427"/>
    <n v="34815733.909999952"/>
    <n v="323"/>
    <n v="5235721.6499999966"/>
  </r>
  <r>
    <x v="1"/>
    <x v="1"/>
    <x v="1"/>
    <x v="0"/>
    <x v="11"/>
    <x v="11"/>
    <x v="0"/>
    <n v="531"/>
    <n v="187.51780200000007"/>
    <n v="513.04094099999907"/>
    <n v="6455201.6199999964"/>
    <n v="191"/>
    <n v="2216311.3100000005"/>
  </r>
  <r>
    <x v="0"/>
    <x v="0"/>
    <x v="2"/>
    <x v="6"/>
    <x v="12"/>
    <x v="12"/>
    <x v="0"/>
    <n v="2619"/>
    <n v="499.23055963585244"/>
    <n v="2132.6696128129133"/>
    <n v="26914716.339999884"/>
    <n v="597"/>
    <n v="6433866.1400000015"/>
  </r>
  <r>
    <x v="0"/>
    <x v="0"/>
    <x v="2"/>
    <x v="6"/>
    <x v="13"/>
    <x v="13"/>
    <x v="0"/>
    <n v="1117"/>
    <n v="193.60344553196003"/>
    <n v="1015.2814610572757"/>
    <n v="13646810.649999987"/>
    <n v="202"/>
    <n v="2509567.71"/>
  </r>
  <r>
    <x v="0"/>
    <x v="0"/>
    <x v="2"/>
    <x v="6"/>
    <x v="14"/>
    <x v="14"/>
    <x v="0"/>
    <n v="198"/>
    <n v="21.263411728935868"/>
    <n v="158.47400097978721"/>
    <n v="1707304.0800000005"/>
    <n v="31"/>
    <n v="276197.45"/>
  </r>
  <r>
    <x v="0"/>
    <x v="0"/>
    <x v="2"/>
    <x v="6"/>
    <x v="15"/>
    <x v="15"/>
    <x v="0"/>
    <n v="777"/>
    <n v="133.42408529912126"/>
    <n v="629.31602497753056"/>
    <n v="7706815.0899999943"/>
    <n v="167"/>
    <n v="1612373.18"/>
  </r>
  <r>
    <x v="0"/>
    <x v="0"/>
    <x v="2"/>
    <x v="6"/>
    <x v="16"/>
    <x v="16"/>
    <x v="0"/>
    <n v="1879"/>
    <n v="302.5792161427467"/>
    <n v="1754.6248476321896"/>
    <n v="21281587.400000013"/>
    <n v="360"/>
    <n v="3889918.6100000003"/>
  </r>
  <r>
    <x v="0"/>
    <x v="0"/>
    <x v="2"/>
    <x v="6"/>
    <x v="17"/>
    <x v="17"/>
    <x v="0"/>
    <n v="1205"/>
    <n v="220.70545918646604"/>
    <n v="1374.8245174738554"/>
    <n v="16045680.799999999"/>
    <n v="239"/>
    <n v="2577648.7399999988"/>
  </r>
  <r>
    <x v="0"/>
    <x v="0"/>
    <x v="2"/>
    <x v="6"/>
    <x v="18"/>
    <x v="18"/>
    <x v="0"/>
    <n v="2753"/>
    <n v="311.15604903340972"/>
    <n v="2364.5841718564388"/>
    <n v="24834001.96000006"/>
    <n v="392"/>
    <n v="3676221.7600000016"/>
  </r>
  <r>
    <x v="0"/>
    <x v="0"/>
    <x v="2"/>
    <x v="6"/>
    <x v="19"/>
    <x v="19"/>
    <x v="0"/>
    <n v="1124"/>
    <n v="230.67617905936032"/>
    <n v="1368.1741975586333"/>
    <n v="22021835.409999993"/>
    <n v="256"/>
    <n v="3987742.45"/>
  </r>
  <r>
    <x v="0"/>
    <x v="0"/>
    <x v="2"/>
    <x v="6"/>
    <x v="20"/>
    <x v="20"/>
    <x v="0"/>
    <n v="1108"/>
    <n v="159.48597396688675"/>
    <n v="1055.3575255463936"/>
    <n v="15926273.949999984"/>
    <n v="182"/>
    <n v="2482633.5200000019"/>
  </r>
  <r>
    <x v="0"/>
    <x v="0"/>
    <x v="2"/>
    <x v="6"/>
    <x v="21"/>
    <x v="21"/>
    <x v="0"/>
    <n v="896"/>
    <n v="142.56252018262526"/>
    <n v="632.30334893944917"/>
    <n v="5677115.5599999912"/>
    <n v="196"/>
    <n v="1421112.0000000005"/>
  </r>
  <r>
    <x v="0"/>
    <x v="0"/>
    <x v="2"/>
    <x v="6"/>
    <x v="22"/>
    <x v="22"/>
    <x v="0"/>
    <n v="1782"/>
    <n v="368.82542029824589"/>
    <n v="1688.9846074689719"/>
    <n v="30209073.149999995"/>
    <n v="412"/>
    <n v="6391238.6699999953"/>
  </r>
  <r>
    <x v="0"/>
    <x v="0"/>
    <x v="2"/>
    <x v="6"/>
    <x v="23"/>
    <x v="23"/>
    <x v="0"/>
    <n v="188"/>
    <n v="46.081855412552507"/>
    <n v="155.11845402256344"/>
    <n v="2047263.1499999997"/>
    <n v="66"/>
    <n v="716680.36999999976"/>
  </r>
  <r>
    <x v="0"/>
    <x v="0"/>
    <x v="2"/>
    <x v="6"/>
    <x v="24"/>
    <x v="24"/>
    <x v="0"/>
    <n v="596"/>
    <n v="114.20263254415474"/>
    <n v="466.52718405275209"/>
    <n v="7302380.2599999951"/>
    <n v="144"/>
    <n v="1749126.850000001"/>
  </r>
  <r>
    <x v="0"/>
    <x v="0"/>
    <x v="2"/>
    <x v="6"/>
    <x v="25"/>
    <x v="25"/>
    <x v="0"/>
    <n v="1081"/>
    <n v="193.13205753796939"/>
    <n v="873.13713086932103"/>
    <n v="11668217.549999988"/>
    <n v="235"/>
    <n v="2595289.120000001"/>
  </r>
  <r>
    <x v="0"/>
    <x v="0"/>
    <x v="2"/>
    <x v="6"/>
    <x v="26"/>
    <x v="26"/>
    <x v="0"/>
    <n v="870"/>
    <n v="154.49802903047251"/>
    <n v="709.4611059558498"/>
    <n v="7954028.1100000059"/>
    <n v="189"/>
    <n v="1796459.2200000007"/>
  </r>
  <r>
    <x v="0"/>
    <x v="0"/>
    <x v="2"/>
    <x v="6"/>
    <x v="27"/>
    <x v="27"/>
    <x v="0"/>
    <n v="736"/>
    <n v="134.34403628739383"/>
    <n v="550.72352997942335"/>
    <n v="7637977.5099999988"/>
    <n v="171"/>
    <n v="1941056.28"/>
  </r>
  <r>
    <x v="0"/>
    <x v="0"/>
    <x v="2"/>
    <x v="6"/>
    <x v="28"/>
    <x v="28"/>
    <x v="0"/>
    <n v="811"/>
    <n v="133.72400229529802"/>
    <n v="646.63333275677189"/>
    <n v="7383607.8100000033"/>
    <n v="172"/>
    <n v="1673360.2499999998"/>
  </r>
  <r>
    <x v="0"/>
    <x v="0"/>
    <x v="2"/>
    <x v="6"/>
    <x v="29"/>
    <x v="29"/>
    <x v="0"/>
    <n v="436"/>
    <n v="93.960677802197424"/>
    <n v="434.4282354619466"/>
    <n v="10074188.200000001"/>
    <n v="112"/>
    <n v="1709087.93"/>
  </r>
  <r>
    <x v="0"/>
    <x v="0"/>
    <x v="2"/>
    <x v="6"/>
    <x v="30"/>
    <x v="30"/>
    <x v="0"/>
    <n v="618"/>
    <n v="115.21558753124165"/>
    <n v="468.7296040246755"/>
    <n v="6211614.0800000066"/>
    <n v="139"/>
    <n v="1523179.1600000006"/>
  </r>
  <r>
    <x v="0"/>
    <x v="0"/>
    <x v="2"/>
    <x v="6"/>
    <x v="31"/>
    <x v="31"/>
    <x v="0"/>
    <n v="1006"/>
    <n v="270.96179354580295"/>
    <n v="836.08961434160108"/>
    <n v="11545388.400000012"/>
    <n v="328"/>
    <n v="3549898.1399999992"/>
  </r>
  <r>
    <x v="0"/>
    <x v="0"/>
    <x v="2"/>
    <x v="6"/>
    <x v="32"/>
    <x v="32"/>
    <x v="0"/>
    <n v="1758"/>
    <n v="408.99994178610433"/>
    <n v="1617.9498273745132"/>
    <n v="20812366.329999998"/>
    <n v="484"/>
    <n v="5476536.3399999989"/>
  </r>
  <r>
    <x v="0"/>
    <x v="0"/>
    <x v="2"/>
    <x v="6"/>
    <x v="33"/>
    <x v="33"/>
    <x v="0"/>
    <n v="1781"/>
    <n v="194.60492451919325"/>
    <n v="1386.4319323258958"/>
    <n v="17645286.669999968"/>
    <n v="249"/>
    <n v="2756532.2400000012"/>
  </r>
  <r>
    <x v="0"/>
    <x v="0"/>
    <x v="2"/>
    <x v="6"/>
    <x v="34"/>
    <x v="34"/>
    <x v="0"/>
    <n v="24"/>
    <n v="5.994582923581576"/>
    <n v="17.335059779014156"/>
    <n v="245414.15999999995"/>
    <n v="10"/>
    <n v="92060.7"/>
  </r>
  <r>
    <x v="0"/>
    <x v="0"/>
    <x v="2"/>
    <x v="6"/>
    <x v="35"/>
    <x v="35"/>
    <x v="0"/>
    <n v="1820"/>
    <n v="265.66338861334611"/>
    <n v="1391.0743432667166"/>
    <n v="13081636.299999952"/>
    <n v="344"/>
    <n v="2451832.85"/>
  </r>
  <r>
    <x v="0"/>
    <x v="0"/>
    <x v="2"/>
    <x v="6"/>
    <x v="36"/>
    <x v="36"/>
    <x v="0"/>
    <n v="1474"/>
    <n v="240.08265093944729"/>
    <n v="1258.8149859527409"/>
    <n v="14432670.970000003"/>
    <n v="288"/>
    <n v="2864354.5200000005"/>
  </r>
  <r>
    <x v="0"/>
    <x v="0"/>
    <x v="2"/>
    <x v="6"/>
    <x v="37"/>
    <x v="37"/>
    <x v="0"/>
    <n v="867"/>
    <n v="210.77776831302342"/>
    <n v="826.82739845967581"/>
    <n v="11240453.360000011"/>
    <n v="250"/>
    <n v="2835534.8399999989"/>
  </r>
  <r>
    <x v="0"/>
    <x v="0"/>
    <x v="2"/>
    <x v="6"/>
    <x v="38"/>
    <x v="38"/>
    <x v="0"/>
    <n v="294"/>
    <n v="46.166156411477829"/>
    <n v="288.20924332593353"/>
    <n v="3470028.2900000019"/>
    <n v="57"/>
    <n v="546820.04999999981"/>
  </r>
  <r>
    <x v="0"/>
    <x v="0"/>
    <x v="2"/>
    <x v="6"/>
    <x v="39"/>
    <x v="39"/>
    <x v="0"/>
    <n v="1003"/>
    <n v="284.74762737006228"/>
    <n v="1045.4162446731232"/>
    <n v="12606470.600000007"/>
    <n v="305"/>
    <n v="3992832.88"/>
  </r>
  <r>
    <x v="0"/>
    <x v="0"/>
    <x v="2"/>
    <x v="6"/>
    <x v="40"/>
    <x v="40"/>
    <x v="0"/>
    <n v="1962"/>
    <n v="228.73068408416117"/>
    <n v="1556.9331901523562"/>
    <n v="19696119.159999959"/>
    <n v="258"/>
    <n v="3134614.7199999974"/>
  </r>
  <r>
    <x v="0"/>
    <x v="0"/>
    <x v="2"/>
    <x v="6"/>
    <x v="41"/>
    <x v="41"/>
    <x v="0"/>
    <n v="206"/>
    <n v="0"/>
    <n v="373.81583323462792"/>
    <n v="5785839.5100000007"/>
    <n v="0"/>
    <n v="0"/>
  </r>
  <r>
    <x v="0"/>
    <x v="0"/>
    <x v="2"/>
    <x v="6"/>
    <x v="42"/>
    <x v="42"/>
    <x v="0"/>
    <n v="214"/>
    <n v="48.030118387716207"/>
    <n v="159.56035496593844"/>
    <n v="1702479.75"/>
    <n v="67"/>
    <n v="476197.39000000019"/>
  </r>
  <r>
    <x v="0"/>
    <x v="0"/>
    <x v="2"/>
    <x v="6"/>
    <x v="43"/>
    <x v="43"/>
    <x v="0"/>
    <n v="277"/>
    <n v="59.929268236026886"/>
    <n v="279.76848443353549"/>
    <n v="3452171.5200000019"/>
    <n v="70"/>
    <n v="645470.96000000008"/>
  </r>
  <r>
    <x v="0"/>
    <x v="0"/>
    <x v="2"/>
    <x v="6"/>
    <x v="44"/>
    <x v="44"/>
    <x v="0"/>
    <n v="1289"/>
    <n v="257.81753471336464"/>
    <n v="1011.6707801033041"/>
    <n v="14615812.090000018"/>
    <n v="307"/>
    <n v="3427411.2800000007"/>
  </r>
  <r>
    <x v="0"/>
    <x v="0"/>
    <x v="2"/>
    <x v="6"/>
    <x v="45"/>
    <x v="45"/>
    <x v="0"/>
    <n v="1568"/>
    <n v="244.54834088251934"/>
    <n v="1683.9424095332504"/>
    <n v="20993131.200000033"/>
    <n v="262"/>
    <n v="2950327.0300000003"/>
  </r>
  <r>
    <x v="0"/>
    <x v="0"/>
    <x v="2"/>
    <x v="6"/>
    <x v="46"/>
    <x v="46"/>
    <x v="0"/>
    <n v="111"/>
    <n v="9.9325318733809418"/>
    <n v="109.01897561023543"/>
    <n v="3761662.0499999993"/>
    <n v="12"/>
    <n v="278793.42"/>
  </r>
  <r>
    <x v="0"/>
    <x v="0"/>
    <x v="2"/>
    <x v="6"/>
    <x v="47"/>
    <x v="47"/>
    <x v="0"/>
    <n v="469"/>
    <n v="83.625890933944333"/>
    <n v="369.50214328961886"/>
    <n v="4301475.8299999963"/>
    <n v="90"/>
    <n v="1049723.2600000005"/>
  </r>
  <r>
    <x v="0"/>
    <x v="0"/>
    <x v="2"/>
    <x v="7"/>
    <x v="0"/>
    <x v="0"/>
    <x v="0"/>
    <n v="1551"/>
    <n v="304.32469812049538"/>
    <n v="1426.7988038112981"/>
    <n v="17213621.430000015"/>
    <n v="313"/>
    <n v="3638554.7499999991"/>
  </r>
  <r>
    <x v="0"/>
    <x v="0"/>
    <x v="2"/>
    <x v="7"/>
    <x v="1"/>
    <x v="1"/>
    <x v="0"/>
    <n v="2414"/>
    <n v="460.70245412700564"/>
    <n v="4031.0071576130663"/>
    <n v="90757062.48999995"/>
    <n v="388"/>
    <n v="10966837.889999999"/>
  </r>
  <r>
    <x v="0"/>
    <x v="0"/>
    <x v="2"/>
    <x v="7"/>
    <x v="2"/>
    <x v="2"/>
    <x v="0"/>
    <n v="1327"/>
    <n v="179.47465071207273"/>
    <n v="1169.8192560872435"/>
    <n v="17540463.849999968"/>
    <n v="219"/>
    <n v="2739572.560000001"/>
  </r>
  <r>
    <x v="0"/>
    <x v="0"/>
    <x v="2"/>
    <x v="7"/>
    <x v="3"/>
    <x v="3"/>
    <x v="0"/>
    <n v="2998"/>
    <n v="340.71734565656499"/>
    <n v="2374.8026547261693"/>
    <n v="30395143.780000001"/>
    <n v="338"/>
    <n v="4850996.9000000004"/>
  </r>
  <r>
    <x v="0"/>
    <x v="0"/>
    <x v="2"/>
    <x v="7"/>
    <x v="4"/>
    <x v="4"/>
    <x v="0"/>
    <n v="1557"/>
    <n v="262.62355565209788"/>
    <n v="1474.8368111989123"/>
    <n v="17944141.200000033"/>
    <n v="277"/>
    <n v="3221256.8200000012"/>
  </r>
  <r>
    <x v="0"/>
    <x v="0"/>
    <x v="2"/>
    <x v="7"/>
    <x v="5"/>
    <x v="5"/>
    <x v="0"/>
    <n v="514"/>
    <n v="105.32327365734804"/>
    <n v="377.53462118722115"/>
    <n v="5695052.8200000031"/>
    <n v="147"/>
    <n v="1545048.1399999997"/>
  </r>
  <r>
    <x v="0"/>
    <x v="0"/>
    <x v="2"/>
    <x v="7"/>
    <x v="6"/>
    <x v="6"/>
    <x v="0"/>
    <n v="1554"/>
    <n v="132.73428330791481"/>
    <n v="1547.757964269309"/>
    <n v="18871596.070000004"/>
    <n v="168"/>
    <n v="1850588.5899999996"/>
  </r>
  <r>
    <x v="0"/>
    <x v="0"/>
    <x v="2"/>
    <x v="7"/>
    <x v="7"/>
    <x v="7"/>
    <x v="0"/>
    <n v="3855"/>
    <n v="723.64030377509573"/>
    <n v="5363.9954896202398"/>
    <n v="101747683.72"/>
    <n v="687"/>
    <n v="14823099.75"/>
  </r>
  <r>
    <x v="0"/>
    <x v="0"/>
    <x v="2"/>
    <x v="7"/>
    <x v="8"/>
    <x v="8"/>
    <x v="0"/>
    <n v="204"/>
    <n v="52.303231333242948"/>
    <n v="142.42590618436685"/>
    <n v="1912237.9900000012"/>
    <n v="78"/>
    <n v="737859.54"/>
  </r>
  <r>
    <x v="0"/>
    <x v="0"/>
    <x v="2"/>
    <x v="7"/>
    <x v="9"/>
    <x v="9"/>
    <x v="0"/>
    <n v="1734"/>
    <n v="362.87762537406752"/>
    <n v="1552.4397502096365"/>
    <n v="21783206.48"/>
    <n v="418"/>
    <n v="5076268.9400000023"/>
  </r>
  <r>
    <x v="0"/>
    <x v="0"/>
    <x v="2"/>
    <x v="7"/>
    <x v="10"/>
    <x v="10"/>
    <x v="0"/>
    <n v="2035"/>
    <n v="309.03227206048359"/>
    <n v="2290.6193287993897"/>
    <n v="38314854.490000129"/>
    <n v="340"/>
    <n v="5177650.3000000007"/>
  </r>
  <r>
    <x v="1"/>
    <x v="1"/>
    <x v="1"/>
    <x v="2"/>
    <x v="11"/>
    <x v="11"/>
    <x v="0"/>
    <n v="531"/>
    <n v="179.5490409999999"/>
    <n v="511.7325969999996"/>
    <n v="6148247.5199999977"/>
    <n v="192"/>
    <n v="2137075.27"/>
  </r>
  <r>
    <x v="0"/>
    <x v="0"/>
    <x v="2"/>
    <x v="7"/>
    <x v="12"/>
    <x v="12"/>
    <x v="0"/>
    <n v="2360"/>
    <n v="421.89296562174502"/>
    <n v="1933.5571943511825"/>
    <n v="27079684.409999963"/>
    <n v="510"/>
    <n v="6118591.6600000011"/>
  </r>
  <r>
    <x v="0"/>
    <x v="0"/>
    <x v="2"/>
    <x v="7"/>
    <x v="13"/>
    <x v="13"/>
    <x v="0"/>
    <n v="1077"/>
    <n v="170.38113882799612"/>
    <n v="993.10603233996767"/>
    <n v="13813036.859999999"/>
    <n v="180"/>
    <n v="2366909.31"/>
  </r>
  <r>
    <x v="0"/>
    <x v="0"/>
    <x v="2"/>
    <x v="7"/>
    <x v="14"/>
    <x v="14"/>
    <x v="0"/>
    <n v="214"/>
    <n v="26.958985656329183"/>
    <n v="163.50915591559948"/>
    <n v="1758954.959999999"/>
    <n v="36"/>
    <n v="331313.06000000011"/>
  </r>
  <r>
    <x v="0"/>
    <x v="0"/>
    <x v="2"/>
    <x v="7"/>
    <x v="15"/>
    <x v="15"/>
    <x v="0"/>
    <n v="735"/>
    <n v="117.92741849667148"/>
    <n v="579.69357561011498"/>
    <n v="7974940.5199999996"/>
    <n v="146"/>
    <n v="1837382.1300000015"/>
  </r>
  <r>
    <x v="0"/>
    <x v="0"/>
    <x v="2"/>
    <x v="7"/>
    <x v="16"/>
    <x v="16"/>
    <x v="0"/>
    <n v="1747"/>
    <n v="325.72898484763556"/>
    <n v="1708.851202215709"/>
    <n v="21859763.019999981"/>
    <n v="358"/>
    <n v="4338182.8500000015"/>
  </r>
  <r>
    <x v="0"/>
    <x v="0"/>
    <x v="2"/>
    <x v="7"/>
    <x v="17"/>
    <x v="17"/>
    <x v="0"/>
    <n v="1269"/>
    <n v="246.14115486221391"/>
    <n v="1437.9742946688252"/>
    <n v="17390065.750000015"/>
    <n v="257"/>
    <n v="2768042.0300000021"/>
  </r>
  <r>
    <x v="0"/>
    <x v="0"/>
    <x v="2"/>
    <x v="7"/>
    <x v="18"/>
    <x v="18"/>
    <x v="0"/>
    <n v="2745"/>
    <n v="317.27494495540634"/>
    <n v="2334.9716132339308"/>
    <n v="25826444.110000018"/>
    <n v="406"/>
    <n v="3871560.4499999983"/>
  </r>
  <r>
    <x v="0"/>
    <x v="0"/>
    <x v="2"/>
    <x v="7"/>
    <x v="19"/>
    <x v="19"/>
    <x v="0"/>
    <n v="1095"/>
    <n v="196.88788749009024"/>
    <n v="1356.3522127093395"/>
    <n v="21579715.830000009"/>
    <n v="229"/>
    <n v="3398317.0500000007"/>
  </r>
  <r>
    <x v="0"/>
    <x v="0"/>
    <x v="2"/>
    <x v="7"/>
    <x v="20"/>
    <x v="20"/>
    <x v="0"/>
    <n v="1132"/>
    <n v="208.66422233996676"/>
    <n v="1113.2412558084968"/>
    <n v="16874990.350000001"/>
    <n v="225"/>
    <n v="3242008.5300000003"/>
  </r>
  <r>
    <x v="0"/>
    <x v="0"/>
    <x v="2"/>
    <x v="7"/>
    <x v="21"/>
    <x v="21"/>
    <x v="0"/>
    <n v="839"/>
    <n v="137.438879247941"/>
    <n v="586.01184752957033"/>
    <n v="6932369.5200000042"/>
    <n v="177"/>
    <n v="1786514.8600000003"/>
  </r>
  <r>
    <x v="0"/>
    <x v="0"/>
    <x v="2"/>
    <x v="7"/>
    <x v="22"/>
    <x v="22"/>
    <x v="0"/>
    <n v="1842"/>
    <n v="350.99812252550674"/>
    <n v="1761.42107054556"/>
    <n v="32050541.830000013"/>
    <n v="434"/>
    <n v="5950874.2800000012"/>
  </r>
  <r>
    <x v="0"/>
    <x v="0"/>
    <x v="2"/>
    <x v="7"/>
    <x v="23"/>
    <x v="23"/>
    <x v="0"/>
    <n v="154"/>
    <n v="38.171668513390884"/>
    <n v="122.53443343794157"/>
    <n v="1714246.31"/>
    <n v="58"/>
    <n v="544735.37"/>
  </r>
  <r>
    <x v="0"/>
    <x v="0"/>
    <x v="2"/>
    <x v="7"/>
    <x v="24"/>
    <x v="24"/>
    <x v="0"/>
    <n v="545"/>
    <n v="117.44355350283978"/>
    <n v="448.50145728254262"/>
    <n v="7199667.5899999924"/>
    <n v="150"/>
    <n v="1760738.0299999998"/>
  </r>
  <r>
    <x v="0"/>
    <x v="0"/>
    <x v="2"/>
    <x v="7"/>
    <x v="25"/>
    <x v="25"/>
    <x v="0"/>
    <n v="1003"/>
    <n v="177.11527474214992"/>
    <n v="831.5040914000565"/>
    <n v="12406152.400000006"/>
    <n v="222"/>
    <n v="2905052.4400000004"/>
  </r>
  <r>
    <x v="0"/>
    <x v="0"/>
    <x v="2"/>
    <x v="7"/>
    <x v="26"/>
    <x v="26"/>
    <x v="0"/>
    <n v="876"/>
    <n v="168.08957185720877"/>
    <n v="705.34933100826493"/>
    <n v="10777716.92"/>
    <n v="209"/>
    <n v="2413214.7599999998"/>
  </r>
  <r>
    <x v="0"/>
    <x v="0"/>
    <x v="2"/>
    <x v="7"/>
    <x v="27"/>
    <x v="27"/>
    <x v="0"/>
    <n v="606"/>
    <n v="113.81559854908861"/>
    <n v="477.81125590890343"/>
    <n v="6273411.2399999993"/>
    <n v="147"/>
    <n v="1552603.4100000008"/>
  </r>
  <r>
    <x v="0"/>
    <x v="0"/>
    <x v="2"/>
    <x v="7"/>
    <x v="28"/>
    <x v="28"/>
    <x v="0"/>
    <n v="780"/>
    <n v="123.71943142283538"/>
    <n v="641.49794082223661"/>
    <n v="8025041.8500000052"/>
    <n v="168"/>
    <n v="1659384.8800000004"/>
  </r>
  <r>
    <x v="0"/>
    <x v="0"/>
    <x v="2"/>
    <x v="7"/>
    <x v="29"/>
    <x v="29"/>
    <x v="0"/>
    <n v="496"/>
    <n v="126.96339938148161"/>
    <n v="485.6093358094945"/>
    <n v="11931083.979999991"/>
    <n v="140"/>
    <n v="2574784.0900000008"/>
  </r>
  <r>
    <x v="0"/>
    <x v="0"/>
    <x v="2"/>
    <x v="7"/>
    <x v="30"/>
    <x v="30"/>
    <x v="0"/>
    <n v="573"/>
    <n v="94.579114794313611"/>
    <n v="430.01687751818207"/>
    <n v="5833747.4400000004"/>
    <n v="117"/>
    <n v="1214299.6999999997"/>
  </r>
  <r>
    <x v="0"/>
    <x v="0"/>
    <x v="2"/>
    <x v="7"/>
    <x v="31"/>
    <x v="31"/>
    <x v="0"/>
    <n v="971"/>
    <n v="246.57094085673529"/>
    <n v="840.53160028497587"/>
    <n v="11491089.369999995"/>
    <n v="304"/>
    <n v="3320226.8899999997"/>
  </r>
  <r>
    <x v="0"/>
    <x v="0"/>
    <x v="2"/>
    <x v="7"/>
    <x v="32"/>
    <x v="32"/>
    <x v="0"/>
    <n v="1741"/>
    <n v="378.69906317237775"/>
    <n v="1709.9804052013185"/>
    <n v="21048463.640000008"/>
    <n v="421"/>
    <n v="4801491.1199999955"/>
  </r>
  <r>
    <x v="0"/>
    <x v="0"/>
    <x v="2"/>
    <x v="7"/>
    <x v="33"/>
    <x v="33"/>
    <x v="0"/>
    <n v="1733"/>
    <n v="184.98831564178496"/>
    <n v="1396.0002392039214"/>
    <n v="17866644.860000037"/>
    <n v="220"/>
    <n v="2566759.0099999993"/>
  </r>
  <r>
    <x v="0"/>
    <x v="0"/>
    <x v="2"/>
    <x v="7"/>
    <x v="34"/>
    <x v="34"/>
    <x v="0"/>
    <n v="24"/>
    <n v="3.3317009575277647"/>
    <n v="20.669747736503844"/>
    <n v="335074.14"/>
    <n v="5"/>
    <n v="78472.02"/>
  </r>
  <r>
    <x v="0"/>
    <x v="0"/>
    <x v="2"/>
    <x v="7"/>
    <x v="35"/>
    <x v="35"/>
    <x v="0"/>
    <n v="1853"/>
    <n v="253.37936976994177"/>
    <n v="1414.8961389630376"/>
    <n v="15313738.469999997"/>
    <n v="298"/>
    <n v="2722660.3399999994"/>
  </r>
  <r>
    <x v="0"/>
    <x v="0"/>
    <x v="2"/>
    <x v="7"/>
    <x v="36"/>
    <x v="36"/>
    <x v="0"/>
    <n v="1444"/>
    <n v="250.52050180638636"/>
    <n v="1193.0389077912503"/>
    <n v="14129443.240000008"/>
    <n v="312"/>
    <n v="2937725.4699999988"/>
  </r>
  <r>
    <x v="0"/>
    <x v="0"/>
    <x v="2"/>
    <x v="7"/>
    <x v="37"/>
    <x v="37"/>
    <x v="0"/>
    <n v="914"/>
    <n v="233.30405302586041"/>
    <n v="896.17209257567447"/>
    <n v="13115492.300000003"/>
    <n v="240"/>
    <n v="4017466.9400000004"/>
  </r>
  <r>
    <x v="0"/>
    <x v="0"/>
    <x v="2"/>
    <x v="7"/>
    <x v="38"/>
    <x v="38"/>
    <x v="0"/>
    <n v="339"/>
    <n v="70.615489099799845"/>
    <n v="380.28578015214941"/>
    <n v="6175161.769999994"/>
    <n v="77"/>
    <n v="939373.32999999961"/>
  </r>
  <r>
    <x v="0"/>
    <x v="0"/>
    <x v="2"/>
    <x v="7"/>
    <x v="39"/>
    <x v="39"/>
    <x v="0"/>
    <n v="1020"/>
    <n v="279.23129544038386"/>
    <n v="1118.6181317399512"/>
    <n v="14950344.969999993"/>
    <n v="289"/>
    <n v="3831717.9300000016"/>
  </r>
  <r>
    <x v="0"/>
    <x v="0"/>
    <x v="2"/>
    <x v="7"/>
    <x v="40"/>
    <x v="40"/>
    <x v="0"/>
    <n v="1861"/>
    <n v="211.62853030217789"/>
    <n v="1420.6500158896863"/>
    <n v="18620937.139999993"/>
    <n v="233"/>
    <n v="2804476.7300000023"/>
  </r>
  <r>
    <x v="0"/>
    <x v="0"/>
    <x v="2"/>
    <x v="7"/>
    <x v="41"/>
    <x v="41"/>
    <x v="0"/>
    <n v="196"/>
    <n v="1.8837079759866537"/>
    <n v="363.551181365481"/>
    <n v="5996483.5199999986"/>
    <n v="1"/>
    <n v="33566.769999999997"/>
  </r>
  <r>
    <x v="0"/>
    <x v="0"/>
    <x v="2"/>
    <x v="7"/>
    <x v="42"/>
    <x v="42"/>
    <x v="0"/>
    <n v="236"/>
    <n v="51.002747349821419"/>
    <n v="161.69749893869428"/>
    <n v="1784661.5200000005"/>
    <n v="80"/>
    <n v="609796.26"/>
  </r>
  <r>
    <x v="0"/>
    <x v="0"/>
    <x v="2"/>
    <x v="7"/>
    <x v="43"/>
    <x v="43"/>
    <x v="0"/>
    <n v="298"/>
    <n v="66.214733155900319"/>
    <n v="292.79894126742448"/>
    <n v="3677209.68"/>
    <n v="76"/>
    <n v="795733.57000000018"/>
  </r>
  <r>
    <x v="0"/>
    <x v="0"/>
    <x v="2"/>
    <x v="7"/>
    <x v="44"/>
    <x v="44"/>
    <x v="0"/>
    <n v="1257"/>
    <n v="223.86711214616162"/>
    <n v="1047.5428936460107"/>
    <n v="15409812.319999997"/>
    <n v="266"/>
    <n v="3038215.9899999984"/>
  </r>
  <r>
    <x v="0"/>
    <x v="0"/>
    <x v="2"/>
    <x v="7"/>
    <x v="45"/>
    <x v="45"/>
    <x v="0"/>
    <n v="1586"/>
    <n v="237.95462896657503"/>
    <n v="1703.93773427835"/>
    <n v="21729905.259999953"/>
    <n v="245"/>
    <n v="3022328.3700000006"/>
  </r>
  <r>
    <x v="0"/>
    <x v="0"/>
    <x v="2"/>
    <x v="7"/>
    <x v="46"/>
    <x v="46"/>
    <x v="0"/>
    <n v="126"/>
    <n v="14.232995818559001"/>
    <n v="134.28863928809997"/>
    <n v="5153455.9600000018"/>
    <n v="14"/>
    <n v="437962.00000000006"/>
  </r>
  <r>
    <x v="0"/>
    <x v="0"/>
    <x v="2"/>
    <x v="7"/>
    <x v="47"/>
    <x v="47"/>
    <x v="0"/>
    <n v="460"/>
    <n v="69.406105115216988"/>
    <n v="386.01670707909227"/>
    <n v="4746784.53"/>
    <n v="71"/>
    <n v="869393.21999999986"/>
  </r>
  <r>
    <x v="0"/>
    <x v="0"/>
    <x v="2"/>
    <x v="8"/>
    <x v="0"/>
    <x v="0"/>
    <x v="0"/>
    <n v="1682"/>
    <n v="285.48333536068316"/>
    <n v="1500.7245278689004"/>
    <n v="17467331.140000008"/>
    <n v="340"/>
    <n v="3399457.7700000005"/>
  </r>
  <r>
    <x v="0"/>
    <x v="0"/>
    <x v="2"/>
    <x v="8"/>
    <x v="1"/>
    <x v="1"/>
    <x v="0"/>
    <n v="2631"/>
    <n v="494.1675827003948"/>
    <n v="4360.5454024121491"/>
    <n v="95275692.189999983"/>
    <n v="416"/>
    <n v="10224546.830000002"/>
  </r>
  <r>
    <x v="0"/>
    <x v="0"/>
    <x v="2"/>
    <x v="8"/>
    <x v="2"/>
    <x v="2"/>
    <x v="0"/>
    <n v="1445"/>
    <n v="222.02018116970615"/>
    <n v="1359.1463336737247"/>
    <n v="20920452.250000034"/>
    <n v="247"/>
    <n v="3442210.2300000014"/>
  </r>
  <r>
    <x v="0"/>
    <x v="0"/>
    <x v="2"/>
    <x v="8"/>
    <x v="3"/>
    <x v="3"/>
    <x v="0"/>
    <n v="3301"/>
    <n v="371.53878426365623"/>
    <n v="2657.1448741268764"/>
    <n v="33247760.92000008"/>
    <n v="386"/>
    <n v="4765011.2100000028"/>
  </r>
  <r>
    <x v="0"/>
    <x v="0"/>
    <x v="2"/>
    <x v="8"/>
    <x v="4"/>
    <x v="4"/>
    <x v="0"/>
    <n v="1700"/>
    <n v="280.51524742401597"/>
    <n v="1536.4777444131203"/>
    <n v="18653775.799999993"/>
    <n v="288"/>
    <n v="3588949.1900000013"/>
  </r>
  <r>
    <x v="0"/>
    <x v="0"/>
    <x v="2"/>
    <x v="8"/>
    <x v="5"/>
    <x v="5"/>
    <x v="0"/>
    <n v="597"/>
    <n v="156.00489201126314"/>
    <n v="445.97652531472949"/>
    <n v="5471237.0699999994"/>
    <n v="189"/>
    <n v="2002709.3300000008"/>
  </r>
  <r>
    <x v="0"/>
    <x v="0"/>
    <x v="2"/>
    <x v="8"/>
    <x v="6"/>
    <x v="6"/>
    <x v="0"/>
    <n v="1546"/>
    <n v="167.56383586391081"/>
    <n v="1505.1922808119325"/>
    <n v="22409688.250000015"/>
    <n v="214"/>
    <n v="3023690.9100000015"/>
  </r>
  <r>
    <x v="0"/>
    <x v="0"/>
    <x v="2"/>
    <x v="8"/>
    <x v="7"/>
    <x v="7"/>
    <x v="0"/>
    <n v="4126"/>
    <n v="777.65243608655453"/>
    <n v="5659.4987348531995"/>
    <n v="116401933.8900001"/>
    <n v="729"/>
    <n v="17203506.710000005"/>
  </r>
  <r>
    <x v="0"/>
    <x v="0"/>
    <x v="2"/>
    <x v="8"/>
    <x v="8"/>
    <x v="8"/>
    <x v="0"/>
    <n v="230"/>
    <n v="47.233731397868489"/>
    <n v="152.09905906105419"/>
    <n v="2124077.6099999989"/>
    <n v="68"/>
    <n v="731633.06000000017"/>
  </r>
  <r>
    <x v="0"/>
    <x v="0"/>
    <x v="2"/>
    <x v="8"/>
    <x v="9"/>
    <x v="9"/>
    <x v="0"/>
    <n v="1929"/>
    <n v="371.94799125843974"/>
    <n v="1712.2512451723696"/>
    <n v="24118090.600000028"/>
    <n v="452"/>
    <n v="5140921.070000005"/>
  </r>
  <r>
    <x v="0"/>
    <x v="0"/>
    <x v="2"/>
    <x v="8"/>
    <x v="10"/>
    <x v="10"/>
    <x v="0"/>
    <n v="2125"/>
    <n v="367.51024731501155"/>
    <n v="2291.2583277912468"/>
    <n v="34848795.74000001"/>
    <n v="379"/>
    <n v="5919233.0499999998"/>
  </r>
  <r>
    <x v="1"/>
    <x v="1"/>
    <x v="1"/>
    <x v="4"/>
    <x v="11"/>
    <x v="11"/>
    <x v="0"/>
    <n v="609"/>
    <n v="212.62017699999996"/>
    <n v="579.44863499999951"/>
    <n v="6484554.9499999965"/>
    <n v="216"/>
    <n v="2309626.7400000007"/>
  </r>
  <r>
    <x v="0"/>
    <x v="0"/>
    <x v="2"/>
    <x v="8"/>
    <x v="12"/>
    <x v="12"/>
    <x v="0"/>
    <n v="2545"/>
    <n v="517.69506240046837"/>
    <n v="2166.6961203791457"/>
    <n v="31980632.470000025"/>
    <n v="613"/>
    <n v="8308692.5399999944"/>
  </r>
  <r>
    <x v="0"/>
    <x v="0"/>
    <x v="2"/>
    <x v="8"/>
    <x v="13"/>
    <x v="13"/>
    <x v="0"/>
    <n v="1136"/>
    <n v="179.72574570887184"/>
    <n v="1008.5348501432798"/>
    <n v="13885112.100000007"/>
    <n v="205"/>
    <n v="2886728.9399999995"/>
  </r>
  <r>
    <x v="0"/>
    <x v="0"/>
    <x v="2"/>
    <x v="8"/>
    <x v="14"/>
    <x v="14"/>
    <x v="0"/>
    <n v="228"/>
    <n v="27.123477654232261"/>
    <n v="175.01721176889561"/>
    <n v="1859518.5"/>
    <n v="34"/>
    <n v="287082.63"/>
  </r>
  <r>
    <x v="0"/>
    <x v="0"/>
    <x v="2"/>
    <x v="8"/>
    <x v="15"/>
    <x v="15"/>
    <x v="0"/>
    <n v="859"/>
    <n v="131.03297232960298"/>
    <n v="678.33667335261964"/>
    <n v="8976809.1399999876"/>
    <n v="166"/>
    <n v="1689893.5200000003"/>
  </r>
  <r>
    <x v="0"/>
    <x v="0"/>
    <x v="2"/>
    <x v="8"/>
    <x v="16"/>
    <x v="16"/>
    <x v="0"/>
    <n v="1786"/>
    <n v="307.20600108376482"/>
    <n v="1689.7061664597734"/>
    <n v="20709159.350000057"/>
    <n v="361"/>
    <n v="4135811.3100000033"/>
  </r>
  <r>
    <x v="0"/>
    <x v="0"/>
    <x v="2"/>
    <x v="8"/>
    <x v="17"/>
    <x v="17"/>
    <x v="0"/>
    <n v="1380"/>
    <n v="282.6307223970482"/>
    <n v="1601.8394195798905"/>
    <n v="19365273.11999996"/>
    <n v="299"/>
    <n v="3335836.81"/>
  </r>
  <r>
    <x v="0"/>
    <x v="0"/>
    <x v="2"/>
    <x v="8"/>
    <x v="18"/>
    <x v="18"/>
    <x v="0"/>
    <n v="2885"/>
    <n v="362.52755137853018"/>
    <n v="2414.4562132206652"/>
    <n v="26190307.28000002"/>
    <n v="432"/>
    <n v="4426243.38"/>
  </r>
  <r>
    <x v="0"/>
    <x v="0"/>
    <x v="2"/>
    <x v="8"/>
    <x v="19"/>
    <x v="19"/>
    <x v="0"/>
    <n v="1230"/>
    <n v="246.29962486019392"/>
    <n v="1499.5329028840872"/>
    <n v="22457761.900000025"/>
    <n v="270"/>
    <n v="3907421.9100000011"/>
  </r>
  <r>
    <x v="0"/>
    <x v="0"/>
    <x v="2"/>
    <x v="8"/>
    <x v="20"/>
    <x v="20"/>
    <x v="0"/>
    <n v="1209"/>
    <n v="230.9020820564804"/>
    <n v="1183.01655191901"/>
    <n v="16520470.31000001"/>
    <n v="261"/>
    <n v="3258066.9900000021"/>
  </r>
  <r>
    <x v="0"/>
    <x v="0"/>
    <x v="2"/>
    <x v="8"/>
    <x v="21"/>
    <x v="21"/>
    <x v="0"/>
    <n v="927"/>
    <n v="146.39509213376803"/>
    <n v="682.53657429907935"/>
    <n v="8331410.5700000124"/>
    <n v="192"/>
    <n v="1972942.7100000011"/>
  </r>
  <r>
    <x v="0"/>
    <x v="0"/>
    <x v="2"/>
    <x v="8"/>
    <x v="22"/>
    <x v="22"/>
    <x v="0"/>
    <n v="1974"/>
    <n v="387.03449606611781"/>
    <n v="1986.2550186793983"/>
    <n v="37641432.800000004"/>
    <n v="455"/>
    <n v="7774145.4700000016"/>
  </r>
  <r>
    <x v="0"/>
    <x v="0"/>
    <x v="2"/>
    <x v="8"/>
    <x v="23"/>
    <x v="23"/>
    <x v="0"/>
    <n v="191"/>
    <n v="49.449965369616123"/>
    <n v="147.73093211673876"/>
    <n v="2119919.7499999986"/>
    <n v="68"/>
    <n v="729710.73000000021"/>
  </r>
  <r>
    <x v="0"/>
    <x v="0"/>
    <x v="2"/>
    <x v="8"/>
    <x v="24"/>
    <x v="24"/>
    <x v="0"/>
    <n v="614"/>
    <n v="129.05730535478872"/>
    <n v="473.57691496288277"/>
    <n v="6755874.0199999949"/>
    <n v="174"/>
    <n v="1799897.5000000014"/>
  </r>
  <r>
    <x v="0"/>
    <x v="0"/>
    <x v="2"/>
    <x v="8"/>
    <x v="25"/>
    <x v="25"/>
    <x v="0"/>
    <n v="1100"/>
    <n v="202.99708141221078"/>
    <n v="931.59297712413115"/>
    <n v="12589647.960000016"/>
    <n v="247"/>
    <n v="2748419.5700000022"/>
  </r>
  <r>
    <x v="0"/>
    <x v="0"/>
    <x v="2"/>
    <x v="8"/>
    <x v="26"/>
    <x v="26"/>
    <x v="0"/>
    <n v="915"/>
    <n v="161.20115894502158"/>
    <n v="729.28226070316975"/>
    <n v="12057125.42999999"/>
    <n v="208"/>
    <n v="2699231.6300000004"/>
  </r>
  <r>
    <x v="0"/>
    <x v="0"/>
    <x v="2"/>
    <x v="8"/>
    <x v="27"/>
    <x v="27"/>
    <x v="0"/>
    <n v="733"/>
    <n v="139.87865021683908"/>
    <n v="573.81808368501538"/>
    <n v="7346914.5000000056"/>
    <n v="171"/>
    <n v="1871232.08"/>
  </r>
  <r>
    <x v="0"/>
    <x v="0"/>
    <x v="2"/>
    <x v="8"/>
    <x v="28"/>
    <x v="28"/>
    <x v="0"/>
    <n v="793"/>
    <n v="136.75205425669662"/>
    <n v="683.2419822900888"/>
    <n v="9086133.9999999963"/>
    <n v="164"/>
    <n v="1891865.3099999998"/>
  </r>
  <r>
    <x v="0"/>
    <x v="0"/>
    <x v="2"/>
    <x v="8"/>
    <x v="29"/>
    <x v="29"/>
    <x v="0"/>
    <n v="529"/>
    <n v="120.75152246067005"/>
    <n v="522.74161233613461"/>
    <n v="10336632.979999995"/>
    <n v="142"/>
    <n v="2421612.4999999995"/>
  </r>
  <r>
    <x v="0"/>
    <x v="0"/>
    <x v="2"/>
    <x v="8"/>
    <x v="30"/>
    <x v="30"/>
    <x v="0"/>
    <n v="626"/>
    <n v="114.05587954602557"/>
    <n v="471.6679299872178"/>
    <n v="6325489.4899999946"/>
    <n v="148"/>
    <n v="1589035.1999999993"/>
  </r>
  <r>
    <x v="0"/>
    <x v="0"/>
    <x v="2"/>
    <x v="8"/>
    <x v="31"/>
    <x v="31"/>
    <x v="0"/>
    <n v="1091"/>
    <n v="263.88474763602022"/>
    <n v="889.89216965573166"/>
    <n v="11842896.270000011"/>
    <n v="359"/>
    <n v="3695375.6599999983"/>
  </r>
  <r>
    <x v="0"/>
    <x v="0"/>
    <x v="2"/>
    <x v="8"/>
    <x v="32"/>
    <x v="32"/>
    <x v="0"/>
    <n v="1854"/>
    <n v="440.85103738006922"/>
    <n v="1717.1280971101974"/>
    <n v="21053188.789999973"/>
    <n v="517"/>
    <n v="5155027.5899999989"/>
  </r>
  <r>
    <x v="0"/>
    <x v="0"/>
    <x v="2"/>
    <x v="8"/>
    <x v="33"/>
    <x v="33"/>
    <x v="0"/>
    <n v="1866"/>
    <n v="230.11130406656102"/>
    <n v="1534.3823794398406"/>
    <n v="20577957.239999991"/>
    <n v="275"/>
    <n v="3450461.41"/>
  </r>
  <r>
    <x v="0"/>
    <x v="0"/>
    <x v="2"/>
    <x v="8"/>
    <x v="34"/>
    <x v="34"/>
    <x v="0"/>
    <n v="28"/>
    <n v="7.6909349019566289"/>
    <n v="18.090718769381084"/>
    <n v="283180.68999999994"/>
    <n v="12"/>
    <n v="136252.96999999997"/>
  </r>
  <r>
    <x v="0"/>
    <x v="0"/>
    <x v="2"/>
    <x v="8"/>
    <x v="35"/>
    <x v="35"/>
    <x v="0"/>
    <n v="2004"/>
    <n v="274.67310649849111"/>
    <n v="1574.902992923282"/>
    <n v="17847291.100000001"/>
    <n v="314"/>
    <n v="3103745.640000002"/>
  </r>
  <r>
    <x v="0"/>
    <x v="0"/>
    <x v="2"/>
    <x v="8"/>
    <x v="36"/>
    <x v="36"/>
    <x v="0"/>
    <n v="1432"/>
    <n v="260.14974068363387"/>
    <n v="1225.0226863835226"/>
    <n v="14527742.450000005"/>
    <n v="321"/>
    <n v="3168293.1600000029"/>
  </r>
  <r>
    <x v="0"/>
    <x v="0"/>
    <x v="2"/>
    <x v="8"/>
    <x v="37"/>
    <x v="37"/>
    <x v="0"/>
    <n v="1011"/>
    <n v="267.42201759092751"/>
    <n v="979.40068851468436"/>
    <n v="14015627.320000008"/>
    <n v="292"/>
    <n v="3976363.81"/>
  </r>
  <r>
    <x v="0"/>
    <x v="0"/>
    <x v="2"/>
    <x v="8"/>
    <x v="38"/>
    <x v="38"/>
    <x v="0"/>
    <n v="396"/>
    <n v="77.688608009632375"/>
    <n v="445.6694803186441"/>
    <n v="7458352.700000003"/>
    <n v="88"/>
    <n v="985897.38000000012"/>
  </r>
  <r>
    <x v="0"/>
    <x v="0"/>
    <x v="2"/>
    <x v="8"/>
    <x v="39"/>
    <x v="39"/>
    <x v="0"/>
    <n v="1089"/>
    <n v="270.11020455665874"/>
    <n v="1113.7358218021905"/>
    <n v="15531485.329999996"/>
    <n v="309"/>
    <n v="3813901.1999999969"/>
  </r>
  <r>
    <x v="0"/>
    <x v="0"/>
    <x v="2"/>
    <x v="8"/>
    <x v="40"/>
    <x v="40"/>
    <x v="0"/>
    <n v="2021"/>
    <n v="296.19102922418256"/>
    <n v="1683.3525295407728"/>
    <n v="22820663.039999947"/>
    <n v="292"/>
    <n v="4314485.67"/>
  </r>
  <r>
    <x v="0"/>
    <x v="0"/>
    <x v="2"/>
    <x v="8"/>
    <x v="41"/>
    <x v="41"/>
    <x v="0"/>
    <n v="255"/>
    <n v="2.2773659709683356"/>
    <n v="455.15918719766961"/>
    <n v="6452972.6000000015"/>
    <n v="1"/>
    <n v="34505.18"/>
  </r>
  <r>
    <x v="0"/>
    <x v="0"/>
    <x v="2"/>
    <x v="8"/>
    <x v="42"/>
    <x v="42"/>
    <x v="0"/>
    <n v="248"/>
    <n v="60.309229231183174"/>
    <n v="190.74835256835649"/>
    <n v="2211785.4900000007"/>
    <n v="81"/>
    <n v="652400.29000000027"/>
  </r>
  <r>
    <x v="0"/>
    <x v="0"/>
    <x v="2"/>
    <x v="8"/>
    <x v="43"/>
    <x v="43"/>
    <x v="0"/>
    <n v="303"/>
    <n v="73.853698058519441"/>
    <n v="312.54416001571428"/>
    <n v="4055840.5400000052"/>
    <n v="81"/>
    <n v="910654.95000000007"/>
  </r>
  <r>
    <x v="0"/>
    <x v="0"/>
    <x v="2"/>
    <x v="8"/>
    <x v="44"/>
    <x v="44"/>
    <x v="0"/>
    <n v="1316"/>
    <n v="258.26104270771089"/>
    <n v="1028.3572158905883"/>
    <n v="16145438.660000019"/>
    <n v="319"/>
    <n v="3840199.4899999993"/>
  </r>
  <r>
    <x v="0"/>
    <x v="0"/>
    <x v="2"/>
    <x v="8"/>
    <x v="45"/>
    <x v="45"/>
    <x v="0"/>
    <n v="1678"/>
    <n v="260.69573767667328"/>
    <n v="1736.6444298614065"/>
    <n v="21773661.220000003"/>
    <n v="276"/>
    <n v="3369807.0500000007"/>
  </r>
  <r>
    <x v="0"/>
    <x v="0"/>
    <x v="2"/>
    <x v="8"/>
    <x v="46"/>
    <x v="46"/>
    <x v="0"/>
    <n v="133"/>
    <n v="14.148373819637751"/>
    <n v="140.77460020541756"/>
    <n v="5419969.3699999992"/>
    <n v="14"/>
    <n v="530176.1399999999"/>
  </r>
  <r>
    <x v="0"/>
    <x v="0"/>
    <x v="2"/>
    <x v="8"/>
    <x v="47"/>
    <x v="47"/>
    <x v="0"/>
    <n v="477"/>
    <n v="55.218510296079216"/>
    <n v="373.92440023324394"/>
    <n v="4321890.0100000007"/>
    <n v="71"/>
    <n v="642062.9800000001"/>
  </r>
  <r>
    <x v="0"/>
    <x v="0"/>
    <x v="2"/>
    <x v="9"/>
    <x v="0"/>
    <x v="0"/>
    <x v="0"/>
    <n v="1650"/>
    <n v="252.65660877915565"/>
    <n v="1399.0483081650616"/>
    <n v="16818538.279999994"/>
    <n v="306"/>
    <n v="3282063.6599999983"/>
  </r>
  <r>
    <x v="0"/>
    <x v="0"/>
    <x v="2"/>
    <x v="9"/>
    <x v="1"/>
    <x v="1"/>
    <x v="0"/>
    <n v="2542"/>
    <n v="496.74571266752866"/>
    <n v="4252.6309347878332"/>
    <n v="88483609.730000168"/>
    <n v="400"/>
    <n v="8972073.0000000056"/>
  </r>
  <r>
    <x v="0"/>
    <x v="0"/>
    <x v="2"/>
    <x v="9"/>
    <x v="2"/>
    <x v="2"/>
    <x v="0"/>
    <n v="1328"/>
    <n v="220.46562018952363"/>
    <n v="1203.5162226576851"/>
    <n v="17915111.860000018"/>
    <n v="223"/>
    <n v="3094573.4900000007"/>
  </r>
  <r>
    <x v="0"/>
    <x v="0"/>
    <x v="2"/>
    <x v="9"/>
    <x v="3"/>
    <x v="3"/>
    <x v="0"/>
    <n v="3054"/>
    <n v="328.23212281572552"/>
    <n v="2463.3673185971566"/>
    <n v="30400337.489999954"/>
    <n v="338"/>
    <n v="4544128.2599999961"/>
  </r>
  <r>
    <x v="0"/>
    <x v="0"/>
    <x v="2"/>
    <x v="9"/>
    <x v="4"/>
    <x v="4"/>
    <x v="0"/>
    <n v="1588"/>
    <n v="251.9230087885075"/>
    <n v="1449.1633345261962"/>
    <n v="18038053.990000002"/>
    <n v="265"/>
    <n v="3462554.8800000018"/>
  </r>
  <r>
    <x v="0"/>
    <x v="0"/>
    <x v="2"/>
    <x v="9"/>
    <x v="5"/>
    <x v="5"/>
    <x v="0"/>
    <n v="528"/>
    <n v="120.3054354663567"/>
    <n v="400.94659588876743"/>
    <n v="5161542.5299999956"/>
    <n v="153"/>
    <n v="1505153.4999999993"/>
  </r>
  <r>
    <x v="0"/>
    <x v="0"/>
    <x v="2"/>
    <x v="9"/>
    <x v="6"/>
    <x v="6"/>
    <x v="0"/>
    <n v="1587"/>
    <n v="164.36500590468921"/>
    <n v="1596.9495576422214"/>
    <n v="23223106.360000011"/>
    <n v="198"/>
    <n v="2523935.8099999991"/>
  </r>
  <r>
    <x v="0"/>
    <x v="0"/>
    <x v="2"/>
    <x v="9"/>
    <x v="7"/>
    <x v="7"/>
    <x v="0"/>
    <n v="3963"/>
    <n v="787.89816395594335"/>
    <n v="5561.9999400960887"/>
    <n v="107463309.16999987"/>
    <n v="719"/>
    <n v="17129853.650000028"/>
  </r>
  <r>
    <x v="0"/>
    <x v="0"/>
    <x v="2"/>
    <x v="9"/>
    <x v="8"/>
    <x v="8"/>
    <x v="0"/>
    <n v="230"/>
    <n v="42.49566345826895"/>
    <n v="155.4963010177465"/>
    <n v="2026682.8899999994"/>
    <n v="65"/>
    <n v="635950.1399999999"/>
  </r>
  <r>
    <x v="0"/>
    <x v="0"/>
    <x v="2"/>
    <x v="9"/>
    <x v="9"/>
    <x v="9"/>
    <x v="0"/>
    <n v="1800"/>
    <n v="367.42245031613078"/>
    <n v="1630.0092712207827"/>
    <n v="23896715.540000007"/>
    <n v="406"/>
    <n v="5573042.7399999984"/>
  </r>
  <r>
    <x v="0"/>
    <x v="0"/>
    <x v="2"/>
    <x v="9"/>
    <x v="10"/>
    <x v="10"/>
    <x v="0"/>
    <n v="2120"/>
    <n v="364.41120335451808"/>
    <n v="2260.2857791860802"/>
    <n v="35496036.68999999"/>
    <n v="377"/>
    <n v="5695843.8400000017"/>
  </r>
  <r>
    <x v="1"/>
    <x v="1"/>
    <x v="3"/>
    <x v="6"/>
    <x v="11"/>
    <x v="11"/>
    <x v="0"/>
    <n v="637"/>
    <n v="172.16875699999997"/>
    <n v="609.87852599999871"/>
    <n v="8102442.189999993"/>
    <n v="202"/>
    <n v="2140236.4800000009"/>
  </r>
  <r>
    <x v="0"/>
    <x v="0"/>
    <x v="2"/>
    <x v="9"/>
    <x v="12"/>
    <x v="12"/>
    <x v="0"/>
    <n v="2438"/>
    <n v="433.62631047216939"/>
    <n v="2016.8084572898963"/>
    <n v="28493484.050000027"/>
    <n v="517"/>
    <n v="6178909.7100000093"/>
  </r>
  <r>
    <x v="0"/>
    <x v="0"/>
    <x v="2"/>
    <x v="9"/>
    <x v="13"/>
    <x v="13"/>
    <x v="0"/>
    <n v="1061"/>
    <n v="207.36641235651098"/>
    <n v="1001.4076422341387"/>
    <n v="13635220.210000012"/>
    <n v="210"/>
    <n v="3037791.8499999987"/>
  </r>
  <r>
    <x v="0"/>
    <x v="0"/>
    <x v="2"/>
    <x v="9"/>
    <x v="14"/>
    <x v="14"/>
    <x v="0"/>
    <n v="249"/>
    <n v="31.846137594028196"/>
    <n v="181.59980168498151"/>
    <n v="1695006.5000000002"/>
    <n v="38"/>
    <n v="282182.68000000005"/>
  </r>
  <r>
    <x v="0"/>
    <x v="0"/>
    <x v="2"/>
    <x v="9"/>
    <x v="15"/>
    <x v="15"/>
    <x v="0"/>
    <n v="753"/>
    <n v="134.7162162826493"/>
    <n v="645.28840077391794"/>
    <n v="8647108.7600000035"/>
    <n v="156"/>
    <n v="1965098.3199999998"/>
  </r>
  <r>
    <x v="0"/>
    <x v="0"/>
    <x v="2"/>
    <x v="9"/>
    <x v="16"/>
    <x v="16"/>
    <x v="0"/>
    <n v="1708"/>
    <n v="309.44437405523018"/>
    <n v="1711.0845201872417"/>
    <n v="20940472.760000017"/>
    <n v="337"/>
    <n v="4047826.64"/>
  </r>
  <r>
    <x v="0"/>
    <x v="0"/>
    <x v="2"/>
    <x v="9"/>
    <x v="17"/>
    <x v="17"/>
    <x v="0"/>
    <n v="1320"/>
    <n v="243.79577989211273"/>
    <n v="1534.0961974434742"/>
    <n v="17696247.949999969"/>
    <n v="265"/>
    <n v="2616326.9300000002"/>
  </r>
  <r>
    <x v="0"/>
    <x v="0"/>
    <x v="2"/>
    <x v="9"/>
    <x v="18"/>
    <x v="18"/>
    <x v="0"/>
    <n v="2845"/>
    <n v="342.94881362811822"/>
    <n v="2447.3412948014484"/>
    <n v="26222443.609999996"/>
    <n v="403"/>
    <n v="3921068.1999999941"/>
  </r>
  <r>
    <x v="0"/>
    <x v="0"/>
    <x v="2"/>
    <x v="9"/>
    <x v="19"/>
    <x v="19"/>
    <x v="0"/>
    <n v="1075"/>
    <n v="190.50968857139915"/>
    <n v="1308.2038203231334"/>
    <n v="19992542.880000003"/>
    <n v="216"/>
    <n v="3005117.01"/>
  </r>
  <r>
    <x v="0"/>
    <x v="0"/>
    <x v="2"/>
    <x v="9"/>
    <x v="20"/>
    <x v="20"/>
    <x v="0"/>
    <n v="1125"/>
    <n v="206.05582637321828"/>
    <n v="1076.1501592813322"/>
    <n v="14179914.750000002"/>
    <n v="222"/>
    <n v="2389833.4899999988"/>
  </r>
  <r>
    <x v="0"/>
    <x v="0"/>
    <x v="2"/>
    <x v="9"/>
    <x v="21"/>
    <x v="21"/>
    <x v="0"/>
    <n v="879"/>
    <n v="129.79129034543186"/>
    <n v="624.38000304045272"/>
    <n v="7738027.2400000021"/>
    <n v="165"/>
    <n v="1812896.2600000007"/>
  </r>
  <r>
    <x v="0"/>
    <x v="0"/>
    <x v="2"/>
    <x v="9"/>
    <x v="22"/>
    <x v="22"/>
    <x v="0"/>
    <n v="1928"/>
    <n v="390.85578801740428"/>
    <n v="1850.6205094084542"/>
    <n v="29609926.359999985"/>
    <n v="425"/>
    <n v="6565838.6999999909"/>
  </r>
  <r>
    <x v="0"/>
    <x v="0"/>
    <x v="2"/>
    <x v="9"/>
    <x v="23"/>
    <x v="23"/>
    <x v="0"/>
    <n v="169"/>
    <n v="54.829927301032839"/>
    <n v="149.17329909835169"/>
    <n v="2240713.7399999993"/>
    <n v="65"/>
    <n v="799554.37000000011"/>
  </r>
  <r>
    <x v="0"/>
    <x v="0"/>
    <x v="2"/>
    <x v="9"/>
    <x v="24"/>
    <x v="24"/>
    <x v="0"/>
    <n v="593"/>
    <n v="117.63499850039926"/>
    <n v="450.18511026107905"/>
    <n v="5865457.889999995"/>
    <n v="136"/>
    <n v="1493429.4200000004"/>
  </r>
  <r>
    <x v="0"/>
    <x v="0"/>
    <x v="2"/>
    <x v="9"/>
    <x v="25"/>
    <x v="25"/>
    <x v="0"/>
    <n v="1071"/>
    <n v="203.32538640802539"/>
    <n v="913.17922535886817"/>
    <n v="11092786.14000001"/>
    <n v="254"/>
    <n v="2433945.9100000015"/>
  </r>
  <r>
    <x v="0"/>
    <x v="0"/>
    <x v="2"/>
    <x v="9"/>
    <x v="26"/>
    <x v="26"/>
    <x v="0"/>
    <n v="831"/>
    <n v="156.85354400044463"/>
    <n v="687.34681323775965"/>
    <n v="11016889.459999986"/>
    <n v="203"/>
    <n v="2423745.0500000003"/>
  </r>
  <r>
    <x v="0"/>
    <x v="0"/>
    <x v="2"/>
    <x v="9"/>
    <x v="27"/>
    <x v="27"/>
    <x v="0"/>
    <n v="704"/>
    <n v="137.62132624561525"/>
    <n v="533.77182119552219"/>
    <n v="6503399.8700000048"/>
    <n v="163"/>
    <n v="1803272.3900000011"/>
  </r>
  <r>
    <x v="0"/>
    <x v="0"/>
    <x v="2"/>
    <x v="9"/>
    <x v="28"/>
    <x v="28"/>
    <x v="0"/>
    <n v="804"/>
    <n v="127.77959837107667"/>
    <n v="683.30716528925666"/>
    <n v="10837676.719999995"/>
    <n v="171"/>
    <n v="2238124.040000001"/>
  </r>
  <r>
    <x v="0"/>
    <x v="0"/>
    <x v="2"/>
    <x v="9"/>
    <x v="29"/>
    <x v="29"/>
    <x v="0"/>
    <n v="529"/>
    <n v="130.48095233664009"/>
    <n v="521.08202635729117"/>
    <n v="11305680.279999994"/>
    <n v="165"/>
    <n v="2658817.2500000005"/>
  </r>
  <r>
    <x v="0"/>
    <x v="0"/>
    <x v="2"/>
    <x v="9"/>
    <x v="30"/>
    <x v="30"/>
    <x v="0"/>
    <n v="591"/>
    <n v="97.742964753981099"/>
    <n v="446.55303530737996"/>
    <n v="5665451.2100000046"/>
    <n v="121"/>
    <n v="1267862.07"/>
  </r>
  <r>
    <x v="0"/>
    <x v="0"/>
    <x v="2"/>
    <x v="9"/>
    <x v="31"/>
    <x v="31"/>
    <x v="0"/>
    <n v="1003"/>
    <n v="231.04870905461115"/>
    <n v="821.97538652152957"/>
    <n v="10982359.509999992"/>
    <n v="308"/>
    <n v="3290077.9499999965"/>
  </r>
  <r>
    <x v="0"/>
    <x v="0"/>
    <x v="2"/>
    <x v="9"/>
    <x v="32"/>
    <x v="32"/>
    <x v="0"/>
    <n v="1786"/>
    <n v="422.10190061908173"/>
    <n v="1672.1564396834979"/>
    <n v="20964583.439999964"/>
    <n v="469"/>
    <n v="5405332.0199999968"/>
  </r>
  <r>
    <x v="0"/>
    <x v="0"/>
    <x v="2"/>
    <x v="9"/>
    <x v="33"/>
    <x v="33"/>
    <x v="0"/>
    <n v="1919"/>
    <n v="235.29291200050645"/>
    <n v="1502.6374928445211"/>
    <n v="20486628.230000008"/>
    <n v="282"/>
    <n v="3423043.0899999975"/>
  </r>
  <r>
    <x v="0"/>
    <x v="0"/>
    <x v="2"/>
    <x v="9"/>
    <x v="34"/>
    <x v="34"/>
    <x v="0"/>
    <n v="26"/>
    <n v="7.1307639090976398"/>
    <n v="18.612624762727869"/>
    <n v="274270.61999999994"/>
    <n v="12"/>
    <n v="102826.31"/>
  </r>
  <r>
    <x v="0"/>
    <x v="0"/>
    <x v="2"/>
    <x v="9"/>
    <x v="35"/>
    <x v="35"/>
    <x v="0"/>
    <n v="1899"/>
    <n v="263.28288264369286"/>
    <n v="1427.3466348043166"/>
    <n v="16537470.070000013"/>
    <n v="311"/>
    <n v="3058960.4499999979"/>
  </r>
  <r>
    <x v="0"/>
    <x v="0"/>
    <x v="2"/>
    <x v="9"/>
    <x v="36"/>
    <x v="36"/>
    <x v="0"/>
    <n v="1442"/>
    <n v="287.4506993356033"/>
    <n v="1258.210603960443"/>
    <n v="13295523.27999997"/>
    <n v="332"/>
    <n v="2986894.9600000014"/>
  </r>
  <r>
    <x v="0"/>
    <x v="0"/>
    <x v="2"/>
    <x v="9"/>
    <x v="37"/>
    <x v="37"/>
    <x v="0"/>
    <n v="864"/>
    <n v="194.80403651665517"/>
    <n v="811.25820965815035"/>
    <n v="10772183.010000005"/>
    <n v="238"/>
    <n v="2897345.57"/>
  </r>
  <r>
    <x v="0"/>
    <x v="0"/>
    <x v="2"/>
    <x v="9"/>
    <x v="38"/>
    <x v="38"/>
    <x v="0"/>
    <n v="359"/>
    <n v="71.819989084445012"/>
    <n v="374.07880523127557"/>
    <n v="5592633.2399999984"/>
    <n v="87"/>
    <n v="1005114.67"/>
  </r>
  <r>
    <x v="0"/>
    <x v="0"/>
    <x v="2"/>
    <x v="9"/>
    <x v="39"/>
    <x v="39"/>
    <x v="0"/>
    <n v="1051"/>
    <n v="273.19384451734857"/>
    <n v="1085.5210351618719"/>
    <n v="15314721.279999992"/>
    <n v="307"/>
    <n v="3877544.1500000036"/>
  </r>
  <r>
    <x v="0"/>
    <x v="0"/>
    <x v="2"/>
    <x v="9"/>
    <x v="40"/>
    <x v="40"/>
    <x v="0"/>
    <n v="1975"/>
    <n v="224.02391814416256"/>
    <n v="1617.2078923839824"/>
    <n v="21746224.319999993"/>
    <n v="254"/>
    <n v="3206773.6800000006"/>
  </r>
  <r>
    <x v="0"/>
    <x v="0"/>
    <x v="2"/>
    <x v="9"/>
    <x v="41"/>
    <x v="41"/>
    <x v="0"/>
    <n v="224"/>
    <n v="1.6592449788480887"/>
    <n v="421.07656263215205"/>
    <n v="5053356.8700000029"/>
    <n v="1"/>
    <n v="38098.99"/>
  </r>
  <r>
    <x v="0"/>
    <x v="0"/>
    <x v="2"/>
    <x v="9"/>
    <x v="42"/>
    <x v="42"/>
    <x v="0"/>
    <n v="258"/>
    <n v="70.030552107256554"/>
    <n v="194.16690052477733"/>
    <n v="1869703.7600000005"/>
    <n v="101"/>
    <n v="664361.50000000023"/>
  </r>
  <r>
    <x v="0"/>
    <x v="0"/>
    <x v="2"/>
    <x v="9"/>
    <x v="43"/>
    <x v="43"/>
    <x v="0"/>
    <n v="317"/>
    <n v="65.066105170542912"/>
    <n v="327.46886782545533"/>
    <n v="3608872.9300000011"/>
    <n v="71"/>
    <n v="681331.75999999978"/>
  </r>
  <r>
    <x v="0"/>
    <x v="0"/>
    <x v="2"/>
    <x v="9"/>
    <x v="44"/>
    <x v="44"/>
    <x v="0"/>
    <n v="1266"/>
    <n v="244.60812988175689"/>
    <n v="1000.8321282414753"/>
    <n v="15730478.359999999"/>
    <n v="301"/>
    <n v="3767793.6500000004"/>
  </r>
  <r>
    <x v="0"/>
    <x v="0"/>
    <x v="2"/>
    <x v="9"/>
    <x v="45"/>
    <x v="45"/>
    <x v="0"/>
    <n v="1665"/>
    <n v="219.88207919696245"/>
    <n v="1698.3252183498989"/>
    <n v="21705871.610000003"/>
    <n v="262"/>
    <n v="2584618.0399999982"/>
  </r>
  <r>
    <x v="0"/>
    <x v="0"/>
    <x v="2"/>
    <x v="9"/>
    <x v="46"/>
    <x v="46"/>
    <x v="0"/>
    <n v="119"/>
    <n v="14.857031810603845"/>
    <n v="126.32942338956339"/>
    <n v="4201962.01"/>
    <n v="17"/>
    <n v="433567.62999999995"/>
  </r>
  <r>
    <x v="0"/>
    <x v="0"/>
    <x v="2"/>
    <x v="9"/>
    <x v="47"/>
    <x v="47"/>
    <x v="0"/>
    <n v="530"/>
    <n v="73.030704069010937"/>
    <n v="429.82496652062866"/>
    <n v="4766315.6499999976"/>
    <n v="93"/>
    <n v="873693.42000000051"/>
  </r>
  <r>
    <x v="0"/>
    <x v="0"/>
    <x v="2"/>
    <x v="10"/>
    <x v="0"/>
    <x v="0"/>
    <x v="0"/>
    <n v="1632"/>
    <n v="256.30808573260697"/>
    <n v="1424.1413288451756"/>
    <n v="16755149.630000006"/>
    <n v="295"/>
    <n v="3084857.4199999981"/>
  </r>
  <r>
    <x v="0"/>
    <x v="0"/>
    <x v="2"/>
    <x v="10"/>
    <x v="1"/>
    <x v="1"/>
    <x v="0"/>
    <n v="2531"/>
    <n v="452.87420622679906"/>
    <n v="4384.1528761111867"/>
    <n v="92914313.049999774"/>
    <n v="362"/>
    <n v="10548634.520000005"/>
  </r>
  <r>
    <x v="0"/>
    <x v="0"/>
    <x v="2"/>
    <x v="10"/>
    <x v="2"/>
    <x v="2"/>
    <x v="0"/>
    <n v="1303"/>
    <n v="184.90932664279202"/>
    <n v="1219.5435334533627"/>
    <n v="19140883.579999991"/>
    <n v="202"/>
    <n v="3037950.8999999985"/>
  </r>
  <r>
    <x v="0"/>
    <x v="0"/>
    <x v="2"/>
    <x v="10"/>
    <x v="3"/>
    <x v="3"/>
    <x v="0"/>
    <n v="3119"/>
    <n v="367.0344013210775"/>
    <n v="2456.970521678697"/>
    <n v="30220139.190000009"/>
    <n v="360"/>
    <n v="5110008.9800000014"/>
  </r>
  <r>
    <x v="0"/>
    <x v="0"/>
    <x v="2"/>
    <x v="10"/>
    <x v="4"/>
    <x v="4"/>
    <x v="0"/>
    <n v="1724"/>
    <n v="229.71217407164932"/>
    <n v="1555.0988991757415"/>
    <n v="19548439.399999969"/>
    <n v="245"/>
    <n v="3087428.7500000023"/>
  </r>
  <r>
    <x v="0"/>
    <x v="0"/>
    <x v="2"/>
    <x v="10"/>
    <x v="5"/>
    <x v="5"/>
    <x v="0"/>
    <n v="519"/>
    <n v="112.91332456059067"/>
    <n v="393.64143398189333"/>
    <n v="4658937.1699999981"/>
    <n v="141"/>
    <n v="1556888.06"/>
  </r>
  <r>
    <x v="0"/>
    <x v="0"/>
    <x v="2"/>
    <x v="10"/>
    <x v="6"/>
    <x v="6"/>
    <x v="0"/>
    <n v="1593"/>
    <n v="147.3626061214342"/>
    <n v="1564.1727950600543"/>
    <n v="21375646.129999992"/>
    <n v="193"/>
    <n v="2329610.7600000002"/>
  </r>
  <r>
    <x v="0"/>
    <x v="0"/>
    <x v="2"/>
    <x v="10"/>
    <x v="7"/>
    <x v="7"/>
    <x v="0"/>
    <n v="4099"/>
    <n v="694.49758914660345"/>
    <n v="5548.6695972660327"/>
    <n v="118488462.7900001"/>
    <n v="714"/>
    <n v="16864357.00999999"/>
  </r>
  <r>
    <x v="0"/>
    <x v="0"/>
    <x v="2"/>
    <x v="10"/>
    <x v="8"/>
    <x v="8"/>
    <x v="0"/>
    <n v="228"/>
    <n v="45.515591419771198"/>
    <n v="156.68845400254918"/>
    <n v="2294564.85"/>
    <n v="68"/>
    <n v="761205.4"/>
  </r>
  <r>
    <x v="0"/>
    <x v="0"/>
    <x v="2"/>
    <x v="10"/>
    <x v="9"/>
    <x v="9"/>
    <x v="0"/>
    <n v="1790"/>
    <n v="363.23621936949644"/>
    <n v="1499.8439538801201"/>
    <n v="21309958.160000131"/>
    <n v="441"/>
    <n v="5234743.7099999972"/>
  </r>
  <r>
    <x v="0"/>
    <x v="0"/>
    <x v="2"/>
    <x v="10"/>
    <x v="10"/>
    <x v="10"/>
    <x v="0"/>
    <n v="2108"/>
    <n v="387.9712350541767"/>
    <n v="2352.967391004579"/>
    <n v="36839717.420000002"/>
    <n v="390"/>
    <n v="6258439.4800000004"/>
  </r>
  <r>
    <x v="1"/>
    <x v="1"/>
    <x v="3"/>
    <x v="7"/>
    <x v="11"/>
    <x v="11"/>
    <x v="0"/>
    <n v="554"/>
    <n v="166.45492699999994"/>
    <n v="503.18333799999942"/>
    <n v="6367741.8600000041"/>
    <n v="190"/>
    <n v="2285916.4200000013"/>
  </r>
  <r>
    <x v="0"/>
    <x v="0"/>
    <x v="2"/>
    <x v="10"/>
    <x v="12"/>
    <x v="12"/>
    <x v="0"/>
    <n v="2458"/>
    <n v="494.66899169400244"/>
    <n v="2045.0362489300528"/>
    <n v="25133962.260000061"/>
    <n v="569"/>
    <n v="6081094.1599999983"/>
  </r>
  <r>
    <x v="0"/>
    <x v="0"/>
    <x v="2"/>
    <x v="10"/>
    <x v="13"/>
    <x v="13"/>
    <x v="0"/>
    <n v="1107"/>
    <n v="188.53900559652124"/>
    <n v="955.05031282509799"/>
    <n v="13218848.64999998"/>
    <n v="202"/>
    <n v="2855940.5399999996"/>
  </r>
  <r>
    <x v="0"/>
    <x v="0"/>
    <x v="2"/>
    <x v="10"/>
    <x v="14"/>
    <x v="14"/>
    <x v="0"/>
    <n v="227"/>
    <n v="35.989522541208686"/>
    <n v="199.21400946043713"/>
    <n v="1915578.8599999996"/>
    <n v="35"/>
    <n v="342879.67000000016"/>
  </r>
  <r>
    <x v="0"/>
    <x v="0"/>
    <x v="2"/>
    <x v="10"/>
    <x v="15"/>
    <x v="15"/>
    <x v="0"/>
    <n v="830"/>
    <n v="119.3904934780204"/>
    <n v="648.41479373406139"/>
    <n v="7696577.3699999955"/>
    <n v="155"/>
    <n v="1482295.6099999999"/>
  </r>
  <r>
    <x v="0"/>
    <x v="0"/>
    <x v="2"/>
    <x v="10"/>
    <x v="16"/>
    <x v="16"/>
    <x v="0"/>
    <n v="1739"/>
    <n v="313.73048800059138"/>
    <n v="1675.9251646354448"/>
    <n v="20486459.290000021"/>
    <n v="335"/>
    <n v="3784299.5900000003"/>
  </r>
  <r>
    <x v="0"/>
    <x v="0"/>
    <x v="2"/>
    <x v="10"/>
    <x v="17"/>
    <x v="17"/>
    <x v="0"/>
    <n v="1317"/>
    <n v="253.0917547736083"/>
    <n v="1503.232294836926"/>
    <n v="16854538.510000002"/>
    <n v="257"/>
    <n v="3105810.7"/>
  </r>
  <r>
    <x v="0"/>
    <x v="0"/>
    <x v="2"/>
    <x v="10"/>
    <x v="18"/>
    <x v="18"/>
    <x v="0"/>
    <n v="2877"/>
    <n v="376.55500719970956"/>
    <n v="2373.3480327447019"/>
    <n v="26074281.93"/>
    <n v="454"/>
    <n v="4871900.200000002"/>
  </r>
  <r>
    <x v="0"/>
    <x v="0"/>
    <x v="2"/>
    <x v="10"/>
    <x v="19"/>
    <x v="19"/>
    <x v="0"/>
    <n v="1139"/>
    <n v="246.37774885919808"/>
    <n v="1424.6713018384148"/>
    <n v="20940502.439999957"/>
    <n v="249"/>
    <n v="3944652.9299999974"/>
  </r>
  <r>
    <x v="0"/>
    <x v="0"/>
    <x v="2"/>
    <x v="10"/>
    <x v="20"/>
    <x v="20"/>
    <x v="0"/>
    <n v="1097"/>
    <n v="193.51366453310462"/>
    <n v="1063.9190854372523"/>
    <n v="15141991.780000031"/>
    <n v="208"/>
    <n v="2684416.5599999987"/>
  </r>
  <r>
    <x v="0"/>
    <x v="0"/>
    <x v="2"/>
    <x v="10"/>
    <x v="21"/>
    <x v="21"/>
    <x v="0"/>
    <n v="892"/>
    <n v="133.27328030104374"/>
    <n v="660.56067357922655"/>
    <n v="8535471.3599999957"/>
    <n v="166"/>
    <n v="1986278.9800000002"/>
  </r>
  <r>
    <x v="0"/>
    <x v="0"/>
    <x v="2"/>
    <x v="10"/>
    <x v="22"/>
    <x v="22"/>
    <x v="0"/>
    <n v="1878"/>
    <n v="363.57501736517725"/>
    <n v="1746.8426127314067"/>
    <n v="26562129.540000018"/>
    <n v="429"/>
    <n v="5464169.6000000006"/>
  </r>
  <r>
    <x v="0"/>
    <x v="0"/>
    <x v="2"/>
    <x v="10"/>
    <x v="23"/>
    <x v="23"/>
    <x v="0"/>
    <n v="156"/>
    <n v="42.091368463422874"/>
    <n v="116.93677450930009"/>
    <n v="1432847.44"/>
    <n v="62"/>
    <n v="550293.85000000021"/>
  </r>
  <r>
    <x v="0"/>
    <x v="0"/>
    <x v="2"/>
    <x v="10"/>
    <x v="24"/>
    <x v="24"/>
    <x v="0"/>
    <n v="591"/>
    <n v="117.06630750764887"/>
    <n v="457.20223717162548"/>
    <n v="6102031.0899999905"/>
    <n v="134"/>
    <n v="1438920.09"/>
  </r>
  <r>
    <x v="0"/>
    <x v="0"/>
    <x v="2"/>
    <x v="10"/>
    <x v="25"/>
    <x v="25"/>
    <x v="0"/>
    <n v="1052"/>
    <n v="190.79785656772546"/>
    <n v="870.92768789748618"/>
    <n v="11527914.520000001"/>
    <n v="219"/>
    <n v="2694866.5300000003"/>
  </r>
  <r>
    <x v="0"/>
    <x v="0"/>
    <x v="2"/>
    <x v="10"/>
    <x v="26"/>
    <x v="26"/>
    <x v="0"/>
    <n v="855"/>
    <n v="148.9905941006808"/>
    <n v="667.65719648876063"/>
    <n v="10323175.490000008"/>
    <n v="190"/>
    <n v="2462263.0400000014"/>
  </r>
  <r>
    <x v="0"/>
    <x v="0"/>
    <x v="2"/>
    <x v="10"/>
    <x v="27"/>
    <x v="27"/>
    <x v="0"/>
    <n v="750"/>
    <n v="139.13679522629613"/>
    <n v="604.28652129660566"/>
    <n v="6849975.7999999905"/>
    <n v="166"/>
    <n v="1648448.8099999996"/>
  </r>
  <r>
    <x v="0"/>
    <x v="0"/>
    <x v="2"/>
    <x v="10"/>
    <x v="28"/>
    <x v="28"/>
    <x v="0"/>
    <n v="784"/>
    <n v="115.37981152914814"/>
    <n v="623.45441305225484"/>
    <n v="10220880.330000009"/>
    <n v="163"/>
    <n v="1865904.59"/>
  </r>
  <r>
    <x v="0"/>
    <x v="0"/>
    <x v="2"/>
    <x v="10"/>
    <x v="29"/>
    <x v="29"/>
    <x v="0"/>
    <n v="510"/>
    <n v="143.43996417143978"/>
    <n v="479.96988188138573"/>
    <n v="9246228.2000000104"/>
    <n v="169"/>
    <n v="2890136.0299999984"/>
  </r>
  <r>
    <x v="0"/>
    <x v="0"/>
    <x v="2"/>
    <x v="10"/>
    <x v="30"/>
    <x v="30"/>
    <x v="0"/>
    <n v="589"/>
    <n v="96.857468765269317"/>
    <n v="417.99269167146508"/>
    <n v="5815987.1900000004"/>
    <n v="128"/>
    <n v="1285050.5300000003"/>
  </r>
  <r>
    <x v="0"/>
    <x v="0"/>
    <x v="2"/>
    <x v="10"/>
    <x v="31"/>
    <x v="31"/>
    <x v="0"/>
    <n v="969"/>
    <n v="218.44178121532329"/>
    <n v="825.46164647708724"/>
    <n v="11616319.790000014"/>
    <n v="296"/>
    <n v="3223095.9300000011"/>
  </r>
  <r>
    <x v="0"/>
    <x v="0"/>
    <x v="2"/>
    <x v="10"/>
    <x v="32"/>
    <x v="32"/>
    <x v="0"/>
    <n v="1852"/>
    <n v="386.28726907564391"/>
    <n v="1683.5990995376253"/>
    <n v="22449026.270000048"/>
    <n v="473"/>
    <n v="5128181.24"/>
  </r>
  <r>
    <x v="0"/>
    <x v="0"/>
    <x v="2"/>
    <x v="10"/>
    <x v="33"/>
    <x v="33"/>
    <x v="0"/>
    <n v="1822"/>
    <n v="208.21513534569141"/>
    <n v="1443.8147335943863"/>
    <n v="19827982.689999942"/>
    <n v="233"/>
    <n v="3069345.1500000036"/>
  </r>
  <r>
    <x v="0"/>
    <x v="0"/>
    <x v="2"/>
    <x v="10"/>
    <x v="34"/>
    <x v="34"/>
    <x v="0"/>
    <n v="29"/>
    <n v="8.2088928953537437"/>
    <n v="21.504857725857939"/>
    <n v="298844.78999999998"/>
    <n v="12"/>
    <n v="102622.7"/>
  </r>
  <r>
    <x v="0"/>
    <x v="0"/>
    <x v="2"/>
    <x v="10"/>
    <x v="35"/>
    <x v="35"/>
    <x v="0"/>
    <n v="1926"/>
    <n v="256.39950473144154"/>
    <n v="1428.5757207886527"/>
    <n v="16727382.979999986"/>
    <n v="296"/>
    <n v="2778855.3300000005"/>
  </r>
  <r>
    <x v="0"/>
    <x v="0"/>
    <x v="2"/>
    <x v="10"/>
    <x v="36"/>
    <x v="36"/>
    <x v="0"/>
    <n v="1459"/>
    <n v="231.24015705217073"/>
    <n v="1220.4816294414093"/>
    <n v="13530928.93999997"/>
    <n v="288"/>
    <n v="2585111.87"/>
  </r>
  <r>
    <x v="0"/>
    <x v="0"/>
    <x v="2"/>
    <x v="10"/>
    <x v="37"/>
    <x v="37"/>
    <x v="0"/>
    <n v="957"/>
    <n v="225.79046712164288"/>
    <n v="947.78166391776188"/>
    <n v="12389096.039999988"/>
    <n v="274"/>
    <n v="2895288.5499999984"/>
  </r>
  <r>
    <x v="0"/>
    <x v="0"/>
    <x v="2"/>
    <x v="10"/>
    <x v="38"/>
    <x v="38"/>
    <x v="0"/>
    <n v="371"/>
    <n v="64.156693182136053"/>
    <n v="374.23716322925651"/>
    <n v="5515321.0699999956"/>
    <n v="87"/>
    <n v="820698.9299999997"/>
  </r>
  <r>
    <x v="0"/>
    <x v="0"/>
    <x v="2"/>
    <x v="10"/>
    <x v="39"/>
    <x v="39"/>
    <x v="0"/>
    <n v="1017"/>
    <n v="260.26324068218685"/>
    <n v="1084.7466841717426"/>
    <n v="14894648.560000006"/>
    <n v="292"/>
    <n v="4020093.8499999992"/>
  </r>
  <r>
    <x v="0"/>
    <x v="0"/>
    <x v="2"/>
    <x v="10"/>
    <x v="40"/>
    <x v="40"/>
    <x v="0"/>
    <n v="2070"/>
    <n v="244.29378888576414"/>
    <n v="1678.7974915988418"/>
    <n v="20394636.039999943"/>
    <n v="240"/>
    <n v="3226113.9300000016"/>
  </r>
  <r>
    <x v="0"/>
    <x v="0"/>
    <x v="2"/>
    <x v="10"/>
    <x v="41"/>
    <x v="41"/>
    <x v="0"/>
    <n v="246"/>
    <n v="1.9921759746039132"/>
    <n v="453.43579021964007"/>
    <n v="4848169.33"/>
    <n v="1"/>
    <n v="39510.68"/>
  </r>
  <r>
    <x v="0"/>
    <x v="0"/>
    <x v="2"/>
    <x v="10"/>
    <x v="42"/>
    <x v="42"/>
    <x v="0"/>
    <n v="229"/>
    <n v="63.944231184844476"/>
    <n v="179.74344170864612"/>
    <n v="1907996.7299999984"/>
    <n v="87"/>
    <n v="692803.48"/>
  </r>
  <r>
    <x v="0"/>
    <x v="0"/>
    <x v="2"/>
    <x v="10"/>
    <x v="43"/>
    <x v="43"/>
    <x v="0"/>
    <n v="321"/>
    <n v="71.322539090786421"/>
    <n v="324.42839986421484"/>
    <n v="3415325.66"/>
    <n v="75"/>
    <n v="714596.05999999994"/>
  </r>
  <r>
    <x v="0"/>
    <x v="0"/>
    <x v="2"/>
    <x v="10"/>
    <x v="44"/>
    <x v="44"/>
    <x v="0"/>
    <n v="1302"/>
    <n v="261.41455766751028"/>
    <n v="1036.6656507846712"/>
    <n v="15303285.870000003"/>
    <n v="286"/>
    <n v="3590616.2299999995"/>
  </r>
  <r>
    <x v="0"/>
    <x v="0"/>
    <x v="2"/>
    <x v="10"/>
    <x v="45"/>
    <x v="45"/>
    <x v="0"/>
    <n v="1587"/>
    <n v="205.94668937460958"/>
    <n v="1668.5657797292658"/>
    <n v="20588611.759999916"/>
    <n v="231"/>
    <n v="2311163.2900000014"/>
  </r>
  <r>
    <x v="0"/>
    <x v="0"/>
    <x v="2"/>
    <x v="10"/>
    <x v="46"/>
    <x v="46"/>
    <x v="0"/>
    <n v="101"/>
    <n v="7.84134990003915"/>
    <n v="116.19250051878798"/>
    <n v="3744117.0799999996"/>
    <n v="9"/>
    <n v="348545.5"/>
  </r>
  <r>
    <x v="0"/>
    <x v="0"/>
    <x v="2"/>
    <x v="10"/>
    <x v="47"/>
    <x v="47"/>
    <x v="0"/>
    <n v="520"/>
    <n v="71.462255089005353"/>
    <n v="413.79708072495089"/>
    <n v="5615653.7799999975"/>
    <n v="82"/>
    <n v="1121241.48"/>
  </r>
  <r>
    <x v="0"/>
    <x v="0"/>
    <x v="2"/>
    <x v="11"/>
    <x v="0"/>
    <x v="0"/>
    <x v="0"/>
    <n v="1634"/>
    <n v="270.66815854954592"/>
    <n v="1444.1021355907183"/>
    <n v="17129568.339999937"/>
    <n v="323"/>
    <n v="3318962.79"/>
  </r>
  <r>
    <x v="0"/>
    <x v="0"/>
    <x v="2"/>
    <x v="11"/>
    <x v="1"/>
    <x v="1"/>
    <x v="0"/>
    <n v="2500"/>
    <n v="453.54061621830414"/>
    <n v="4303.317962141673"/>
    <n v="90543643.649999961"/>
    <n v="360"/>
    <n v="9331001.5900000017"/>
  </r>
  <r>
    <x v="0"/>
    <x v="0"/>
    <x v="2"/>
    <x v="11"/>
    <x v="2"/>
    <x v="2"/>
    <x v="0"/>
    <n v="1322"/>
    <n v="174.25798377857441"/>
    <n v="1284.2009996291217"/>
    <n v="18714360.760000005"/>
    <n v="197"/>
    <n v="2505890.6500000004"/>
  </r>
  <r>
    <x v="0"/>
    <x v="0"/>
    <x v="2"/>
    <x v="11"/>
    <x v="3"/>
    <x v="3"/>
    <x v="0"/>
    <n v="3230"/>
    <n v="345.54366959503932"/>
    <n v="2523.5593288298255"/>
    <n v="33589490.539999925"/>
    <n v="355"/>
    <n v="5423494.7799999984"/>
  </r>
  <r>
    <x v="0"/>
    <x v="0"/>
    <x v="2"/>
    <x v="11"/>
    <x v="4"/>
    <x v="4"/>
    <x v="0"/>
    <n v="1668"/>
    <n v="255.21213474657793"/>
    <n v="1510.5420807437465"/>
    <n v="18695332.329999916"/>
    <n v="267"/>
    <n v="3103436.2000000016"/>
  </r>
  <r>
    <x v="0"/>
    <x v="0"/>
    <x v="2"/>
    <x v="11"/>
    <x v="5"/>
    <x v="5"/>
    <x v="0"/>
    <n v="527"/>
    <n v="103.79605267681693"/>
    <n v="382.52159012364797"/>
    <n v="5155573.5499999952"/>
    <n v="141"/>
    <n v="1428617.5100000007"/>
  </r>
  <r>
    <x v="0"/>
    <x v="0"/>
    <x v="2"/>
    <x v="11"/>
    <x v="6"/>
    <x v="6"/>
    <x v="0"/>
    <n v="1496"/>
    <n v="132.53179731049596"/>
    <n v="1484.9877650695005"/>
    <n v="19490175.849999998"/>
    <n v="168"/>
    <n v="1933023.1400000001"/>
  </r>
  <r>
    <x v="0"/>
    <x v="0"/>
    <x v="2"/>
    <x v="11"/>
    <x v="7"/>
    <x v="7"/>
    <x v="0"/>
    <n v="4113"/>
    <n v="674.47008440191371"/>
    <n v="5685.3302345239017"/>
    <n v="132049657.90999998"/>
    <n v="644"/>
    <n v="17259999.699999981"/>
  </r>
  <r>
    <x v="0"/>
    <x v="0"/>
    <x v="2"/>
    <x v="11"/>
    <x v="8"/>
    <x v="8"/>
    <x v="0"/>
    <n v="219"/>
    <n v="50.362994357976895"/>
    <n v="147.62891611803934"/>
    <n v="1906251.2900000003"/>
    <n v="72"/>
    <n v="722788.39000000013"/>
  </r>
  <r>
    <x v="0"/>
    <x v="0"/>
    <x v="2"/>
    <x v="11"/>
    <x v="9"/>
    <x v="9"/>
    <x v="0"/>
    <n v="1714"/>
    <n v="327.6933208225941"/>
    <n v="1511.9777217254411"/>
    <n v="20975617.370000046"/>
    <n v="372"/>
    <n v="4414160.0300000021"/>
  </r>
  <r>
    <x v="0"/>
    <x v="0"/>
    <x v="2"/>
    <x v="11"/>
    <x v="10"/>
    <x v="10"/>
    <x v="0"/>
    <n v="2056"/>
    <n v="302.22528514725838"/>
    <n v="2306.6147505954827"/>
    <n v="36274375.670000084"/>
    <n v="322"/>
    <n v="5144395.4900000012"/>
  </r>
  <r>
    <x v="1"/>
    <x v="1"/>
    <x v="3"/>
    <x v="8"/>
    <x v="11"/>
    <x v="11"/>
    <x v="0"/>
    <n v="609"/>
    <n v="187.57338200000001"/>
    <n v="544.58590399999935"/>
    <n v="7577849.6800000006"/>
    <n v="218"/>
    <n v="2374431.0099999988"/>
  </r>
  <r>
    <x v="0"/>
    <x v="0"/>
    <x v="2"/>
    <x v="11"/>
    <x v="12"/>
    <x v="12"/>
    <x v="0"/>
    <n v="2361"/>
    <n v="428.04600854330636"/>
    <n v="2025.9949941727966"/>
    <n v="26988212.750000052"/>
    <n v="502"/>
    <n v="5675337.1899999995"/>
  </r>
  <r>
    <x v="0"/>
    <x v="0"/>
    <x v="2"/>
    <x v="11"/>
    <x v="13"/>
    <x v="13"/>
    <x v="0"/>
    <n v="1158"/>
    <n v="196.98047848890994"/>
    <n v="1036.30488578927"/>
    <n v="14339420.459999984"/>
    <n v="202"/>
    <n v="2896924.39"/>
  </r>
  <r>
    <x v="0"/>
    <x v="0"/>
    <x v="2"/>
    <x v="11"/>
    <x v="14"/>
    <x v="14"/>
    <x v="0"/>
    <n v="217"/>
    <n v="25.861857670315281"/>
    <n v="173.90488478307557"/>
    <n v="1665258.3999999997"/>
    <n v="33"/>
    <n v="209002.35"/>
  </r>
  <r>
    <x v="0"/>
    <x v="0"/>
    <x v="2"/>
    <x v="11"/>
    <x v="15"/>
    <x v="15"/>
    <x v="0"/>
    <n v="743"/>
    <n v="110.13250159604041"/>
    <n v="619.30469110515514"/>
    <n v="7221449.0099999979"/>
    <n v="143"/>
    <n v="1273099.6599999997"/>
  </r>
  <r>
    <x v="0"/>
    <x v="0"/>
    <x v="2"/>
    <x v="11"/>
    <x v="16"/>
    <x v="16"/>
    <x v="0"/>
    <n v="1711"/>
    <n v="310.04740304754279"/>
    <n v="1670.1726147087809"/>
    <n v="19994210.509999927"/>
    <n v="352"/>
    <n v="3783003.29"/>
  </r>
  <r>
    <x v="0"/>
    <x v="0"/>
    <x v="2"/>
    <x v="11"/>
    <x v="17"/>
    <x v="17"/>
    <x v="0"/>
    <n v="1312"/>
    <n v="210.95612031074975"/>
    <n v="1423.6069488519834"/>
    <n v="14969633.589999989"/>
    <n v="232"/>
    <n v="2097556.0299999993"/>
  </r>
  <r>
    <x v="0"/>
    <x v="0"/>
    <x v="2"/>
    <x v="11"/>
    <x v="18"/>
    <x v="18"/>
    <x v="0"/>
    <n v="2848"/>
    <n v="332.41590976239121"/>
    <n v="2336.3228972167008"/>
    <n v="22840752.980000108"/>
    <n v="399"/>
    <n v="3741236.0599999977"/>
  </r>
  <r>
    <x v="0"/>
    <x v="0"/>
    <x v="2"/>
    <x v="11"/>
    <x v="19"/>
    <x v="19"/>
    <x v="0"/>
    <n v="1149"/>
    <n v="217.72281722448849"/>
    <n v="1442.8723616063926"/>
    <n v="20349830.860000007"/>
    <n v="245"/>
    <n v="3299801.859999998"/>
  </r>
  <r>
    <x v="0"/>
    <x v="0"/>
    <x v="2"/>
    <x v="11"/>
    <x v="20"/>
    <x v="20"/>
    <x v="0"/>
    <n v="1094"/>
    <n v="193.42071153428984"/>
    <n v="1071.0052423469178"/>
    <n v="14931971.440000016"/>
    <n v="199"/>
    <n v="2525753.9700000002"/>
  </r>
  <r>
    <x v="0"/>
    <x v="0"/>
    <x v="2"/>
    <x v="11"/>
    <x v="21"/>
    <x v="21"/>
    <x v="0"/>
    <n v="888"/>
    <n v="121.99728344478918"/>
    <n v="623.21159705534774"/>
    <n v="7268148.7400000077"/>
    <n v="159"/>
    <n v="1607863.1999999995"/>
  </r>
  <r>
    <x v="0"/>
    <x v="0"/>
    <x v="2"/>
    <x v="11"/>
    <x v="22"/>
    <x v="22"/>
    <x v="0"/>
    <n v="1871"/>
    <n v="349.14241854916258"/>
    <n v="1799.2822520629124"/>
    <n v="30252123.060000025"/>
    <n v="398"/>
    <n v="6172831.1999999983"/>
  </r>
  <r>
    <x v="0"/>
    <x v="0"/>
    <x v="2"/>
    <x v="11"/>
    <x v="23"/>
    <x v="23"/>
    <x v="0"/>
    <n v="178"/>
    <n v="42.599591456944083"/>
    <n v="138.46308123488456"/>
    <n v="2197480.1799999997"/>
    <n v="64"/>
    <n v="754038.80000000028"/>
  </r>
  <r>
    <x v="0"/>
    <x v="0"/>
    <x v="2"/>
    <x v="11"/>
    <x v="24"/>
    <x v="24"/>
    <x v="0"/>
    <n v="571"/>
    <n v="106.45002464298433"/>
    <n v="440.71603738178999"/>
    <n v="6340206.2799999947"/>
    <n v="129"/>
    <n v="1392069.5899999999"/>
  </r>
  <r>
    <x v="0"/>
    <x v="0"/>
    <x v="2"/>
    <x v="11"/>
    <x v="25"/>
    <x v="25"/>
    <x v="0"/>
    <n v="1099"/>
    <n v="200.49585444409655"/>
    <n v="882.43381475080832"/>
    <n v="12217362.090000005"/>
    <n v="232"/>
    <n v="2928075.1600000015"/>
  </r>
  <r>
    <x v="0"/>
    <x v="0"/>
    <x v="2"/>
    <x v="11"/>
    <x v="26"/>
    <x v="26"/>
    <x v="0"/>
    <n v="808"/>
    <n v="158.69588797695855"/>
    <n v="654.51979265623686"/>
    <n v="10198472.869999997"/>
    <n v="189"/>
    <n v="2363946.9900000002"/>
  </r>
  <r>
    <x v="0"/>
    <x v="0"/>
    <x v="2"/>
    <x v="11"/>
    <x v="27"/>
    <x v="27"/>
    <x v="0"/>
    <n v="693"/>
    <n v="128.91526735659929"/>
    <n v="535.10643317850872"/>
    <n v="5933580.5600000033"/>
    <n v="150"/>
    <n v="1532453.1900000009"/>
  </r>
  <r>
    <x v="0"/>
    <x v="0"/>
    <x v="2"/>
    <x v="11"/>
    <x v="28"/>
    <x v="28"/>
    <x v="0"/>
    <n v="832"/>
    <n v="118.43865549015432"/>
    <n v="671.3906464411682"/>
    <n v="9604592.0000000075"/>
    <n v="164"/>
    <n v="1715818.2499999988"/>
  </r>
  <r>
    <x v="0"/>
    <x v="0"/>
    <x v="2"/>
    <x v="11"/>
    <x v="29"/>
    <x v="29"/>
    <x v="0"/>
    <n v="488"/>
    <n v="99.833716727328394"/>
    <n v="462.75457110084471"/>
    <n v="9613416.979999993"/>
    <n v="131"/>
    <n v="1895730.6200000003"/>
  </r>
  <r>
    <x v="0"/>
    <x v="0"/>
    <x v="2"/>
    <x v="11"/>
    <x v="30"/>
    <x v="30"/>
    <x v="0"/>
    <n v="588"/>
    <n v="96.782731766222099"/>
    <n v="437.55618942207172"/>
    <n v="5868353.679999996"/>
    <n v="128"/>
    <n v="1230603.79"/>
  </r>
  <r>
    <x v="0"/>
    <x v="0"/>
    <x v="2"/>
    <x v="11"/>
    <x v="31"/>
    <x v="31"/>
    <x v="0"/>
    <n v="946"/>
    <n v="237.80964696842346"/>
    <n v="799.72381980519162"/>
    <n v="11314220.209999993"/>
    <n v="295"/>
    <n v="3413754.96"/>
  </r>
  <r>
    <x v="0"/>
    <x v="0"/>
    <x v="2"/>
    <x v="11"/>
    <x v="32"/>
    <x v="32"/>
    <x v="0"/>
    <n v="1768"/>
    <n v="411.3554197560772"/>
    <n v="1636.9384331324495"/>
    <n v="21955509.140000038"/>
    <n v="457"/>
    <n v="5203692.0900000026"/>
  </r>
  <r>
    <x v="0"/>
    <x v="0"/>
    <x v="2"/>
    <x v="11"/>
    <x v="33"/>
    <x v="33"/>
    <x v="0"/>
    <n v="1846"/>
    <n v="200.04297344986952"/>
    <n v="1494.4383579490402"/>
    <n v="19359722.539999954"/>
    <n v="243"/>
    <n v="2604033.439999999"/>
  </r>
  <r>
    <x v="0"/>
    <x v="0"/>
    <x v="2"/>
    <x v="11"/>
    <x v="34"/>
    <x v="34"/>
    <x v="0"/>
    <n v="15"/>
    <n v="1.1127709858144916"/>
    <n v="13.409308829059293"/>
    <n v="177527.46000000002"/>
    <n v="2"/>
    <n v="20931.38"/>
  </r>
  <r>
    <x v="0"/>
    <x v="0"/>
    <x v="2"/>
    <x v="11"/>
    <x v="35"/>
    <x v="35"/>
    <x v="0"/>
    <n v="1897"/>
    <n v="253.96141376252211"/>
    <n v="1433.1896407298325"/>
    <n v="15857218.95000001"/>
    <n v="303"/>
    <n v="3086920.2100000009"/>
  </r>
  <r>
    <x v="0"/>
    <x v="0"/>
    <x v="2"/>
    <x v="11"/>
    <x v="36"/>
    <x v="36"/>
    <x v="0"/>
    <n v="1434"/>
    <n v="229.99400006805658"/>
    <n v="1244.1648001394981"/>
    <n v="14107825.200000023"/>
    <n v="283"/>
    <n v="2510599.4899999988"/>
  </r>
  <r>
    <x v="0"/>
    <x v="0"/>
    <x v="2"/>
    <x v="11"/>
    <x v="37"/>
    <x v="37"/>
    <x v="0"/>
    <n v="1037"/>
    <n v="252.38005678268135"/>
    <n v="1004.7771241911881"/>
    <n v="12654903.539999984"/>
    <n v="291"/>
    <n v="3428940.4899999993"/>
  </r>
  <r>
    <x v="0"/>
    <x v="0"/>
    <x v="2"/>
    <x v="11"/>
    <x v="38"/>
    <x v="38"/>
    <x v="0"/>
    <n v="370"/>
    <n v="71.564996087695604"/>
    <n v="402.68777286657053"/>
    <n v="6933460.5299999956"/>
    <n v="77"/>
    <n v="1087911.7999999998"/>
  </r>
  <r>
    <x v="0"/>
    <x v="0"/>
    <x v="2"/>
    <x v="11"/>
    <x v="39"/>
    <x v="39"/>
    <x v="0"/>
    <n v="998"/>
    <n v="252.42455678211391"/>
    <n v="1024.1652629440282"/>
    <n v="13490236.849999998"/>
    <n v="295"/>
    <n v="3490854.3100000005"/>
  </r>
  <r>
    <x v="0"/>
    <x v="0"/>
    <x v="2"/>
    <x v="11"/>
    <x v="40"/>
    <x v="40"/>
    <x v="0"/>
    <n v="2021"/>
    <n v="214.21067126926098"/>
    <n v="1595.3121016631062"/>
    <n v="18678858.949999947"/>
    <n v="232"/>
    <n v="2550813.8100000005"/>
  </r>
  <r>
    <x v="0"/>
    <x v="0"/>
    <x v="2"/>
    <x v="11"/>
    <x v="41"/>
    <x v="41"/>
    <x v="0"/>
    <n v="259"/>
    <n v="2.8967379630726353"/>
    <n v="495.07264368885626"/>
    <n v="5120604.5999999987"/>
    <n v="2"/>
    <n v="61804.47"/>
  </r>
  <r>
    <x v="0"/>
    <x v="0"/>
    <x v="2"/>
    <x v="11"/>
    <x v="42"/>
    <x v="42"/>
    <x v="0"/>
    <n v="240"/>
    <n v="54.694994302752939"/>
    <n v="186.45197562312643"/>
    <n v="2262589.7300000018"/>
    <n v="70"/>
    <n v="657036.19999999995"/>
  </r>
  <r>
    <x v="0"/>
    <x v="0"/>
    <x v="2"/>
    <x v="11"/>
    <x v="43"/>
    <x v="43"/>
    <x v="0"/>
    <n v="330"/>
    <n v="67.677325137255323"/>
    <n v="326.67299683560105"/>
    <n v="3473932.629999998"/>
    <n v="73"/>
    <n v="651357.54000000027"/>
  </r>
  <r>
    <x v="0"/>
    <x v="0"/>
    <x v="2"/>
    <x v="11"/>
    <x v="44"/>
    <x v="44"/>
    <x v="0"/>
    <n v="1346"/>
    <n v="229.28488607709616"/>
    <n v="1055.1127725495101"/>
    <n v="17136580.209999979"/>
    <n v="285"/>
    <n v="3576394.1399999983"/>
  </r>
  <r>
    <x v="0"/>
    <x v="0"/>
    <x v="2"/>
    <x v="11"/>
    <x v="45"/>
    <x v="45"/>
    <x v="0"/>
    <n v="1621"/>
    <n v="211.75651930054624"/>
    <n v="1623.9540702979727"/>
    <n v="19597417.029999983"/>
    <n v="243"/>
    <n v="2407241.2599999993"/>
  </r>
  <r>
    <x v="0"/>
    <x v="0"/>
    <x v="2"/>
    <x v="11"/>
    <x v="46"/>
    <x v="46"/>
    <x v="0"/>
    <n v="122"/>
    <n v="8.7983918878388625"/>
    <n v="134.28917228809314"/>
    <n v="5411738.9799999967"/>
    <n v="10"/>
    <n v="221943.32"/>
  </r>
  <r>
    <x v="0"/>
    <x v="0"/>
    <x v="2"/>
    <x v="11"/>
    <x v="47"/>
    <x v="47"/>
    <x v="0"/>
    <n v="488"/>
    <n v="72.173239079941808"/>
    <n v="393.03573498961487"/>
    <n v="5060466.120000002"/>
    <n v="85"/>
    <n v="1105004.0899999999"/>
  </r>
  <r>
    <x v="0"/>
    <x v="2"/>
    <x v="2"/>
    <x v="1"/>
    <x v="0"/>
    <x v="0"/>
    <x v="0"/>
    <n v="1686"/>
    <n v="264.06637563370492"/>
    <n v="1428.9267607841737"/>
    <n v="17732729.280000009"/>
    <n v="300"/>
    <n v="3354622.2099999995"/>
  </r>
  <r>
    <x v="0"/>
    <x v="2"/>
    <x v="2"/>
    <x v="1"/>
    <x v="1"/>
    <x v="1"/>
    <x v="0"/>
    <n v="2504"/>
    <n v="436.03773544142922"/>
    <n v="4179.9460527144065"/>
    <n v="89048564.140000209"/>
    <n v="319"/>
    <n v="8709124.1199999973"/>
  </r>
  <r>
    <x v="0"/>
    <x v="2"/>
    <x v="2"/>
    <x v="1"/>
    <x v="2"/>
    <x v="2"/>
    <x v="0"/>
    <n v="1328"/>
    <n v="182.51196667335338"/>
    <n v="1256.8696569775373"/>
    <n v="18556446.039999995"/>
    <n v="192"/>
    <n v="2815998.540000001"/>
  </r>
  <r>
    <x v="0"/>
    <x v="2"/>
    <x v="2"/>
    <x v="1"/>
    <x v="3"/>
    <x v="3"/>
    <x v="0"/>
    <n v="3313"/>
    <n v="310.36422304350407"/>
    <n v="2444.530845837272"/>
    <n v="31981341.810000177"/>
    <n v="319"/>
    <n v="4759950.2699999977"/>
  </r>
  <r>
    <x v="0"/>
    <x v="2"/>
    <x v="2"/>
    <x v="1"/>
    <x v="4"/>
    <x v="4"/>
    <x v="0"/>
    <n v="1767"/>
    <n v="235.41833899890756"/>
    <n v="1475.0109201966982"/>
    <n v="16597022.270000005"/>
    <n v="275"/>
    <n v="2641290.7900000014"/>
  </r>
  <r>
    <x v="0"/>
    <x v="2"/>
    <x v="2"/>
    <x v="1"/>
    <x v="5"/>
    <x v="5"/>
    <x v="0"/>
    <n v="521"/>
    <n v="100.01262272504771"/>
    <n v="369.23281429305212"/>
    <n v="5034673.5999999978"/>
    <n v="138"/>
    <n v="1365125.9500000002"/>
  </r>
  <r>
    <x v="0"/>
    <x v="2"/>
    <x v="2"/>
    <x v="1"/>
    <x v="6"/>
    <x v="6"/>
    <x v="0"/>
    <n v="1655"/>
    <n v="144.12619516269177"/>
    <n v="1550.6951812318644"/>
    <n v="19991405.449999947"/>
    <n v="158"/>
    <n v="2051856.0399999998"/>
  </r>
  <r>
    <x v="0"/>
    <x v="2"/>
    <x v="2"/>
    <x v="1"/>
    <x v="7"/>
    <x v="7"/>
    <x v="0"/>
    <n v="3910"/>
    <n v="633.02885193020302"/>
    <n v="5338.4151649463302"/>
    <n v="105752117.11000028"/>
    <n v="629"/>
    <n v="12539266.849999994"/>
  </r>
  <r>
    <x v="0"/>
    <x v="2"/>
    <x v="2"/>
    <x v="1"/>
    <x v="8"/>
    <x v="8"/>
    <x v="0"/>
    <n v="243"/>
    <n v="45.637277418219952"/>
    <n v="162.58310392740461"/>
    <n v="2355187.1700000004"/>
    <n v="71"/>
    <n v="682783.39000000013"/>
  </r>
  <r>
    <x v="0"/>
    <x v="2"/>
    <x v="2"/>
    <x v="1"/>
    <x v="9"/>
    <x v="9"/>
    <x v="0"/>
    <n v="1658"/>
    <n v="305.17521510965281"/>
    <n v="1520.5298616164157"/>
    <n v="21512393.130000006"/>
    <n v="344"/>
    <n v="4219229.0599999996"/>
  </r>
  <r>
    <x v="0"/>
    <x v="2"/>
    <x v="2"/>
    <x v="1"/>
    <x v="10"/>
    <x v="10"/>
    <x v="0"/>
    <n v="1974"/>
    <n v="345.68049759329494"/>
    <n v="2160.1694794623554"/>
    <n v="33772200.080000043"/>
    <n v="359"/>
    <n v="5579948.790000001"/>
  </r>
  <r>
    <x v="1"/>
    <x v="1"/>
    <x v="3"/>
    <x v="9"/>
    <x v="11"/>
    <x v="11"/>
    <x v="0"/>
    <n v="584"/>
    <n v="203.83533600000018"/>
    <n v="512.13524799999925"/>
    <n v="6790416.8699999982"/>
    <n v="233"/>
    <n v="2576417.3700000015"/>
  </r>
  <r>
    <x v="0"/>
    <x v="2"/>
    <x v="2"/>
    <x v="1"/>
    <x v="12"/>
    <x v="12"/>
    <x v="0"/>
    <n v="2516"/>
    <n v="428.71039353483673"/>
    <n v="1992.8950095947473"/>
    <n v="28570366.509999927"/>
    <n v="533"/>
    <n v="6438504.6300000018"/>
  </r>
  <r>
    <x v="0"/>
    <x v="2"/>
    <x v="2"/>
    <x v="1"/>
    <x v="13"/>
    <x v="13"/>
    <x v="0"/>
    <n v="1186"/>
    <n v="180.03870170488216"/>
    <n v="1016.3192760440452"/>
    <n v="14033662.009999996"/>
    <n v="190"/>
    <n v="2461622.6500000008"/>
  </r>
  <r>
    <x v="0"/>
    <x v="2"/>
    <x v="2"/>
    <x v="1"/>
    <x v="14"/>
    <x v="14"/>
    <x v="0"/>
    <n v="199"/>
    <n v="27.606084648080031"/>
    <n v="151.48815406884216"/>
    <n v="1758103.7999999993"/>
    <n v="37"/>
    <n v="397616.77999999985"/>
  </r>
  <r>
    <x v="0"/>
    <x v="2"/>
    <x v="2"/>
    <x v="1"/>
    <x v="15"/>
    <x v="15"/>
    <x v="0"/>
    <n v="784"/>
    <n v="147.2611381227278"/>
    <n v="624.82321103480558"/>
    <n v="7048256.3299999963"/>
    <n v="178"/>
    <n v="1595389.2899999991"/>
  </r>
  <r>
    <x v="0"/>
    <x v="2"/>
    <x v="2"/>
    <x v="1"/>
    <x v="16"/>
    <x v="16"/>
    <x v="0"/>
    <n v="1714"/>
    <n v="294.13951725033508"/>
    <n v="1575.8789589108255"/>
    <n v="20844976.91000003"/>
    <n v="340"/>
    <n v="4076567.7499999986"/>
  </r>
  <r>
    <x v="0"/>
    <x v="2"/>
    <x v="2"/>
    <x v="1"/>
    <x v="17"/>
    <x v="17"/>
    <x v="0"/>
    <n v="1295"/>
    <n v="209.86360132467709"/>
    <n v="1455.8594564408299"/>
    <n v="16097797.450000012"/>
    <n v="241"/>
    <n v="1993755.48"/>
  </r>
  <r>
    <x v="0"/>
    <x v="2"/>
    <x v="2"/>
    <x v="1"/>
    <x v="18"/>
    <x v="18"/>
    <x v="0"/>
    <n v="2950"/>
    <n v="347.64363156826931"/>
    <n v="2497.0424261678595"/>
    <n v="26153748.500000015"/>
    <n v="406"/>
    <n v="3835277.689999999"/>
  </r>
  <r>
    <x v="0"/>
    <x v="2"/>
    <x v="2"/>
    <x v="1"/>
    <x v="19"/>
    <x v="19"/>
    <x v="0"/>
    <n v="1104"/>
    <n v="224.12773914283912"/>
    <n v="1321.2864511563537"/>
    <n v="18581042.290000007"/>
    <n v="258"/>
    <n v="3379802.9400000013"/>
  </r>
  <r>
    <x v="0"/>
    <x v="2"/>
    <x v="2"/>
    <x v="1"/>
    <x v="20"/>
    <x v="20"/>
    <x v="0"/>
    <n v="1123"/>
    <n v="169.80946883528361"/>
    <n v="1051.6619445935039"/>
    <n v="13032813.709999984"/>
    <n v="174"/>
    <n v="2017159.1899999992"/>
  </r>
  <r>
    <x v="0"/>
    <x v="2"/>
    <x v="2"/>
    <x v="1"/>
    <x v="21"/>
    <x v="21"/>
    <x v="0"/>
    <n v="929"/>
    <n v="125.79431639638493"/>
    <n v="677.65849036126463"/>
    <n v="8171015.6800000044"/>
    <n v="170"/>
    <n v="1654957.63"/>
  </r>
  <r>
    <x v="0"/>
    <x v="2"/>
    <x v="2"/>
    <x v="1"/>
    <x v="22"/>
    <x v="22"/>
    <x v="0"/>
    <n v="1953"/>
    <n v="361.23567139499892"/>
    <n v="1827.8071896992803"/>
    <n v="30562191.179999996"/>
    <n v="408"/>
    <n v="5787624.2000000048"/>
  </r>
  <r>
    <x v="0"/>
    <x v="2"/>
    <x v="2"/>
    <x v="1"/>
    <x v="23"/>
    <x v="23"/>
    <x v="0"/>
    <n v="175"/>
    <n v="46.807356403303885"/>
    <n v="132.41570631197601"/>
    <n v="1750777.6799999995"/>
    <n v="63"/>
    <n v="602908.64999999991"/>
  </r>
  <r>
    <x v="0"/>
    <x v="2"/>
    <x v="2"/>
    <x v="1"/>
    <x v="24"/>
    <x v="24"/>
    <x v="0"/>
    <n v="566"/>
    <n v="113.10219355818305"/>
    <n v="458.087590160339"/>
    <n v="6902229.2200000025"/>
    <n v="146"/>
    <n v="1594735.8100000003"/>
  </r>
  <r>
    <x v="0"/>
    <x v="2"/>
    <x v="2"/>
    <x v="1"/>
    <x v="25"/>
    <x v="25"/>
    <x v="0"/>
    <n v="1050"/>
    <n v="164.06051390857078"/>
    <n v="869.06232792126627"/>
    <n v="11974712.219999997"/>
    <n v="199"/>
    <n v="2345027.9800000014"/>
  </r>
  <r>
    <x v="0"/>
    <x v="2"/>
    <x v="2"/>
    <x v="1"/>
    <x v="26"/>
    <x v="26"/>
    <x v="0"/>
    <n v="803"/>
    <n v="125.91313239487032"/>
    <n v="647.65315574377064"/>
    <n v="10198492.6"/>
    <n v="155"/>
    <n v="1951879.3599999992"/>
  </r>
  <r>
    <x v="0"/>
    <x v="2"/>
    <x v="2"/>
    <x v="1"/>
    <x v="27"/>
    <x v="27"/>
    <x v="0"/>
    <n v="718"/>
    <n v="130.16119534071638"/>
    <n v="565.67119378887173"/>
    <n v="6903893.990000003"/>
    <n v="150"/>
    <n v="1706660.2899999998"/>
  </r>
  <r>
    <x v="0"/>
    <x v="2"/>
    <x v="2"/>
    <x v="1"/>
    <x v="28"/>
    <x v="28"/>
    <x v="0"/>
    <n v="846"/>
    <n v="129.67908634686222"/>
    <n v="686.1762512526808"/>
    <n v="9375395.5399999935"/>
    <n v="156"/>
    <n v="1883174.7399999998"/>
  </r>
  <r>
    <x v="0"/>
    <x v="2"/>
    <x v="2"/>
    <x v="1"/>
    <x v="29"/>
    <x v="29"/>
    <x v="0"/>
    <n v="438"/>
    <n v="82.853938943785153"/>
    <n v="412.69357473901778"/>
    <n v="12659393.410000017"/>
    <n v="105"/>
    <n v="1862225.7300000002"/>
  </r>
  <r>
    <x v="0"/>
    <x v="2"/>
    <x v="2"/>
    <x v="1"/>
    <x v="30"/>
    <x v="30"/>
    <x v="0"/>
    <n v="569"/>
    <n v="92.324914823049994"/>
    <n v="409.60448677839719"/>
    <n v="5479860.8900000118"/>
    <n v="119"/>
    <n v="1206743.6499999999"/>
  </r>
  <r>
    <x v="0"/>
    <x v="2"/>
    <x v="2"/>
    <x v="1"/>
    <x v="31"/>
    <x v="31"/>
    <x v="0"/>
    <n v="889"/>
    <n v="213.99308927203455"/>
    <n v="797.43578383435795"/>
    <n v="10686605.290000012"/>
    <n v="259"/>
    <n v="2875919.4999999991"/>
  </r>
  <r>
    <x v="0"/>
    <x v="2"/>
    <x v="2"/>
    <x v="1"/>
    <x v="32"/>
    <x v="32"/>
    <x v="0"/>
    <n v="1785"/>
    <n v="345.5232695952995"/>
    <n v="1639.5210270995278"/>
    <n v="21588780.920000013"/>
    <n v="380"/>
    <n v="4647132.3700000029"/>
  </r>
  <r>
    <x v="0"/>
    <x v="2"/>
    <x v="2"/>
    <x v="1"/>
    <x v="33"/>
    <x v="33"/>
    <x v="0"/>
    <n v="1925"/>
    <n v="205.40537238151006"/>
    <n v="1482.3617571029974"/>
    <n v="17850464.229999892"/>
    <n v="219"/>
    <n v="2688093.9900000016"/>
  </r>
  <r>
    <x v="0"/>
    <x v="2"/>
    <x v="2"/>
    <x v="1"/>
    <x v="34"/>
    <x v="34"/>
    <x v="0"/>
    <n v="27"/>
    <n v="3.7471449522317202"/>
    <n v="17.930260771426585"/>
    <n v="276413.15000000002"/>
    <n v="5"/>
    <n v="44092.89"/>
  </r>
  <r>
    <x v="0"/>
    <x v="2"/>
    <x v="2"/>
    <x v="1"/>
    <x v="35"/>
    <x v="35"/>
    <x v="0"/>
    <n v="1855"/>
    <n v="237.21407997601574"/>
    <n v="1437.2058416786365"/>
    <n v="15368212.149999967"/>
    <n v="271"/>
    <n v="2610168.6899999995"/>
  </r>
  <r>
    <x v="0"/>
    <x v="2"/>
    <x v="2"/>
    <x v="1"/>
    <x v="36"/>
    <x v="36"/>
    <x v="0"/>
    <n v="1406"/>
    <n v="251.79771179010467"/>
    <n v="1186.8118868706288"/>
    <n v="14086151.790000012"/>
    <n v="280"/>
    <n v="2800436.0900000026"/>
  </r>
  <r>
    <x v="0"/>
    <x v="2"/>
    <x v="2"/>
    <x v="1"/>
    <x v="37"/>
    <x v="37"/>
    <x v="0"/>
    <n v="937"/>
    <n v="212.50003829106799"/>
    <n v="960.52213375534564"/>
    <n v="12250583.290000012"/>
    <n v="240"/>
    <n v="2975383.8000000007"/>
  </r>
  <r>
    <x v="0"/>
    <x v="2"/>
    <x v="2"/>
    <x v="1"/>
    <x v="38"/>
    <x v="38"/>
    <x v="0"/>
    <n v="366"/>
    <n v="80.477000974086181"/>
    <n v="374.1247162306903"/>
    <n v="5913322.5800000001"/>
    <n v="90"/>
    <n v="1246220.7699999998"/>
  </r>
  <r>
    <x v="0"/>
    <x v="2"/>
    <x v="2"/>
    <x v="1"/>
    <x v="39"/>
    <x v="39"/>
    <x v="0"/>
    <n v="942"/>
    <n v="231.45407804944375"/>
    <n v="991.10474936548292"/>
    <n v="14247428.200000001"/>
    <n v="259"/>
    <n v="3687535.6099999994"/>
  </r>
  <r>
    <x v="0"/>
    <x v="2"/>
    <x v="2"/>
    <x v="1"/>
    <x v="40"/>
    <x v="40"/>
    <x v="0"/>
    <n v="2148"/>
    <n v="204.28988139573039"/>
    <n v="1655.5082378957334"/>
    <n v="19651390.510000002"/>
    <n v="222"/>
    <n v="2477678.1699999981"/>
  </r>
  <r>
    <x v="0"/>
    <x v="2"/>
    <x v="2"/>
    <x v="1"/>
    <x v="41"/>
    <x v="41"/>
    <x v="0"/>
    <n v="220"/>
    <n v="0"/>
    <n v="407.20260780901623"/>
    <n v="5073598.05"/>
    <n v="0"/>
    <n v="0"/>
  </r>
  <r>
    <x v="0"/>
    <x v="2"/>
    <x v="2"/>
    <x v="1"/>
    <x v="42"/>
    <x v="42"/>
    <x v="0"/>
    <n v="232"/>
    <n v="47.281464397260002"/>
    <n v="183.36944066242222"/>
    <n v="2200115.38"/>
    <n v="59"/>
    <n v="634920.93999999994"/>
  </r>
  <r>
    <x v="0"/>
    <x v="2"/>
    <x v="2"/>
    <x v="1"/>
    <x v="43"/>
    <x v="43"/>
    <x v="0"/>
    <n v="331"/>
    <n v="92.472459821169053"/>
    <n v="361.2910833942924"/>
    <n v="3533643.9899999984"/>
    <n v="81"/>
    <n v="841994.56"/>
  </r>
  <r>
    <x v="0"/>
    <x v="2"/>
    <x v="2"/>
    <x v="1"/>
    <x v="44"/>
    <x v="44"/>
    <x v="0"/>
    <n v="1215"/>
    <n v="238.51217095946774"/>
    <n v="997.32754728615339"/>
    <n v="15175417.110000014"/>
    <n v="274"/>
    <n v="3391171.5100000016"/>
  </r>
  <r>
    <x v="0"/>
    <x v="2"/>
    <x v="2"/>
    <x v="1"/>
    <x v="45"/>
    <x v="45"/>
    <x v="0"/>
    <n v="1579"/>
    <n v="215.48974925295548"/>
    <n v="1554.51164718322"/>
    <n v="19815659.369999941"/>
    <n v="236"/>
    <n v="3002636.4299999983"/>
  </r>
  <r>
    <x v="0"/>
    <x v="2"/>
    <x v="2"/>
    <x v="1"/>
    <x v="46"/>
    <x v="46"/>
    <x v="0"/>
    <n v="103"/>
    <n v="7.0171309105462241"/>
    <n v="122.55986143761739"/>
    <n v="4968733.8699999992"/>
    <n v="8"/>
    <n v="282200.58999999997"/>
  </r>
  <r>
    <x v="0"/>
    <x v="2"/>
    <x v="2"/>
    <x v="1"/>
    <x v="47"/>
    <x v="47"/>
    <x v="0"/>
    <n v="521"/>
    <n v="58.821563250147811"/>
    <n v="401.2144208853536"/>
    <n v="4704185.5499999896"/>
    <n v="78"/>
    <n v="816751.5499999997"/>
  </r>
  <r>
    <x v="0"/>
    <x v="2"/>
    <x v="2"/>
    <x v="3"/>
    <x v="0"/>
    <x v="0"/>
    <x v="0"/>
    <n v="1638"/>
    <n v="242.73611890562103"/>
    <n v="1422.0723298715507"/>
    <n v="16819797.729999967"/>
    <n v="292"/>
    <n v="3170299.5999999968"/>
  </r>
  <r>
    <x v="0"/>
    <x v="2"/>
    <x v="2"/>
    <x v="3"/>
    <x v="1"/>
    <x v="1"/>
    <x v="0"/>
    <n v="2565"/>
    <n v="481.42957086277818"/>
    <n v="4488.6344297792748"/>
    <n v="96883935.950000137"/>
    <n v="389"/>
    <n v="9512146.5800000038"/>
  </r>
  <r>
    <x v="0"/>
    <x v="2"/>
    <x v="2"/>
    <x v="3"/>
    <x v="2"/>
    <x v="2"/>
    <x v="0"/>
    <n v="1218"/>
    <n v="244.19791388698636"/>
    <n v="1201.9406236777629"/>
    <n v="17661423.030000016"/>
    <n v="229"/>
    <n v="3702941.9799999986"/>
  </r>
  <r>
    <x v="0"/>
    <x v="2"/>
    <x v="2"/>
    <x v="3"/>
    <x v="3"/>
    <x v="3"/>
    <x v="0"/>
    <n v="3258"/>
    <n v="336.93332670480351"/>
    <n v="2407.489122309471"/>
    <n v="30642016.630000103"/>
    <n v="346"/>
    <n v="4920550.9600000018"/>
  </r>
  <r>
    <x v="0"/>
    <x v="2"/>
    <x v="2"/>
    <x v="3"/>
    <x v="4"/>
    <x v="4"/>
    <x v="0"/>
    <n v="1731"/>
    <n v="226.94683610690151"/>
    <n v="1479.2884571421669"/>
    <n v="17403011.600000028"/>
    <n v="251"/>
    <n v="2651012.1599999992"/>
  </r>
  <r>
    <x v="0"/>
    <x v="2"/>
    <x v="2"/>
    <x v="3"/>
    <x v="5"/>
    <x v="5"/>
    <x v="0"/>
    <n v="533"/>
    <n v="112.68270256353067"/>
    <n v="396.16579894971187"/>
    <n v="6240427.3799999934"/>
    <n v="138"/>
    <n v="2097584.15"/>
  </r>
  <r>
    <x v="0"/>
    <x v="2"/>
    <x v="2"/>
    <x v="3"/>
    <x v="6"/>
    <x v="6"/>
    <x v="0"/>
    <n v="1619"/>
    <n v="159.63309396501114"/>
    <n v="1518.5559126415717"/>
    <n v="19261893.069999989"/>
    <n v="207"/>
    <n v="2414680.5800000019"/>
  </r>
  <r>
    <x v="0"/>
    <x v="2"/>
    <x v="2"/>
    <x v="3"/>
    <x v="7"/>
    <x v="7"/>
    <x v="0"/>
    <n v="4165"/>
    <n v="768.01500820941067"/>
    <n v="5700.3671263322149"/>
    <n v="109581696.14000012"/>
    <n v="696"/>
    <n v="16262192.329999994"/>
  </r>
  <r>
    <x v="0"/>
    <x v="2"/>
    <x v="2"/>
    <x v="3"/>
    <x v="8"/>
    <x v="8"/>
    <x v="0"/>
    <n v="248"/>
    <n v="46.344379409205878"/>
    <n v="157.56524899137167"/>
    <n v="2244676.8099999996"/>
    <n v="74"/>
    <n v="729219.41000000015"/>
  </r>
  <r>
    <x v="0"/>
    <x v="2"/>
    <x v="2"/>
    <x v="3"/>
    <x v="9"/>
    <x v="9"/>
    <x v="0"/>
    <n v="1711"/>
    <n v="323.68520187368949"/>
    <n v="1542.8791593315134"/>
    <n v="21593340.150000017"/>
    <n v="332"/>
    <n v="4467618.450000003"/>
  </r>
  <r>
    <x v="0"/>
    <x v="2"/>
    <x v="2"/>
    <x v="3"/>
    <x v="10"/>
    <x v="10"/>
    <x v="0"/>
    <n v="1989"/>
    <n v="364.06662235891059"/>
    <n v="2167.0513803746239"/>
    <n v="36988228.879999928"/>
    <n v="364"/>
    <n v="6492192.9999999991"/>
  </r>
  <r>
    <x v="1"/>
    <x v="1"/>
    <x v="3"/>
    <x v="10"/>
    <x v="11"/>
    <x v="11"/>
    <x v="0"/>
    <n v="602"/>
    <n v="163.32168799999988"/>
    <n v="550.01034899999934"/>
    <n v="7469272.7400000002"/>
    <n v="214"/>
    <n v="2132365.35"/>
  </r>
  <r>
    <x v="0"/>
    <x v="2"/>
    <x v="2"/>
    <x v="3"/>
    <x v="12"/>
    <x v="12"/>
    <x v="0"/>
    <n v="2382"/>
    <n v="430.10328251708057"/>
    <n v="1906.3693246977716"/>
    <n v="24185460.210000034"/>
    <n v="504"/>
    <n v="5770852.1800000044"/>
  </r>
  <r>
    <x v="0"/>
    <x v="2"/>
    <x v="2"/>
    <x v="3"/>
    <x v="13"/>
    <x v="13"/>
    <x v="0"/>
    <n v="1186"/>
    <n v="176.9241897445857"/>
    <n v="961.04135574872305"/>
    <n v="13962819.360000016"/>
    <n v="189"/>
    <n v="2590848.2000000016"/>
  </r>
  <r>
    <x v="0"/>
    <x v="2"/>
    <x v="2"/>
    <x v="3"/>
    <x v="14"/>
    <x v="14"/>
    <x v="0"/>
    <n v="201"/>
    <n v="24.978999681569874"/>
    <n v="147.75477611643507"/>
    <n v="1687419.5600000003"/>
    <n v="34"/>
    <n v="284679.68999999994"/>
  </r>
  <r>
    <x v="0"/>
    <x v="2"/>
    <x v="2"/>
    <x v="3"/>
    <x v="15"/>
    <x v="15"/>
    <x v="0"/>
    <n v="763"/>
    <n v="140.72909820599762"/>
    <n v="592.37117544850184"/>
    <n v="7383768.3700000001"/>
    <n v="160"/>
    <n v="2017593.1700000002"/>
  </r>
  <r>
    <x v="0"/>
    <x v="2"/>
    <x v="2"/>
    <x v="3"/>
    <x v="16"/>
    <x v="16"/>
    <x v="0"/>
    <n v="1805"/>
    <n v="303.72102212819084"/>
    <n v="1729.7737959489884"/>
    <n v="22113059.840000063"/>
    <n v="337"/>
    <n v="4233120.919999999"/>
  </r>
  <r>
    <x v="0"/>
    <x v="2"/>
    <x v="2"/>
    <x v="3"/>
    <x v="17"/>
    <x v="17"/>
    <x v="0"/>
    <n v="1382"/>
    <n v="246.27051686056507"/>
    <n v="1554.942336177729"/>
    <n v="18507649.629999988"/>
    <n v="281"/>
    <n v="2943311.7699999991"/>
  </r>
  <r>
    <x v="0"/>
    <x v="2"/>
    <x v="2"/>
    <x v="3"/>
    <x v="18"/>
    <x v="18"/>
    <x v="0"/>
    <n v="2849"/>
    <n v="349.4421855453412"/>
    <n v="2324.0058283737185"/>
    <n v="26149965.040000115"/>
    <n v="421"/>
    <n v="4140438.7600000012"/>
  </r>
  <r>
    <x v="0"/>
    <x v="2"/>
    <x v="2"/>
    <x v="3"/>
    <x v="19"/>
    <x v="19"/>
    <x v="0"/>
    <n v="1069"/>
    <n v="230.58447906052925"/>
    <n v="1273.89327776052"/>
    <n v="19271266.960000038"/>
    <n v="232"/>
    <n v="3514725.049999998"/>
  </r>
  <r>
    <x v="0"/>
    <x v="2"/>
    <x v="2"/>
    <x v="3"/>
    <x v="20"/>
    <x v="20"/>
    <x v="0"/>
    <n v="1148"/>
    <n v="206.59981636628373"/>
    <n v="1085.7908891584307"/>
    <n v="14887512.279999971"/>
    <n v="230"/>
    <n v="2728962.7500000014"/>
  </r>
  <r>
    <x v="0"/>
    <x v="2"/>
    <x v="2"/>
    <x v="3"/>
    <x v="21"/>
    <x v="21"/>
    <x v="0"/>
    <n v="945"/>
    <n v="133.41034329929647"/>
    <n v="662.20200955830194"/>
    <n v="8142408.9699999969"/>
    <n v="166"/>
    <n v="1827249.2000000004"/>
  </r>
  <r>
    <x v="0"/>
    <x v="2"/>
    <x v="2"/>
    <x v="3"/>
    <x v="22"/>
    <x v="22"/>
    <x v="0"/>
    <n v="1937"/>
    <n v="344.46252660882152"/>
    <n v="1783.3374292661747"/>
    <n v="30996759.409999993"/>
    <n v="422"/>
    <n v="6026450.71"/>
  </r>
  <r>
    <x v="0"/>
    <x v="2"/>
    <x v="2"/>
    <x v="3"/>
    <x v="23"/>
    <x v="23"/>
    <x v="0"/>
    <n v="165"/>
    <n v="37.136974526581064"/>
    <n v="127.12103537947208"/>
    <n v="1753176.3699999992"/>
    <n v="56"/>
    <n v="545705.72"/>
  </r>
  <r>
    <x v="0"/>
    <x v="2"/>
    <x v="2"/>
    <x v="3"/>
    <x v="24"/>
    <x v="24"/>
    <x v="0"/>
    <n v="590"/>
    <n v="111.21607958222702"/>
    <n v="450.84466425267146"/>
    <n v="6194534.129999999"/>
    <n v="132"/>
    <n v="1393358.72"/>
  </r>
  <r>
    <x v="0"/>
    <x v="2"/>
    <x v="2"/>
    <x v="3"/>
    <x v="25"/>
    <x v="25"/>
    <x v="0"/>
    <n v="1131"/>
    <n v="204.25202939621295"/>
    <n v="920.30934426797126"/>
    <n v="12563471.430000013"/>
    <n v="234"/>
    <n v="2944080.120000002"/>
  </r>
  <r>
    <x v="0"/>
    <x v="2"/>
    <x v="2"/>
    <x v="3"/>
    <x v="26"/>
    <x v="26"/>
    <x v="0"/>
    <n v="807"/>
    <n v="122.97045243238334"/>
    <n v="641.1779948263171"/>
    <n v="9135518.8300000075"/>
    <n v="152"/>
    <n v="1969645.8200000003"/>
  </r>
  <r>
    <x v="0"/>
    <x v="2"/>
    <x v="2"/>
    <x v="3"/>
    <x v="27"/>
    <x v="27"/>
    <x v="0"/>
    <n v="742"/>
    <n v="126.49972038739254"/>
    <n v="589.11697348998587"/>
    <n v="7439014.5200000023"/>
    <n v="142"/>
    <n v="1584740.1800000002"/>
  </r>
  <r>
    <x v="0"/>
    <x v="2"/>
    <x v="2"/>
    <x v="3"/>
    <x v="28"/>
    <x v="28"/>
    <x v="0"/>
    <n v="853"/>
    <n v="121.89815844605282"/>
    <n v="730.53255568723193"/>
    <n v="9469811.3700000048"/>
    <n v="159"/>
    <n v="1620863.6500000004"/>
  </r>
  <r>
    <x v="0"/>
    <x v="2"/>
    <x v="2"/>
    <x v="3"/>
    <x v="29"/>
    <x v="29"/>
    <x v="0"/>
    <n v="510"/>
    <n v="120.61943446235388"/>
    <n v="483.89038983140682"/>
    <n v="10690131.460000003"/>
    <n v="142"/>
    <n v="2481369.4899999993"/>
  </r>
  <r>
    <x v="0"/>
    <x v="2"/>
    <x v="2"/>
    <x v="3"/>
    <x v="30"/>
    <x v="30"/>
    <x v="0"/>
    <n v="611"/>
    <n v="110.79236658762862"/>
    <n v="460.16930513380163"/>
    <n v="6382310.1899999948"/>
    <n v="130"/>
    <n v="1488931.1600000008"/>
  </r>
  <r>
    <x v="0"/>
    <x v="2"/>
    <x v="2"/>
    <x v="3"/>
    <x v="31"/>
    <x v="31"/>
    <x v="0"/>
    <n v="940"/>
    <n v="231.6855120464933"/>
    <n v="808.00483669962466"/>
    <n v="11734217.159999995"/>
    <n v="279"/>
    <n v="3399775.9699999974"/>
  </r>
  <r>
    <x v="0"/>
    <x v="2"/>
    <x v="2"/>
    <x v="3"/>
    <x v="32"/>
    <x v="32"/>
    <x v="0"/>
    <n v="1766"/>
    <n v="372.57885325039717"/>
    <n v="1611.4173994577855"/>
    <n v="21533899.779999964"/>
    <n v="427"/>
    <n v="5127800.0699999984"/>
  </r>
  <r>
    <x v="0"/>
    <x v="2"/>
    <x v="2"/>
    <x v="3"/>
    <x v="33"/>
    <x v="33"/>
    <x v="0"/>
    <n v="1767"/>
    <n v="197.46357548275145"/>
    <n v="1365.7585525894383"/>
    <n v="18103705.300000049"/>
    <n v="219"/>
    <n v="2796527.6500000013"/>
  </r>
  <r>
    <x v="0"/>
    <x v="2"/>
    <x v="2"/>
    <x v="3"/>
    <x v="34"/>
    <x v="34"/>
    <x v="0"/>
    <n v="25"/>
    <n v="3.3759459569637333"/>
    <n v="16.066940795180027"/>
    <n v="231085.18000000005"/>
    <n v="5"/>
    <n v="54521.739999999991"/>
  </r>
  <r>
    <x v="0"/>
    <x v="2"/>
    <x v="2"/>
    <x v="3"/>
    <x v="35"/>
    <x v="35"/>
    <x v="0"/>
    <n v="1961"/>
    <n v="225.12576613011635"/>
    <n v="1452.313746486044"/>
    <n v="16288980.840000009"/>
    <n v="274"/>
    <n v="2643772.0099999998"/>
  </r>
  <r>
    <x v="0"/>
    <x v="2"/>
    <x v="2"/>
    <x v="3"/>
    <x v="36"/>
    <x v="36"/>
    <x v="0"/>
    <n v="1474"/>
    <n v="263.21842964451452"/>
    <n v="1253.4880870206457"/>
    <n v="15279896.860000035"/>
    <n v="285"/>
    <n v="2988354.4100000015"/>
  </r>
  <r>
    <x v="0"/>
    <x v="2"/>
    <x v="2"/>
    <x v="3"/>
    <x v="37"/>
    <x v="37"/>
    <x v="0"/>
    <n v="970"/>
    <n v="227.43759310064544"/>
    <n v="984.46630545010873"/>
    <n v="13170515.35999999"/>
    <n v="257"/>
    <n v="3135270.8100000024"/>
  </r>
  <r>
    <x v="0"/>
    <x v="2"/>
    <x v="2"/>
    <x v="3"/>
    <x v="38"/>
    <x v="38"/>
    <x v="0"/>
    <n v="410"/>
    <n v="71.081336093861253"/>
    <n v="414.54883471536721"/>
    <n v="6059640.5799999991"/>
    <n v="81"/>
    <n v="804281.7300000001"/>
  </r>
  <r>
    <x v="0"/>
    <x v="2"/>
    <x v="2"/>
    <x v="3"/>
    <x v="39"/>
    <x v="39"/>
    <x v="0"/>
    <n v="1000"/>
    <n v="244.85667487858879"/>
    <n v="1077.0617552697081"/>
    <n v="14262290.230000021"/>
    <n v="280"/>
    <n v="3129168.87"/>
  </r>
  <r>
    <x v="0"/>
    <x v="2"/>
    <x v="2"/>
    <x v="3"/>
    <x v="40"/>
    <x v="40"/>
    <x v="0"/>
    <n v="2016"/>
    <n v="242.7060589060043"/>
    <n v="1636.3545001398988"/>
    <n v="22106214.189999983"/>
    <n v="257"/>
    <n v="3427155.47"/>
  </r>
  <r>
    <x v="0"/>
    <x v="2"/>
    <x v="2"/>
    <x v="3"/>
    <x v="41"/>
    <x v="41"/>
    <x v="0"/>
    <n v="199"/>
    <n v="0"/>
    <n v="380.09784615454549"/>
    <n v="5306460.8099999931"/>
    <n v="0"/>
    <n v="0"/>
  </r>
  <r>
    <x v="0"/>
    <x v="2"/>
    <x v="2"/>
    <x v="3"/>
    <x v="42"/>
    <x v="42"/>
    <x v="0"/>
    <n v="261"/>
    <n v="56.518074279512469"/>
    <n v="217.46612522776073"/>
    <n v="2412207.31"/>
    <n v="73"/>
    <n v="596590.04"/>
  </r>
  <r>
    <x v="0"/>
    <x v="2"/>
    <x v="2"/>
    <x v="3"/>
    <x v="43"/>
    <x v="43"/>
    <x v="0"/>
    <n v="346"/>
    <n v="59.12196324631833"/>
    <n v="339.00343067841391"/>
    <n v="3462207.5400000028"/>
    <n v="66"/>
    <n v="494573.56999999983"/>
  </r>
  <r>
    <x v="0"/>
    <x v="2"/>
    <x v="2"/>
    <x v="3"/>
    <x v="44"/>
    <x v="44"/>
    <x v="0"/>
    <n v="1265"/>
    <n v="236.62080798357854"/>
    <n v="984.79798844587856"/>
    <n v="15298908.280000018"/>
    <n v="275"/>
    <n v="3671736.1300000018"/>
  </r>
  <r>
    <x v="0"/>
    <x v="2"/>
    <x v="2"/>
    <x v="3"/>
    <x v="45"/>
    <x v="45"/>
    <x v="0"/>
    <n v="1589"/>
    <n v="214.18665326956719"/>
    <n v="1649.1159289772111"/>
    <n v="20915709.099999949"/>
    <n v="227"/>
    <n v="2887794.2799999979"/>
  </r>
  <r>
    <x v="0"/>
    <x v="2"/>
    <x v="2"/>
    <x v="3"/>
    <x v="46"/>
    <x v="46"/>
    <x v="0"/>
    <n v="129"/>
    <n v="12.915566835353472"/>
    <n v="148.84088710258919"/>
    <n v="5123457.68"/>
    <n v="13"/>
    <n v="554982.19000000006"/>
  </r>
  <r>
    <x v="0"/>
    <x v="2"/>
    <x v="2"/>
    <x v="3"/>
    <x v="47"/>
    <x v="47"/>
    <x v="0"/>
    <n v="514"/>
    <n v="76.428535025695624"/>
    <n v="398.34885692188311"/>
    <n v="4891820.2799999984"/>
    <n v="84"/>
    <n v="1025933.5"/>
  </r>
  <r>
    <x v="0"/>
    <x v="2"/>
    <x v="2"/>
    <x v="5"/>
    <x v="0"/>
    <x v="0"/>
    <x v="0"/>
    <n v="1505"/>
    <n v="248.19541183602655"/>
    <n v="1328.9197590590522"/>
    <n v="15048836.419999985"/>
    <n v="271"/>
    <n v="2698379.0499999993"/>
  </r>
  <r>
    <x v="0"/>
    <x v="2"/>
    <x v="2"/>
    <x v="5"/>
    <x v="1"/>
    <x v="1"/>
    <x v="0"/>
    <n v="2544"/>
    <n v="486.57307279720897"/>
    <n v="4528.1233092758766"/>
    <n v="94432544.970000163"/>
    <n v="355"/>
    <n v="10108896.930000002"/>
  </r>
  <r>
    <x v="0"/>
    <x v="2"/>
    <x v="2"/>
    <x v="5"/>
    <x v="2"/>
    <x v="2"/>
    <x v="0"/>
    <n v="1241"/>
    <n v="179.97173470573588"/>
    <n v="1103.2984869352447"/>
    <n v="18409597.850000009"/>
    <n v="202"/>
    <n v="2648034.15"/>
  </r>
  <r>
    <x v="0"/>
    <x v="2"/>
    <x v="2"/>
    <x v="5"/>
    <x v="3"/>
    <x v="3"/>
    <x v="0"/>
    <n v="3250"/>
    <n v="298.39941919602973"/>
    <n v="2548.6892425094616"/>
    <n v="30921664.069999974"/>
    <n v="315"/>
    <n v="3951781.48"/>
  </r>
  <r>
    <x v="0"/>
    <x v="2"/>
    <x v="2"/>
    <x v="5"/>
    <x v="4"/>
    <x v="4"/>
    <x v="0"/>
    <n v="1682"/>
    <n v="242.6311879069587"/>
    <n v="1482.4213641022279"/>
    <n v="19739155.660000063"/>
    <n v="272"/>
    <n v="3284711.120000001"/>
  </r>
  <r>
    <x v="0"/>
    <x v="2"/>
    <x v="2"/>
    <x v="5"/>
    <x v="5"/>
    <x v="5"/>
    <x v="0"/>
    <n v="491"/>
    <n v="92.400362822088198"/>
    <n v="368.92720029694783"/>
    <n v="5471117.5600000015"/>
    <n v="119"/>
    <n v="1607196.6999999997"/>
  </r>
  <r>
    <x v="0"/>
    <x v="2"/>
    <x v="2"/>
    <x v="5"/>
    <x v="6"/>
    <x v="6"/>
    <x v="0"/>
    <n v="1517"/>
    <n v="121.75840344783431"/>
    <n v="1508.8609347651636"/>
    <n v="21066968.299999978"/>
    <n v="159"/>
    <n v="2268897.0200000009"/>
  </r>
  <r>
    <x v="0"/>
    <x v="2"/>
    <x v="2"/>
    <x v="5"/>
    <x v="7"/>
    <x v="7"/>
    <x v="0"/>
    <n v="3992"/>
    <n v="705.95793800050956"/>
    <n v="5481.2392271256294"/>
    <n v="99263893.720000088"/>
    <n v="715"/>
    <n v="15626964.01"/>
  </r>
  <r>
    <x v="0"/>
    <x v="2"/>
    <x v="2"/>
    <x v="5"/>
    <x v="8"/>
    <x v="8"/>
    <x v="0"/>
    <n v="264"/>
    <n v="54.809635301291522"/>
    <n v="177.09971974234799"/>
    <n v="2333896.2700000009"/>
    <n v="78"/>
    <n v="747494.77"/>
  </r>
  <r>
    <x v="0"/>
    <x v="2"/>
    <x v="2"/>
    <x v="5"/>
    <x v="9"/>
    <x v="9"/>
    <x v="0"/>
    <n v="1707"/>
    <n v="316.03070997126787"/>
    <n v="1535.3647824273039"/>
    <n v="20832964.159999937"/>
    <n v="365"/>
    <n v="4417648.8800000008"/>
  </r>
  <r>
    <x v="0"/>
    <x v="2"/>
    <x v="2"/>
    <x v="5"/>
    <x v="10"/>
    <x v="10"/>
    <x v="0"/>
    <n v="1997"/>
    <n v="313.7306670005886"/>
    <n v="2259.9853891899079"/>
    <n v="35713695.959999979"/>
    <n v="324"/>
    <n v="4998432.6400000043"/>
  </r>
  <r>
    <x v="1"/>
    <x v="1"/>
    <x v="3"/>
    <x v="11"/>
    <x v="11"/>
    <x v="11"/>
    <x v="0"/>
    <n v="561"/>
    <n v="159.55197699999999"/>
    <n v="489.23563199999893"/>
    <n v="6724486.4400000004"/>
    <n v="185"/>
    <n v="2175065.0999999996"/>
  </r>
  <r>
    <x v="0"/>
    <x v="2"/>
    <x v="2"/>
    <x v="5"/>
    <x v="12"/>
    <x v="12"/>
    <x v="0"/>
    <n v="2385"/>
    <n v="396.60790494407655"/>
    <n v="1966.9939319249293"/>
    <n v="25237700.539999995"/>
    <n v="491"/>
    <n v="5158977.0600000005"/>
  </r>
  <r>
    <x v="0"/>
    <x v="2"/>
    <x v="2"/>
    <x v="5"/>
    <x v="13"/>
    <x v="13"/>
    <x v="0"/>
    <n v="1156"/>
    <n v="171.83485880946418"/>
    <n v="968.81086564967848"/>
    <n v="14329777.880000008"/>
    <n v="195"/>
    <n v="2676806.8600000017"/>
  </r>
  <r>
    <x v="0"/>
    <x v="2"/>
    <x v="2"/>
    <x v="5"/>
    <x v="14"/>
    <x v="14"/>
    <x v="0"/>
    <n v="217"/>
    <n v="29.018765630071282"/>
    <n v="172.63421179927411"/>
    <n v="1937940.5700000005"/>
    <n v="35"/>
    <n v="350262.5400000001"/>
  </r>
  <r>
    <x v="0"/>
    <x v="2"/>
    <x v="2"/>
    <x v="5"/>
    <x v="15"/>
    <x v="15"/>
    <x v="0"/>
    <n v="772"/>
    <n v="141.30945119859939"/>
    <n v="599.21906136120583"/>
    <n v="7598781.2600000016"/>
    <n v="179"/>
    <n v="1785046.94"/>
  </r>
  <r>
    <x v="0"/>
    <x v="2"/>
    <x v="2"/>
    <x v="5"/>
    <x v="16"/>
    <x v="16"/>
    <x v="0"/>
    <n v="1710"/>
    <n v="271.11234854388368"/>
    <n v="1640.0620180926301"/>
    <n v="21230883.410000015"/>
    <n v="308"/>
    <n v="3557986.3899999983"/>
  </r>
  <r>
    <x v="0"/>
    <x v="2"/>
    <x v="2"/>
    <x v="5"/>
    <x v="17"/>
    <x v="17"/>
    <x v="0"/>
    <n v="1338"/>
    <n v="187.72466760690227"/>
    <n v="1445.1921895768146"/>
    <n v="17813791.330000009"/>
    <n v="227"/>
    <n v="2249273.4099999992"/>
  </r>
  <r>
    <x v="0"/>
    <x v="2"/>
    <x v="2"/>
    <x v="5"/>
    <x v="18"/>
    <x v="18"/>
    <x v="0"/>
    <n v="2872"/>
    <n v="350.77903952829917"/>
    <n v="2398.9839864179066"/>
    <n v="26274683.699999977"/>
    <n v="427"/>
    <n v="4087022.6599999992"/>
  </r>
  <r>
    <x v="0"/>
    <x v="2"/>
    <x v="2"/>
    <x v="5"/>
    <x v="19"/>
    <x v="19"/>
    <x v="0"/>
    <n v="1120"/>
    <n v="201.426783432229"/>
    <n v="1312.82448026423"/>
    <n v="20094915.080000035"/>
    <n v="231"/>
    <n v="3384770.8799999985"/>
  </r>
  <r>
    <x v="0"/>
    <x v="2"/>
    <x v="2"/>
    <x v="5"/>
    <x v="20"/>
    <x v="20"/>
    <x v="0"/>
    <n v="1128"/>
    <n v="218.27045721750724"/>
    <n v="1105.0706279126562"/>
    <n v="14765698.710000008"/>
    <n v="212"/>
    <n v="2826794.7199999983"/>
  </r>
  <r>
    <x v="0"/>
    <x v="2"/>
    <x v="2"/>
    <x v="5"/>
    <x v="21"/>
    <x v="21"/>
    <x v="0"/>
    <n v="893"/>
    <n v="139.68797021926983"/>
    <n v="619.80018909883643"/>
    <n v="8000610.3800000008"/>
    <n v="178"/>
    <n v="1946568.7199999997"/>
  </r>
  <r>
    <x v="0"/>
    <x v="2"/>
    <x v="2"/>
    <x v="5"/>
    <x v="22"/>
    <x v="22"/>
    <x v="0"/>
    <n v="1951"/>
    <n v="349.88053053975347"/>
    <n v="1866.9619342001365"/>
    <n v="30031724.659999996"/>
    <n v="421"/>
    <n v="5590820.2400000039"/>
  </r>
  <r>
    <x v="0"/>
    <x v="2"/>
    <x v="2"/>
    <x v="5"/>
    <x v="23"/>
    <x v="23"/>
    <x v="0"/>
    <n v="170"/>
    <n v="31.166353602694024"/>
    <n v="115.56586952677628"/>
    <n v="1563921.1700000006"/>
    <n v="51"/>
    <n v="452831.27"/>
  </r>
  <r>
    <x v="0"/>
    <x v="2"/>
    <x v="2"/>
    <x v="5"/>
    <x v="24"/>
    <x v="24"/>
    <x v="0"/>
    <n v="580"/>
    <n v="86.447288897977415"/>
    <n v="441.24218137508279"/>
    <n v="6305806.7300000023"/>
    <n v="111"/>
    <n v="1098407.69"/>
  </r>
  <r>
    <x v="0"/>
    <x v="2"/>
    <x v="2"/>
    <x v="5"/>
    <x v="25"/>
    <x v="25"/>
    <x v="0"/>
    <n v="951"/>
    <n v="140.57291320798868"/>
    <n v="755.13755137356929"/>
    <n v="10406387.560000025"/>
    <n v="178"/>
    <n v="1940176.679999999"/>
  </r>
  <r>
    <x v="0"/>
    <x v="2"/>
    <x v="2"/>
    <x v="5"/>
    <x v="26"/>
    <x v="26"/>
    <x v="0"/>
    <n v="858"/>
    <n v="133.145242302676"/>
    <n v="678.69246634808303"/>
    <n v="10247473.650000017"/>
    <n v="178"/>
    <n v="1987525.5299999989"/>
  </r>
  <r>
    <x v="0"/>
    <x v="2"/>
    <x v="2"/>
    <x v="5"/>
    <x v="27"/>
    <x v="27"/>
    <x v="0"/>
    <n v="715"/>
    <n v="111.82507657446361"/>
    <n v="546.02630103930255"/>
    <n v="6965511.8299999945"/>
    <n v="139"/>
    <n v="1602605.4299999997"/>
  </r>
  <r>
    <x v="0"/>
    <x v="2"/>
    <x v="2"/>
    <x v="5"/>
    <x v="28"/>
    <x v="28"/>
    <x v="0"/>
    <n v="813"/>
    <n v="127.8837813697486"/>
    <n v="651.27159169764354"/>
    <n v="8785104.5700000077"/>
    <n v="168"/>
    <n v="1754106.9700000002"/>
  </r>
  <r>
    <x v="0"/>
    <x v="2"/>
    <x v="2"/>
    <x v="5"/>
    <x v="29"/>
    <x v="29"/>
    <x v="0"/>
    <n v="504"/>
    <n v="117.69978349957341"/>
    <n v="508.88955851271965"/>
    <n v="11716198.550000004"/>
    <n v="137"/>
    <n v="2968910.4099999997"/>
  </r>
  <r>
    <x v="0"/>
    <x v="2"/>
    <x v="2"/>
    <x v="5"/>
    <x v="30"/>
    <x v="30"/>
    <x v="0"/>
    <n v="456"/>
    <n v="70.976661095195666"/>
    <n v="331.23944677738859"/>
    <n v="4264395.4499999983"/>
    <n v="87"/>
    <n v="869436.36999999988"/>
  </r>
  <r>
    <x v="0"/>
    <x v="2"/>
    <x v="2"/>
    <x v="5"/>
    <x v="31"/>
    <x v="31"/>
    <x v="0"/>
    <n v="910"/>
    <n v="217.3447482293081"/>
    <n v="773.56336013868088"/>
    <n v="11677832.130000008"/>
    <n v="289"/>
    <n v="3438185.2600000016"/>
  </r>
  <r>
    <x v="0"/>
    <x v="2"/>
    <x v="2"/>
    <x v="5"/>
    <x v="32"/>
    <x v="32"/>
    <x v="0"/>
    <n v="1776"/>
    <n v="341.94952064085754"/>
    <n v="1637.9358611197356"/>
    <n v="21395291.160000019"/>
    <n v="393"/>
    <n v="4562925.5099999979"/>
  </r>
  <r>
    <x v="0"/>
    <x v="2"/>
    <x v="2"/>
    <x v="5"/>
    <x v="33"/>
    <x v="33"/>
    <x v="0"/>
    <n v="1796"/>
    <n v="173.3481817901725"/>
    <n v="1369.305513544223"/>
    <n v="18531326.42999997"/>
    <n v="223"/>
    <n v="2704214.61"/>
  </r>
  <r>
    <x v="0"/>
    <x v="2"/>
    <x v="2"/>
    <x v="5"/>
    <x v="34"/>
    <x v="34"/>
    <x v="0"/>
    <n v="23"/>
    <n v="4.5540989419447415"/>
    <n v="16.065951795192635"/>
    <n v="240012.46999999997"/>
    <n v="8"/>
    <n v="73245.2"/>
  </r>
  <r>
    <x v="0"/>
    <x v="2"/>
    <x v="2"/>
    <x v="5"/>
    <x v="35"/>
    <x v="35"/>
    <x v="0"/>
    <n v="1812"/>
    <n v="207.69778835228666"/>
    <n v="1324.2610831184486"/>
    <n v="15083827.110000007"/>
    <n v="261"/>
    <n v="2642266.4099999983"/>
  </r>
  <r>
    <x v="0"/>
    <x v="2"/>
    <x v="2"/>
    <x v="5"/>
    <x v="36"/>
    <x v="36"/>
    <x v="0"/>
    <n v="1378"/>
    <n v="273.30780951589605"/>
    <n v="1167.034538122746"/>
    <n v="13080513.970000003"/>
    <n v="299"/>
    <n v="2984774.6300000004"/>
  </r>
  <r>
    <x v="0"/>
    <x v="2"/>
    <x v="2"/>
    <x v="5"/>
    <x v="37"/>
    <x v="37"/>
    <x v="0"/>
    <n v="969"/>
    <n v="238.35878096142332"/>
    <n v="942.53674598462214"/>
    <n v="12527472.469999989"/>
    <n v="278"/>
    <n v="3386301.4899999988"/>
  </r>
  <r>
    <x v="0"/>
    <x v="2"/>
    <x v="2"/>
    <x v="5"/>
    <x v="38"/>
    <x v="38"/>
    <x v="0"/>
    <n v="376"/>
    <n v="47.562717393674596"/>
    <n v="389.74372103158061"/>
    <n v="5688494.1200000066"/>
    <n v="60"/>
    <n v="564287.81999999983"/>
  </r>
  <r>
    <x v="0"/>
    <x v="2"/>
    <x v="2"/>
    <x v="5"/>
    <x v="39"/>
    <x v="39"/>
    <x v="0"/>
    <n v="958"/>
    <n v="225.16958812955767"/>
    <n v="1012.5610220919597"/>
    <n v="13006019.939999968"/>
    <n v="279"/>
    <n v="3010486.7200000021"/>
  </r>
  <r>
    <x v="0"/>
    <x v="2"/>
    <x v="2"/>
    <x v="5"/>
    <x v="40"/>
    <x v="40"/>
    <x v="0"/>
    <n v="2023"/>
    <n v="233.5391310228635"/>
    <n v="1626.2700422684582"/>
    <n v="21817594.519999973"/>
    <n v="245"/>
    <n v="3120596.8899999997"/>
  </r>
  <r>
    <x v="0"/>
    <x v="2"/>
    <x v="2"/>
    <x v="5"/>
    <x v="41"/>
    <x v="41"/>
    <x v="0"/>
    <n v="230"/>
    <n v="0"/>
    <n v="426.7537875597792"/>
    <n v="6252994.8900000015"/>
    <n v="0"/>
    <n v="0"/>
  </r>
  <r>
    <x v="0"/>
    <x v="2"/>
    <x v="2"/>
    <x v="5"/>
    <x v="42"/>
    <x v="42"/>
    <x v="0"/>
    <n v="235"/>
    <n v="48.998042375377182"/>
    <n v="192.78606854237984"/>
    <n v="2003154.3599999987"/>
    <n v="64"/>
    <n v="492171.84000000008"/>
  </r>
  <r>
    <x v="0"/>
    <x v="2"/>
    <x v="2"/>
    <x v="5"/>
    <x v="43"/>
    <x v="43"/>
    <x v="0"/>
    <n v="327"/>
    <n v="68.170796130964618"/>
    <n v="309.26273705754562"/>
    <n v="3287329.5200000005"/>
    <n v="84"/>
    <n v="660889.68999999971"/>
  </r>
  <r>
    <x v="0"/>
    <x v="2"/>
    <x v="2"/>
    <x v="5"/>
    <x v="44"/>
    <x v="44"/>
    <x v="0"/>
    <n v="1327"/>
    <n v="236.57693198413804"/>
    <n v="1021.2538619811417"/>
    <n v="15248659.00999999"/>
    <n v="294"/>
    <n v="3241540.4299999978"/>
  </r>
  <r>
    <x v="0"/>
    <x v="2"/>
    <x v="2"/>
    <x v="5"/>
    <x v="45"/>
    <x v="45"/>
    <x v="0"/>
    <n v="1519"/>
    <n v="186.04990762825176"/>
    <n v="1539.4500123752221"/>
    <n v="19967346.759999994"/>
    <n v="203"/>
    <n v="2244747.2299999986"/>
  </r>
  <r>
    <x v="0"/>
    <x v="2"/>
    <x v="2"/>
    <x v="5"/>
    <x v="46"/>
    <x v="46"/>
    <x v="0"/>
    <n v="96"/>
    <n v="10.114639871059447"/>
    <n v="111.30179158113431"/>
    <n v="3779035.189999999"/>
    <n v="10"/>
    <n v="274110.38"/>
  </r>
  <r>
    <x v="0"/>
    <x v="2"/>
    <x v="2"/>
    <x v="5"/>
    <x v="47"/>
    <x v="47"/>
    <x v="0"/>
    <n v="563"/>
    <n v="96.176397773951592"/>
    <n v="407.7628578018743"/>
    <n v="4725584.3899999978"/>
    <n v="117"/>
    <n v="1147052.0799999998"/>
  </r>
  <r>
    <x v="0"/>
    <x v="2"/>
    <x v="2"/>
    <x v="0"/>
    <x v="0"/>
    <x v="0"/>
    <x v="0"/>
    <n v="1580"/>
    <n v="279.33853543901682"/>
    <n v="1387.7761813087548"/>
    <n v="16227641.380000036"/>
    <n v="320"/>
    <n v="3260389.3599999985"/>
  </r>
  <r>
    <x v="0"/>
    <x v="2"/>
    <x v="2"/>
    <x v="0"/>
    <x v="1"/>
    <x v="1"/>
    <x v="0"/>
    <n v="2537"/>
    <n v="427.34971455218289"/>
    <n v="4425.1716635882813"/>
    <n v="87999750.209999651"/>
    <n v="361"/>
    <n v="8651010.6300000008"/>
  </r>
  <r>
    <x v="0"/>
    <x v="2"/>
    <x v="2"/>
    <x v="0"/>
    <x v="2"/>
    <x v="2"/>
    <x v="0"/>
    <n v="1256"/>
    <n v="185.82945263106234"/>
    <n v="1126.1251716442534"/>
    <n v="19034305.319999982"/>
    <n v="198"/>
    <n v="3046489.3800000004"/>
  </r>
  <r>
    <x v="0"/>
    <x v="2"/>
    <x v="2"/>
    <x v="0"/>
    <x v="3"/>
    <x v="3"/>
    <x v="0"/>
    <n v="3431"/>
    <n v="355.80081446428221"/>
    <n v="2622.8959685634586"/>
    <n v="30632781.649999954"/>
    <n v="377"/>
    <n v="4217641.3600000013"/>
  </r>
  <r>
    <x v="0"/>
    <x v="2"/>
    <x v="2"/>
    <x v="0"/>
    <x v="4"/>
    <x v="4"/>
    <x v="0"/>
    <n v="1731"/>
    <n v="249.89739381432975"/>
    <n v="1541.4555153496656"/>
    <n v="19727608.159999944"/>
    <n v="272"/>
    <n v="3178093.7200000007"/>
  </r>
  <r>
    <x v="0"/>
    <x v="2"/>
    <x v="2"/>
    <x v="0"/>
    <x v="5"/>
    <x v="5"/>
    <x v="0"/>
    <n v="514"/>
    <n v="105.51824665486254"/>
    <n v="384.23062010186129"/>
    <n v="5065663.8000000054"/>
    <n v="135"/>
    <n v="1257490.0099999995"/>
  </r>
  <r>
    <x v="0"/>
    <x v="2"/>
    <x v="2"/>
    <x v="0"/>
    <x v="6"/>
    <x v="6"/>
    <x v="0"/>
    <n v="1508"/>
    <n v="136.10711426491812"/>
    <n v="1499.8642518798613"/>
    <n v="20971338.649999999"/>
    <n v="160"/>
    <n v="2069794.07"/>
  </r>
  <r>
    <x v="0"/>
    <x v="2"/>
    <x v="2"/>
    <x v="0"/>
    <x v="7"/>
    <x v="7"/>
    <x v="0"/>
    <n v="4210"/>
    <n v="736.38966361256769"/>
    <n v="6007.489922417034"/>
    <n v="100912901.04999988"/>
    <n v="679"/>
    <n v="14183361.209999995"/>
  </r>
  <r>
    <x v="0"/>
    <x v="2"/>
    <x v="2"/>
    <x v="0"/>
    <x v="8"/>
    <x v="8"/>
    <x v="0"/>
    <n v="237"/>
    <n v="54.077525310624409"/>
    <n v="167.05770587036261"/>
    <n v="2182407.7299999995"/>
    <n v="81"/>
    <n v="712405.59999999974"/>
  </r>
  <r>
    <x v="0"/>
    <x v="2"/>
    <x v="2"/>
    <x v="0"/>
    <x v="9"/>
    <x v="9"/>
    <x v="0"/>
    <n v="1810"/>
    <n v="371.56541026331672"/>
    <n v="1621.3735363308713"/>
    <n v="21573934.170000006"/>
    <n v="431"/>
    <n v="5053326.8999999976"/>
  </r>
  <r>
    <x v="0"/>
    <x v="2"/>
    <x v="2"/>
    <x v="0"/>
    <x v="10"/>
    <x v="10"/>
    <x v="0"/>
    <n v="1902"/>
    <n v="326.97367683176822"/>
    <n v="2022.0113602235779"/>
    <n v="33114262.729999933"/>
    <n v="340"/>
    <n v="5291524.4300000034"/>
  </r>
  <r>
    <x v="1"/>
    <x v="3"/>
    <x v="3"/>
    <x v="1"/>
    <x v="11"/>
    <x v="11"/>
    <x v="0"/>
    <n v="600"/>
    <n v="150.73909500000005"/>
    <n v="534.46302299999923"/>
    <n v="7627195.790000001"/>
    <n v="196"/>
    <n v="2196479.34"/>
  </r>
  <r>
    <x v="0"/>
    <x v="2"/>
    <x v="2"/>
    <x v="0"/>
    <x v="12"/>
    <x v="12"/>
    <x v="0"/>
    <n v="2323"/>
    <n v="437.68082942048278"/>
    <n v="1930.4717983905146"/>
    <n v="27572626.990000039"/>
    <n v="524"/>
    <n v="6133034.9899999956"/>
  </r>
  <r>
    <x v="0"/>
    <x v="2"/>
    <x v="2"/>
    <x v="0"/>
    <x v="13"/>
    <x v="13"/>
    <x v="0"/>
    <n v="1188"/>
    <n v="209.52741432896275"/>
    <n v="1056.3893305332351"/>
    <n v="15892894.739999996"/>
    <n v="201"/>
    <n v="3059948.8400000003"/>
  </r>
  <r>
    <x v="0"/>
    <x v="2"/>
    <x v="2"/>
    <x v="0"/>
    <x v="14"/>
    <x v="14"/>
    <x v="0"/>
    <n v="226"/>
    <n v="32.286062588420066"/>
    <n v="181.24121168955273"/>
    <n v="1910286.1499999997"/>
    <n v="42"/>
    <n v="342516.06999999995"/>
  </r>
  <r>
    <x v="0"/>
    <x v="2"/>
    <x v="2"/>
    <x v="0"/>
    <x v="15"/>
    <x v="15"/>
    <x v="0"/>
    <n v="801"/>
    <n v="139.54803222105375"/>
    <n v="663.79752553796459"/>
    <n v="8100400.2200000044"/>
    <n v="164"/>
    <n v="1658630.2699999998"/>
  </r>
  <r>
    <x v="0"/>
    <x v="2"/>
    <x v="2"/>
    <x v="0"/>
    <x v="16"/>
    <x v="16"/>
    <x v="0"/>
    <n v="1746"/>
    <n v="333.523235748275"/>
    <n v="1722.8444050373246"/>
    <n v="21479558.519999996"/>
    <n v="364"/>
    <n v="3883006.6800000016"/>
  </r>
  <r>
    <x v="0"/>
    <x v="2"/>
    <x v="2"/>
    <x v="0"/>
    <x v="17"/>
    <x v="17"/>
    <x v="0"/>
    <n v="1363"/>
    <n v="249.62281081783013"/>
    <n v="1556.3252611601015"/>
    <n v="17911970.169999991"/>
    <n v="264"/>
    <n v="3098474.16"/>
  </r>
  <r>
    <x v="0"/>
    <x v="2"/>
    <x v="2"/>
    <x v="0"/>
    <x v="18"/>
    <x v="18"/>
    <x v="0"/>
    <n v="2841"/>
    <n v="350.57583653088983"/>
    <n v="2418.8314111648915"/>
    <n v="26426441.64999995"/>
    <n v="415"/>
    <n v="3959843.9999999963"/>
  </r>
  <r>
    <x v="0"/>
    <x v="2"/>
    <x v="2"/>
    <x v="0"/>
    <x v="19"/>
    <x v="19"/>
    <x v="0"/>
    <n v="1060"/>
    <n v="214.58039526454792"/>
    <n v="1337.7980649458657"/>
    <n v="22332895.489999995"/>
    <n v="234"/>
    <n v="3621301.0699999984"/>
  </r>
  <r>
    <x v="0"/>
    <x v="2"/>
    <x v="2"/>
    <x v="0"/>
    <x v="20"/>
    <x v="20"/>
    <x v="0"/>
    <n v="1119"/>
    <n v="226.31097011500759"/>
    <n v="1061.1720284722708"/>
    <n v="14663775.169999996"/>
    <n v="245"/>
    <n v="2941287.3299999991"/>
  </r>
  <r>
    <x v="0"/>
    <x v="2"/>
    <x v="2"/>
    <x v="0"/>
    <x v="21"/>
    <x v="21"/>
    <x v="0"/>
    <n v="886"/>
    <n v="127.07282238008665"/>
    <n v="626.49829401344982"/>
    <n v="7546241.9300000016"/>
    <n v="164"/>
    <n v="1657337.6900000004"/>
  </r>
  <r>
    <x v="0"/>
    <x v="2"/>
    <x v="2"/>
    <x v="0"/>
    <x v="22"/>
    <x v="22"/>
    <x v="0"/>
    <n v="1910"/>
    <n v="353.10783349861208"/>
    <n v="1841.3677755264066"/>
    <n v="28484850.030000005"/>
    <n v="414"/>
    <n v="5430492.2400000039"/>
  </r>
  <r>
    <x v="0"/>
    <x v="2"/>
    <x v="2"/>
    <x v="0"/>
    <x v="23"/>
    <x v="23"/>
    <x v="0"/>
    <n v="147"/>
    <n v="28.407119637868504"/>
    <n v="115.41278552872771"/>
    <n v="1549176.2500000009"/>
    <n v="37"/>
    <n v="340250.43999999994"/>
  </r>
  <r>
    <x v="0"/>
    <x v="2"/>
    <x v="2"/>
    <x v="0"/>
    <x v="24"/>
    <x v="24"/>
    <x v="0"/>
    <n v="573"/>
    <n v="126.0814413927247"/>
    <n v="443.47038834667825"/>
    <n v="6748190.8400000036"/>
    <n v="161"/>
    <n v="1864690.7699999996"/>
  </r>
  <r>
    <x v="0"/>
    <x v="2"/>
    <x v="2"/>
    <x v="0"/>
    <x v="25"/>
    <x v="25"/>
    <x v="0"/>
    <n v="1039"/>
    <n v="167.48010886497812"/>
    <n v="870.34350290493308"/>
    <n v="12470627.74"/>
    <n v="205"/>
    <n v="2473531.9299999992"/>
  </r>
  <r>
    <x v="0"/>
    <x v="2"/>
    <x v="2"/>
    <x v="0"/>
    <x v="26"/>
    <x v="26"/>
    <x v="0"/>
    <n v="764"/>
    <n v="149.41778709523498"/>
    <n v="629.12800797993054"/>
    <n v="10312828.150000012"/>
    <n v="186"/>
    <n v="2553446.38"/>
  </r>
  <r>
    <x v="0"/>
    <x v="2"/>
    <x v="2"/>
    <x v="0"/>
    <x v="27"/>
    <x v="27"/>
    <x v="0"/>
    <n v="712"/>
    <n v="131.53534132319894"/>
    <n v="608.75863323959584"/>
    <n v="6901500.9200000064"/>
    <n v="146"/>
    <n v="1458841.8399999999"/>
  </r>
  <r>
    <x v="0"/>
    <x v="2"/>
    <x v="2"/>
    <x v="0"/>
    <x v="28"/>
    <x v="28"/>
    <x v="0"/>
    <n v="814"/>
    <n v="122.2907284410484"/>
    <n v="675.05805639441576"/>
    <n v="8042745.9200000083"/>
    <n v="157"/>
    <n v="1564016.47"/>
  </r>
  <r>
    <x v="0"/>
    <x v="2"/>
    <x v="2"/>
    <x v="0"/>
    <x v="29"/>
    <x v="29"/>
    <x v="0"/>
    <n v="470"/>
    <n v="123.82176142153094"/>
    <n v="480.96069386875422"/>
    <n v="10402822.470000008"/>
    <n v="145"/>
    <n v="2702196.7600000002"/>
  </r>
  <r>
    <x v="0"/>
    <x v="2"/>
    <x v="2"/>
    <x v="0"/>
    <x v="30"/>
    <x v="30"/>
    <x v="0"/>
    <n v="565"/>
    <n v="69.355017115868208"/>
    <n v="407.83332980097583"/>
    <n v="5864324.3599999947"/>
    <n v="93"/>
    <n v="1042811.95"/>
  </r>
  <r>
    <x v="0"/>
    <x v="2"/>
    <x v="2"/>
    <x v="0"/>
    <x v="31"/>
    <x v="31"/>
    <x v="0"/>
    <n v="885"/>
    <n v="214.72379326271954"/>
    <n v="777.45529308906646"/>
    <n v="11027968.689999996"/>
    <n v="273"/>
    <n v="3370354.9699999983"/>
  </r>
  <r>
    <x v="0"/>
    <x v="2"/>
    <x v="2"/>
    <x v="0"/>
    <x v="32"/>
    <x v="32"/>
    <x v="0"/>
    <n v="1763"/>
    <n v="352.73894750331488"/>
    <n v="1663.7298407909141"/>
    <n v="20794615.360000007"/>
    <n v="389"/>
    <n v="4473522.8499999987"/>
  </r>
  <r>
    <x v="0"/>
    <x v="2"/>
    <x v="2"/>
    <x v="0"/>
    <x v="33"/>
    <x v="33"/>
    <x v="0"/>
    <n v="1881"/>
    <n v="217.87713622252116"/>
    <n v="1460.6475253797994"/>
    <n v="19525389.659999929"/>
    <n v="249"/>
    <n v="3274111.6499999985"/>
  </r>
  <r>
    <x v="0"/>
    <x v="2"/>
    <x v="2"/>
    <x v="0"/>
    <x v="34"/>
    <x v="34"/>
    <x v="0"/>
    <n v="19"/>
    <n v="4.5785649416328509"/>
    <n v="11.870153848680305"/>
    <n v="218007.94000000003"/>
    <n v="7"/>
    <n v="107912.06999999999"/>
  </r>
  <r>
    <x v="0"/>
    <x v="2"/>
    <x v="2"/>
    <x v="0"/>
    <x v="35"/>
    <x v="35"/>
    <x v="0"/>
    <n v="1853"/>
    <n v="272.18398853022228"/>
    <n v="1467.0418542982898"/>
    <n v="17971886.180000015"/>
    <n v="305"/>
    <n v="3301080.5299999979"/>
  </r>
  <r>
    <x v="0"/>
    <x v="2"/>
    <x v="2"/>
    <x v="0"/>
    <x v="36"/>
    <x v="36"/>
    <x v="0"/>
    <n v="1395"/>
    <n v="245.01431587657876"/>
    <n v="1199.4501317095151"/>
    <n v="13508430.419999968"/>
    <n v="273"/>
    <n v="2459967.7999999984"/>
  </r>
  <r>
    <x v="0"/>
    <x v="2"/>
    <x v="2"/>
    <x v="0"/>
    <x v="37"/>
    <x v="37"/>
    <x v="0"/>
    <n v="1006"/>
    <n v="255.21855574649629"/>
    <n v="984.93119944418117"/>
    <n v="12491499.090000026"/>
    <n v="303"/>
    <n v="3397626.1199999978"/>
  </r>
  <r>
    <x v="0"/>
    <x v="2"/>
    <x v="2"/>
    <x v="0"/>
    <x v="38"/>
    <x v="38"/>
    <x v="0"/>
    <n v="439"/>
    <n v="78.843110994914881"/>
    <n v="406.34728681991953"/>
    <n v="5164404.3399999989"/>
    <n v="98"/>
    <n v="810275.51000000013"/>
  </r>
  <r>
    <x v="0"/>
    <x v="2"/>
    <x v="2"/>
    <x v="0"/>
    <x v="39"/>
    <x v="39"/>
    <x v="0"/>
    <n v="948"/>
    <n v="250.11987381149385"/>
    <n v="1017.3264180312113"/>
    <n v="14093539.140000008"/>
    <n v="290"/>
    <n v="3295404.6000000038"/>
  </r>
  <r>
    <x v="0"/>
    <x v="2"/>
    <x v="2"/>
    <x v="0"/>
    <x v="40"/>
    <x v="40"/>
    <x v="0"/>
    <n v="1906"/>
    <n v="208.14984434652388"/>
    <n v="1613.4736484315811"/>
    <n v="21000539.179999925"/>
    <n v="211"/>
    <n v="2751946.6800000011"/>
  </r>
  <r>
    <x v="0"/>
    <x v="2"/>
    <x v="2"/>
    <x v="0"/>
    <x v="41"/>
    <x v="41"/>
    <x v="0"/>
    <n v="235"/>
    <n v="0"/>
    <n v="445.48289832102256"/>
    <n v="6471162.5100000035"/>
    <n v="0"/>
    <n v="0"/>
  </r>
  <r>
    <x v="0"/>
    <x v="2"/>
    <x v="2"/>
    <x v="0"/>
    <x v="42"/>
    <x v="42"/>
    <x v="0"/>
    <n v="249"/>
    <n v="56.935672274188988"/>
    <n v="195.08048951313077"/>
    <n v="1851365.7399999998"/>
    <n v="77"/>
    <n v="619264.30000000005"/>
  </r>
  <r>
    <x v="0"/>
    <x v="2"/>
    <x v="2"/>
    <x v="0"/>
    <x v="43"/>
    <x v="43"/>
    <x v="0"/>
    <n v="302"/>
    <n v="65.331006167165995"/>
    <n v="283.03900539184338"/>
    <n v="3283214.0099999984"/>
    <n v="76"/>
    <n v="663739.76000000013"/>
  </r>
  <r>
    <x v="0"/>
    <x v="2"/>
    <x v="2"/>
    <x v="0"/>
    <x v="44"/>
    <x v="44"/>
    <x v="0"/>
    <n v="1262"/>
    <n v="240.59361393293355"/>
    <n v="1015.1904310584355"/>
    <n v="15159783.329999993"/>
    <n v="279"/>
    <n v="3382247.7700000023"/>
  </r>
  <r>
    <x v="0"/>
    <x v="2"/>
    <x v="2"/>
    <x v="0"/>
    <x v="45"/>
    <x v="45"/>
    <x v="0"/>
    <n v="1525"/>
    <n v="223.97421514479629"/>
    <n v="1599.8080296057879"/>
    <n v="21312080.169999972"/>
    <n v="223"/>
    <n v="3136376.2400000007"/>
  </r>
  <r>
    <x v="0"/>
    <x v="2"/>
    <x v="2"/>
    <x v="0"/>
    <x v="46"/>
    <x v="46"/>
    <x v="0"/>
    <n v="99"/>
    <n v="8.3815958931521415"/>
    <n v="112.88010956101412"/>
    <n v="3928941.9499999993"/>
    <n v="9"/>
    <n v="311480.10000000003"/>
  </r>
  <r>
    <x v="0"/>
    <x v="2"/>
    <x v="2"/>
    <x v="0"/>
    <x v="47"/>
    <x v="47"/>
    <x v="0"/>
    <n v="527"/>
    <n v="78.864656994640129"/>
    <n v="420.75125363629917"/>
    <n v="4759686.7999999942"/>
    <n v="94"/>
    <n v="858810.3899999999"/>
  </r>
  <r>
    <x v="0"/>
    <x v="2"/>
    <x v="2"/>
    <x v="2"/>
    <x v="0"/>
    <x v="0"/>
    <x v="0"/>
    <n v="1675"/>
    <n v="269.20908856814617"/>
    <n v="1480.6091791253268"/>
    <n v="17913557.40000008"/>
    <n v="301"/>
    <n v="3101980.5499999984"/>
  </r>
  <r>
    <x v="0"/>
    <x v="2"/>
    <x v="2"/>
    <x v="2"/>
    <x v="1"/>
    <x v="1"/>
    <x v="0"/>
    <n v="2526"/>
    <n v="416.0622456960748"/>
    <n v="4577.6675326442892"/>
    <n v="88393293.879999831"/>
    <n v="352"/>
    <n v="8670814.9599999953"/>
  </r>
  <r>
    <x v="0"/>
    <x v="2"/>
    <x v="2"/>
    <x v="2"/>
    <x v="2"/>
    <x v="2"/>
    <x v="0"/>
    <n v="1043"/>
    <n v="171.55933681297643"/>
    <n v="1087.9623701307482"/>
    <n v="18858055.150000006"/>
    <n v="193"/>
    <n v="2911565.7299999991"/>
  </r>
  <r>
    <x v="0"/>
    <x v="2"/>
    <x v="2"/>
    <x v="2"/>
    <x v="3"/>
    <x v="3"/>
    <x v="0"/>
    <n v="3045"/>
    <n v="291.70595428135806"/>
    <n v="2380.1570916579176"/>
    <n v="28044549.599999953"/>
    <n v="310"/>
    <n v="4196959.120000002"/>
  </r>
  <r>
    <x v="0"/>
    <x v="2"/>
    <x v="2"/>
    <x v="2"/>
    <x v="4"/>
    <x v="4"/>
    <x v="0"/>
    <n v="1691"/>
    <n v="278.68581544733746"/>
    <n v="1512.754721715537"/>
    <n v="20056263.959999941"/>
    <n v="292"/>
    <n v="3858666.9700000011"/>
  </r>
  <r>
    <x v="0"/>
    <x v="2"/>
    <x v="2"/>
    <x v="2"/>
    <x v="5"/>
    <x v="5"/>
    <x v="0"/>
    <n v="503"/>
    <n v="96.240958773128654"/>
    <n v="388.17129205162541"/>
    <n v="5063153.8199999956"/>
    <n v="131"/>
    <n v="1254866.0500000005"/>
  </r>
  <r>
    <x v="0"/>
    <x v="2"/>
    <x v="2"/>
    <x v="2"/>
    <x v="6"/>
    <x v="6"/>
    <x v="0"/>
    <n v="1418"/>
    <n v="136.45210126052044"/>
    <n v="1521.838041599741"/>
    <n v="21715759.340000041"/>
    <n v="164"/>
    <n v="1964788.6400000006"/>
  </r>
  <r>
    <x v="0"/>
    <x v="2"/>
    <x v="2"/>
    <x v="2"/>
    <x v="7"/>
    <x v="7"/>
    <x v="0"/>
    <n v="4078"/>
    <n v="798.82222581668259"/>
    <n v="5619.7239593602226"/>
    <n v="94147032.999999955"/>
    <n v="680"/>
    <n v="13822446.050000014"/>
  </r>
  <r>
    <x v="0"/>
    <x v="2"/>
    <x v="2"/>
    <x v="2"/>
    <x v="8"/>
    <x v="8"/>
    <x v="0"/>
    <n v="233"/>
    <n v="59.548831240876638"/>
    <n v="176.06160775558178"/>
    <n v="2480447.1800000011"/>
    <n v="68"/>
    <n v="870330.38"/>
  </r>
  <r>
    <x v="0"/>
    <x v="2"/>
    <x v="2"/>
    <x v="2"/>
    <x v="9"/>
    <x v="9"/>
    <x v="0"/>
    <n v="1722"/>
    <n v="351.68232751678431"/>
    <n v="1589.0893457424254"/>
    <n v="21517130.529999986"/>
    <n v="402"/>
    <n v="4610637.0999999987"/>
  </r>
  <r>
    <x v="0"/>
    <x v="2"/>
    <x v="2"/>
    <x v="2"/>
    <x v="10"/>
    <x v="10"/>
    <x v="0"/>
    <n v="1824"/>
    <n v="363.50180436611032"/>
    <n v="2144.0549286677779"/>
    <n v="34594669.930000067"/>
    <n v="331"/>
    <n v="6258280.5599999996"/>
  </r>
  <r>
    <x v="1"/>
    <x v="3"/>
    <x v="3"/>
    <x v="3"/>
    <x v="11"/>
    <x v="11"/>
    <x v="0"/>
    <n v="549"/>
    <n v="165.38432799999995"/>
    <n v="449.12851399999943"/>
    <n v="7353440.2600000054"/>
    <n v="198"/>
    <n v="2643023.5899999994"/>
  </r>
  <r>
    <x v="0"/>
    <x v="2"/>
    <x v="2"/>
    <x v="2"/>
    <x v="12"/>
    <x v="12"/>
    <x v="0"/>
    <n v="2425"/>
    <n v="465.93845606025667"/>
    <n v="2097.707120258613"/>
    <n v="28825317.789999951"/>
    <n v="540"/>
    <n v="6653597.8599999994"/>
  </r>
  <r>
    <x v="0"/>
    <x v="2"/>
    <x v="2"/>
    <x v="2"/>
    <x v="13"/>
    <x v="13"/>
    <x v="0"/>
    <n v="1112"/>
    <n v="182.89657766845019"/>
    <n v="981.852401483427"/>
    <n v="13184518.369999979"/>
    <n v="181"/>
    <n v="2370001.5099999988"/>
  </r>
  <r>
    <x v="0"/>
    <x v="2"/>
    <x v="2"/>
    <x v="2"/>
    <x v="14"/>
    <x v="14"/>
    <x v="0"/>
    <n v="226"/>
    <n v="31.11269060337812"/>
    <n v="189.23841458760518"/>
    <n v="2012436.4500000002"/>
    <n v="35"/>
    <n v="309186.75999999995"/>
  </r>
  <r>
    <x v="0"/>
    <x v="2"/>
    <x v="2"/>
    <x v="2"/>
    <x v="15"/>
    <x v="15"/>
    <x v="0"/>
    <n v="746"/>
    <n v="156.89371999993247"/>
    <n v="639.02885085371349"/>
    <n v="7406352.8999999994"/>
    <n v="180"/>
    <n v="1792472.4000000013"/>
  </r>
  <r>
    <x v="0"/>
    <x v="2"/>
    <x v="2"/>
    <x v="2"/>
    <x v="16"/>
    <x v="16"/>
    <x v="0"/>
    <n v="1604"/>
    <n v="292.92666126579638"/>
    <n v="1525.4114955541922"/>
    <n v="18124477.769999936"/>
    <n v="302"/>
    <n v="3286446.649999998"/>
  </r>
  <r>
    <x v="0"/>
    <x v="2"/>
    <x v="2"/>
    <x v="2"/>
    <x v="17"/>
    <x v="17"/>
    <x v="0"/>
    <n v="1280"/>
    <n v="217.35901022912617"/>
    <n v="1446.1371385647672"/>
    <n v="15927570.549999991"/>
    <n v="253"/>
    <n v="2284891.7700000005"/>
  </r>
  <r>
    <x v="0"/>
    <x v="2"/>
    <x v="2"/>
    <x v="2"/>
    <x v="18"/>
    <x v="18"/>
    <x v="0"/>
    <n v="2617"/>
    <n v="336.63544870860045"/>
    <n v="2324.6713473652449"/>
    <n v="23671206.969999954"/>
    <n v="356"/>
    <n v="3300894.7699999986"/>
  </r>
  <r>
    <x v="0"/>
    <x v="2"/>
    <x v="2"/>
    <x v="2"/>
    <x v="19"/>
    <x v="19"/>
    <x v="0"/>
    <n v="1072"/>
    <n v="242.03551491455229"/>
    <n v="1313.9235982502155"/>
    <n v="21661710.830000017"/>
    <n v="252"/>
    <n v="4631224.8200000012"/>
  </r>
  <r>
    <x v="0"/>
    <x v="2"/>
    <x v="2"/>
    <x v="2"/>
    <x v="20"/>
    <x v="20"/>
    <x v="0"/>
    <n v="1092"/>
    <n v="210.75171331335562"/>
    <n v="1081.1128892180682"/>
    <n v="15602848.590000004"/>
    <n v="218"/>
    <n v="2801319.6300000008"/>
  </r>
  <r>
    <x v="0"/>
    <x v="2"/>
    <x v="2"/>
    <x v="2"/>
    <x v="21"/>
    <x v="21"/>
    <x v="0"/>
    <n v="870"/>
    <n v="117.36490350384236"/>
    <n v="616.26865114385862"/>
    <n v="7323558.450000002"/>
    <n v="164"/>
    <n v="1385543.7600000005"/>
  </r>
  <r>
    <x v="0"/>
    <x v="2"/>
    <x v="2"/>
    <x v="2"/>
    <x v="22"/>
    <x v="22"/>
    <x v="0"/>
    <n v="1850"/>
    <n v="390.2724470248408"/>
    <n v="1937.8366982966265"/>
    <n v="30185474.789999973"/>
    <n v="444"/>
    <n v="5604305.6200000029"/>
  </r>
  <r>
    <x v="0"/>
    <x v="2"/>
    <x v="2"/>
    <x v="2"/>
    <x v="23"/>
    <x v="23"/>
    <x v="0"/>
    <n v="155"/>
    <n v="28.346134638645921"/>
    <n v="118.80066448553943"/>
    <n v="1875526.5299999996"/>
    <n v="46"/>
    <n v="430029.59999999992"/>
  </r>
  <r>
    <x v="0"/>
    <x v="2"/>
    <x v="2"/>
    <x v="2"/>
    <x v="24"/>
    <x v="24"/>
    <x v="0"/>
    <n v="527"/>
    <n v="107.50681362951249"/>
    <n v="451.29824124688929"/>
    <n v="6350471.5299999956"/>
    <n v="118"/>
    <n v="1434722.4999999998"/>
  </r>
  <r>
    <x v="0"/>
    <x v="2"/>
    <x v="2"/>
    <x v="2"/>
    <x v="25"/>
    <x v="25"/>
    <x v="0"/>
    <n v="1011"/>
    <n v="185.59214763408744"/>
    <n v="827.24149745439377"/>
    <n v="12064036.669999994"/>
    <n v="220"/>
    <n v="2752091.54"/>
  </r>
  <r>
    <x v="0"/>
    <x v="2"/>
    <x v="2"/>
    <x v="2"/>
    <x v="26"/>
    <x v="26"/>
    <x v="0"/>
    <n v="720"/>
    <n v="118.32528949159941"/>
    <n v="617.7799571245929"/>
    <n v="9323503.5800000168"/>
    <n v="149"/>
    <n v="1847512.2400000002"/>
  </r>
  <r>
    <x v="0"/>
    <x v="2"/>
    <x v="2"/>
    <x v="2"/>
    <x v="27"/>
    <x v="27"/>
    <x v="0"/>
    <n v="679"/>
    <n v="133.90897429293994"/>
    <n v="547.03033402650306"/>
    <n v="6295266.4799999995"/>
    <n v="151"/>
    <n v="1503639.6"/>
  </r>
  <r>
    <x v="0"/>
    <x v="2"/>
    <x v="2"/>
    <x v="2"/>
    <x v="28"/>
    <x v="28"/>
    <x v="0"/>
    <n v="832"/>
    <n v="122.8366084340896"/>
    <n v="717.51734885314784"/>
    <n v="9192159.4099999852"/>
    <n v="164"/>
    <n v="1597966.4400000002"/>
  </r>
  <r>
    <x v="0"/>
    <x v="2"/>
    <x v="2"/>
    <x v="2"/>
    <x v="29"/>
    <x v="29"/>
    <x v="0"/>
    <n v="437"/>
    <n v="124.46188941337054"/>
    <n v="470.78063399852925"/>
    <n v="9949297.5000000075"/>
    <n v="138"/>
    <n v="2512251.7700000005"/>
  </r>
  <r>
    <x v="0"/>
    <x v="2"/>
    <x v="2"/>
    <x v="2"/>
    <x v="30"/>
    <x v="30"/>
    <x v="0"/>
    <n v="584"/>
    <n v="93.091966813271696"/>
    <n v="426.32528856524266"/>
    <n v="5830219.6100000003"/>
    <n v="114"/>
    <n v="1148634.8199999998"/>
  </r>
  <r>
    <x v="0"/>
    <x v="2"/>
    <x v="2"/>
    <x v="2"/>
    <x v="31"/>
    <x v="31"/>
    <x v="0"/>
    <n v="865"/>
    <n v="227.07168810531002"/>
    <n v="748.43025445907472"/>
    <n v="10454157.220000004"/>
    <n v="279"/>
    <n v="3114336.09"/>
  </r>
  <r>
    <x v="0"/>
    <x v="2"/>
    <x v="2"/>
    <x v="2"/>
    <x v="32"/>
    <x v="32"/>
    <x v="0"/>
    <n v="1676"/>
    <n v="363.29784236871103"/>
    <n v="1618.1873243714917"/>
    <n v="20116441.869999986"/>
    <n v="381"/>
    <n v="4391147.2799999984"/>
  </r>
  <r>
    <x v="0"/>
    <x v="2"/>
    <x v="2"/>
    <x v="2"/>
    <x v="33"/>
    <x v="33"/>
    <x v="0"/>
    <n v="1805"/>
    <n v="202.32242742081132"/>
    <n v="1398.9640281661357"/>
    <n v="19451891.769999951"/>
    <n v="249"/>
    <n v="3378371.1"/>
  </r>
  <r>
    <x v="0"/>
    <x v="2"/>
    <x v="2"/>
    <x v="2"/>
    <x v="34"/>
    <x v="34"/>
    <x v="0"/>
    <n v="21"/>
    <n v="7.6632239023098849"/>
    <n v="14.407008816340699"/>
    <n v="202867.22000000003"/>
    <n v="12"/>
    <n v="107388.06"/>
  </r>
  <r>
    <x v="0"/>
    <x v="2"/>
    <x v="2"/>
    <x v="2"/>
    <x v="35"/>
    <x v="35"/>
    <x v="0"/>
    <n v="1765"/>
    <n v="267.55908758917991"/>
    <n v="1332.4323630142776"/>
    <n v="15369876.939999986"/>
    <n v="312"/>
    <n v="3224732.4"/>
  </r>
  <r>
    <x v="0"/>
    <x v="2"/>
    <x v="2"/>
    <x v="2"/>
    <x v="36"/>
    <x v="36"/>
    <x v="0"/>
    <n v="1396"/>
    <n v="251.51125479375625"/>
    <n v="1166.3458301315288"/>
    <n v="13654863.140000008"/>
    <n v="319"/>
    <n v="2814836.9999999986"/>
  </r>
  <r>
    <x v="0"/>
    <x v="2"/>
    <x v="2"/>
    <x v="2"/>
    <x v="37"/>
    <x v="37"/>
    <x v="0"/>
    <n v="883"/>
    <n v="229.92293106896258"/>
    <n v="903.11375148718264"/>
    <n v="10636858.610000014"/>
    <n v="244"/>
    <n v="2779352.8000000012"/>
  </r>
  <r>
    <x v="0"/>
    <x v="2"/>
    <x v="2"/>
    <x v="2"/>
    <x v="38"/>
    <x v="38"/>
    <x v="0"/>
    <n v="339"/>
    <n v="98.408768745493518"/>
    <n v="332.57637776034505"/>
    <n v="4596696.2099999981"/>
    <n v="93"/>
    <n v="1213444.9200000004"/>
  </r>
  <r>
    <x v="0"/>
    <x v="2"/>
    <x v="2"/>
    <x v="2"/>
    <x v="39"/>
    <x v="39"/>
    <x v="0"/>
    <n v="898"/>
    <n v="239.65403094491145"/>
    <n v="943.67697197008692"/>
    <n v="13084331.399999976"/>
    <n v="277"/>
    <n v="3512624.5600000033"/>
  </r>
  <r>
    <x v="0"/>
    <x v="2"/>
    <x v="2"/>
    <x v="2"/>
    <x v="40"/>
    <x v="40"/>
    <x v="0"/>
    <n v="1923"/>
    <n v="223.00153615719591"/>
    <n v="1581.4775668394686"/>
    <n v="19787320.309999995"/>
    <n v="226"/>
    <n v="3039608.2000000011"/>
  </r>
  <r>
    <x v="0"/>
    <x v="2"/>
    <x v="2"/>
    <x v="2"/>
    <x v="41"/>
    <x v="41"/>
    <x v="0"/>
    <n v="232"/>
    <n v="2.2303229715680359"/>
    <n v="425.51661557555076"/>
    <n v="6195994.4100000011"/>
    <n v="2"/>
    <n v="62235.55"/>
  </r>
  <r>
    <x v="0"/>
    <x v="2"/>
    <x v="2"/>
    <x v="2"/>
    <x v="42"/>
    <x v="42"/>
    <x v="0"/>
    <n v="224"/>
    <n v="39.518753496218359"/>
    <n v="172.70520579836898"/>
    <n v="1533130.5799999996"/>
    <n v="54"/>
    <n v="366049.69"/>
  </r>
  <r>
    <x v="0"/>
    <x v="2"/>
    <x v="2"/>
    <x v="2"/>
    <x v="43"/>
    <x v="43"/>
    <x v="0"/>
    <n v="243"/>
    <n v="52.888900325776888"/>
    <n v="255.93027373742299"/>
    <n v="2577913.5000000019"/>
    <n v="58"/>
    <n v="481460.79999999981"/>
  </r>
  <r>
    <x v="0"/>
    <x v="2"/>
    <x v="2"/>
    <x v="2"/>
    <x v="44"/>
    <x v="44"/>
    <x v="0"/>
    <n v="1211"/>
    <n v="241.42158592237868"/>
    <n v="943.42957497323903"/>
    <n v="14091920.050000016"/>
    <n v="297"/>
    <n v="3476873.3899999997"/>
  </r>
  <r>
    <x v="0"/>
    <x v="2"/>
    <x v="2"/>
    <x v="2"/>
    <x v="45"/>
    <x v="45"/>
    <x v="0"/>
    <n v="1540"/>
    <n v="202.74498441542468"/>
    <n v="1652.3578059358904"/>
    <n v="21571157.64999998"/>
    <n v="234"/>
    <n v="2831379.39"/>
  </r>
  <r>
    <x v="0"/>
    <x v="2"/>
    <x v="2"/>
    <x v="2"/>
    <x v="46"/>
    <x v="46"/>
    <x v="0"/>
    <n v="95"/>
    <n v="6.7369459141179959"/>
    <n v="117.09893250723293"/>
    <n v="4389992.9800000004"/>
    <n v="7"/>
    <n v="190814.59999999998"/>
  </r>
  <r>
    <x v="0"/>
    <x v="2"/>
    <x v="2"/>
    <x v="2"/>
    <x v="47"/>
    <x v="47"/>
    <x v="0"/>
    <n v="514"/>
    <n v="105.45416365567939"/>
    <n v="420.4950946395648"/>
    <n v="5334898.4800000004"/>
    <n v="114"/>
    <n v="1406563.9399999997"/>
  </r>
  <r>
    <x v="0"/>
    <x v="2"/>
    <x v="2"/>
    <x v="4"/>
    <x v="0"/>
    <x v="0"/>
    <x v="0"/>
    <n v="1690"/>
    <n v="294.88723724080324"/>
    <n v="1554.6907241809442"/>
    <n v="18580659.959999979"/>
    <n v="308"/>
    <n v="3454065.5499999993"/>
  </r>
  <r>
    <x v="0"/>
    <x v="2"/>
    <x v="2"/>
    <x v="4"/>
    <x v="1"/>
    <x v="1"/>
    <x v="0"/>
    <n v="2592"/>
    <n v="532.96534320580383"/>
    <n v="4572.6528497082099"/>
    <n v="84443521.659999818"/>
    <n v="392"/>
    <n v="9965539.0000000075"/>
  </r>
  <r>
    <x v="0"/>
    <x v="2"/>
    <x v="2"/>
    <x v="4"/>
    <x v="2"/>
    <x v="2"/>
    <x v="0"/>
    <n v="1199"/>
    <n v="190.55544757081569"/>
    <n v="1168.0383541099466"/>
    <n v="20380053.779999994"/>
    <n v="206"/>
    <n v="3158407.830000001"/>
  </r>
  <r>
    <x v="0"/>
    <x v="2"/>
    <x v="2"/>
    <x v="4"/>
    <x v="3"/>
    <x v="3"/>
    <x v="0"/>
    <n v="3219"/>
    <n v="291.41788228503015"/>
    <n v="2502.4497580989246"/>
    <n v="30025620.350000121"/>
    <n v="317"/>
    <n v="3460115.3799999985"/>
  </r>
  <r>
    <x v="0"/>
    <x v="2"/>
    <x v="2"/>
    <x v="4"/>
    <x v="4"/>
    <x v="4"/>
    <x v="0"/>
    <n v="1774"/>
    <n v="276.89597747015432"/>
    <n v="1543.9513733178471"/>
    <n v="19553936.479999945"/>
    <n v="323"/>
    <n v="3557075.1399999997"/>
  </r>
  <r>
    <x v="0"/>
    <x v="2"/>
    <x v="2"/>
    <x v="4"/>
    <x v="5"/>
    <x v="5"/>
    <x v="0"/>
    <n v="580"/>
    <n v="129.64504834729618"/>
    <n v="441.22860337525589"/>
    <n v="5119762.259999997"/>
    <n v="166"/>
    <n v="1591315.7100000002"/>
  </r>
  <r>
    <x v="0"/>
    <x v="2"/>
    <x v="2"/>
    <x v="4"/>
    <x v="6"/>
    <x v="6"/>
    <x v="0"/>
    <n v="1456"/>
    <n v="156.18678600894435"/>
    <n v="1549.213761250759"/>
    <n v="19167811.359999988"/>
    <n v="177"/>
    <n v="1938977.1300000004"/>
  </r>
  <r>
    <x v="0"/>
    <x v="2"/>
    <x v="2"/>
    <x v="4"/>
    <x v="7"/>
    <x v="7"/>
    <x v="0"/>
    <n v="4243"/>
    <n v="792.08154890261301"/>
    <n v="6058.914323761479"/>
    <n v="109672915.31000026"/>
    <n v="722"/>
    <n v="16347445.62999999"/>
  </r>
  <r>
    <x v="0"/>
    <x v="2"/>
    <x v="2"/>
    <x v="4"/>
    <x v="8"/>
    <x v="8"/>
    <x v="0"/>
    <n v="241"/>
    <n v="50.065628361767722"/>
    <n v="156.18709300894034"/>
    <n v="2138857.3199999989"/>
    <n v="75"/>
    <n v="746751.7100000002"/>
  </r>
  <r>
    <x v="0"/>
    <x v="2"/>
    <x v="2"/>
    <x v="4"/>
    <x v="9"/>
    <x v="9"/>
    <x v="0"/>
    <n v="1738"/>
    <n v="385.96046607980952"/>
    <n v="1647.0830230031299"/>
    <n v="23549142.550000008"/>
    <n v="402"/>
    <n v="5587236.3699999973"/>
  </r>
  <r>
    <x v="0"/>
    <x v="2"/>
    <x v="2"/>
    <x v="4"/>
    <x v="10"/>
    <x v="10"/>
    <x v="0"/>
    <n v="1996"/>
    <n v="326.10630784282523"/>
    <n v="2271.3402560451532"/>
    <n v="37640720.780000024"/>
    <n v="346"/>
    <n v="5881601.5799999982"/>
  </r>
  <r>
    <x v="1"/>
    <x v="3"/>
    <x v="3"/>
    <x v="5"/>
    <x v="11"/>
    <x v="11"/>
    <x v="0"/>
    <n v="542"/>
    <n v="165.56619400000005"/>
    <n v="462.7603330000004"/>
    <n v="7665429.25"/>
    <n v="201"/>
    <n v="2813513.51"/>
  </r>
  <r>
    <x v="0"/>
    <x v="2"/>
    <x v="2"/>
    <x v="4"/>
    <x v="12"/>
    <x v="12"/>
    <x v="0"/>
    <n v="2498"/>
    <n v="491.42141473540175"/>
    <n v="2149.8253375942118"/>
    <n v="29009464.260000054"/>
    <n v="551"/>
    <n v="6589468.9300000034"/>
  </r>
  <r>
    <x v="0"/>
    <x v="2"/>
    <x v="2"/>
    <x v="4"/>
    <x v="13"/>
    <x v="13"/>
    <x v="0"/>
    <n v="1165"/>
    <n v="190.17907057561376"/>
    <n v="1068.4883443789993"/>
    <n v="14143836.379999982"/>
    <n v="196"/>
    <n v="2498494.8200000003"/>
  </r>
  <r>
    <x v="0"/>
    <x v="2"/>
    <x v="2"/>
    <x v="4"/>
    <x v="14"/>
    <x v="14"/>
    <x v="0"/>
    <n v="260"/>
    <n v="39.785969492811908"/>
    <n v="199.00155646314545"/>
    <n v="2100705.5500000003"/>
    <n v="56"/>
    <n v="403096.16000000009"/>
  </r>
  <r>
    <x v="0"/>
    <x v="2"/>
    <x v="2"/>
    <x v="4"/>
    <x v="15"/>
    <x v="15"/>
    <x v="0"/>
    <n v="862"/>
    <n v="144.49852015794539"/>
    <n v="708.0475099738693"/>
    <n v="7427911.9999999925"/>
    <n v="178"/>
    <n v="1450906.0899999994"/>
  </r>
  <r>
    <x v="0"/>
    <x v="2"/>
    <x v="2"/>
    <x v="4"/>
    <x v="16"/>
    <x v="16"/>
    <x v="0"/>
    <n v="1833"/>
    <n v="324.99824485695063"/>
    <n v="1759.9373155644716"/>
    <n v="21947495.090000056"/>
    <n v="368"/>
    <n v="4091103.5700000026"/>
  </r>
  <r>
    <x v="0"/>
    <x v="2"/>
    <x v="2"/>
    <x v="4"/>
    <x v="17"/>
    <x v="17"/>
    <x v="0"/>
    <n v="1400"/>
    <n v="273.4898825135748"/>
    <n v="1579.1577528690357"/>
    <n v="17317060.460000016"/>
    <n v="275"/>
    <n v="2771904.7799999989"/>
  </r>
  <r>
    <x v="0"/>
    <x v="2"/>
    <x v="2"/>
    <x v="4"/>
    <x v="18"/>
    <x v="18"/>
    <x v="0"/>
    <n v="2873"/>
    <n v="396.57288094452338"/>
    <n v="2497.9017541569101"/>
    <n v="24878092.209999971"/>
    <n v="430"/>
    <n v="4119513.3399999966"/>
  </r>
  <r>
    <x v="0"/>
    <x v="2"/>
    <x v="2"/>
    <x v="4"/>
    <x v="19"/>
    <x v="19"/>
    <x v="0"/>
    <n v="964"/>
    <n v="195.20417751155401"/>
    <n v="1270.536225803316"/>
    <n v="21673981.649999995"/>
    <n v="213"/>
    <n v="3522207.25"/>
  </r>
  <r>
    <x v="0"/>
    <x v="2"/>
    <x v="2"/>
    <x v="4"/>
    <x v="20"/>
    <x v="20"/>
    <x v="0"/>
    <n v="1130"/>
    <n v="204.93383138752151"/>
    <n v="1143.9041084176106"/>
    <n v="16434340.000000002"/>
    <n v="197"/>
    <n v="2896071.5599999991"/>
  </r>
  <r>
    <x v="0"/>
    <x v="2"/>
    <x v="2"/>
    <x v="4"/>
    <x v="21"/>
    <x v="21"/>
    <x v="0"/>
    <n v="942"/>
    <n v="145.3055441476576"/>
    <n v="695.02124113992625"/>
    <n v="7738095.120000002"/>
    <n v="202"/>
    <n v="1764547.8899999997"/>
  </r>
  <r>
    <x v="0"/>
    <x v="2"/>
    <x v="2"/>
    <x v="4"/>
    <x v="22"/>
    <x v="22"/>
    <x v="0"/>
    <n v="1931"/>
    <n v="391.97877800308885"/>
    <n v="1891.139579891922"/>
    <n v="27990662.569999985"/>
    <n v="453"/>
    <n v="5831532.589999998"/>
  </r>
  <r>
    <x v="0"/>
    <x v="2"/>
    <x v="2"/>
    <x v="4"/>
    <x v="23"/>
    <x v="23"/>
    <x v="0"/>
    <n v="165"/>
    <n v="42.704158455611086"/>
    <n v="125.51670339992393"/>
    <n v="1915272.2899999993"/>
    <n v="57"/>
    <n v="629239.72000000009"/>
  </r>
  <r>
    <x v="0"/>
    <x v="2"/>
    <x v="2"/>
    <x v="4"/>
    <x v="24"/>
    <x v="24"/>
    <x v="0"/>
    <n v="567"/>
    <n v="112.72480056299402"/>
    <n v="440.86737337986074"/>
    <n v="6827656.1000000034"/>
    <n v="128"/>
    <n v="1688769.0300000007"/>
  </r>
  <r>
    <x v="0"/>
    <x v="2"/>
    <x v="2"/>
    <x v="4"/>
    <x v="25"/>
    <x v="25"/>
    <x v="0"/>
    <n v="1064"/>
    <n v="204.78649738939944"/>
    <n v="923.44521222799767"/>
    <n v="12467707.43000002"/>
    <n v="242"/>
    <n v="2834676.0899999989"/>
  </r>
  <r>
    <x v="0"/>
    <x v="2"/>
    <x v="2"/>
    <x v="4"/>
    <x v="26"/>
    <x v="26"/>
    <x v="0"/>
    <n v="912"/>
    <n v="159.62710096508764"/>
    <n v="725.48107175162636"/>
    <n v="11960607.760000007"/>
    <n v="196"/>
    <n v="2837167.9399999981"/>
  </r>
  <r>
    <x v="0"/>
    <x v="2"/>
    <x v="2"/>
    <x v="4"/>
    <x v="27"/>
    <x v="27"/>
    <x v="0"/>
    <n v="792"/>
    <n v="138.15232923884622"/>
    <n v="633.38069892571514"/>
    <n v="7926903.5800000057"/>
    <n v="175"/>
    <n v="1807223.839999998"/>
  </r>
  <r>
    <x v="0"/>
    <x v="2"/>
    <x v="2"/>
    <x v="4"/>
    <x v="28"/>
    <x v="28"/>
    <x v="0"/>
    <n v="787"/>
    <n v="118.77793348582919"/>
    <n v="624.01385104512212"/>
    <n v="8872781.0399999861"/>
    <n v="160"/>
    <n v="1986015.7299999997"/>
  </r>
  <r>
    <x v="0"/>
    <x v="2"/>
    <x v="2"/>
    <x v="4"/>
    <x v="29"/>
    <x v="29"/>
    <x v="0"/>
    <n v="479"/>
    <n v="121.63088744946002"/>
    <n v="463.42682609227558"/>
    <n v="8975825.400000006"/>
    <n v="139"/>
    <n v="2252859.0600000005"/>
  </r>
  <r>
    <x v="0"/>
    <x v="2"/>
    <x v="2"/>
    <x v="4"/>
    <x v="30"/>
    <x v="30"/>
    <x v="0"/>
    <n v="585"/>
    <n v="96.40957977097905"/>
    <n v="436.47024043591529"/>
    <n v="6135134.8800000045"/>
    <n v="124"/>
    <n v="1307955.6999999993"/>
  </r>
  <r>
    <x v="0"/>
    <x v="2"/>
    <x v="2"/>
    <x v="4"/>
    <x v="31"/>
    <x v="31"/>
    <x v="0"/>
    <n v="913"/>
    <n v="237.9809349662398"/>
    <n v="814.11823462169104"/>
    <n v="11636278.489999989"/>
    <n v="301"/>
    <n v="3712003.8500000006"/>
  </r>
  <r>
    <x v="0"/>
    <x v="2"/>
    <x v="2"/>
    <x v="4"/>
    <x v="32"/>
    <x v="32"/>
    <x v="0"/>
    <n v="1761"/>
    <n v="354.32750748306364"/>
    <n v="1613.516330431032"/>
    <n v="20215900.249999981"/>
    <n v="419"/>
    <n v="4248748.7899999982"/>
  </r>
  <r>
    <x v="0"/>
    <x v="2"/>
    <x v="2"/>
    <x v="4"/>
    <x v="33"/>
    <x v="33"/>
    <x v="0"/>
    <n v="1926"/>
    <n v="198.66344146745556"/>
    <n v="1538.3199133896371"/>
    <n v="21132159.76000002"/>
    <n v="245"/>
    <n v="2956699.8900000029"/>
  </r>
  <r>
    <x v="0"/>
    <x v="2"/>
    <x v="2"/>
    <x v="4"/>
    <x v="34"/>
    <x v="34"/>
    <x v="0"/>
    <n v="26"/>
    <n v="6.2637759201499268"/>
    <n v="16.905360784491926"/>
    <n v="299926.38"/>
    <n v="9"/>
    <n v="101293.89"/>
  </r>
  <r>
    <x v="0"/>
    <x v="2"/>
    <x v="2"/>
    <x v="4"/>
    <x v="35"/>
    <x v="35"/>
    <x v="0"/>
    <n v="1925"/>
    <n v="307.06031608562159"/>
    <n v="1470.8730262494514"/>
    <n v="15744453.719999993"/>
    <n v="368"/>
    <n v="3506822.2599999984"/>
  </r>
  <r>
    <x v="0"/>
    <x v="2"/>
    <x v="2"/>
    <x v="4"/>
    <x v="36"/>
    <x v="36"/>
    <x v="0"/>
    <n v="1454"/>
    <n v="276.27535347806588"/>
    <n v="1263.7976318892213"/>
    <n v="13472083.139999999"/>
    <n v="319"/>
    <n v="2783140.5900000003"/>
  </r>
  <r>
    <x v="0"/>
    <x v="2"/>
    <x v="2"/>
    <x v="4"/>
    <x v="37"/>
    <x v="37"/>
    <x v="0"/>
    <n v="1002"/>
    <n v="234.73207000765612"/>
    <n v="1024.4780009400417"/>
    <n v="12710445.700000005"/>
    <n v="280"/>
    <n v="2897085.2700000014"/>
  </r>
  <r>
    <x v="0"/>
    <x v="2"/>
    <x v="2"/>
    <x v="4"/>
    <x v="38"/>
    <x v="38"/>
    <x v="0"/>
    <n v="397"/>
    <n v="91.844219829177845"/>
    <n v="412.36117274325522"/>
    <n v="5607151.0900000026"/>
    <n v="87"/>
    <n v="1124813.3400000005"/>
  </r>
  <r>
    <x v="0"/>
    <x v="2"/>
    <x v="2"/>
    <x v="4"/>
    <x v="39"/>
    <x v="39"/>
    <x v="0"/>
    <n v="924"/>
    <n v="248.68879182973706"/>
    <n v="977.15494254331247"/>
    <n v="14201398.650000023"/>
    <n v="269"/>
    <n v="3884862.3200000026"/>
  </r>
  <r>
    <x v="0"/>
    <x v="2"/>
    <x v="2"/>
    <x v="4"/>
    <x v="40"/>
    <x v="40"/>
    <x v="0"/>
    <n v="2095"/>
    <n v="228.82933408290339"/>
    <n v="1746.0928287409663"/>
    <n v="21263232.519999959"/>
    <n v="255"/>
    <n v="2757710.2499999991"/>
  </r>
  <r>
    <x v="0"/>
    <x v="2"/>
    <x v="2"/>
    <x v="4"/>
    <x v="41"/>
    <x v="41"/>
    <x v="0"/>
    <n v="249"/>
    <n v="2.8175319640823462"/>
    <n v="451.68133624200533"/>
    <n v="6460657.2899999944"/>
    <n v="2"/>
    <n v="67942.600000000006"/>
  </r>
  <r>
    <x v="0"/>
    <x v="2"/>
    <x v="2"/>
    <x v="4"/>
    <x v="42"/>
    <x v="42"/>
    <x v="0"/>
    <n v="256"/>
    <n v="73.135962067669098"/>
    <n v="191.17447656292444"/>
    <n v="1752619.0300000003"/>
    <n v="101"/>
    <n v="661189.45999999985"/>
  </r>
  <r>
    <x v="0"/>
    <x v="2"/>
    <x v="2"/>
    <x v="4"/>
    <x v="43"/>
    <x v="43"/>
    <x v="0"/>
    <n v="305"/>
    <n v="72.305621078254191"/>
    <n v="318.21624394340694"/>
    <n v="3141629.2999999984"/>
    <n v="80"/>
    <n v="590880.48"/>
  </r>
  <r>
    <x v="0"/>
    <x v="2"/>
    <x v="2"/>
    <x v="4"/>
    <x v="44"/>
    <x v="44"/>
    <x v="0"/>
    <n v="1302"/>
    <n v="239.12982495159406"/>
    <n v="1090.5701530975052"/>
    <n v="17061069.109999999"/>
    <n v="292"/>
    <n v="3418279.17"/>
  </r>
  <r>
    <x v="0"/>
    <x v="2"/>
    <x v="2"/>
    <x v="4"/>
    <x v="45"/>
    <x v="45"/>
    <x v="0"/>
    <n v="1551"/>
    <n v="210.091962321766"/>
    <n v="1602.6967155689658"/>
    <n v="18886353.959999997"/>
    <n v="232"/>
    <n v="2301417.3600000003"/>
  </r>
  <r>
    <x v="0"/>
    <x v="2"/>
    <x v="2"/>
    <x v="4"/>
    <x v="46"/>
    <x v="46"/>
    <x v="0"/>
    <n v="120"/>
    <n v="16.39884679094892"/>
    <n v="145.04592415096704"/>
    <n v="5195977.66"/>
    <n v="14"/>
    <n v="543103.82999999996"/>
  </r>
  <r>
    <x v="0"/>
    <x v="2"/>
    <x v="2"/>
    <x v="4"/>
    <x v="47"/>
    <x v="47"/>
    <x v="0"/>
    <n v="588"/>
    <n v="74.020766056389661"/>
    <n v="449.85968726522725"/>
    <n v="5728010.4699999914"/>
    <n v="104"/>
    <n v="880968.23999999964"/>
  </r>
  <r>
    <x v="0"/>
    <x v="2"/>
    <x v="4"/>
    <x v="6"/>
    <x v="0"/>
    <x v="0"/>
    <x v="0"/>
    <n v="1665"/>
    <n v="313.88624099860562"/>
    <n v="1505.0819228133505"/>
    <n v="17587512.929999981"/>
    <n v="357"/>
    <n v="3619756.9900000007"/>
  </r>
  <r>
    <x v="0"/>
    <x v="2"/>
    <x v="4"/>
    <x v="6"/>
    <x v="1"/>
    <x v="1"/>
    <x v="0"/>
    <n v="2452"/>
    <n v="542.60732108288892"/>
    <n v="4430.2825355231298"/>
    <n v="85902573.500000134"/>
    <n v="393"/>
    <n v="10701297.560000002"/>
  </r>
  <r>
    <x v="0"/>
    <x v="2"/>
    <x v="4"/>
    <x v="6"/>
    <x v="2"/>
    <x v="2"/>
    <x v="0"/>
    <n v="1272"/>
    <n v="213.1598042826574"/>
    <n v="1257.0978999746258"/>
    <n v="21387362.580000013"/>
    <n v="233"/>
    <n v="3322881.1500000008"/>
  </r>
  <r>
    <x v="0"/>
    <x v="2"/>
    <x v="4"/>
    <x v="6"/>
    <x v="3"/>
    <x v="3"/>
    <x v="0"/>
    <n v="3197"/>
    <n v="338.94378967917419"/>
    <n v="2540.5573066131265"/>
    <n v="31292073.530000087"/>
    <n v="359"/>
    <n v="4742531.3100000033"/>
  </r>
  <r>
    <x v="0"/>
    <x v="2"/>
    <x v="4"/>
    <x v="6"/>
    <x v="4"/>
    <x v="4"/>
    <x v="0"/>
    <n v="1755"/>
    <n v="305.04799311127471"/>
    <n v="1612.9300014385158"/>
    <n v="21414524.070000093"/>
    <n v="328"/>
    <n v="4159819.7799999989"/>
  </r>
  <r>
    <x v="0"/>
    <x v="2"/>
    <x v="4"/>
    <x v="6"/>
    <x v="5"/>
    <x v="5"/>
    <x v="0"/>
    <n v="589"/>
    <n v="134.89525528036702"/>
    <n v="438.15342841445829"/>
    <n v="5607212.0000000028"/>
    <n v="172"/>
    <n v="1606633.06"/>
  </r>
  <r>
    <x v="0"/>
    <x v="2"/>
    <x v="4"/>
    <x v="6"/>
    <x v="6"/>
    <x v="6"/>
    <x v="0"/>
    <n v="1501"/>
    <n v="162.5756249275"/>
    <n v="1543.8424343192298"/>
    <n v="19332894.720000021"/>
    <n v="190"/>
    <n v="2393122.919999999"/>
  </r>
  <r>
    <x v="0"/>
    <x v="2"/>
    <x v="4"/>
    <x v="6"/>
    <x v="7"/>
    <x v="7"/>
    <x v="0"/>
    <n v="4116"/>
    <n v="770.42755817865645"/>
    <n v="5572.5342549617999"/>
    <n v="111308616.35000022"/>
    <n v="722"/>
    <n v="16597100.749999993"/>
  </r>
  <r>
    <x v="0"/>
    <x v="2"/>
    <x v="4"/>
    <x v="6"/>
    <x v="8"/>
    <x v="8"/>
    <x v="0"/>
    <n v="278"/>
    <n v="63.732043187549394"/>
    <n v="189.49265958436396"/>
    <n v="2942493.2"/>
    <n v="94"/>
    <n v="1081762.1099999999"/>
  </r>
  <r>
    <x v="0"/>
    <x v="2"/>
    <x v="4"/>
    <x v="6"/>
    <x v="9"/>
    <x v="9"/>
    <x v="0"/>
    <n v="1688"/>
    <n v="383.17970911525873"/>
    <n v="1532.5513894631638"/>
    <n v="22045438.92000002"/>
    <n v="430"/>
    <n v="5908998.9000000022"/>
  </r>
  <r>
    <x v="0"/>
    <x v="2"/>
    <x v="4"/>
    <x v="6"/>
    <x v="10"/>
    <x v="10"/>
    <x v="0"/>
    <n v="1829"/>
    <n v="333.74588474543663"/>
    <n v="2116.7100980163655"/>
    <n v="35775081.969999976"/>
    <n v="339"/>
    <n v="5801513.5000000056"/>
  </r>
  <r>
    <x v="1"/>
    <x v="3"/>
    <x v="3"/>
    <x v="0"/>
    <x v="11"/>
    <x v="11"/>
    <x v="0"/>
    <n v="537"/>
    <n v="181.14107099999981"/>
    <n v="502.23551599999939"/>
    <n v="7832589.1900000004"/>
    <n v="209"/>
    <n v="2784741.08"/>
  </r>
  <r>
    <x v="0"/>
    <x v="2"/>
    <x v="4"/>
    <x v="6"/>
    <x v="12"/>
    <x v="12"/>
    <x v="0"/>
    <n v="2410"/>
    <n v="509.76543650155531"/>
    <n v="2093.0311323182254"/>
    <n v="25324879.600000054"/>
    <n v="581"/>
    <n v="6303458.2199999988"/>
  </r>
  <r>
    <x v="0"/>
    <x v="2"/>
    <x v="4"/>
    <x v="6"/>
    <x v="13"/>
    <x v="13"/>
    <x v="0"/>
    <n v="1199"/>
    <n v="217.37596922890995"/>
    <n v="1057.6735915168645"/>
    <n v="13996269.940000024"/>
    <n v="228"/>
    <n v="3052658.9299999992"/>
  </r>
  <r>
    <x v="0"/>
    <x v="2"/>
    <x v="4"/>
    <x v="6"/>
    <x v="14"/>
    <x v="14"/>
    <x v="0"/>
    <n v="219"/>
    <n v="32.884804580787375"/>
    <n v="172.53444280054583"/>
    <n v="1827028.9000000006"/>
    <n v="41"/>
    <n v="378490.74"/>
  </r>
  <r>
    <x v="0"/>
    <x v="2"/>
    <x v="4"/>
    <x v="6"/>
    <x v="15"/>
    <x v="15"/>
    <x v="0"/>
    <n v="793"/>
    <n v="141.09621320131765"/>
    <n v="632.51017193681355"/>
    <n v="5767126.1599999974"/>
    <n v="178"/>
    <n v="1312536.5400000005"/>
  </r>
  <r>
    <x v="0"/>
    <x v="2"/>
    <x v="4"/>
    <x v="6"/>
    <x v="16"/>
    <x v="16"/>
    <x v="0"/>
    <n v="1844"/>
    <n v="361.21689339523869"/>
    <n v="1796.1069331033871"/>
    <n v="24413384.070000067"/>
    <n v="383"/>
    <n v="4833693.549999998"/>
  </r>
  <r>
    <x v="0"/>
    <x v="2"/>
    <x v="4"/>
    <x v="6"/>
    <x v="17"/>
    <x v="17"/>
    <x v="0"/>
    <n v="1367"/>
    <n v="249.30423682189135"/>
    <n v="1516.0888756730294"/>
    <n v="17784312.550000023"/>
    <n v="280"/>
    <n v="3015653.9800000014"/>
  </r>
  <r>
    <x v="0"/>
    <x v="2"/>
    <x v="4"/>
    <x v="6"/>
    <x v="18"/>
    <x v="18"/>
    <x v="0"/>
    <n v="2875"/>
    <n v="374.39237322727848"/>
    <n v="2504.3922350741782"/>
    <n v="28411285.569999941"/>
    <n v="459"/>
    <n v="4481377.4100000057"/>
  </r>
  <r>
    <x v="0"/>
    <x v="2"/>
    <x v="4"/>
    <x v="6"/>
    <x v="19"/>
    <x v="19"/>
    <x v="0"/>
    <n v="1060"/>
    <n v="230.39444906295185"/>
    <n v="1375.1134504701758"/>
    <n v="21978493.669999991"/>
    <n v="241"/>
    <n v="4170007.6100000003"/>
  </r>
  <r>
    <x v="0"/>
    <x v="2"/>
    <x v="4"/>
    <x v="6"/>
    <x v="20"/>
    <x v="20"/>
    <x v="0"/>
    <n v="1201"/>
    <n v="251.43227479476317"/>
    <n v="1201.2106836870714"/>
    <n v="16745246.070000013"/>
    <n v="254"/>
    <n v="3354374.7900000005"/>
  </r>
  <r>
    <x v="0"/>
    <x v="2"/>
    <x v="4"/>
    <x v="6"/>
    <x v="21"/>
    <x v="21"/>
    <x v="0"/>
    <n v="897"/>
    <n v="150.53709408096614"/>
    <n v="654.36965065815014"/>
    <n v="6677457.3499999959"/>
    <n v="199"/>
    <n v="1509324.44"/>
  </r>
  <r>
    <x v="0"/>
    <x v="2"/>
    <x v="4"/>
    <x v="6"/>
    <x v="22"/>
    <x v="22"/>
    <x v="0"/>
    <n v="1962"/>
    <n v="393.23817498703397"/>
    <n v="1976.8620937991359"/>
    <n v="32532264.930000041"/>
    <n v="450"/>
    <n v="6209154.120000001"/>
  </r>
  <r>
    <x v="0"/>
    <x v="2"/>
    <x v="4"/>
    <x v="6"/>
    <x v="23"/>
    <x v="23"/>
    <x v="0"/>
    <n v="196"/>
    <n v="43.783081441857071"/>
    <n v="174.76413777212179"/>
    <n v="2638067.0799999996"/>
    <n v="57"/>
    <n v="706094.15"/>
  </r>
  <r>
    <x v="0"/>
    <x v="2"/>
    <x v="4"/>
    <x v="6"/>
    <x v="24"/>
    <x v="24"/>
    <x v="0"/>
    <n v="592"/>
    <n v="133.72517029528311"/>
    <n v="471.69076898692725"/>
    <n v="7317667.2500000019"/>
    <n v="168"/>
    <n v="1872767.2099999995"/>
  </r>
  <r>
    <x v="0"/>
    <x v="2"/>
    <x v="4"/>
    <x v="6"/>
    <x v="25"/>
    <x v="25"/>
    <x v="0"/>
    <n v="1090"/>
    <n v="224.88762513315217"/>
    <n v="936.9568090557533"/>
    <n v="12994586.509999992"/>
    <n v="266"/>
    <n v="3310478.6800000006"/>
  </r>
  <r>
    <x v="0"/>
    <x v="2"/>
    <x v="4"/>
    <x v="6"/>
    <x v="26"/>
    <x v="26"/>
    <x v="0"/>
    <n v="910"/>
    <n v="207.20931735851352"/>
    <n v="782.77205302128448"/>
    <n v="12167449.820000008"/>
    <n v="223"/>
    <n v="3815416.620000002"/>
  </r>
  <r>
    <x v="0"/>
    <x v="2"/>
    <x v="4"/>
    <x v="6"/>
    <x v="27"/>
    <x v="27"/>
    <x v="0"/>
    <n v="738"/>
    <n v="150.81410207743494"/>
    <n v="605.89309627612511"/>
    <n v="6798776.710000013"/>
    <n v="195"/>
    <n v="1780548.1100000006"/>
  </r>
  <r>
    <x v="0"/>
    <x v="2"/>
    <x v="4"/>
    <x v="6"/>
    <x v="28"/>
    <x v="28"/>
    <x v="0"/>
    <n v="868"/>
    <n v="142.05147418914007"/>
    <n v="731.04604668068544"/>
    <n v="10251589.670000013"/>
    <n v="172"/>
    <n v="2144822.709999999"/>
  </r>
  <r>
    <x v="0"/>
    <x v="2"/>
    <x v="4"/>
    <x v="6"/>
    <x v="29"/>
    <x v="29"/>
    <x v="0"/>
    <n v="479"/>
    <n v="118.98482748319167"/>
    <n v="450.40364125829302"/>
    <n v="9205731.7100000009"/>
    <n v="139"/>
    <n v="2460368.98"/>
  </r>
  <r>
    <x v="0"/>
    <x v="2"/>
    <x v="4"/>
    <x v="6"/>
    <x v="30"/>
    <x v="30"/>
    <x v="0"/>
    <n v="641"/>
    <n v="129.30374135164709"/>
    <n v="482.96639984318642"/>
    <n v="6747030.5699999938"/>
    <n v="163"/>
    <n v="1749191.1600000004"/>
  </r>
  <r>
    <x v="0"/>
    <x v="2"/>
    <x v="4"/>
    <x v="6"/>
    <x v="31"/>
    <x v="31"/>
    <x v="0"/>
    <n v="1061"/>
    <n v="254.84758475122527"/>
    <n v="899.73871553020911"/>
    <n v="12903579.970000008"/>
    <n v="342"/>
    <n v="3679584.2800000012"/>
  </r>
  <r>
    <x v="0"/>
    <x v="2"/>
    <x v="4"/>
    <x v="6"/>
    <x v="32"/>
    <x v="32"/>
    <x v="0"/>
    <n v="1902"/>
    <n v="456.9025641754456"/>
    <n v="1816.1258828481875"/>
    <n v="22277539.319999985"/>
    <n v="478"/>
    <n v="6006358.5200000033"/>
  </r>
  <r>
    <x v="0"/>
    <x v="2"/>
    <x v="4"/>
    <x v="6"/>
    <x v="33"/>
    <x v="33"/>
    <x v="0"/>
    <n v="1814"/>
    <n v="211.20440730758475"/>
    <n v="1446.8118695561741"/>
    <n v="20380786.15000001"/>
    <n v="257"/>
    <n v="3088345.2600000021"/>
  </r>
  <r>
    <x v="0"/>
    <x v="2"/>
    <x v="4"/>
    <x v="6"/>
    <x v="34"/>
    <x v="34"/>
    <x v="0"/>
    <n v="26"/>
    <n v="7.1304509091016284"/>
    <n v="17.608180775532432"/>
    <n v="271501.95999999996"/>
    <n v="12"/>
    <n v="108881.41000000002"/>
  </r>
  <r>
    <x v="0"/>
    <x v="2"/>
    <x v="4"/>
    <x v="6"/>
    <x v="35"/>
    <x v="35"/>
    <x v="0"/>
    <n v="1933"/>
    <n v="288.12838132696453"/>
    <n v="1587.9279967572443"/>
    <n v="16714040.129999965"/>
    <n v="339"/>
    <n v="3470308.1900000004"/>
  </r>
  <r>
    <x v="0"/>
    <x v="2"/>
    <x v="4"/>
    <x v="6"/>
    <x v="36"/>
    <x v="36"/>
    <x v="0"/>
    <n v="1542"/>
    <n v="313.91094699829057"/>
    <n v="1337.6118369482426"/>
    <n v="15258455.269999992"/>
    <n v="353"/>
    <n v="3418261.819999998"/>
  </r>
  <r>
    <x v="0"/>
    <x v="2"/>
    <x v="4"/>
    <x v="6"/>
    <x v="37"/>
    <x v="37"/>
    <x v="0"/>
    <n v="960"/>
    <n v="250.83939180232142"/>
    <n v="986.5632104233772"/>
    <n v="11474053.659999987"/>
    <n v="259"/>
    <n v="2970779.9600000004"/>
  </r>
  <r>
    <x v="0"/>
    <x v="2"/>
    <x v="4"/>
    <x v="6"/>
    <x v="38"/>
    <x v="38"/>
    <x v="0"/>
    <n v="420"/>
    <n v="84.091930928003336"/>
    <n v="416.00492369680461"/>
    <n v="4714667.9999999981"/>
    <n v="99"/>
    <n v="919709.94"/>
  </r>
  <r>
    <x v="0"/>
    <x v="2"/>
    <x v="4"/>
    <x v="6"/>
    <x v="39"/>
    <x v="39"/>
    <x v="0"/>
    <n v="1003"/>
    <n v="234.38519101207814"/>
    <n v="1023.475022952829"/>
    <n v="14642021.049999991"/>
    <n v="274"/>
    <n v="3326560.9900000007"/>
  </r>
  <r>
    <x v="0"/>
    <x v="2"/>
    <x v="4"/>
    <x v="6"/>
    <x v="40"/>
    <x v="40"/>
    <x v="0"/>
    <n v="1963"/>
    <n v="230.71988005880311"/>
    <n v="1588.0363157558584"/>
    <n v="20388136.109999958"/>
    <n v="256"/>
    <n v="3168761.5599999996"/>
  </r>
  <r>
    <x v="0"/>
    <x v="2"/>
    <x v="4"/>
    <x v="6"/>
    <x v="41"/>
    <x v="41"/>
    <x v="0"/>
    <n v="223"/>
    <n v="0"/>
    <n v="412.85900173690902"/>
    <n v="5472783.9799999986"/>
    <n v="0"/>
    <n v="0"/>
  </r>
  <r>
    <x v="0"/>
    <x v="2"/>
    <x v="4"/>
    <x v="6"/>
    <x v="42"/>
    <x v="42"/>
    <x v="0"/>
    <n v="267"/>
    <n v="61.425279216955857"/>
    <n v="192.09766155115582"/>
    <n v="1854444.0099999991"/>
    <n v="89"/>
    <n v="614227.78999999992"/>
  </r>
  <r>
    <x v="0"/>
    <x v="2"/>
    <x v="4"/>
    <x v="6"/>
    <x v="43"/>
    <x v="43"/>
    <x v="0"/>
    <n v="299"/>
    <n v="88.935342866259958"/>
    <n v="327.53913182455977"/>
    <n v="3244578.13"/>
    <n v="83"/>
    <n v="910491.38"/>
  </r>
  <r>
    <x v="0"/>
    <x v="2"/>
    <x v="4"/>
    <x v="6"/>
    <x v="44"/>
    <x v="44"/>
    <x v="0"/>
    <n v="1243"/>
    <n v="250.0658048121833"/>
    <n v="1008.3006061462696"/>
    <n v="16514444.360000003"/>
    <n v="298"/>
    <n v="4049931.4899999988"/>
  </r>
  <r>
    <x v="0"/>
    <x v="2"/>
    <x v="4"/>
    <x v="6"/>
    <x v="45"/>
    <x v="45"/>
    <x v="0"/>
    <n v="1594"/>
    <n v="218.95496320878129"/>
    <n v="1687.0241924939651"/>
    <n v="22036750.460000008"/>
    <n v="239"/>
    <n v="3117265.9299999983"/>
  </r>
  <r>
    <x v="0"/>
    <x v="2"/>
    <x v="4"/>
    <x v="6"/>
    <x v="46"/>
    <x v="46"/>
    <x v="0"/>
    <n v="118"/>
    <n v="12.42739684157662"/>
    <n v="156.97823199885505"/>
    <n v="5039075.1599999983"/>
    <n v="12"/>
    <n v="370369.69000000006"/>
  </r>
  <r>
    <x v="0"/>
    <x v="2"/>
    <x v="4"/>
    <x v="6"/>
    <x v="47"/>
    <x v="47"/>
    <x v="0"/>
    <n v="572"/>
    <n v="93.323032810326083"/>
    <n v="441.99777236545077"/>
    <n v="5238046.519999994"/>
    <n v="123"/>
    <n v="1284285.4900000002"/>
  </r>
  <r>
    <x v="0"/>
    <x v="2"/>
    <x v="4"/>
    <x v="7"/>
    <x v="0"/>
    <x v="0"/>
    <x v="0"/>
    <n v="1558"/>
    <n v="293.69674925597946"/>
    <n v="1440.923426631236"/>
    <n v="17624576.319999978"/>
    <n v="327"/>
    <n v="3511735.260000004"/>
  </r>
  <r>
    <x v="0"/>
    <x v="2"/>
    <x v="4"/>
    <x v="7"/>
    <x v="1"/>
    <x v="1"/>
    <x v="0"/>
    <n v="2431"/>
    <n v="576.09439365599872"/>
    <n v="4401.554980889352"/>
    <n v="88596692.369999886"/>
    <n v="389"/>
    <n v="10364803.269999994"/>
  </r>
  <r>
    <x v="0"/>
    <x v="2"/>
    <x v="4"/>
    <x v="7"/>
    <x v="2"/>
    <x v="2"/>
    <x v="0"/>
    <n v="1101"/>
    <n v="178.74257972140526"/>
    <n v="1085.0344831680718"/>
    <n v="17602427.340000011"/>
    <n v="195"/>
    <n v="2896546.7999999989"/>
  </r>
  <r>
    <x v="0"/>
    <x v="2"/>
    <x v="4"/>
    <x v="7"/>
    <x v="3"/>
    <x v="3"/>
    <x v="0"/>
    <n v="2825"/>
    <n v="321.87063589682117"/>
    <n v="2324.6046593661031"/>
    <n v="28715220.05999998"/>
    <n v="307"/>
    <n v="4447463.7699999977"/>
  </r>
  <r>
    <x v="0"/>
    <x v="2"/>
    <x v="4"/>
    <x v="7"/>
    <x v="4"/>
    <x v="4"/>
    <x v="0"/>
    <n v="1575"/>
    <n v="288.90937131700861"/>
    <n v="1442.7657876077481"/>
    <n v="18854302.850000024"/>
    <n v="307"/>
    <n v="3678374.01"/>
  </r>
  <r>
    <x v="0"/>
    <x v="2"/>
    <x v="4"/>
    <x v="7"/>
    <x v="5"/>
    <x v="5"/>
    <x v="0"/>
    <n v="479"/>
    <n v="107.43283563045554"/>
    <n v="375.31946621545984"/>
    <n v="5065765.28"/>
    <n v="136"/>
    <n v="1297513.7000000002"/>
  </r>
  <r>
    <x v="0"/>
    <x v="2"/>
    <x v="4"/>
    <x v="7"/>
    <x v="6"/>
    <x v="6"/>
    <x v="0"/>
    <n v="1432"/>
    <n v="158.25381698259409"/>
    <n v="1479.5682761385942"/>
    <n v="20034963.889999963"/>
    <n v="179"/>
    <n v="2462523.6199999996"/>
  </r>
  <r>
    <x v="0"/>
    <x v="2"/>
    <x v="4"/>
    <x v="7"/>
    <x v="7"/>
    <x v="7"/>
    <x v="0"/>
    <n v="3875"/>
    <n v="703.88001702699898"/>
    <n v="5237.7374032297766"/>
    <n v="111789311.70000005"/>
    <n v="649"/>
    <n v="16757731.180000007"/>
  </r>
  <r>
    <x v="0"/>
    <x v="2"/>
    <x v="4"/>
    <x v="7"/>
    <x v="8"/>
    <x v="8"/>
    <x v="0"/>
    <n v="239"/>
    <n v="45.174661424117325"/>
    <n v="166.36361287921096"/>
    <n v="2650948.3699999987"/>
    <n v="66"/>
    <n v="680415.37000000011"/>
  </r>
  <r>
    <x v="0"/>
    <x v="2"/>
    <x v="4"/>
    <x v="7"/>
    <x v="9"/>
    <x v="9"/>
    <x v="0"/>
    <n v="1579"/>
    <n v="409.78347677611617"/>
    <n v="1500.9585568659115"/>
    <n v="21675236.680000033"/>
    <n v="406"/>
    <n v="6311497.2900000028"/>
  </r>
  <r>
    <x v="0"/>
    <x v="2"/>
    <x v="4"/>
    <x v="7"/>
    <x v="10"/>
    <x v="10"/>
    <x v="0"/>
    <n v="1696"/>
    <n v="300.99034316300157"/>
    <n v="2037.6438180243017"/>
    <n v="34539461.070000023"/>
    <n v="299"/>
    <n v="5250086.9300000016"/>
  </r>
  <r>
    <x v="1"/>
    <x v="3"/>
    <x v="3"/>
    <x v="2"/>
    <x v="11"/>
    <x v="11"/>
    <x v="0"/>
    <n v="463"/>
    <n v="150.78899700000005"/>
    <n v="431.87405499999977"/>
    <n v="5725981.3200000059"/>
    <n v="176"/>
    <n v="2018668.3700000003"/>
  </r>
  <r>
    <x v="0"/>
    <x v="2"/>
    <x v="4"/>
    <x v="7"/>
    <x v="12"/>
    <x v="12"/>
    <x v="0"/>
    <n v="2264"/>
    <n v="441.57219537087639"/>
    <n v="2014.1733393234879"/>
    <n v="24976109.749999952"/>
    <n v="512"/>
    <n v="5339612.5700000031"/>
  </r>
  <r>
    <x v="0"/>
    <x v="2"/>
    <x v="4"/>
    <x v="7"/>
    <x v="13"/>
    <x v="13"/>
    <x v="0"/>
    <n v="1102"/>
    <n v="210.38996531796718"/>
    <n v="1021.4881899781531"/>
    <n v="14758816.050000016"/>
    <n v="199"/>
    <n v="3302541.7700000005"/>
  </r>
  <r>
    <x v="0"/>
    <x v="2"/>
    <x v="4"/>
    <x v="7"/>
    <x v="14"/>
    <x v="14"/>
    <x v="0"/>
    <n v="206"/>
    <n v="38.624911507612978"/>
    <n v="170.3955958278118"/>
    <n v="1845051.0700000005"/>
    <n v="44"/>
    <n v="409104.47000000003"/>
  </r>
  <r>
    <x v="0"/>
    <x v="2"/>
    <x v="4"/>
    <x v="7"/>
    <x v="15"/>
    <x v="15"/>
    <x v="0"/>
    <n v="764"/>
    <n v="139.86703821698708"/>
    <n v="639.29871885027353"/>
    <n v="7647252.5300000012"/>
    <n v="175"/>
    <n v="1764961.3900000001"/>
  </r>
  <r>
    <x v="0"/>
    <x v="2"/>
    <x v="4"/>
    <x v="7"/>
    <x v="16"/>
    <x v="16"/>
    <x v="0"/>
    <n v="1606"/>
    <n v="291.84578827957529"/>
    <n v="1622.933855310979"/>
    <n v="21899444.059999984"/>
    <n v="309"/>
    <n v="4012947.4800000014"/>
  </r>
  <r>
    <x v="0"/>
    <x v="2"/>
    <x v="4"/>
    <x v="7"/>
    <x v="17"/>
    <x v="17"/>
    <x v="0"/>
    <n v="1270"/>
    <n v="254.98153074951776"/>
    <n v="1525.4027415542985"/>
    <n v="18127336.249999996"/>
    <n v="249"/>
    <n v="2644710.7500000033"/>
  </r>
  <r>
    <x v="0"/>
    <x v="2"/>
    <x v="4"/>
    <x v="7"/>
    <x v="18"/>
    <x v="18"/>
    <x v="0"/>
    <n v="2615"/>
    <n v="350.94179452622467"/>
    <n v="2287.2326148425136"/>
    <n v="25772256.739999905"/>
    <n v="428"/>
    <n v="3964935.5799999977"/>
  </r>
  <r>
    <x v="0"/>
    <x v="2"/>
    <x v="4"/>
    <x v="7"/>
    <x v="19"/>
    <x v="19"/>
    <x v="0"/>
    <n v="976"/>
    <n v="244.99426287683443"/>
    <n v="1320.9995331600123"/>
    <n v="22230041.640000001"/>
    <n v="245"/>
    <n v="4095222.5099999988"/>
  </r>
  <r>
    <x v="0"/>
    <x v="2"/>
    <x v="4"/>
    <x v="7"/>
    <x v="20"/>
    <x v="20"/>
    <x v="0"/>
    <n v="1067"/>
    <n v="235.53773299738558"/>
    <n v="1029.0297538820171"/>
    <n v="14453783.59"/>
    <n v="237"/>
    <n v="3362659.53"/>
  </r>
  <r>
    <x v="0"/>
    <x v="2"/>
    <x v="4"/>
    <x v="7"/>
    <x v="21"/>
    <x v="21"/>
    <x v="0"/>
    <n v="792"/>
    <n v="150.11393008636065"/>
    <n v="581.30392858958771"/>
    <n v="6406241.6500000032"/>
    <n v="200"/>
    <n v="1728867.62"/>
  </r>
  <r>
    <x v="0"/>
    <x v="2"/>
    <x v="4"/>
    <x v="7"/>
    <x v="22"/>
    <x v="22"/>
    <x v="0"/>
    <n v="1829"/>
    <n v="401.08598288699108"/>
    <n v="1880.0771440329459"/>
    <n v="33930564.650000058"/>
    <n v="433"/>
    <n v="6632062.6699999962"/>
  </r>
  <r>
    <x v="0"/>
    <x v="2"/>
    <x v="4"/>
    <x v="7"/>
    <x v="23"/>
    <x v="23"/>
    <x v="0"/>
    <n v="166"/>
    <n v="38.622388507645127"/>
    <n v="137.96430824124295"/>
    <n v="2478434.06"/>
    <n v="52"/>
    <n v="703754.39000000013"/>
  </r>
  <r>
    <x v="0"/>
    <x v="2"/>
    <x v="4"/>
    <x v="7"/>
    <x v="24"/>
    <x v="24"/>
    <x v="0"/>
    <n v="521"/>
    <n v="107.85958362501535"/>
    <n v="412.05710574713186"/>
    <n v="6489178.2999999942"/>
    <n v="123"/>
    <n v="1483356.6500000004"/>
  </r>
  <r>
    <x v="0"/>
    <x v="2"/>
    <x v="4"/>
    <x v="7"/>
    <x v="25"/>
    <x v="25"/>
    <x v="0"/>
    <n v="1017"/>
    <n v="223.63665414909957"/>
    <n v="892.75368361925086"/>
    <n v="12376413.309999984"/>
    <n v="239"/>
    <n v="3244277.7999999989"/>
  </r>
  <r>
    <x v="0"/>
    <x v="2"/>
    <x v="4"/>
    <x v="7"/>
    <x v="26"/>
    <x v="26"/>
    <x v="0"/>
    <n v="781"/>
    <n v="136.78572825626739"/>
    <n v="689.05310721600745"/>
    <n v="10741296.889999973"/>
    <n v="162"/>
    <n v="2024360.1600000008"/>
  </r>
  <r>
    <x v="0"/>
    <x v="2"/>
    <x v="4"/>
    <x v="7"/>
    <x v="27"/>
    <x v="27"/>
    <x v="0"/>
    <n v="712"/>
    <n v="142.91070517818679"/>
    <n v="601.5333143317032"/>
    <n v="7102496.2199999979"/>
    <n v="151"/>
    <n v="1646244.8400000005"/>
  </r>
  <r>
    <x v="0"/>
    <x v="2"/>
    <x v="4"/>
    <x v="7"/>
    <x v="28"/>
    <x v="28"/>
    <x v="0"/>
    <n v="765"/>
    <n v="100.45978271934739"/>
    <n v="631.39855495098254"/>
    <n v="9206145.5699999947"/>
    <n v="132"/>
    <n v="1883382.1200000006"/>
  </r>
  <r>
    <x v="0"/>
    <x v="2"/>
    <x v="4"/>
    <x v="7"/>
    <x v="29"/>
    <x v="29"/>
    <x v="0"/>
    <n v="428"/>
    <n v="117.2213715056721"/>
    <n v="467.72217803751818"/>
    <n v="11058065.519999996"/>
    <n v="137"/>
    <n v="2449583.6500000008"/>
  </r>
  <r>
    <x v="0"/>
    <x v="2"/>
    <x v="4"/>
    <x v="7"/>
    <x v="30"/>
    <x v="30"/>
    <x v="0"/>
    <n v="527"/>
    <n v="111.8844875737062"/>
    <n v="415.2082307069619"/>
    <n v="5783452.8099999959"/>
    <n v="137"/>
    <n v="1482218.13"/>
  </r>
  <r>
    <x v="0"/>
    <x v="2"/>
    <x v="4"/>
    <x v="7"/>
    <x v="31"/>
    <x v="31"/>
    <x v="0"/>
    <n v="902"/>
    <n v="226.75888710929743"/>
    <n v="783.62928101036277"/>
    <n v="11015976.300000012"/>
    <n v="286"/>
    <n v="3185570.8900000006"/>
  </r>
  <r>
    <x v="0"/>
    <x v="2"/>
    <x v="4"/>
    <x v="7"/>
    <x v="32"/>
    <x v="32"/>
    <x v="0"/>
    <n v="1685"/>
    <n v="393.76018898037933"/>
    <n v="1591.5866167105896"/>
    <n v="19392120.649999984"/>
    <n v="440"/>
    <n v="4987392.3000000026"/>
  </r>
  <r>
    <x v="0"/>
    <x v="2"/>
    <x v="4"/>
    <x v="7"/>
    <x v="33"/>
    <x v="33"/>
    <x v="0"/>
    <n v="1721"/>
    <n v="207.88661334987961"/>
    <n v="1385.0231983438518"/>
    <n v="19232647.540000025"/>
    <n v="236"/>
    <n v="3406666.7199999979"/>
  </r>
  <r>
    <x v="0"/>
    <x v="2"/>
    <x v="4"/>
    <x v="7"/>
    <x v="34"/>
    <x v="34"/>
    <x v="0"/>
    <n v="26"/>
    <n v="6.8082249132093375"/>
    <n v="16.58467578857999"/>
    <n v="354109.64000000007"/>
    <n v="12"/>
    <n v="129682.79"/>
  </r>
  <r>
    <x v="0"/>
    <x v="2"/>
    <x v="4"/>
    <x v="7"/>
    <x v="35"/>
    <x v="35"/>
    <x v="0"/>
    <n v="1714"/>
    <n v="259.13313069659347"/>
    <n v="1334.8434809835426"/>
    <n v="14565996.089999989"/>
    <n v="303"/>
    <n v="2559322.350000001"/>
  </r>
  <r>
    <x v="0"/>
    <x v="2"/>
    <x v="4"/>
    <x v="7"/>
    <x v="36"/>
    <x v="36"/>
    <x v="0"/>
    <n v="1447"/>
    <n v="293.78851025480986"/>
    <n v="1222.9203084103208"/>
    <n v="13945358.270000001"/>
    <n v="326"/>
    <n v="3299104.2899999996"/>
  </r>
  <r>
    <x v="0"/>
    <x v="2"/>
    <x v="4"/>
    <x v="7"/>
    <x v="37"/>
    <x v="37"/>
    <x v="0"/>
    <n v="932"/>
    <n v="217.64197622551922"/>
    <n v="932.43853811335475"/>
    <n v="12824415.149999999"/>
    <n v="260"/>
    <n v="3209276.07"/>
  </r>
  <r>
    <x v="0"/>
    <x v="2"/>
    <x v="4"/>
    <x v="7"/>
    <x v="38"/>
    <x v="38"/>
    <x v="0"/>
    <n v="319"/>
    <n v="71.779655084959188"/>
    <n v="329.72010979675667"/>
    <n v="4602270.8399999971"/>
    <n v="81"/>
    <n v="696589.57999999973"/>
  </r>
  <r>
    <x v="0"/>
    <x v="2"/>
    <x v="4"/>
    <x v="7"/>
    <x v="39"/>
    <x v="39"/>
    <x v="0"/>
    <n v="905"/>
    <n v="249.38312582088565"/>
    <n v="968.85633464910381"/>
    <n v="14033098.619999992"/>
    <n v="279"/>
    <n v="3505042.3999999985"/>
  </r>
  <r>
    <x v="0"/>
    <x v="2"/>
    <x v="4"/>
    <x v="7"/>
    <x v="40"/>
    <x v="40"/>
    <x v="0"/>
    <n v="1860"/>
    <n v="233.36889902503361"/>
    <n v="1526.565433539482"/>
    <n v="20130699.579999939"/>
    <n v="267"/>
    <n v="3334895.4299999992"/>
  </r>
  <r>
    <x v="0"/>
    <x v="2"/>
    <x v="4"/>
    <x v="7"/>
    <x v="41"/>
    <x v="41"/>
    <x v="0"/>
    <n v="216"/>
    <n v="0"/>
    <n v="408.25951279554278"/>
    <n v="6096795.0900000026"/>
    <n v="0"/>
    <n v="0"/>
  </r>
  <r>
    <x v="0"/>
    <x v="2"/>
    <x v="4"/>
    <x v="7"/>
    <x v="42"/>
    <x v="42"/>
    <x v="0"/>
    <n v="245"/>
    <n v="62.908066198053426"/>
    <n v="171.53780781325094"/>
    <n v="1664963.09"/>
    <n v="92"/>
    <n v="588512.08999999985"/>
  </r>
  <r>
    <x v="0"/>
    <x v="2"/>
    <x v="4"/>
    <x v="7"/>
    <x v="43"/>
    <x v="43"/>
    <x v="0"/>
    <n v="255"/>
    <n v="64.456459178314645"/>
    <n v="266.5408986021597"/>
    <n v="2826167.0999999996"/>
    <n v="69"/>
    <n v="628197.81000000017"/>
  </r>
  <r>
    <x v="0"/>
    <x v="2"/>
    <x v="4"/>
    <x v="7"/>
    <x v="44"/>
    <x v="44"/>
    <x v="0"/>
    <n v="1120"/>
    <n v="237.26811697532696"/>
    <n v="926.88521118414735"/>
    <n v="14728268.079999998"/>
    <n v="275"/>
    <n v="4080347.4100000029"/>
  </r>
  <r>
    <x v="0"/>
    <x v="2"/>
    <x v="4"/>
    <x v="7"/>
    <x v="45"/>
    <x v="45"/>
    <x v="0"/>
    <n v="1479"/>
    <n v="218.71945021178354"/>
    <n v="1623.8073322998459"/>
    <n v="21452641.05000006"/>
    <n v="242"/>
    <n v="2931054.6100000013"/>
  </r>
  <r>
    <x v="0"/>
    <x v="2"/>
    <x v="4"/>
    <x v="7"/>
    <x v="46"/>
    <x v="46"/>
    <x v="0"/>
    <n v="105"/>
    <n v="6.0660999226698831"/>
    <n v="127.41990437566201"/>
    <n v="3969639.0400000005"/>
    <n v="5"/>
    <n v="179126.16999999998"/>
  </r>
  <r>
    <x v="0"/>
    <x v="2"/>
    <x v="4"/>
    <x v="7"/>
    <x v="47"/>
    <x v="47"/>
    <x v="0"/>
    <n v="535"/>
    <n v="69.476094114324766"/>
    <n v="436.94269242989282"/>
    <n v="5153224.1700000018"/>
    <n v="86"/>
    <n v="941663.71000000008"/>
  </r>
  <r>
    <x v="0"/>
    <x v="2"/>
    <x v="4"/>
    <x v="8"/>
    <x v="0"/>
    <x v="0"/>
    <x v="0"/>
    <n v="1625"/>
    <n v="295.54829623237617"/>
    <n v="1511.6964027290314"/>
    <n v="17285088.840000011"/>
    <n v="320"/>
    <n v="3366071.7899999991"/>
  </r>
  <r>
    <x v="0"/>
    <x v="2"/>
    <x v="4"/>
    <x v="8"/>
    <x v="1"/>
    <x v="1"/>
    <x v="0"/>
    <n v="2626"/>
    <n v="530.91657423192135"/>
    <n v="4644.7011087897436"/>
    <n v="95100750.649999857"/>
    <n v="406"/>
    <n v="10658931.130000001"/>
  </r>
  <r>
    <x v="0"/>
    <x v="2"/>
    <x v="4"/>
    <x v="8"/>
    <x v="2"/>
    <x v="2"/>
    <x v="0"/>
    <n v="1199"/>
    <n v="246.39878085892983"/>
    <n v="1346.7558168316748"/>
    <n v="22944461.039999973"/>
    <n v="235"/>
    <n v="4215515.66"/>
  </r>
  <r>
    <x v="0"/>
    <x v="2"/>
    <x v="4"/>
    <x v="8"/>
    <x v="3"/>
    <x v="3"/>
    <x v="0"/>
    <n v="3253"/>
    <n v="342.32863363602473"/>
    <n v="2607.0720737652027"/>
    <n v="32637319.270000067"/>
    <n v="325"/>
    <n v="4259808.7099999981"/>
  </r>
  <r>
    <x v="0"/>
    <x v="2"/>
    <x v="4"/>
    <x v="8"/>
    <x v="4"/>
    <x v="4"/>
    <x v="0"/>
    <n v="1776"/>
    <n v="254.03986276152227"/>
    <n v="1610.786139465846"/>
    <n v="22609852.160000023"/>
    <n v="295"/>
    <n v="3600939.66"/>
  </r>
  <r>
    <x v="0"/>
    <x v="2"/>
    <x v="4"/>
    <x v="8"/>
    <x v="5"/>
    <x v="5"/>
    <x v="0"/>
    <n v="559"/>
    <n v="106.74865763917735"/>
    <n v="431.34599150123859"/>
    <n v="6128680.1699999999"/>
    <n v="134"/>
    <n v="1374116.9699999997"/>
  </r>
  <r>
    <x v="0"/>
    <x v="2"/>
    <x v="4"/>
    <x v="8"/>
    <x v="6"/>
    <x v="6"/>
    <x v="0"/>
    <n v="1585"/>
    <n v="161.15832394556764"/>
    <n v="1728.2683479681928"/>
    <n v="24185289.04000004"/>
    <n v="196"/>
    <n v="2613641.3300000019"/>
  </r>
  <r>
    <x v="0"/>
    <x v="2"/>
    <x v="4"/>
    <x v="8"/>
    <x v="7"/>
    <x v="7"/>
    <x v="0"/>
    <n v="4043"/>
    <n v="746.71964348088352"/>
    <n v="5649.2753829835183"/>
    <n v="125422048.26000005"/>
    <n v="715"/>
    <n v="18467507.780000005"/>
  </r>
  <r>
    <x v="0"/>
    <x v="2"/>
    <x v="4"/>
    <x v="8"/>
    <x v="8"/>
    <x v="8"/>
    <x v="0"/>
    <n v="237"/>
    <n v="42.336643460296138"/>
    <n v="157.48132499244161"/>
    <n v="2612313.5999999987"/>
    <n v="65"/>
    <n v="785929.64999999979"/>
  </r>
  <r>
    <x v="0"/>
    <x v="2"/>
    <x v="4"/>
    <x v="8"/>
    <x v="9"/>
    <x v="9"/>
    <x v="0"/>
    <n v="1702"/>
    <n v="362.12917438360915"/>
    <n v="1595.9157866554049"/>
    <n v="22234848.81000004"/>
    <n v="407"/>
    <n v="5010740.4200000055"/>
  </r>
  <r>
    <x v="0"/>
    <x v="2"/>
    <x v="4"/>
    <x v="8"/>
    <x v="10"/>
    <x v="10"/>
    <x v="0"/>
    <n v="1898"/>
    <n v="329.18105780362879"/>
    <n v="2240.0680544438142"/>
    <n v="37994297.879999921"/>
    <n v="323"/>
    <n v="5717457.5100000035"/>
  </r>
  <r>
    <x v="1"/>
    <x v="3"/>
    <x v="3"/>
    <x v="4"/>
    <x v="11"/>
    <x v="11"/>
    <x v="0"/>
    <n v="478"/>
    <n v="169.45963800000004"/>
    <n v="450.38591399999927"/>
    <n v="6702143.04"/>
    <n v="176"/>
    <n v="2393224.1999999983"/>
  </r>
  <r>
    <x v="0"/>
    <x v="2"/>
    <x v="4"/>
    <x v="8"/>
    <x v="12"/>
    <x v="12"/>
    <x v="0"/>
    <n v="2513"/>
    <n v="529.11167825493078"/>
    <n v="2221.3795696820421"/>
    <n v="30707361.959999915"/>
    <n v="599"/>
    <n v="7521764.3000000026"/>
  </r>
  <r>
    <x v="0"/>
    <x v="2"/>
    <x v="4"/>
    <x v="8"/>
    <x v="13"/>
    <x v="13"/>
    <x v="0"/>
    <n v="1279"/>
    <n v="177.26208174027843"/>
    <n v="1136.4765795122948"/>
    <n v="15954840.48000001"/>
    <n v="195"/>
    <n v="2614659.89"/>
  </r>
  <r>
    <x v="0"/>
    <x v="2"/>
    <x v="4"/>
    <x v="8"/>
    <x v="14"/>
    <x v="14"/>
    <x v="0"/>
    <n v="244"/>
    <n v="44.221348436270091"/>
    <n v="202.57082541764439"/>
    <n v="2057996.4899999991"/>
    <n v="53"/>
    <n v="495353.31999999989"/>
  </r>
  <r>
    <x v="0"/>
    <x v="2"/>
    <x v="4"/>
    <x v="8"/>
    <x v="15"/>
    <x v="15"/>
    <x v="0"/>
    <n v="824"/>
    <n v="146.76064812910803"/>
    <n v="695.27918313663872"/>
    <n v="8548106.2399999965"/>
    <n v="163"/>
    <n v="1727297.5200000005"/>
  </r>
  <r>
    <x v="0"/>
    <x v="2"/>
    <x v="4"/>
    <x v="8"/>
    <x v="16"/>
    <x v="16"/>
    <x v="0"/>
    <n v="1802"/>
    <n v="390.37797402349554"/>
    <n v="1778.6664413257186"/>
    <n v="23891015.630000044"/>
    <n v="402"/>
    <n v="5411290.5600000024"/>
  </r>
  <r>
    <x v="0"/>
    <x v="2"/>
    <x v="4"/>
    <x v="8"/>
    <x v="17"/>
    <x v="17"/>
    <x v="0"/>
    <n v="1473"/>
    <n v="259.61317869047377"/>
    <n v="1722.1131820466487"/>
    <n v="19934301.650000013"/>
    <n v="278"/>
    <n v="2839707.1699999981"/>
  </r>
  <r>
    <x v="0"/>
    <x v="2"/>
    <x v="4"/>
    <x v="8"/>
    <x v="18"/>
    <x v="18"/>
    <x v="0"/>
    <n v="2877"/>
    <n v="412.73674273846785"/>
    <n v="2510.7018869937374"/>
    <n v="27354349.739999879"/>
    <n v="476"/>
    <n v="5302619.3900000034"/>
  </r>
  <r>
    <x v="0"/>
    <x v="2"/>
    <x v="4"/>
    <x v="8"/>
    <x v="19"/>
    <x v="19"/>
    <x v="0"/>
    <n v="1102"/>
    <n v="261.74656966327791"/>
    <n v="1437.2979106774503"/>
    <n v="22766978.290000021"/>
    <n v="275"/>
    <n v="4446466.9499999983"/>
  </r>
  <r>
    <x v="0"/>
    <x v="2"/>
    <x v="4"/>
    <x v="8"/>
    <x v="20"/>
    <x v="20"/>
    <x v="0"/>
    <n v="1164"/>
    <n v="275.16611049220649"/>
    <n v="1209.7999805775758"/>
    <n v="16904954.530000005"/>
    <n v="256"/>
    <n v="3936647.04"/>
  </r>
  <r>
    <x v="0"/>
    <x v="2"/>
    <x v="4"/>
    <x v="8"/>
    <x v="21"/>
    <x v="21"/>
    <x v="0"/>
    <n v="894"/>
    <n v="161.76012793789599"/>
    <n v="684.94475026837938"/>
    <n v="9368233.370000001"/>
    <n v="213"/>
    <n v="2371644.7100000009"/>
  </r>
  <r>
    <x v="0"/>
    <x v="2"/>
    <x v="4"/>
    <x v="8"/>
    <x v="22"/>
    <x v="22"/>
    <x v="0"/>
    <n v="2041"/>
    <n v="402.3139208713369"/>
    <n v="1922.1297314968638"/>
    <n v="34208779.009999976"/>
    <n v="476"/>
    <n v="7066415.8700000038"/>
  </r>
  <r>
    <x v="0"/>
    <x v="2"/>
    <x v="4"/>
    <x v="8"/>
    <x v="23"/>
    <x v="23"/>
    <x v="0"/>
    <n v="185"/>
    <n v="42.489913458342272"/>
    <n v="145.92947413970379"/>
    <n v="2663992.2399999988"/>
    <n v="53"/>
    <n v="821717.02"/>
  </r>
  <r>
    <x v="0"/>
    <x v="2"/>
    <x v="4"/>
    <x v="8"/>
    <x v="24"/>
    <x v="24"/>
    <x v="0"/>
    <n v="558"/>
    <n v="109.51082260396552"/>
    <n v="468.40021202887436"/>
    <n v="6664281.400000006"/>
    <n v="125"/>
    <n v="1478282.860000001"/>
  </r>
  <r>
    <x v="0"/>
    <x v="2"/>
    <x v="4"/>
    <x v="8"/>
    <x v="25"/>
    <x v="25"/>
    <x v="0"/>
    <n v="1014"/>
    <n v="202.26427842155269"/>
    <n v="864.91536697413255"/>
    <n v="11639105.210000001"/>
    <n v="236"/>
    <n v="2972484.0100000002"/>
  </r>
  <r>
    <x v="0"/>
    <x v="2"/>
    <x v="4"/>
    <x v="8"/>
    <x v="26"/>
    <x v="26"/>
    <x v="0"/>
    <n v="883"/>
    <n v="187.04838261552354"/>
    <n v="766.53591122826219"/>
    <n v="11018515.040000008"/>
    <n v="203"/>
    <n v="2719728.379999998"/>
  </r>
  <r>
    <x v="0"/>
    <x v="2"/>
    <x v="4"/>
    <x v="8"/>
    <x v="27"/>
    <x v="27"/>
    <x v="0"/>
    <n v="728"/>
    <n v="131.92566831822302"/>
    <n v="604.34540529585433"/>
    <n v="7060802.0000000065"/>
    <n v="149"/>
    <n v="1667567.44"/>
  </r>
  <r>
    <x v="0"/>
    <x v="2"/>
    <x v="4"/>
    <x v="8"/>
    <x v="28"/>
    <x v="28"/>
    <x v="0"/>
    <n v="847"/>
    <n v="129.04325535496767"/>
    <n v="773.38321714097458"/>
    <n v="11557738.919999989"/>
    <n v="155"/>
    <n v="2082961.68"/>
  </r>
  <r>
    <x v="0"/>
    <x v="2"/>
    <x v="4"/>
    <x v="8"/>
    <x v="29"/>
    <x v="29"/>
    <x v="0"/>
    <n v="502"/>
    <n v="144.17820216202884"/>
    <n v="548.73978600471276"/>
    <n v="12337742.440000003"/>
    <n v="139"/>
    <n v="3058052.9300000006"/>
  </r>
  <r>
    <x v="0"/>
    <x v="2"/>
    <x v="4"/>
    <x v="8"/>
    <x v="30"/>
    <x v="30"/>
    <x v="0"/>
    <n v="567"/>
    <n v="111.480913578851"/>
    <n v="448.82080427847131"/>
    <n v="6595723.4599999981"/>
    <n v="125"/>
    <n v="1531377.8900000004"/>
  </r>
  <r>
    <x v="0"/>
    <x v="2"/>
    <x v="4"/>
    <x v="8"/>
    <x v="31"/>
    <x v="31"/>
    <x v="0"/>
    <n v="964"/>
    <n v="241.85155691689764"/>
    <n v="832.07658639275962"/>
    <n v="11330328.719999999"/>
    <n v="299"/>
    <n v="3440870.0800000019"/>
  </r>
  <r>
    <x v="0"/>
    <x v="2"/>
    <x v="4"/>
    <x v="8"/>
    <x v="32"/>
    <x v="32"/>
    <x v="0"/>
    <n v="1857"/>
    <n v="432.04255849235938"/>
    <n v="1839.1660295544682"/>
    <n v="22635622.379999969"/>
    <n v="451"/>
    <n v="5231014.0300000058"/>
  </r>
  <r>
    <x v="0"/>
    <x v="2"/>
    <x v="4"/>
    <x v="8"/>
    <x v="33"/>
    <x v="33"/>
    <x v="0"/>
    <n v="1943"/>
    <n v="243.06486990143017"/>
    <n v="1576.1390159075231"/>
    <n v="23651956.040000007"/>
    <n v="301"/>
    <n v="4027498.3099999982"/>
  </r>
  <r>
    <x v="0"/>
    <x v="2"/>
    <x v="4"/>
    <x v="8"/>
    <x v="34"/>
    <x v="34"/>
    <x v="0"/>
    <n v="29"/>
    <n v="8.1695238958556153"/>
    <n v="20.733793735687392"/>
    <n v="368837.80999999988"/>
    <n v="12"/>
    <n v="127959.18000000001"/>
  </r>
  <r>
    <x v="0"/>
    <x v="2"/>
    <x v="4"/>
    <x v="8"/>
    <x v="35"/>
    <x v="35"/>
    <x v="0"/>
    <n v="1900"/>
    <n v="309.85063705005138"/>
    <n v="1486.3885700516587"/>
    <n v="17503428.240000024"/>
    <n v="354"/>
    <n v="3497531.2600000016"/>
  </r>
  <r>
    <x v="0"/>
    <x v="2"/>
    <x v="4"/>
    <x v="8"/>
    <x v="36"/>
    <x v="36"/>
    <x v="0"/>
    <n v="1557"/>
    <n v="278.46374745016868"/>
    <n v="1302.5404503953268"/>
    <n v="14495699.550000008"/>
    <n v="327"/>
    <n v="2996500.5299999979"/>
  </r>
  <r>
    <x v="0"/>
    <x v="2"/>
    <x v="4"/>
    <x v="8"/>
    <x v="37"/>
    <x v="37"/>
    <x v="0"/>
    <n v="952"/>
    <n v="256.932748724644"/>
    <n v="992.68312234536188"/>
    <n v="13349083.969999993"/>
    <n v="289"/>
    <n v="3659756.120000002"/>
  </r>
  <r>
    <x v="0"/>
    <x v="2"/>
    <x v="4"/>
    <x v="8"/>
    <x v="38"/>
    <x v="38"/>
    <x v="0"/>
    <n v="347"/>
    <n v="72.41404907687199"/>
    <n v="383.06410611673175"/>
    <n v="5450958.5099999998"/>
    <n v="78"/>
    <n v="799612.76000000013"/>
  </r>
  <r>
    <x v="0"/>
    <x v="2"/>
    <x v="4"/>
    <x v="8"/>
    <x v="39"/>
    <x v="39"/>
    <x v="0"/>
    <n v="975"/>
    <n v="278.10097045479313"/>
    <n v="1006.915996163921"/>
    <n v="14229647.609999968"/>
    <n v="295"/>
    <n v="3902510.0499999984"/>
  </r>
  <r>
    <x v="0"/>
    <x v="2"/>
    <x v="4"/>
    <x v="8"/>
    <x v="40"/>
    <x v="40"/>
    <x v="0"/>
    <n v="1990"/>
    <n v="290.53808229624588"/>
    <n v="1693.6434804095882"/>
    <n v="22476886.240000039"/>
    <n v="286"/>
    <n v="3826548.8199999956"/>
  </r>
  <r>
    <x v="0"/>
    <x v="2"/>
    <x v="4"/>
    <x v="8"/>
    <x v="41"/>
    <x v="41"/>
    <x v="0"/>
    <n v="222"/>
    <n v="0.99382198733084326"/>
    <n v="409.87257077497969"/>
    <n v="6056648.2900000047"/>
    <n v="1"/>
    <n v="11328.52"/>
  </r>
  <r>
    <x v="0"/>
    <x v="2"/>
    <x v="4"/>
    <x v="8"/>
    <x v="42"/>
    <x v="42"/>
    <x v="0"/>
    <n v="279"/>
    <n v="65.347844166951333"/>
    <n v="213.93941627271903"/>
    <n v="2235481.4800000004"/>
    <n v="94"/>
    <n v="630911.35000000009"/>
  </r>
  <r>
    <x v="0"/>
    <x v="2"/>
    <x v="4"/>
    <x v="8"/>
    <x v="43"/>
    <x v="43"/>
    <x v="0"/>
    <n v="305"/>
    <n v="100.74461471571634"/>
    <n v="376.75007519722328"/>
    <n v="4177046.0799999996"/>
    <n v="90"/>
    <n v="1028777.2799999999"/>
  </r>
  <r>
    <x v="0"/>
    <x v="2"/>
    <x v="4"/>
    <x v="8"/>
    <x v="44"/>
    <x v="44"/>
    <x v="0"/>
    <n v="1314"/>
    <n v="272.76467952281956"/>
    <n v="1065.5726374161725"/>
    <n v="15711524.080000024"/>
    <n v="310"/>
    <n v="4094466.120000001"/>
  </r>
  <r>
    <x v="0"/>
    <x v="2"/>
    <x v="4"/>
    <x v="8"/>
    <x v="45"/>
    <x v="45"/>
    <x v="0"/>
    <n v="1608"/>
    <n v="220.44027918984659"/>
    <n v="1714.6329481420062"/>
    <n v="22967211.940000016"/>
    <n v="262"/>
    <n v="2948902.51"/>
  </r>
  <r>
    <x v="0"/>
    <x v="2"/>
    <x v="4"/>
    <x v="8"/>
    <x v="46"/>
    <x v="46"/>
    <x v="0"/>
    <n v="121"/>
    <n v="18.528675763798045"/>
    <n v="150.37697008300736"/>
    <n v="4944490.07"/>
    <n v="18"/>
    <n v="593227.82999999996"/>
  </r>
  <r>
    <x v="0"/>
    <x v="2"/>
    <x v="4"/>
    <x v="8"/>
    <x v="47"/>
    <x v="47"/>
    <x v="0"/>
    <n v="566"/>
    <n v="83.414339936641227"/>
    <n v="478.81832689606517"/>
    <n v="5618807.7400000012"/>
    <n v="100"/>
    <n v="923301.10000000009"/>
  </r>
  <r>
    <x v="0"/>
    <x v="2"/>
    <x v="4"/>
    <x v="9"/>
    <x v="0"/>
    <x v="0"/>
    <x v="0"/>
    <n v="1629"/>
    <n v="283.41203938708782"/>
    <n v="1473.8532102114516"/>
    <n v="17187674.489999995"/>
    <n v="315"/>
    <n v="3223379.9499999997"/>
  </r>
  <r>
    <x v="0"/>
    <x v="2"/>
    <x v="4"/>
    <x v="9"/>
    <x v="1"/>
    <x v="1"/>
    <x v="0"/>
    <n v="2420"/>
    <n v="475.71046493568423"/>
    <n v="4259.283190703015"/>
    <n v="94861626.359999821"/>
    <n v="388"/>
    <n v="10391014.029999996"/>
  </r>
  <r>
    <x v="0"/>
    <x v="2"/>
    <x v="4"/>
    <x v="9"/>
    <x v="2"/>
    <x v="2"/>
    <x v="0"/>
    <n v="1134"/>
    <n v="225.04650613112685"/>
    <n v="1099.4534249842595"/>
    <n v="17937419.940000031"/>
    <n v="237"/>
    <n v="3540107.0100000002"/>
  </r>
  <r>
    <x v="0"/>
    <x v="2"/>
    <x v="4"/>
    <x v="9"/>
    <x v="3"/>
    <x v="3"/>
    <x v="0"/>
    <n v="3186"/>
    <n v="308.76336706391163"/>
    <n v="2486.3309373044085"/>
    <n v="30556353.6599999"/>
    <n v="318"/>
    <n v="4342303.9600000028"/>
  </r>
  <r>
    <x v="0"/>
    <x v="2"/>
    <x v="4"/>
    <x v="9"/>
    <x v="4"/>
    <x v="4"/>
    <x v="0"/>
    <n v="1621"/>
    <n v="288.03858632810932"/>
    <n v="1464.8179613266382"/>
    <n v="19149730.539999951"/>
    <n v="305"/>
    <n v="3920172.4500000034"/>
  </r>
  <r>
    <x v="0"/>
    <x v="2"/>
    <x v="4"/>
    <x v="9"/>
    <x v="5"/>
    <x v="5"/>
    <x v="0"/>
    <n v="506"/>
    <n v="93.879829803228134"/>
    <n v="403.56806485534946"/>
    <n v="5534844.2700000014"/>
    <n v="119"/>
    <n v="1405503.2399999995"/>
  </r>
  <r>
    <x v="0"/>
    <x v="2"/>
    <x v="4"/>
    <x v="9"/>
    <x v="6"/>
    <x v="6"/>
    <x v="0"/>
    <n v="1407"/>
    <n v="152.06227006152332"/>
    <n v="1472.6011952274105"/>
    <n v="19565767.650000025"/>
    <n v="172"/>
    <n v="2353912.9499999997"/>
  </r>
  <r>
    <x v="0"/>
    <x v="2"/>
    <x v="4"/>
    <x v="9"/>
    <x v="7"/>
    <x v="7"/>
    <x v="0"/>
    <n v="4071"/>
    <n v="741.26987155035556"/>
    <n v="5470.7668312591322"/>
    <n v="121139394.37999998"/>
    <n v="718"/>
    <n v="19645266.819999997"/>
  </r>
  <r>
    <x v="0"/>
    <x v="2"/>
    <x v="4"/>
    <x v="9"/>
    <x v="8"/>
    <x v="8"/>
    <x v="0"/>
    <n v="268"/>
    <n v="51.176934347600842"/>
    <n v="187.39225861113965"/>
    <n v="2593129.5299999984"/>
    <n v="74"/>
    <n v="708489.62"/>
  </r>
  <r>
    <x v="0"/>
    <x v="2"/>
    <x v="4"/>
    <x v="9"/>
    <x v="9"/>
    <x v="9"/>
    <x v="0"/>
    <n v="1685"/>
    <n v="332.32958076349166"/>
    <n v="1539.5676783737231"/>
    <n v="21088193.170000032"/>
    <n v="370"/>
    <n v="5047220.6700000037"/>
  </r>
  <r>
    <x v="0"/>
    <x v="2"/>
    <x v="4"/>
    <x v="9"/>
    <x v="10"/>
    <x v="10"/>
    <x v="0"/>
    <n v="1762"/>
    <n v="291.59186528281259"/>
    <n v="1946.4661421866226"/>
    <n v="34385974.379999928"/>
    <n v="298"/>
    <n v="5742954.54"/>
  </r>
  <r>
    <x v="1"/>
    <x v="3"/>
    <x v="5"/>
    <x v="6"/>
    <x v="11"/>
    <x v="11"/>
    <x v="0"/>
    <n v="544"/>
    <n v="154.88314399999999"/>
    <n v="499.9004389999991"/>
    <n v="7535199.2600000054"/>
    <n v="182"/>
    <n v="2313800.8199999989"/>
  </r>
  <r>
    <x v="0"/>
    <x v="2"/>
    <x v="4"/>
    <x v="9"/>
    <x v="12"/>
    <x v="12"/>
    <x v="0"/>
    <n v="2332"/>
    <n v="455.74176119024395"/>
    <n v="1990.3874186267142"/>
    <n v="27359501.729999993"/>
    <n v="545"/>
    <n v="6208511.3100000042"/>
  </r>
  <r>
    <x v="0"/>
    <x v="2"/>
    <x v="4"/>
    <x v="9"/>
    <x v="13"/>
    <x v="13"/>
    <x v="0"/>
    <n v="1139"/>
    <n v="209.92422932390423"/>
    <n v="1051.0400276014291"/>
    <n v="14318409.639999993"/>
    <n v="193"/>
    <n v="3006558.3899999987"/>
  </r>
  <r>
    <x v="0"/>
    <x v="2"/>
    <x v="4"/>
    <x v="9"/>
    <x v="14"/>
    <x v="14"/>
    <x v="0"/>
    <n v="219"/>
    <n v="37.7505005187599"/>
    <n v="170.64476482463533"/>
    <n v="1676408.0100000007"/>
    <n v="48"/>
    <n v="325258.38999999996"/>
  </r>
  <r>
    <x v="0"/>
    <x v="2"/>
    <x v="4"/>
    <x v="9"/>
    <x v="15"/>
    <x v="15"/>
    <x v="0"/>
    <n v="741"/>
    <n v="124.3468354148373"/>
    <n v="615.1008261587466"/>
    <n v="8049952.2500000047"/>
    <n v="157"/>
    <n v="1666821.58"/>
  </r>
  <r>
    <x v="0"/>
    <x v="2"/>
    <x v="4"/>
    <x v="9"/>
    <x v="16"/>
    <x v="16"/>
    <x v="0"/>
    <n v="1632"/>
    <n v="309.36768805620784"/>
    <n v="1609.0800404875897"/>
    <n v="19429117.530000076"/>
    <n v="335"/>
    <n v="3498699.2600000007"/>
  </r>
  <r>
    <x v="0"/>
    <x v="2"/>
    <x v="4"/>
    <x v="9"/>
    <x v="17"/>
    <x v="17"/>
    <x v="0"/>
    <n v="1275"/>
    <n v="225.21292412900516"/>
    <n v="1426.7663738117044"/>
    <n v="16458552.779999973"/>
    <n v="250"/>
    <n v="2344362.2500000005"/>
  </r>
  <r>
    <x v="0"/>
    <x v="2"/>
    <x v="4"/>
    <x v="9"/>
    <x v="18"/>
    <x v="18"/>
    <x v="0"/>
    <n v="2818"/>
    <n v="350.36602453356466"/>
    <n v="2443.4559168509791"/>
    <n v="25358129.74999994"/>
    <n v="408"/>
    <n v="4330279.4699999979"/>
  </r>
  <r>
    <x v="0"/>
    <x v="2"/>
    <x v="4"/>
    <x v="9"/>
    <x v="19"/>
    <x v="19"/>
    <x v="0"/>
    <n v="1037"/>
    <n v="222.24833716679774"/>
    <n v="1374.5779594770008"/>
    <n v="21529103.000000034"/>
    <n v="236"/>
    <n v="3725053.7999999993"/>
  </r>
  <r>
    <x v="0"/>
    <x v="2"/>
    <x v="4"/>
    <x v="9"/>
    <x v="20"/>
    <x v="20"/>
    <x v="0"/>
    <n v="1108"/>
    <n v="234.15139201505846"/>
    <n v="1061.4808224683345"/>
    <n v="14280492.299999995"/>
    <n v="254"/>
    <n v="3162470.8500000034"/>
  </r>
  <r>
    <x v="0"/>
    <x v="2"/>
    <x v="4"/>
    <x v="9"/>
    <x v="21"/>
    <x v="21"/>
    <x v="0"/>
    <n v="840"/>
    <n v="143.85610516613482"/>
    <n v="598.32841837256046"/>
    <n v="8069620.2999999914"/>
    <n v="186"/>
    <n v="2070871.8000000005"/>
  </r>
  <r>
    <x v="0"/>
    <x v="2"/>
    <x v="4"/>
    <x v="9"/>
    <x v="22"/>
    <x v="22"/>
    <x v="0"/>
    <n v="1855"/>
    <n v="381.3319061388143"/>
    <n v="1804.6807639940941"/>
    <n v="29201521.490000058"/>
    <n v="415"/>
    <n v="5858844.1899999976"/>
  </r>
  <r>
    <x v="0"/>
    <x v="2"/>
    <x v="4"/>
    <x v="9"/>
    <x v="23"/>
    <x v="23"/>
    <x v="0"/>
    <n v="153"/>
    <n v="35.536732546980808"/>
    <n v="133.61672129666562"/>
    <n v="2025654.6300000006"/>
    <n v="41"/>
    <n v="624807.75999999989"/>
  </r>
  <r>
    <x v="0"/>
    <x v="2"/>
    <x v="4"/>
    <x v="9"/>
    <x v="24"/>
    <x v="24"/>
    <x v="0"/>
    <n v="450"/>
    <n v="91.906225828387377"/>
    <n v="372.26621425438282"/>
    <n v="5124217.8500000034"/>
    <n v="108"/>
    <n v="1149865.5599999998"/>
  </r>
  <r>
    <x v="0"/>
    <x v="2"/>
    <x v="4"/>
    <x v="9"/>
    <x v="25"/>
    <x v="25"/>
    <x v="0"/>
    <n v="1051"/>
    <n v="192.70500354341357"/>
    <n v="892.11885562734301"/>
    <n v="12870701.830000022"/>
    <n v="222"/>
    <n v="2755093.3699999992"/>
  </r>
  <r>
    <x v="0"/>
    <x v="2"/>
    <x v="4"/>
    <x v="9"/>
    <x v="26"/>
    <x v="26"/>
    <x v="0"/>
    <n v="798"/>
    <n v="155.61845201618948"/>
    <n v="636.73359188297252"/>
    <n v="9353269.6399999913"/>
    <n v="175"/>
    <n v="3014201.7200000021"/>
  </r>
  <r>
    <x v="0"/>
    <x v="2"/>
    <x v="4"/>
    <x v="9"/>
    <x v="27"/>
    <x v="27"/>
    <x v="0"/>
    <n v="692"/>
    <n v="126.73665338437206"/>
    <n v="559.20688887127722"/>
    <n v="6798368.7999999961"/>
    <n v="141"/>
    <n v="1573347.57"/>
  </r>
  <r>
    <x v="0"/>
    <x v="2"/>
    <x v="4"/>
    <x v="9"/>
    <x v="28"/>
    <x v="28"/>
    <x v="0"/>
    <n v="714"/>
    <n v="92.011785827041692"/>
    <n v="627.65225399874146"/>
    <n v="8754068.6500000004"/>
    <n v="111"/>
    <n v="1396006.5100000002"/>
  </r>
  <r>
    <x v="0"/>
    <x v="2"/>
    <x v="4"/>
    <x v="9"/>
    <x v="29"/>
    <x v="29"/>
    <x v="0"/>
    <n v="488"/>
    <n v="134.35604228724074"/>
    <n v="520.7115323620144"/>
    <n v="11793233.840000004"/>
    <n v="130"/>
    <n v="2830891.5499999989"/>
  </r>
  <r>
    <x v="0"/>
    <x v="2"/>
    <x v="4"/>
    <x v="9"/>
    <x v="30"/>
    <x v="30"/>
    <x v="0"/>
    <n v="573"/>
    <n v="99.52820673122298"/>
    <n v="440.29114138720661"/>
    <n v="6008094.650000005"/>
    <n v="125"/>
    <n v="1432011.55"/>
  </r>
  <r>
    <x v="0"/>
    <x v="2"/>
    <x v="4"/>
    <x v="9"/>
    <x v="31"/>
    <x v="31"/>
    <x v="0"/>
    <n v="854"/>
    <n v="227.60476909851442"/>
    <n v="782.24213202804549"/>
    <n v="10786639.770000005"/>
    <n v="265"/>
    <n v="3009315.08"/>
  </r>
  <r>
    <x v="0"/>
    <x v="2"/>
    <x v="4"/>
    <x v="9"/>
    <x v="32"/>
    <x v="32"/>
    <x v="0"/>
    <n v="1665"/>
    <n v="346.05869858847404"/>
    <n v="1574.5347079279672"/>
    <n v="20438317.62999998"/>
    <n v="409"/>
    <n v="4391385.0300000012"/>
  </r>
  <r>
    <x v="0"/>
    <x v="2"/>
    <x v="4"/>
    <x v="9"/>
    <x v="33"/>
    <x v="33"/>
    <x v="0"/>
    <n v="1810"/>
    <n v="143.58024616965139"/>
    <n v="1413.3466519827894"/>
    <n v="21278754.809999939"/>
    <n v="183"/>
    <n v="2498214.120000001"/>
  </r>
  <r>
    <x v="0"/>
    <x v="2"/>
    <x v="4"/>
    <x v="9"/>
    <x v="34"/>
    <x v="34"/>
    <x v="0"/>
    <n v="21"/>
    <n v="7.4336559052363977"/>
    <n v="13.984979821720689"/>
    <n v="284605.46000000002"/>
    <n v="12"/>
    <n v="139468.32"/>
  </r>
  <r>
    <x v="0"/>
    <x v="2"/>
    <x v="4"/>
    <x v="9"/>
    <x v="35"/>
    <x v="35"/>
    <x v="0"/>
    <n v="1797"/>
    <n v="288.19436032612356"/>
    <n v="1378.6393534252375"/>
    <n v="16156446.20000004"/>
    <n v="330"/>
    <n v="3353125.1299999985"/>
  </r>
  <r>
    <x v="0"/>
    <x v="2"/>
    <x v="4"/>
    <x v="9"/>
    <x v="36"/>
    <x v="36"/>
    <x v="0"/>
    <n v="1480"/>
    <n v="275.61207248652158"/>
    <n v="1269.4159858175969"/>
    <n v="14161542.880000027"/>
    <n v="318"/>
    <n v="2877497.7800000017"/>
  </r>
  <r>
    <x v="0"/>
    <x v="2"/>
    <x v="4"/>
    <x v="9"/>
    <x v="37"/>
    <x v="37"/>
    <x v="0"/>
    <n v="970"/>
    <n v="226.72674310970737"/>
    <n v="1011.5370691050146"/>
    <n v="13152913.790000029"/>
    <n v="252"/>
    <n v="3002936.7200000007"/>
  </r>
  <r>
    <x v="0"/>
    <x v="2"/>
    <x v="4"/>
    <x v="9"/>
    <x v="38"/>
    <x v="38"/>
    <x v="0"/>
    <n v="280"/>
    <n v="68.593509125575849"/>
    <n v="317.80903594859797"/>
    <n v="4782624.59"/>
    <n v="79"/>
    <n v="804114.45000000019"/>
  </r>
  <r>
    <x v="0"/>
    <x v="2"/>
    <x v="4"/>
    <x v="9"/>
    <x v="39"/>
    <x v="39"/>
    <x v="0"/>
    <n v="861"/>
    <n v="248.19043083609006"/>
    <n v="906.02145545011513"/>
    <n v="13409664.610000011"/>
    <n v="270"/>
    <n v="3606904.2100000023"/>
  </r>
  <r>
    <x v="0"/>
    <x v="2"/>
    <x v="4"/>
    <x v="9"/>
    <x v="40"/>
    <x v="40"/>
    <x v="0"/>
    <n v="1877"/>
    <n v="236.60590098376869"/>
    <n v="1539.1115993795433"/>
    <n v="19740722.709999971"/>
    <n v="255"/>
    <n v="3204202.3900000006"/>
  </r>
  <r>
    <x v="0"/>
    <x v="2"/>
    <x v="4"/>
    <x v="9"/>
    <x v="41"/>
    <x v="41"/>
    <x v="0"/>
    <n v="195"/>
    <n v="0"/>
    <n v="357.16892544684094"/>
    <n v="5409544.8000000026"/>
    <n v="0"/>
    <n v="0"/>
  </r>
  <r>
    <x v="0"/>
    <x v="2"/>
    <x v="4"/>
    <x v="9"/>
    <x v="42"/>
    <x v="42"/>
    <x v="0"/>
    <n v="221"/>
    <n v="46.936213401661206"/>
    <n v="164.70220890039062"/>
    <n v="1681845.2299999991"/>
    <n v="65"/>
    <n v="435237.09000000008"/>
  </r>
  <r>
    <x v="0"/>
    <x v="2"/>
    <x v="4"/>
    <x v="9"/>
    <x v="43"/>
    <x v="43"/>
    <x v="0"/>
    <n v="237"/>
    <n v="63.41075619164517"/>
    <n v="250.34114580867285"/>
    <n v="2804392.34"/>
    <n v="67"/>
    <n v="732216.01000000036"/>
  </r>
  <r>
    <x v="0"/>
    <x v="2"/>
    <x v="4"/>
    <x v="9"/>
    <x v="44"/>
    <x v="44"/>
    <x v="0"/>
    <n v="1150"/>
    <n v="233.42426102432813"/>
    <n v="913.74186235169623"/>
    <n v="14271192.159999995"/>
    <n v="258"/>
    <n v="3250946.489999997"/>
  </r>
  <r>
    <x v="0"/>
    <x v="2"/>
    <x v="4"/>
    <x v="9"/>
    <x v="45"/>
    <x v="45"/>
    <x v="0"/>
    <n v="1583"/>
    <n v="205.28403838305709"/>
    <n v="1669.605546716019"/>
    <n v="20326677.820000015"/>
    <n v="222"/>
    <n v="2526219.1099999975"/>
  </r>
  <r>
    <x v="0"/>
    <x v="2"/>
    <x v="4"/>
    <x v="9"/>
    <x v="46"/>
    <x v="46"/>
    <x v="0"/>
    <n v="84"/>
    <n v="6.0451909229364293"/>
    <n v="112.90926156064249"/>
    <n v="4092350.2499999986"/>
    <n v="6"/>
    <n v="236082.37"/>
  </r>
  <r>
    <x v="0"/>
    <x v="2"/>
    <x v="4"/>
    <x v="9"/>
    <x v="47"/>
    <x v="47"/>
    <x v="0"/>
    <n v="465"/>
    <n v="77.756603008765552"/>
    <n v="406.47751581825975"/>
    <n v="4553083.6700000018"/>
    <n v="87"/>
    <n v="892007.32999999973"/>
  </r>
  <r>
    <x v="0"/>
    <x v="2"/>
    <x v="4"/>
    <x v="10"/>
    <x v="0"/>
    <x v="0"/>
    <x v="0"/>
    <n v="1590"/>
    <n v="273.88432650854656"/>
    <n v="1461.8154073649075"/>
    <n v="17288869.100000001"/>
    <n v="292"/>
    <n v="3194479.8399999985"/>
  </r>
  <r>
    <x v="0"/>
    <x v="2"/>
    <x v="4"/>
    <x v="10"/>
    <x v="1"/>
    <x v="1"/>
    <x v="0"/>
    <n v="2621"/>
    <n v="594.95351341558421"/>
    <n v="4671.0194954542503"/>
    <n v="101761277.10999997"/>
    <n v="409"/>
    <n v="12877835.889999997"/>
  </r>
  <r>
    <x v="0"/>
    <x v="2"/>
    <x v="4"/>
    <x v="10"/>
    <x v="2"/>
    <x v="2"/>
    <x v="0"/>
    <n v="1128"/>
    <n v="184.093972653186"/>
    <n v="1084.5560631741712"/>
    <n v="19226078.629999995"/>
    <n v="210"/>
    <n v="2991995.0800000015"/>
  </r>
  <r>
    <x v="0"/>
    <x v="2"/>
    <x v="4"/>
    <x v="10"/>
    <x v="3"/>
    <x v="3"/>
    <x v="0"/>
    <n v="3256"/>
    <n v="336.61298770888709"/>
    <n v="2569.5966002429309"/>
    <n v="31563933.54999999"/>
    <n v="335"/>
    <n v="4918599.82"/>
  </r>
  <r>
    <x v="0"/>
    <x v="2"/>
    <x v="4"/>
    <x v="10"/>
    <x v="4"/>
    <x v="4"/>
    <x v="0"/>
    <n v="1769"/>
    <n v="329.64106379776484"/>
    <n v="1538.4603313878486"/>
    <n v="20028307.780000009"/>
    <n v="342"/>
    <n v="4679212.8000000026"/>
  </r>
  <r>
    <x v="0"/>
    <x v="2"/>
    <x v="4"/>
    <x v="10"/>
    <x v="5"/>
    <x v="5"/>
    <x v="0"/>
    <n v="543"/>
    <n v="106.69070463991615"/>
    <n v="428.72793353461344"/>
    <n v="5429898.2499999963"/>
    <n v="138"/>
    <n v="1377469.9800000007"/>
  </r>
  <r>
    <x v="0"/>
    <x v="2"/>
    <x v="4"/>
    <x v="10"/>
    <x v="6"/>
    <x v="6"/>
    <x v="0"/>
    <n v="1335"/>
    <n v="127.88105936978332"/>
    <n v="1387.6983203097441"/>
    <n v="18300247.769999985"/>
    <n v="156"/>
    <n v="2038277.9400000011"/>
  </r>
  <r>
    <x v="0"/>
    <x v="2"/>
    <x v="4"/>
    <x v="10"/>
    <x v="7"/>
    <x v="7"/>
    <x v="0"/>
    <n v="4282"/>
    <n v="779.45659406355503"/>
    <n v="5936.1314873267329"/>
    <n v="139591614.54999998"/>
    <n v="781"/>
    <n v="19320246.390000001"/>
  </r>
  <r>
    <x v="0"/>
    <x v="2"/>
    <x v="4"/>
    <x v="10"/>
    <x v="8"/>
    <x v="8"/>
    <x v="0"/>
    <n v="232"/>
    <n v="48.094721386892651"/>
    <n v="161.30070994375257"/>
    <n v="2144214.3699999992"/>
    <n v="64"/>
    <n v="627383.09"/>
  </r>
  <r>
    <x v="0"/>
    <x v="2"/>
    <x v="4"/>
    <x v="10"/>
    <x v="9"/>
    <x v="9"/>
    <x v="0"/>
    <n v="1562"/>
    <n v="313.11844100839357"/>
    <n v="1455.9039334402623"/>
    <n v="20595059.540000029"/>
    <n v="334"/>
    <n v="5346065.2299999949"/>
  </r>
  <r>
    <x v="0"/>
    <x v="2"/>
    <x v="4"/>
    <x v="10"/>
    <x v="10"/>
    <x v="10"/>
    <x v="0"/>
    <n v="1861"/>
    <n v="291.7684092805618"/>
    <n v="2057.4975787712069"/>
    <n v="37071237.80999992"/>
    <n v="333"/>
    <n v="6220664.6499999948"/>
  </r>
  <r>
    <x v="1"/>
    <x v="3"/>
    <x v="5"/>
    <x v="7"/>
    <x v="11"/>
    <x v="11"/>
    <x v="0"/>
    <n v="438"/>
    <n v="129.79371599999996"/>
    <n v="364.10324799999944"/>
    <n v="6330837.8699999992"/>
    <n v="140"/>
    <n v="2573475.0400000005"/>
  </r>
  <r>
    <x v="0"/>
    <x v="2"/>
    <x v="4"/>
    <x v="10"/>
    <x v="12"/>
    <x v="12"/>
    <x v="0"/>
    <n v="2430"/>
    <n v="522.78102733563276"/>
    <n v="2087.1053063937593"/>
    <n v="28780536.67000008"/>
    <n v="601"/>
    <n v="7325957.5099999951"/>
  </r>
  <r>
    <x v="0"/>
    <x v="2"/>
    <x v="4"/>
    <x v="10"/>
    <x v="13"/>
    <x v="13"/>
    <x v="0"/>
    <n v="1220"/>
    <n v="211.80505929992739"/>
    <n v="1138.5134124863273"/>
    <n v="15064937.450000025"/>
    <n v="222"/>
    <n v="3098563.1199999996"/>
  </r>
  <r>
    <x v="0"/>
    <x v="2"/>
    <x v="4"/>
    <x v="10"/>
    <x v="14"/>
    <x v="14"/>
    <x v="0"/>
    <n v="258"/>
    <n v="29.76168562060062"/>
    <n v="204.27158339596352"/>
    <n v="2080034.6699999997"/>
    <n v="39"/>
    <n v="315170.02999999997"/>
  </r>
  <r>
    <x v="0"/>
    <x v="2"/>
    <x v="4"/>
    <x v="10"/>
    <x v="15"/>
    <x v="15"/>
    <x v="0"/>
    <n v="771"/>
    <n v="172.66404379889374"/>
    <n v="661.7464735641114"/>
    <n v="8057170.2400000012"/>
    <n v="183"/>
    <n v="2052772.439999999"/>
  </r>
  <r>
    <x v="0"/>
    <x v="2"/>
    <x v="4"/>
    <x v="10"/>
    <x v="16"/>
    <x v="16"/>
    <x v="0"/>
    <n v="1748"/>
    <n v="345.11815560046369"/>
    <n v="1750.5141476846009"/>
    <n v="21398598.060000002"/>
    <n v="347"/>
    <n v="4158864.0799999991"/>
  </r>
  <r>
    <x v="0"/>
    <x v="2"/>
    <x v="4"/>
    <x v="10"/>
    <x v="17"/>
    <x v="17"/>
    <x v="0"/>
    <n v="1373"/>
    <n v="214.78372826195567"/>
    <n v="1596.1848736519723"/>
    <n v="17924884.18999999"/>
    <n v="249"/>
    <n v="2257448.9100000011"/>
  </r>
  <r>
    <x v="0"/>
    <x v="2"/>
    <x v="4"/>
    <x v="10"/>
    <x v="18"/>
    <x v="18"/>
    <x v="0"/>
    <n v="2879"/>
    <n v="365.36921634230481"/>
    <n v="2487.6892042871027"/>
    <n v="26102264.579999991"/>
    <n v="435"/>
    <n v="4405025.6099999966"/>
  </r>
  <r>
    <x v="0"/>
    <x v="2"/>
    <x v="4"/>
    <x v="10"/>
    <x v="19"/>
    <x v="19"/>
    <x v="0"/>
    <n v="1051"/>
    <n v="232.62847603447258"/>
    <n v="1367.2817255700118"/>
    <n v="20883314.490000002"/>
    <n v="259"/>
    <n v="3842167.0500000003"/>
  </r>
  <r>
    <x v="0"/>
    <x v="2"/>
    <x v="4"/>
    <x v="10"/>
    <x v="20"/>
    <x v="20"/>
    <x v="0"/>
    <n v="1119"/>
    <n v="214.19825026941956"/>
    <n v="1098.209300000123"/>
    <n v="15308705.86000002"/>
    <n v="221"/>
    <n v="3003641.0899999994"/>
  </r>
  <r>
    <x v="0"/>
    <x v="2"/>
    <x v="4"/>
    <x v="10"/>
    <x v="21"/>
    <x v="21"/>
    <x v="0"/>
    <n v="882"/>
    <n v="128.85784135733141"/>
    <n v="630.01552496861279"/>
    <n v="8204033.6200000057"/>
    <n v="170"/>
    <n v="1878482.1500000001"/>
  </r>
  <r>
    <x v="0"/>
    <x v="2"/>
    <x v="4"/>
    <x v="10"/>
    <x v="22"/>
    <x v="22"/>
    <x v="0"/>
    <n v="1992"/>
    <n v="427.81519154624891"/>
    <n v="2024.1353891965052"/>
    <n v="31406405.759999938"/>
    <n v="478"/>
    <n v="6537539.3900000043"/>
  </r>
  <r>
    <x v="0"/>
    <x v="2"/>
    <x v="4"/>
    <x v="10"/>
    <x v="23"/>
    <x v="23"/>
    <x v="0"/>
    <n v="167"/>
    <n v="34.044289566006348"/>
    <n v="145.50242814514772"/>
    <n v="1701507.6700000002"/>
    <n v="39"/>
    <n v="335260.50000000012"/>
  </r>
  <r>
    <x v="0"/>
    <x v="2"/>
    <x v="4"/>
    <x v="10"/>
    <x v="24"/>
    <x v="24"/>
    <x v="0"/>
    <n v="504"/>
    <n v="107.79765562580478"/>
    <n v="424.17740359262353"/>
    <n v="7008782.8600000031"/>
    <n v="116"/>
    <n v="1847003.2999999991"/>
  </r>
  <r>
    <x v="0"/>
    <x v="2"/>
    <x v="4"/>
    <x v="10"/>
    <x v="25"/>
    <x v="25"/>
    <x v="0"/>
    <n v="1056"/>
    <n v="198.69643746703503"/>
    <n v="909.86107540116723"/>
    <n v="13657363.309999987"/>
    <n v="225"/>
    <n v="2993842.4399999995"/>
  </r>
  <r>
    <x v="0"/>
    <x v="2"/>
    <x v="4"/>
    <x v="10"/>
    <x v="26"/>
    <x v="26"/>
    <x v="0"/>
    <n v="826"/>
    <n v="125.0309534061162"/>
    <n v="661.21715057085783"/>
    <n v="9492078.47999998"/>
    <n v="154"/>
    <n v="1751070.4499999993"/>
  </r>
  <r>
    <x v="0"/>
    <x v="2"/>
    <x v="4"/>
    <x v="10"/>
    <x v="27"/>
    <x v="27"/>
    <x v="0"/>
    <n v="698"/>
    <n v="119.5322894762127"/>
    <n v="594.18171942542153"/>
    <n v="6822453.9100000001"/>
    <n v="151"/>
    <n v="1362943.209999999"/>
  </r>
  <r>
    <x v="0"/>
    <x v="2"/>
    <x v="4"/>
    <x v="10"/>
    <x v="28"/>
    <x v="28"/>
    <x v="0"/>
    <n v="836"/>
    <n v="102.02531369939013"/>
    <n v="750.81027842873266"/>
    <n v="10296991.070000006"/>
    <n v="123"/>
    <n v="1415030.5699999998"/>
  </r>
  <r>
    <x v="0"/>
    <x v="2"/>
    <x v="4"/>
    <x v="10"/>
    <x v="29"/>
    <x v="29"/>
    <x v="0"/>
    <n v="516"/>
    <n v="117.95933749626455"/>
    <n v="484.39227082500895"/>
    <n v="10784329.80000001"/>
    <n v="153"/>
    <n v="2401357.7700000009"/>
  </r>
  <r>
    <x v="0"/>
    <x v="2"/>
    <x v="4"/>
    <x v="10"/>
    <x v="30"/>
    <x v="30"/>
    <x v="0"/>
    <n v="605"/>
    <n v="98.630180742670959"/>
    <n v="463.52219209105925"/>
    <n v="5800112.5700000003"/>
    <n v="120"/>
    <n v="1172159.24"/>
  </r>
  <r>
    <x v="0"/>
    <x v="2"/>
    <x v="4"/>
    <x v="10"/>
    <x v="31"/>
    <x v="31"/>
    <x v="0"/>
    <n v="897"/>
    <n v="224.08414414339495"/>
    <n v="820.80755353641655"/>
    <n v="11894538.090000007"/>
    <n v="287"/>
    <n v="3474928.3099999996"/>
  </r>
  <r>
    <x v="0"/>
    <x v="2"/>
    <x v="4"/>
    <x v="10"/>
    <x v="32"/>
    <x v="32"/>
    <x v="0"/>
    <n v="1681"/>
    <n v="401.44789788237733"/>
    <n v="1626.6437442636866"/>
    <n v="22171138.310000006"/>
    <n v="413"/>
    <n v="5463699.6100000003"/>
  </r>
  <r>
    <x v="0"/>
    <x v="2"/>
    <x v="4"/>
    <x v="10"/>
    <x v="33"/>
    <x v="33"/>
    <x v="0"/>
    <n v="1815"/>
    <n v="169.95930183337353"/>
    <n v="1418.0704389225687"/>
    <n v="22417039.979999971"/>
    <n v="209"/>
    <n v="2908593.0099999984"/>
  </r>
  <r>
    <x v="0"/>
    <x v="2"/>
    <x v="4"/>
    <x v="10"/>
    <x v="34"/>
    <x v="34"/>
    <x v="0"/>
    <n v="15"/>
    <n v="4.9425699369925464"/>
    <n v="9.5024958788630052"/>
    <n v="161939.78999999998"/>
    <n v="9"/>
    <n v="87346.510000000009"/>
  </r>
  <r>
    <x v="0"/>
    <x v="2"/>
    <x v="4"/>
    <x v="10"/>
    <x v="35"/>
    <x v="35"/>
    <x v="0"/>
    <n v="1761"/>
    <n v="251.51874979366099"/>
    <n v="1418.6273439154716"/>
    <n v="18584350.780000065"/>
    <n v="275"/>
    <n v="2993055.7699999972"/>
  </r>
  <r>
    <x v="0"/>
    <x v="2"/>
    <x v="4"/>
    <x v="10"/>
    <x v="36"/>
    <x v="36"/>
    <x v="0"/>
    <n v="1524"/>
    <n v="282.36183140047604"/>
    <n v="1248.2937160868635"/>
    <n v="14655726.679999992"/>
    <n v="322"/>
    <n v="3032236.3799999971"/>
  </r>
  <r>
    <x v="0"/>
    <x v="2"/>
    <x v="4"/>
    <x v="10"/>
    <x v="37"/>
    <x v="37"/>
    <x v="0"/>
    <n v="883"/>
    <n v="218.20839121829849"/>
    <n v="908.10133642360199"/>
    <n v="11866261.909999991"/>
    <n v="228"/>
    <n v="3083687.6300000013"/>
  </r>
  <r>
    <x v="0"/>
    <x v="2"/>
    <x v="4"/>
    <x v="10"/>
    <x v="38"/>
    <x v="38"/>
    <x v="0"/>
    <n v="323"/>
    <n v="81.170832965241274"/>
    <n v="327.59016782390876"/>
    <n v="5056305.2599999961"/>
    <n v="84"/>
    <n v="827484.54999999993"/>
  </r>
  <r>
    <x v="0"/>
    <x v="2"/>
    <x v="4"/>
    <x v="10"/>
    <x v="39"/>
    <x v="39"/>
    <x v="0"/>
    <n v="952"/>
    <n v="271.8901135339687"/>
    <n v="977.72178553608705"/>
    <n v="13651204.360000009"/>
    <n v="304"/>
    <n v="3929823.87"/>
  </r>
  <r>
    <x v="0"/>
    <x v="2"/>
    <x v="4"/>
    <x v="10"/>
    <x v="40"/>
    <x v="40"/>
    <x v="0"/>
    <n v="1962"/>
    <n v="276.55035547456015"/>
    <n v="1608.6884884925823"/>
    <n v="20386956.579999991"/>
    <n v="290"/>
    <n v="3615058.2299999981"/>
  </r>
  <r>
    <x v="0"/>
    <x v="2"/>
    <x v="4"/>
    <x v="10"/>
    <x v="41"/>
    <x v="41"/>
    <x v="0"/>
    <n v="200"/>
    <n v="0"/>
    <n v="375.92071120779485"/>
    <n v="6012885.879999999"/>
    <n v="0"/>
    <n v="0"/>
  </r>
  <r>
    <x v="0"/>
    <x v="2"/>
    <x v="4"/>
    <x v="10"/>
    <x v="42"/>
    <x v="42"/>
    <x v="0"/>
    <n v="266"/>
    <n v="56.670452277569986"/>
    <n v="212.23564129443864"/>
    <n v="2251809.4899999998"/>
    <n v="80"/>
    <n v="560962.52000000014"/>
  </r>
  <r>
    <x v="0"/>
    <x v="2"/>
    <x v="4"/>
    <x v="10"/>
    <x v="43"/>
    <x v="43"/>
    <x v="0"/>
    <n v="308"/>
    <n v="95.201055786385169"/>
    <n v="305.07133311097738"/>
    <n v="3703836.9199999995"/>
    <n v="92"/>
    <n v="1148167.53"/>
  </r>
  <r>
    <x v="0"/>
    <x v="2"/>
    <x v="4"/>
    <x v="10"/>
    <x v="44"/>
    <x v="44"/>
    <x v="0"/>
    <n v="1266"/>
    <n v="231.16913205307611"/>
    <n v="1002.1770812243307"/>
    <n v="14960198.249999993"/>
    <n v="285"/>
    <n v="3256228.1500000027"/>
  </r>
  <r>
    <x v="0"/>
    <x v="2"/>
    <x v="4"/>
    <x v="10"/>
    <x v="45"/>
    <x v="45"/>
    <x v="0"/>
    <n v="1575"/>
    <n v="202.59889541728688"/>
    <n v="1652.9260389286426"/>
    <n v="20239172.029999975"/>
    <n v="236"/>
    <n v="2364115.5599999996"/>
  </r>
  <r>
    <x v="0"/>
    <x v="2"/>
    <x v="4"/>
    <x v="10"/>
    <x v="46"/>
    <x v="46"/>
    <x v="0"/>
    <n v="128"/>
    <n v="11.382331854899018"/>
    <n v="157.30795399465177"/>
    <n v="5599683.6300000008"/>
    <n v="11"/>
    <n v="399001.39999999997"/>
  </r>
  <r>
    <x v="0"/>
    <x v="2"/>
    <x v="4"/>
    <x v="10"/>
    <x v="47"/>
    <x v="47"/>
    <x v="0"/>
    <n v="521"/>
    <n v="92.818912816752501"/>
    <n v="423.26426560426381"/>
    <n v="5111173.0199999996"/>
    <n v="109"/>
    <n v="1283022.8900000001"/>
  </r>
  <r>
    <x v="0"/>
    <x v="2"/>
    <x v="4"/>
    <x v="11"/>
    <x v="0"/>
    <x v="0"/>
    <x v="0"/>
    <n v="1593"/>
    <n v="275.33721149002554"/>
    <n v="1488.1911710286727"/>
    <n v="17866675.019999992"/>
    <n v="303"/>
    <n v="3279581.100000001"/>
  </r>
  <r>
    <x v="0"/>
    <x v="2"/>
    <x v="4"/>
    <x v="11"/>
    <x v="1"/>
    <x v="1"/>
    <x v="0"/>
    <n v="2558"/>
    <n v="538.36753613693793"/>
    <n v="4589.1950854973338"/>
    <n v="97215724.659999937"/>
    <n v="392"/>
    <n v="11566240.530000001"/>
  </r>
  <r>
    <x v="0"/>
    <x v="2"/>
    <x v="4"/>
    <x v="11"/>
    <x v="2"/>
    <x v="2"/>
    <x v="0"/>
    <n v="1120"/>
    <n v="166.33929087952117"/>
    <n v="1203.3983546591801"/>
    <n v="23190983.830000006"/>
    <n v="182"/>
    <n v="2866360.5299999993"/>
  </r>
  <r>
    <x v="0"/>
    <x v="2"/>
    <x v="4"/>
    <x v="11"/>
    <x v="3"/>
    <x v="3"/>
    <x v="0"/>
    <n v="3198"/>
    <n v="312.88617401135446"/>
    <n v="2505.3480020619695"/>
    <n v="31526008.320000019"/>
    <n v="304"/>
    <n v="4125504.879999999"/>
  </r>
  <r>
    <x v="0"/>
    <x v="2"/>
    <x v="4"/>
    <x v="11"/>
    <x v="4"/>
    <x v="4"/>
    <x v="0"/>
    <n v="1678"/>
    <n v="230.77900405804948"/>
    <n v="1466.4099513063356"/>
    <n v="19224131.609999999"/>
    <n v="277"/>
    <n v="3282665.22"/>
  </r>
  <r>
    <x v="0"/>
    <x v="2"/>
    <x v="4"/>
    <x v="11"/>
    <x v="5"/>
    <x v="5"/>
    <x v="0"/>
    <n v="532"/>
    <n v="101.33144470823551"/>
    <n v="406.03677382387804"/>
    <n v="5135399.9100000011"/>
    <n v="132"/>
    <n v="1197750.97"/>
  </r>
  <r>
    <x v="0"/>
    <x v="2"/>
    <x v="4"/>
    <x v="11"/>
    <x v="6"/>
    <x v="6"/>
    <x v="0"/>
    <n v="1489"/>
    <n v="150.86987907672375"/>
    <n v="1531.6404014747854"/>
    <n v="20999524.490000032"/>
    <n v="174"/>
    <n v="2192702.7000000016"/>
  </r>
  <r>
    <x v="0"/>
    <x v="2"/>
    <x v="4"/>
    <x v="11"/>
    <x v="7"/>
    <x v="7"/>
    <x v="0"/>
    <n v="4228"/>
    <n v="771.58232916393536"/>
    <n v="5752.4171306686703"/>
    <n v="136300183.5499998"/>
    <n v="730"/>
    <n v="19912906.710000012"/>
  </r>
  <r>
    <x v="0"/>
    <x v="2"/>
    <x v="4"/>
    <x v="11"/>
    <x v="8"/>
    <x v="8"/>
    <x v="0"/>
    <n v="220"/>
    <n v="49.548676368357739"/>
    <n v="163.23681291907116"/>
    <n v="2483013.8800000004"/>
    <n v="64"/>
    <n v="734601.28000000014"/>
  </r>
  <r>
    <x v="0"/>
    <x v="2"/>
    <x v="4"/>
    <x v="11"/>
    <x v="9"/>
    <x v="9"/>
    <x v="0"/>
    <n v="1574"/>
    <n v="288.41438432331876"/>
    <n v="1476.0744181831308"/>
    <n v="21249004.98000006"/>
    <n v="314"/>
    <n v="4344426.6099999994"/>
  </r>
  <r>
    <x v="0"/>
    <x v="2"/>
    <x v="4"/>
    <x v="11"/>
    <x v="10"/>
    <x v="10"/>
    <x v="0"/>
    <n v="1820"/>
    <n v="318.66728493765714"/>
    <n v="2168.9148713508685"/>
    <n v="35253480.009999976"/>
    <n v="296"/>
    <n v="5208322.7999999952"/>
  </r>
  <r>
    <x v="1"/>
    <x v="3"/>
    <x v="5"/>
    <x v="8"/>
    <x v="11"/>
    <x v="11"/>
    <x v="0"/>
    <n v="522"/>
    <n v="155.58833499999997"/>
    <n v="466.14526999999953"/>
    <n v="8054974.7700000061"/>
    <n v="180"/>
    <n v="2529261.7800000007"/>
  </r>
  <r>
    <x v="0"/>
    <x v="2"/>
    <x v="4"/>
    <x v="11"/>
    <x v="12"/>
    <x v="12"/>
    <x v="0"/>
    <n v="2382"/>
    <n v="401.65789887969976"/>
    <n v="1930.1422233947139"/>
    <n v="27167078.720000088"/>
    <n v="490"/>
    <n v="5984500.7600000016"/>
  </r>
  <r>
    <x v="0"/>
    <x v="2"/>
    <x v="4"/>
    <x v="11"/>
    <x v="13"/>
    <x v="13"/>
    <x v="0"/>
    <n v="1117"/>
    <n v="180.4515406996195"/>
    <n v="1036.8076097828618"/>
    <n v="13160745.539999994"/>
    <n v="196"/>
    <n v="2478464.5099999993"/>
  </r>
  <r>
    <x v="0"/>
    <x v="2"/>
    <x v="4"/>
    <x v="11"/>
    <x v="14"/>
    <x v="14"/>
    <x v="0"/>
    <n v="249"/>
    <n v="22.287596715879644"/>
    <n v="199.09335546197525"/>
    <n v="2003702.6300000008"/>
    <n v="33"/>
    <n v="272329.33999999997"/>
  </r>
  <r>
    <x v="0"/>
    <x v="2"/>
    <x v="4"/>
    <x v="11"/>
    <x v="15"/>
    <x v="15"/>
    <x v="0"/>
    <n v="767"/>
    <n v="133.76555229476827"/>
    <n v="664.00171153536121"/>
    <n v="8494361.3100000042"/>
    <n v="154"/>
    <n v="1762594.1799999992"/>
  </r>
  <r>
    <x v="0"/>
    <x v="2"/>
    <x v="4"/>
    <x v="11"/>
    <x v="16"/>
    <x v="16"/>
    <x v="0"/>
    <n v="1687"/>
    <n v="255.73746873988117"/>
    <n v="1802.8957310168453"/>
    <n v="19611750.800000079"/>
    <n v="266"/>
    <n v="2679056.9899999984"/>
  </r>
  <r>
    <x v="0"/>
    <x v="2"/>
    <x v="4"/>
    <x v="11"/>
    <x v="17"/>
    <x v="17"/>
    <x v="0"/>
    <n v="1355"/>
    <n v="212.65902828904117"/>
    <n v="1565.1852360471553"/>
    <n v="16187790.059999997"/>
    <n v="236"/>
    <n v="2090225.2199999983"/>
  </r>
  <r>
    <x v="0"/>
    <x v="2"/>
    <x v="4"/>
    <x v="11"/>
    <x v="18"/>
    <x v="18"/>
    <x v="0"/>
    <n v="2821"/>
    <n v="372.19578025528034"/>
    <n v="2386.6507675751291"/>
    <n v="24671127.559999987"/>
    <n v="415"/>
    <n v="3985196.3099999982"/>
  </r>
  <r>
    <x v="0"/>
    <x v="2"/>
    <x v="4"/>
    <x v="11"/>
    <x v="19"/>
    <x v="19"/>
    <x v="0"/>
    <n v="1094"/>
    <n v="241.26260592440531"/>
    <n v="1400.3219301488207"/>
    <n v="19356461.269999973"/>
    <n v="258"/>
    <n v="4088030.5099999993"/>
  </r>
  <r>
    <x v="0"/>
    <x v="2"/>
    <x v="4"/>
    <x v="11"/>
    <x v="20"/>
    <x v="20"/>
    <x v="0"/>
    <n v="1121"/>
    <n v="177.39272973861296"/>
    <n v="1088.7679701204788"/>
    <n v="15350304.229999989"/>
    <n v="201"/>
    <n v="2342520.2900000014"/>
  </r>
  <r>
    <x v="0"/>
    <x v="2"/>
    <x v="4"/>
    <x v="11"/>
    <x v="21"/>
    <x v="21"/>
    <x v="0"/>
    <n v="809"/>
    <n v="104.45023366847745"/>
    <n v="586.16644552760135"/>
    <n v="7879427.3100000136"/>
    <n v="132"/>
    <n v="1673462.4000000001"/>
  </r>
  <r>
    <x v="0"/>
    <x v="2"/>
    <x v="4"/>
    <x v="11"/>
    <x v="22"/>
    <x v="22"/>
    <x v="0"/>
    <n v="1970"/>
    <n v="382.7282871210133"/>
    <n v="1920.1571745220094"/>
    <n v="29202487.249999985"/>
    <n v="415"/>
    <n v="5605312.879999998"/>
  </r>
  <r>
    <x v="0"/>
    <x v="2"/>
    <x v="4"/>
    <x v="11"/>
    <x v="23"/>
    <x v="23"/>
    <x v="0"/>
    <n v="146"/>
    <n v="21.758638722622756"/>
    <n v="127.83388537038475"/>
    <n v="1847220.9300000011"/>
    <n v="29"/>
    <n v="287306.21999999997"/>
  </r>
  <r>
    <x v="0"/>
    <x v="2"/>
    <x v="4"/>
    <x v="11"/>
    <x v="24"/>
    <x v="24"/>
    <x v="0"/>
    <n v="468"/>
    <n v="76.830220020575027"/>
    <n v="369.97420028360114"/>
    <n v="5650005.490000003"/>
    <n v="100"/>
    <n v="1171824.9799999997"/>
  </r>
  <r>
    <x v="0"/>
    <x v="2"/>
    <x v="4"/>
    <x v="11"/>
    <x v="25"/>
    <x v="25"/>
    <x v="0"/>
    <n v="995"/>
    <n v="199.68195545447196"/>
    <n v="810.62910666616688"/>
    <n v="12084708.37999999"/>
    <n v="242"/>
    <n v="3060331.7299999986"/>
  </r>
  <r>
    <x v="0"/>
    <x v="2"/>
    <x v="4"/>
    <x v="11"/>
    <x v="26"/>
    <x v="26"/>
    <x v="0"/>
    <n v="832"/>
    <n v="139.58686422055868"/>
    <n v="640.78776583128888"/>
    <n v="11354380.340000018"/>
    <n v="175"/>
    <n v="2455425.09"/>
  </r>
  <r>
    <x v="0"/>
    <x v="2"/>
    <x v="4"/>
    <x v="11"/>
    <x v="27"/>
    <x v="27"/>
    <x v="0"/>
    <n v="689"/>
    <n v="121.96291044522741"/>
    <n v="574.84974967186349"/>
    <n v="6194171.9399999976"/>
    <n v="136"/>
    <n v="1371894.9500000004"/>
  </r>
  <r>
    <x v="0"/>
    <x v="2"/>
    <x v="4"/>
    <x v="11"/>
    <x v="28"/>
    <x v="28"/>
    <x v="0"/>
    <n v="808"/>
    <n v="91.872330828819457"/>
    <n v="699.01943308895727"/>
    <n v="9244790.1699999906"/>
    <n v="110"/>
    <n v="1286355.1800000002"/>
  </r>
  <r>
    <x v="0"/>
    <x v="2"/>
    <x v="4"/>
    <x v="11"/>
    <x v="29"/>
    <x v="29"/>
    <x v="0"/>
    <n v="486"/>
    <n v="131.91348931837828"/>
    <n v="452.07501523698681"/>
    <n v="11393040.170000002"/>
    <n v="146"/>
    <n v="3257246.3000000003"/>
  </r>
  <r>
    <x v="0"/>
    <x v="2"/>
    <x v="4"/>
    <x v="11"/>
    <x v="30"/>
    <x v="30"/>
    <x v="0"/>
    <n v="595"/>
    <n v="97.472900757423901"/>
    <n v="455.37470319492337"/>
    <n v="5772794.7400000039"/>
    <n v="125"/>
    <n v="1269070.8999999994"/>
  </r>
  <r>
    <x v="0"/>
    <x v="2"/>
    <x v="4"/>
    <x v="11"/>
    <x v="31"/>
    <x v="31"/>
    <x v="0"/>
    <n v="883"/>
    <n v="196.16441049931319"/>
    <n v="769.44837419113912"/>
    <n v="11647968.599999992"/>
    <n v="258"/>
    <n v="3029161.8299999996"/>
  </r>
  <r>
    <x v="0"/>
    <x v="2"/>
    <x v="4"/>
    <x v="11"/>
    <x v="32"/>
    <x v="32"/>
    <x v="0"/>
    <n v="1675"/>
    <n v="384.76040709510795"/>
    <n v="1662.8493848021367"/>
    <n v="20993023.61000007"/>
    <n v="390"/>
    <n v="4834247.3900000015"/>
  </r>
  <r>
    <x v="0"/>
    <x v="2"/>
    <x v="4"/>
    <x v="11"/>
    <x v="33"/>
    <x v="33"/>
    <x v="0"/>
    <n v="1838"/>
    <n v="183.1485226652386"/>
    <n v="1414.9788029619776"/>
    <n v="23262600.439999957"/>
    <n v="214"/>
    <n v="3413991.7400000007"/>
  </r>
  <r>
    <x v="0"/>
    <x v="2"/>
    <x v="4"/>
    <x v="11"/>
    <x v="34"/>
    <x v="34"/>
    <x v="0"/>
    <n v="22"/>
    <n v="3.4933599554669499"/>
    <n v="14.625843813551009"/>
    <n v="241834.24999999994"/>
    <n v="7"/>
    <n v="65207.839999999997"/>
  </r>
  <r>
    <x v="0"/>
    <x v="2"/>
    <x v="4"/>
    <x v="11"/>
    <x v="35"/>
    <x v="35"/>
    <x v="0"/>
    <n v="1827"/>
    <n v="265.86427161078569"/>
    <n v="1418.6303819154336"/>
    <n v="16212625.34999999"/>
    <n v="297"/>
    <n v="3103678.1300000008"/>
  </r>
  <r>
    <x v="0"/>
    <x v="2"/>
    <x v="4"/>
    <x v="11"/>
    <x v="36"/>
    <x v="36"/>
    <x v="0"/>
    <n v="1476"/>
    <n v="279.92925343148636"/>
    <n v="1262.5224719054759"/>
    <n v="13900220.889999982"/>
    <n v="301"/>
    <n v="2891783.2800000031"/>
  </r>
  <r>
    <x v="0"/>
    <x v="2"/>
    <x v="4"/>
    <x v="11"/>
    <x v="37"/>
    <x v="37"/>
    <x v="0"/>
    <n v="911"/>
    <n v="249.20635282313918"/>
    <n v="950.45127188372919"/>
    <n v="12297495.799999995"/>
    <n v="253"/>
    <n v="3462523.2700000009"/>
  </r>
  <r>
    <x v="0"/>
    <x v="2"/>
    <x v="4"/>
    <x v="11"/>
    <x v="38"/>
    <x v="38"/>
    <x v="0"/>
    <n v="323"/>
    <n v="73.517176062809398"/>
    <n v="318.0618929453745"/>
    <n v="5398638.9699999969"/>
    <n v="78"/>
    <n v="1005168.62"/>
  </r>
  <r>
    <x v="0"/>
    <x v="2"/>
    <x v="4"/>
    <x v="11"/>
    <x v="39"/>
    <x v="39"/>
    <x v="0"/>
    <n v="877"/>
    <n v="250.90567680147626"/>
    <n v="886.4292946998745"/>
    <n v="15529869.500000006"/>
    <n v="297"/>
    <n v="4086175.6999999988"/>
  </r>
  <r>
    <x v="0"/>
    <x v="2"/>
    <x v="4"/>
    <x v="11"/>
    <x v="40"/>
    <x v="40"/>
    <x v="0"/>
    <n v="1853"/>
    <n v="230.53918306110668"/>
    <n v="1522.7147315885702"/>
    <n v="19918199.389999997"/>
    <n v="257"/>
    <n v="3151023.3200000017"/>
  </r>
  <r>
    <x v="0"/>
    <x v="2"/>
    <x v="4"/>
    <x v="11"/>
    <x v="41"/>
    <x v="41"/>
    <x v="0"/>
    <n v="199"/>
    <n v="0"/>
    <n v="371.65380126218929"/>
    <n v="6149286.7000000039"/>
    <n v="0"/>
    <n v="0"/>
  </r>
  <r>
    <x v="0"/>
    <x v="2"/>
    <x v="4"/>
    <x v="11"/>
    <x v="42"/>
    <x v="42"/>
    <x v="0"/>
    <n v="235"/>
    <n v="39.944016490797146"/>
    <n v="177.52467073693094"/>
    <n v="1956019.74"/>
    <n v="58"/>
    <n v="427393.98000000004"/>
  </r>
  <r>
    <x v="0"/>
    <x v="2"/>
    <x v="4"/>
    <x v="11"/>
    <x v="43"/>
    <x v="43"/>
    <x v="0"/>
    <n v="331"/>
    <n v="71.607171087158008"/>
    <n v="340.0037086656626"/>
    <n v="4172730.1700000046"/>
    <n v="76"/>
    <n v="797493.14999999979"/>
  </r>
  <r>
    <x v="0"/>
    <x v="2"/>
    <x v="4"/>
    <x v="11"/>
    <x v="44"/>
    <x v="44"/>
    <x v="0"/>
    <n v="1214"/>
    <n v="246.98563985144892"/>
    <n v="952.82211985350455"/>
    <n v="15413365.559999982"/>
    <n v="291"/>
    <n v="3985799.3400000017"/>
  </r>
  <r>
    <x v="0"/>
    <x v="2"/>
    <x v="4"/>
    <x v="11"/>
    <x v="45"/>
    <x v="45"/>
    <x v="0"/>
    <n v="1504"/>
    <n v="203.29143440845846"/>
    <n v="1496.0025929290941"/>
    <n v="19794277.490000013"/>
    <n v="217"/>
    <n v="2910263.69"/>
  </r>
  <r>
    <x v="0"/>
    <x v="2"/>
    <x v="4"/>
    <x v="11"/>
    <x v="46"/>
    <x v="46"/>
    <x v="0"/>
    <n v="123"/>
    <n v="16.158786794009185"/>
    <n v="152.62607305433593"/>
    <n v="5285944.820000004"/>
    <n v="13"/>
    <n v="544706.34000000008"/>
  </r>
  <r>
    <x v="0"/>
    <x v="2"/>
    <x v="4"/>
    <x v="11"/>
    <x v="47"/>
    <x v="47"/>
    <x v="0"/>
    <n v="546"/>
    <n v="76.957704018949855"/>
    <n v="459.63994514055003"/>
    <n v="5482596.4000000041"/>
    <n v="93"/>
    <n v="892658.94000000018"/>
  </r>
  <r>
    <x v="0"/>
    <x v="4"/>
    <x v="4"/>
    <x v="1"/>
    <x v="0"/>
    <x v="0"/>
    <x v="0"/>
    <n v="1623"/>
    <n v="296.02366322631599"/>
    <n v="1440.3607886384116"/>
    <n v="17161341.210000001"/>
    <n v="312"/>
    <n v="3820701.7599999961"/>
  </r>
  <r>
    <x v="0"/>
    <x v="4"/>
    <x v="4"/>
    <x v="1"/>
    <x v="1"/>
    <x v="1"/>
    <x v="0"/>
    <n v="2409"/>
    <n v="538.01333914145266"/>
    <n v="4521.3427683623077"/>
    <n v="96577413.089999735"/>
    <n v="363"/>
    <n v="12949443.340000009"/>
  </r>
  <r>
    <x v="0"/>
    <x v="4"/>
    <x v="4"/>
    <x v="1"/>
    <x v="2"/>
    <x v="2"/>
    <x v="0"/>
    <n v="1134"/>
    <n v="209.29194533196463"/>
    <n v="1089.9680331051777"/>
    <n v="17129772.939999972"/>
    <n v="202"/>
    <n v="3287443.7000000007"/>
  </r>
  <r>
    <x v="0"/>
    <x v="4"/>
    <x v="4"/>
    <x v="1"/>
    <x v="3"/>
    <x v="3"/>
    <x v="0"/>
    <n v="3376"/>
    <n v="342.99300762755496"/>
    <n v="2602.2239468270018"/>
    <n v="31821114.160000011"/>
    <n v="327"/>
    <n v="5052774.3900000015"/>
  </r>
  <r>
    <x v="0"/>
    <x v="4"/>
    <x v="4"/>
    <x v="1"/>
    <x v="4"/>
    <x v="4"/>
    <x v="0"/>
    <n v="1747"/>
    <n v="263.45853064145371"/>
    <n v="1566.6105920289883"/>
    <n v="20571210.600000072"/>
    <n v="306"/>
    <n v="3433778.2199999997"/>
  </r>
  <r>
    <x v="0"/>
    <x v="4"/>
    <x v="4"/>
    <x v="1"/>
    <x v="5"/>
    <x v="5"/>
    <x v="0"/>
    <n v="483"/>
    <n v="87.959076878705261"/>
    <n v="362.94909237315642"/>
    <n v="4783549.6200000048"/>
    <n v="116"/>
    <n v="1195640.5599999996"/>
  </r>
  <r>
    <x v="0"/>
    <x v="4"/>
    <x v="4"/>
    <x v="1"/>
    <x v="6"/>
    <x v="6"/>
    <x v="0"/>
    <n v="1515"/>
    <n v="158.08161498478924"/>
    <n v="1615.9697713997589"/>
    <n v="21546509.819999974"/>
    <n v="179"/>
    <n v="2358980.08"/>
  </r>
  <r>
    <x v="0"/>
    <x v="4"/>
    <x v="4"/>
    <x v="1"/>
    <x v="7"/>
    <x v="7"/>
    <x v="0"/>
    <n v="4010"/>
    <n v="723.16485078115807"/>
    <n v="5586.082317789077"/>
    <n v="132204925.61999993"/>
    <n v="685"/>
    <n v="18885771.100000005"/>
  </r>
  <r>
    <x v="0"/>
    <x v="4"/>
    <x v="4"/>
    <x v="1"/>
    <x v="8"/>
    <x v="8"/>
    <x v="0"/>
    <n v="202"/>
    <n v="32.13652459032636"/>
    <n v="139.12063822650217"/>
    <n v="1857361.070000001"/>
    <n v="48"/>
    <n v="468512.6599999998"/>
  </r>
  <r>
    <x v="0"/>
    <x v="4"/>
    <x v="4"/>
    <x v="1"/>
    <x v="9"/>
    <x v="9"/>
    <x v="0"/>
    <n v="1642"/>
    <n v="295.81728522894724"/>
    <n v="1495.2912869381551"/>
    <n v="23002644.15000001"/>
    <n v="330"/>
    <n v="4453672.2299999986"/>
  </r>
  <r>
    <x v="0"/>
    <x v="4"/>
    <x v="4"/>
    <x v="1"/>
    <x v="10"/>
    <x v="10"/>
    <x v="0"/>
    <n v="1720"/>
    <n v="255.18997474686066"/>
    <n v="1925.982103447757"/>
    <n v="33542972.460000016"/>
    <n v="273"/>
    <n v="4922444.7899999991"/>
  </r>
  <r>
    <x v="1"/>
    <x v="3"/>
    <x v="5"/>
    <x v="9"/>
    <x v="11"/>
    <x v="11"/>
    <x v="0"/>
    <n v="472"/>
    <n v="152.77857900000001"/>
    <n v="409.62798599999979"/>
    <n v="6831298.5899999961"/>
    <n v="159"/>
    <n v="2665603.0000000005"/>
  </r>
  <r>
    <x v="0"/>
    <x v="4"/>
    <x v="4"/>
    <x v="1"/>
    <x v="12"/>
    <x v="12"/>
    <x v="0"/>
    <n v="2360"/>
    <n v="411.94268974859051"/>
    <n v="1868.0959791856669"/>
    <n v="28117728.750000037"/>
    <n v="487"/>
    <n v="6259609.879999998"/>
  </r>
  <r>
    <x v="0"/>
    <x v="4"/>
    <x v="4"/>
    <x v="1"/>
    <x v="13"/>
    <x v="13"/>
    <x v="0"/>
    <n v="1185"/>
    <n v="180.57361269806327"/>
    <n v="1033.8081788210973"/>
    <n v="14829043.190000014"/>
    <n v="185"/>
    <n v="2590645.5499999993"/>
  </r>
  <r>
    <x v="0"/>
    <x v="4"/>
    <x v="4"/>
    <x v="1"/>
    <x v="14"/>
    <x v="14"/>
    <x v="0"/>
    <n v="216"/>
    <n v="25.990814668671348"/>
    <n v="170.40493082769271"/>
    <n v="1816288.7299999995"/>
    <n v="33"/>
    <n v="308429.25999999995"/>
  </r>
  <r>
    <x v="0"/>
    <x v="4"/>
    <x v="4"/>
    <x v="1"/>
    <x v="15"/>
    <x v="15"/>
    <x v="0"/>
    <n v="778"/>
    <n v="120.96920045789508"/>
    <n v="632.29371593957262"/>
    <n v="7720507.8699999973"/>
    <n v="154"/>
    <n v="1425239.0899999994"/>
  </r>
  <r>
    <x v="0"/>
    <x v="4"/>
    <x v="4"/>
    <x v="1"/>
    <x v="16"/>
    <x v="16"/>
    <x v="0"/>
    <n v="1703"/>
    <n v="242.0337789145743"/>
    <n v="1702.3149202990385"/>
    <n v="22218387.669999972"/>
    <n v="245"/>
    <n v="3060197.7400000007"/>
  </r>
  <r>
    <x v="0"/>
    <x v="4"/>
    <x v="4"/>
    <x v="1"/>
    <x v="17"/>
    <x v="17"/>
    <x v="0"/>
    <n v="1347"/>
    <n v="220.93954718348175"/>
    <n v="1536.9908094065725"/>
    <n v="18013572.839999977"/>
    <n v="243"/>
    <n v="2437225.9600000004"/>
  </r>
  <r>
    <x v="0"/>
    <x v="4"/>
    <x v="4"/>
    <x v="1"/>
    <x v="18"/>
    <x v="18"/>
    <x v="0"/>
    <n v="2817"/>
    <n v="311.30128803155827"/>
    <n v="2419.9785381502652"/>
    <n v="26858478.849999975"/>
    <n v="366"/>
    <n v="3538734.6700000032"/>
  </r>
  <r>
    <x v="0"/>
    <x v="4"/>
    <x v="4"/>
    <x v="1"/>
    <x v="19"/>
    <x v="19"/>
    <x v="0"/>
    <n v="1002"/>
    <n v="256.82790772598014"/>
    <n v="1267.7741528385247"/>
    <n v="17899376.479999986"/>
    <n v="263"/>
    <n v="3771583.0600000005"/>
  </r>
  <r>
    <x v="0"/>
    <x v="4"/>
    <x v="4"/>
    <x v="1"/>
    <x v="20"/>
    <x v="20"/>
    <x v="0"/>
    <n v="1060"/>
    <n v="221.62099717479498"/>
    <n v="1019.8453759990966"/>
    <n v="15946640.020000005"/>
    <n v="223"/>
    <n v="3320194.7899999996"/>
  </r>
  <r>
    <x v="0"/>
    <x v="4"/>
    <x v="4"/>
    <x v="1"/>
    <x v="21"/>
    <x v="21"/>
    <x v="0"/>
    <n v="887"/>
    <n v="140.98726920270644"/>
    <n v="612.05585419756528"/>
    <n v="8972569.1699999925"/>
    <n v="183"/>
    <n v="2503266.5199999996"/>
  </r>
  <r>
    <x v="0"/>
    <x v="4"/>
    <x v="4"/>
    <x v="1"/>
    <x v="22"/>
    <x v="22"/>
    <x v="0"/>
    <n v="1914"/>
    <n v="362.59808037763128"/>
    <n v="1850.7075354073468"/>
    <n v="30423775.619999971"/>
    <n v="422"/>
    <n v="5403133.2499999991"/>
  </r>
  <r>
    <x v="0"/>
    <x v="4"/>
    <x v="4"/>
    <x v="1"/>
    <x v="23"/>
    <x v="23"/>
    <x v="0"/>
    <n v="166"/>
    <n v="37.206451525695385"/>
    <n v="135.59704127142078"/>
    <n v="1937798.04"/>
    <n v="49"/>
    <n v="660248.11000000022"/>
  </r>
  <r>
    <x v="0"/>
    <x v="4"/>
    <x v="4"/>
    <x v="1"/>
    <x v="24"/>
    <x v="24"/>
    <x v="0"/>
    <n v="486"/>
    <n v="88.551455871153721"/>
    <n v="381.55023613603078"/>
    <n v="6070613.330000001"/>
    <n v="101"/>
    <n v="1226968.1199999994"/>
  </r>
  <r>
    <x v="0"/>
    <x v="4"/>
    <x v="4"/>
    <x v="1"/>
    <x v="25"/>
    <x v="25"/>
    <x v="0"/>
    <n v="1000"/>
    <n v="188.29488659963314"/>
    <n v="808.44341369403037"/>
    <n v="12284917.690000014"/>
    <n v="225"/>
    <n v="2768914.0799999968"/>
  </r>
  <r>
    <x v="0"/>
    <x v="4"/>
    <x v="4"/>
    <x v="1"/>
    <x v="26"/>
    <x v="26"/>
    <x v="0"/>
    <n v="805"/>
    <n v="114.11415754528258"/>
    <n v="617.69511412567419"/>
    <n v="11573825.099999985"/>
    <n v="148"/>
    <n v="2213162.1100000003"/>
  </r>
  <r>
    <x v="0"/>
    <x v="4"/>
    <x v="4"/>
    <x v="1"/>
    <x v="27"/>
    <x v="27"/>
    <x v="0"/>
    <n v="743"/>
    <n v="113.28062955590832"/>
    <n v="580.28971660251489"/>
    <n v="6373548.9600000065"/>
    <n v="139"/>
    <n v="1182698.2099999995"/>
  </r>
  <r>
    <x v="0"/>
    <x v="4"/>
    <x v="4"/>
    <x v="1"/>
    <x v="28"/>
    <x v="28"/>
    <x v="0"/>
    <n v="818"/>
    <n v="84.123889927595926"/>
    <n v="684.07793327943011"/>
    <n v="8819101.709999999"/>
    <n v="108"/>
    <n v="1047940.7799999997"/>
  </r>
  <r>
    <x v="0"/>
    <x v="4"/>
    <x v="4"/>
    <x v="1"/>
    <x v="29"/>
    <x v="29"/>
    <x v="0"/>
    <n v="496"/>
    <n v="142.98175817728094"/>
    <n v="463.45070309197052"/>
    <n v="11264974.68"/>
    <n v="149"/>
    <n v="2860590.5700000012"/>
  </r>
  <r>
    <x v="0"/>
    <x v="4"/>
    <x v="4"/>
    <x v="1"/>
    <x v="30"/>
    <x v="30"/>
    <x v="0"/>
    <n v="587"/>
    <n v="100.51564371863527"/>
    <n v="451.70190824174352"/>
    <n v="5487649.2099999972"/>
    <n v="101"/>
    <n v="1122734.17"/>
  </r>
  <r>
    <x v="0"/>
    <x v="4"/>
    <x v="4"/>
    <x v="1"/>
    <x v="31"/>
    <x v="31"/>
    <x v="0"/>
    <n v="838"/>
    <n v="191.04467356457917"/>
    <n v="743.99162451565951"/>
    <n v="11242595.350000011"/>
    <n v="260"/>
    <n v="2935274.5900000003"/>
  </r>
  <r>
    <x v="0"/>
    <x v="4"/>
    <x v="4"/>
    <x v="1"/>
    <x v="32"/>
    <x v="32"/>
    <x v="0"/>
    <n v="1584"/>
    <n v="320.75660391102269"/>
    <n v="1466.9655072992475"/>
    <n v="18829210.510000072"/>
    <n v="355"/>
    <n v="3852931.970000003"/>
  </r>
  <r>
    <x v="0"/>
    <x v="4"/>
    <x v="4"/>
    <x v="1"/>
    <x v="33"/>
    <x v="33"/>
    <x v="0"/>
    <n v="1906"/>
    <n v="174.60915277409757"/>
    <n v="1503.9827868273628"/>
    <n v="21145479.449999973"/>
    <n v="198"/>
    <n v="2515437.2999999998"/>
  </r>
  <r>
    <x v="0"/>
    <x v="4"/>
    <x v="4"/>
    <x v="1"/>
    <x v="34"/>
    <x v="34"/>
    <x v="0"/>
    <n v="16"/>
    <n v="3.5694289544972286"/>
    <n v="10.994503859843016"/>
    <n v="170188.68"/>
    <n v="6"/>
    <n v="66729.790000000008"/>
  </r>
  <r>
    <x v="0"/>
    <x v="4"/>
    <x v="4"/>
    <x v="1"/>
    <x v="35"/>
    <x v="35"/>
    <x v="0"/>
    <n v="1729"/>
    <n v="210.5328333161458"/>
    <n v="1307.7364683291032"/>
    <n v="16849207.060000047"/>
    <n v="250"/>
    <n v="2520132.0900000008"/>
  </r>
  <r>
    <x v="0"/>
    <x v="4"/>
    <x v="4"/>
    <x v="1"/>
    <x v="36"/>
    <x v="36"/>
    <x v="0"/>
    <n v="1433"/>
    <n v="256.38756573159372"/>
    <n v="1252.5513220325886"/>
    <n v="14469491.439999992"/>
    <n v="275"/>
    <n v="3001325.1900000032"/>
  </r>
  <r>
    <x v="0"/>
    <x v="4"/>
    <x v="4"/>
    <x v="1"/>
    <x v="37"/>
    <x v="37"/>
    <x v="0"/>
    <n v="917"/>
    <n v="223.59858414958478"/>
    <n v="919.13680628292229"/>
    <n v="12835409.980000002"/>
    <n v="252"/>
    <n v="3490209.879999998"/>
  </r>
  <r>
    <x v="0"/>
    <x v="4"/>
    <x v="4"/>
    <x v="1"/>
    <x v="38"/>
    <x v="38"/>
    <x v="0"/>
    <n v="307"/>
    <n v="48.639947379942157"/>
    <n v="306.25463709589241"/>
    <n v="4267979.1999999993"/>
    <n v="57"/>
    <n v="619091.31999999995"/>
  </r>
  <r>
    <x v="0"/>
    <x v="4"/>
    <x v="4"/>
    <x v="1"/>
    <x v="39"/>
    <x v="39"/>
    <x v="0"/>
    <n v="859"/>
    <n v="257.50208671738602"/>
    <n v="846.98395920272162"/>
    <n v="18236560.480000004"/>
    <n v="279"/>
    <n v="5526710.5399999963"/>
  </r>
  <r>
    <x v="0"/>
    <x v="4"/>
    <x v="4"/>
    <x v="1"/>
    <x v="40"/>
    <x v="40"/>
    <x v="0"/>
    <n v="1908"/>
    <n v="212.80605328716686"/>
    <n v="1483.2273710919535"/>
    <n v="20382020.330000039"/>
    <n v="220"/>
    <n v="2763643.8099999996"/>
  </r>
  <r>
    <x v="0"/>
    <x v="4"/>
    <x v="4"/>
    <x v="1"/>
    <x v="41"/>
    <x v="41"/>
    <x v="0"/>
    <n v="203"/>
    <n v="0"/>
    <n v="374.62613322429843"/>
    <n v="6613611.4499999993"/>
    <n v="0"/>
    <n v="0"/>
  </r>
  <r>
    <x v="0"/>
    <x v="4"/>
    <x v="4"/>
    <x v="1"/>
    <x v="42"/>
    <x v="42"/>
    <x v="0"/>
    <n v="255"/>
    <n v="52.243050334010114"/>
    <n v="184.87806464319064"/>
    <n v="1875469"/>
    <n v="72"/>
    <n v="489087.7699999999"/>
  </r>
  <r>
    <x v="0"/>
    <x v="4"/>
    <x v="4"/>
    <x v="1"/>
    <x v="43"/>
    <x v="43"/>
    <x v="0"/>
    <n v="330"/>
    <n v="75.812786033545152"/>
    <n v="336.8636877056914"/>
    <n v="3990954.7600000012"/>
    <n v="78"/>
    <n v="782915.85"/>
  </r>
  <r>
    <x v="0"/>
    <x v="4"/>
    <x v="4"/>
    <x v="1"/>
    <x v="44"/>
    <x v="44"/>
    <x v="0"/>
    <n v="1170"/>
    <n v="220.82763218490865"/>
    <n v="930.21768114166355"/>
    <n v="15575487.200000018"/>
    <n v="270"/>
    <n v="3967633.3000000017"/>
  </r>
  <r>
    <x v="0"/>
    <x v="4"/>
    <x v="4"/>
    <x v="1"/>
    <x v="45"/>
    <x v="45"/>
    <x v="0"/>
    <n v="1534"/>
    <n v="176.81738074594739"/>
    <n v="1536.8712204081041"/>
    <n v="19828122.149999928"/>
    <n v="203"/>
    <n v="2389232.1000000006"/>
  </r>
  <r>
    <x v="0"/>
    <x v="4"/>
    <x v="4"/>
    <x v="1"/>
    <x v="46"/>
    <x v="46"/>
    <x v="0"/>
    <n v="106"/>
    <n v="5.9360059243283096"/>
    <n v="139.67147921948001"/>
    <n v="5568240.7299999977"/>
    <n v="7"/>
    <n v="251510.09999999998"/>
  </r>
  <r>
    <x v="0"/>
    <x v="4"/>
    <x v="4"/>
    <x v="1"/>
    <x v="47"/>
    <x v="47"/>
    <x v="0"/>
    <n v="491"/>
    <n v="70.006629107561579"/>
    <n v="401.42192888270813"/>
    <n v="4733291.469999996"/>
    <n v="84"/>
    <n v="897179.41000000027"/>
  </r>
  <r>
    <x v="0"/>
    <x v="4"/>
    <x v="4"/>
    <x v="3"/>
    <x v="0"/>
    <x v="0"/>
    <x v="0"/>
    <n v="1601"/>
    <n v="303.60703512964398"/>
    <n v="1448.7061265320267"/>
    <n v="17441274.380000021"/>
    <n v="298"/>
    <n v="3654275.3800000036"/>
  </r>
  <r>
    <x v="0"/>
    <x v="4"/>
    <x v="4"/>
    <x v="3"/>
    <x v="1"/>
    <x v="1"/>
    <x v="0"/>
    <n v="2674"/>
    <n v="610.17066722159666"/>
    <n v="4985.718854442478"/>
    <n v="109355535.72000012"/>
    <n v="405"/>
    <n v="14070817.79000001"/>
  </r>
  <r>
    <x v="0"/>
    <x v="4"/>
    <x v="4"/>
    <x v="3"/>
    <x v="2"/>
    <x v="2"/>
    <x v="0"/>
    <n v="1256"/>
    <n v="226.08521811788555"/>
    <n v="1295.3205244873673"/>
    <n v="20886671.860000018"/>
    <n v="229"/>
    <n v="3540744.3200000003"/>
  </r>
  <r>
    <x v="0"/>
    <x v="4"/>
    <x v="4"/>
    <x v="3"/>
    <x v="3"/>
    <x v="3"/>
    <x v="0"/>
    <n v="3376"/>
    <n v="299.72220917916712"/>
    <n v="2619.4693566071464"/>
    <n v="33185781.089999937"/>
    <n v="302"/>
    <n v="3854840.1099999971"/>
  </r>
  <r>
    <x v="0"/>
    <x v="4"/>
    <x v="4"/>
    <x v="3"/>
    <x v="4"/>
    <x v="4"/>
    <x v="0"/>
    <n v="1684"/>
    <n v="291.4945222840534"/>
    <n v="1499.8093678805662"/>
    <n v="19738633.879999973"/>
    <n v="303"/>
    <n v="4048731.8700000034"/>
  </r>
  <r>
    <x v="0"/>
    <x v="4"/>
    <x v="4"/>
    <x v="3"/>
    <x v="5"/>
    <x v="5"/>
    <x v="0"/>
    <n v="523"/>
    <n v="99.220785735142002"/>
    <n v="380.29932115197687"/>
    <n v="5365208.9800000051"/>
    <n v="136"/>
    <n v="1357228.6899999997"/>
  </r>
  <r>
    <x v="0"/>
    <x v="4"/>
    <x v="4"/>
    <x v="3"/>
    <x v="6"/>
    <x v="6"/>
    <x v="0"/>
    <n v="1464"/>
    <n v="165.90060588511341"/>
    <n v="1496.0345679286852"/>
    <n v="18880022.090000022"/>
    <n v="196"/>
    <n v="2355447.9499999988"/>
  </r>
  <r>
    <x v="0"/>
    <x v="4"/>
    <x v="4"/>
    <x v="3"/>
    <x v="7"/>
    <x v="7"/>
    <x v="0"/>
    <n v="4236"/>
    <n v="783.79675300822726"/>
    <n v="5803.638113015706"/>
    <n v="129532366.22000003"/>
    <n v="729"/>
    <n v="18037126.97000001"/>
  </r>
  <r>
    <x v="0"/>
    <x v="4"/>
    <x v="4"/>
    <x v="3"/>
    <x v="8"/>
    <x v="8"/>
    <x v="0"/>
    <n v="195"/>
    <n v="24.584690686596499"/>
    <n v="147.07926912504621"/>
    <n v="1843632.2199999986"/>
    <n v="38"/>
    <n v="394020.07"/>
  </r>
  <r>
    <x v="0"/>
    <x v="4"/>
    <x v="4"/>
    <x v="3"/>
    <x v="9"/>
    <x v="9"/>
    <x v="0"/>
    <n v="1636"/>
    <n v="282.40003839998894"/>
    <n v="1442.7578686078448"/>
    <n v="21567929.169999991"/>
    <n v="311"/>
    <n v="4080250.1799999969"/>
  </r>
  <r>
    <x v="0"/>
    <x v="4"/>
    <x v="4"/>
    <x v="3"/>
    <x v="10"/>
    <x v="10"/>
    <x v="0"/>
    <n v="1864"/>
    <n v="319.07241393249268"/>
    <n v="2089.9251123578201"/>
    <n v="38101952.869999841"/>
    <n v="302"/>
    <n v="6429624.3000000026"/>
  </r>
  <r>
    <x v="1"/>
    <x v="3"/>
    <x v="5"/>
    <x v="10"/>
    <x v="11"/>
    <x v="11"/>
    <x v="0"/>
    <n v="479"/>
    <n v="121.97160600000004"/>
    <n v="413.19259099999948"/>
    <n v="8035337.7299999986"/>
    <n v="145"/>
    <n v="2315157.44"/>
  </r>
  <r>
    <x v="0"/>
    <x v="4"/>
    <x v="4"/>
    <x v="3"/>
    <x v="12"/>
    <x v="12"/>
    <x v="0"/>
    <n v="2446"/>
    <n v="409.74234777663992"/>
    <n v="1990.9366326197073"/>
    <n v="27063426.930000078"/>
    <n v="504"/>
    <n v="5380204.8999999966"/>
  </r>
  <r>
    <x v="0"/>
    <x v="4"/>
    <x v="4"/>
    <x v="3"/>
    <x v="13"/>
    <x v="13"/>
    <x v="0"/>
    <n v="1147"/>
    <n v="192.26873454897495"/>
    <n v="1006.6691031670637"/>
    <n v="14822637.059999982"/>
    <n v="191"/>
    <n v="2978076.600000001"/>
  </r>
  <r>
    <x v="0"/>
    <x v="4"/>
    <x v="4"/>
    <x v="3"/>
    <x v="14"/>
    <x v="14"/>
    <x v="0"/>
    <n v="197"/>
    <n v="23.073861705856412"/>
    <n v="167.37868786627092"/>
    <n v="1445564.4299999997"/>
    <n v="32"/>
    <n v="163411.66"/>
  </r>
  <r>
    <x v="0"/>
    <x v="4"/>
    <x v="4"/>
    <x v="3"/>
    <x v="15"/>
    <x v="15"/>
    <x v="0"/>
    <n v="795"/>
    <n v="164.42558190391702"/>
    <n v="621.20096808098197"/>
    <n v="7558306.9500000067"/>
    <n v="188"/>
    <n v="1963108.1900000002"/>
  </r>
  <r>
    <x v="0"/>
    <x v="4"/>
    <x v="4"/>
    <x v="3"/>
    <x v="16"/>
    <x v="16"/>
    <x v="0"/>
    <n v="1662"/>
    <n v="295.5435432324366"/>
    <n v="1696.2625633761943"/>
    <n v="21870570.550000008"/>
    <n v="297"/>
    <n v="3739160.2400000021"/>
  </r>
  <r>
    <x v="0"/>
    <x v="4"/>
    <x v="4"/>
    <x v="3"/>
    <x v="17"/>
    <x v="17"/>
    <x v="0"/>
    <n v="1376"/>
    <n v="222.41319916469587"/>
    <n v="1485.9654150570423"/>
    <n v="18061013.010000009"/>
    <n v="272"/>
    <n v="2703641.8200000017"/>
  </r>
  <r>
    <x v="0"/>
    <x v="4"/>
    <x v="4"/>
    <x v="3"/>
    <x v="18"/>
    <x v="18"/>
    <x v="0"/>
    <n v="2903"/>
    <n v="382.51583812372104"/>
    <n v="2470.3442415082072"/>
    <n v="26846934.340000086"/>
    <n v="426"/>
    <n v="4231832.7799999975"/>
  </r>
  <r>
    <x v="0"/>
    <x v="4"/>
    <x v="4"/>
    <x v="3"/>
    <x v="19"/>
    <x v="19"/>
    <x v="0"/>
    <n v="1024"/>
    <n v="266.65755160067312"/>
    <n v="1370.6261965273773"/>
    <n v="20878909.930000026"/>
    <n v="243"/>
    <n v="4266351.0300000031"/>
  </r>
  <r>
    <x v="0"/>
    <x v="4"/>
    <x v="4"/>
    <x v="3"/>
    <x v="20"/>
    <x v="20"/>
    <x v="0"/>
    <n v="1138"/>
    <n v="201.14454143582699"/>
    <n v="1072.6361333261302"/>
    <n v="15029707.109999971"/>
    <n v="223"/>
    <n v="2611919.9099999992"/>
  </r>
  <r>
    <x v="0"/>
    <x v="4"/>
    <x v="4"/>
    <x v="3"/>
    <x v="21"/>
    <x v="21"/>
    <x v="0"/>
    <n v="874"/>
    <n v="130.22659833988257"/>
    <n v="622.296776067015"/>
    <n v="8148671.8600000022"/>
    <n v="167"/>
    <n v="1835490.0600000005"/>
  </r>
  <r>
    <x v="0"/>
    <x v="4"/>
    <x v="4"/>
    <x v="3"/>
    <x v="22"/>
    <x v="22"/>
    <x v="0"/>
    <n v="1950"/>
    <n v="401.87181487697279"/>
    <n v="2011.9234233521815"/>
    <n v="33422572.020000003"/>
    <n v="431"/>
    <n v="6844816.0000000019"/>
  </r>
  <r>
    <x v="0"/>
    <x v="4"/>
    <x v="4"/>
    <x v="3"/>
    <x v="23"/>
    <x v="23"/>
    <x v="0"/>
    <n v="150"/>
    <n v="24.473538688013456"/>
    <n v="120.40652946506805"/>
    <n v="1929753.7600000002"/>
    <n v="35"/>
    <n v="390795.18000000005"/>
  </r>
  <r>
    <x v="0"/>
    <x v="4"/>
    <x v="4"/>
    <x v="3"/>
    <x v="24"/>
    <x v="24"/>
    <x v="0"/>
    <n v="535"/>
    <n v="99.460607732084782"/>
    <n v="429.80349652090257"/>
    <n v="6803996.0299999984"/>
    <n v="111"/>
    <n v="1485662.9900000002"/>
  </r>
  <r>
    <x v="0"/>
    <x v="4"/>
    <x v="4"/>
    <x v="3"/>
    <x v="25"/>
    <x v="25"/>
    <x v="0"/>
    <n v="976"/>
    <n v="160.28510595669943"/>
    <n v="796.78789784261369"/>
    <n v="12416723.390000006"/>
    <n v="195"/>
    <n v="2636456.5900000003"/>
  </r>
  <r>
    <x v="0"/>
    <x v="4"/>
    <x v="4"/>
    <x v="3"/>
    <x v="26"/>
    <x v="26"/>
    <x v="0"/>
    <n v="826"/>
    <n v="143.55892816992326"/>
    <n v="617.23430313154711"/>
    <n v="11192480.550000001"/>
    <n v="173"/>
    <n v="2616181.8000000003"/>
  </r>
  <r>
    <x v="0"/>
    <x v="4"/>
    <x v="4"/>
    <x v="3"/>
    <x v="27"/>
    <x v="27"/>
    <x v="0"/>
    <n v="695"/>
    <n v="107.93702562402812"/>
    <n v="581.10745459209056"/>
    <n v="6375359.8100000108"/>
    <n v="121"/>
    <n v="1218301.1300000008"/>
  </r>
  <r>
    <x v="0"/>
    <x v="4"/>
    <x v="4"/>
    <x v="3"/>
    <x v="28"/>
    <x v="28"/>
    <x v="0"/>
    <n v="864"/>
    <n v="88.221839875355599"/>
    <n v="734.90023563155069"/>
    <n v="9846540.3400000092"/>
    <n v="114"/>
    <n v="1226474.1600000001"/>
  </r>
  <r>
    <x v="0"/>
    <x v="4"/>
    <x v="4"/>
    <x v="3"/>
    <x v="29"/>
    <x v="29"/>
    <x v="0"/>
    <n v="494"/>
    <n v="135.02169927875505"/>
    <n v="463.35014609325225"/>
    <n v="9930452.3100000024"/>
    <n v="145"/>
    <n v="2589105.13"/>
  </r>
  <r>
    <x v="0"/>
    <x v="4"/>
    <x v="4"/>
    <x v="3"/>
    <x v="30"/>
    <x v="30"/>
    <x v="0"/>
    <n v="581"/>
    <n v="89.179362863149237"/>
    <n v="448.00230628890523"/>
    <n v="5726858.9799999911"/>
    <n v="109"/>
    <n v="1086779.6900000004"/>
  </r>
  <r>
    <x v="0"/>
    <x v="4"/>
    <x v="4"/>
    <x v="3"/>
    <x v="31"/>
    <x v="31"/>
    <x v="0"/>
    <n v="864"/>
    <n v="213.00095428468248"/>
    <n v="757.47888734372475"/>
    <n v="11327445.280000003"/>
    <n v="266"/>
    <n v="3178520.8500000029"/>
  </r>
  <r>
    <x v="0"/>
    <x v="4"/>
    <x v="4"/>
    <x v="3"/>
    <x v="32"/>
    <x v="32"/>
    <x v="0"/>
    <n v="1640"/>
    <n v="326.88226783293351"/>
    <n v="1570.115296984307"/>
    <n v="20416400.899999995"/>
    <n v="356"/>
    <n v="4245392.3999999985"/>
  </r>
  <r>
    <x v="0"/>
    <x v="4"/>
    <x v="4"/>
    <x v="3"/>
    <x v="33"/>
    <x v="33"/>
    <x v="0"/>
    <n v="1918"/>
    <n v="168.3781268535304"/>
    <n v="1506.0365568011894"/>
    <n v="21551969.680000093"/>
    <n v="212"/>
    <n v="2844930.9800000014"/>
  </r>
  <r>
    <x v="0"/>
    <x v="4"/>
    <x v="4"/>
    <x v="3"/>
    <x v="34"/>
    <x v="34"/>
    <x v="0"/>
    <n v="22"/>
    <n v="7.9641338984739116"/>
    <n v="14.667425813020921"/>
    <n v="301041.95999999996"/>
    <n v="12"/>
    <n v="155514.21"/>
  </r>
  <r>
    <x v="0"/>
    <x v="4"/>
    <x v="4"/>
    <x v="3"/>
    <x v="35"/>
    <x v="35"/>
    <x v="0"/>
    <n v="1899"/>
    <n v="272.78464052256498"/>
    <n v="1457.0252414259826"/>
    <n v="17865436.17000002"/>
    <n v="297"/>
    <n v="3384705.9300000048"/>
  </r>
  <r>
    <x v="0"/>
    <x v="4"/>
    <x v="4"/>
    <x v="3"/>
    <x v="36"/>
    <x v="36"/>
    <x v="0"/>
    <n v="1377"/>
    <n v="227.21334010350407"/>
    <n v="1164.0766941604554"/>
    <n v="14076142.369999977"/>
    <n v="259"/>
    <n v="2594237.5900000008"/>
  </r>
  <r>
    <x v="0"/>
    <x v="4"/>
    <x v="4"/>
    <x v="3"/>
    <x v="37"/>
    <x v="37"/>
    <x v="0"/>
    <n v="912"/>
    <n v="252.82976777694824"/>
    <n v="939.49957202333951"/>
    <n v="11827471.330000006"/>
    <n v="272"/>
    <n v="3246504.9300000011"/>
  </r>
  <r>
    <x v="0"/>
    <x v="4"/>
    <x v="4"/>
    <x v="3"/>
    <x v="38"/>
    <x v="38"/>
    <x v="0"/>
    <n v="304"/>
    <n v="48.206416385468792"/>
    <n v="303.97221312498846"/>
    <n v="5156536.6499999957"/>
    <n v="55"/>
    <n v="713941.77000000014"/>
  </r>
  <r>
    <x v="0"/>
    <x v="4"/>
    <x v="4"/>
    <x v="3"/>
    <x v="39"/>
    <x v="39"/>
    <x v="0"/>
    <n v="829"/>
    <n v="237.1530589767934"/>
    <n v="809.33452568267262"/>
    <n v="13734889.880000008"/>
    <n v="271"/>
    <n v="3940286.9300000016"/>
  </r>
  <r>
    <x v="0"/>
    <x v="4"/>
    <x v="4"/>
    <x v="3"/>
    <x v="40"/>
    <x v="40"/>
    <x v="0"/>
    <n v="2063"/>
    <n v="263.28565264365739"/>
    <n v="1646.2599890136241"/>
    <n v="23084846.630000025"/>
    <n v="278"/>
    <n v="3728674.7500000019"/>
  </r>
  <r>
    <x v="0"/>
    <x v="4"/>
    <x v="4"/>
    <x v="3"/>
    <x v="41"/>
    <x v="41"/>
    <x v="0"/>
    <n v="233"/>
    <n v="1.9921759746039132"/>
    <n v="448.82984227835533"/>
    <n v="7545215.4699999979"/>
    <n v="1"/>
    <n v="32758.639999999999"/>
  </r>
  <r>
    <x v="0"/>
    <x v="4"/>
    <x v="4"/>
    <x v="3"/>
    <x v="42"/>
    <x v="42"/>
    <x v="0"/>
    <n v="232"/>
    <n v="47.827379390300713"/>
    <n v="181.06170669184132"/>
    <n v="1884127.4"/>
    <n v="70"/>
    <n v="467374.69000000006"/>
  </r>
  <r>
    <x v="0"/>
    <x v="4"/>
    <x v="4"/>
    <x v="3"/>
    <x v="43"/>
    <x v="43"/>
    <x v="0"/>
    <n v="283"/>
    <n v="57.367519268683836"/>
    <n v="273.68501351108739"/>
    <n v="3236397.9600000004"/>
    <n v="69"/>
    <n v="553870.91000000015"/>
  </r>
  <r>
    <x v="0"/>
    <x v="4"/>
    <x v="4"/>
    <x v="3"/>
    <x v="44"/>
    <x v="44"/>
    <x v="0"/>
    <n v="1222"/>
    <n v="217.06054623293113"/>
    <n v="1041.6388857212742"/>
    <n v="15255603.589999996"/>
    <n v="243"/>
    <n v="2799746.4500000007"/>
  </r>
  <r>
    <x v="0"/>
    <x v="4"/>
    <x v="4"/>
    <x v="3"/>
    <x v="45"/>
    <x v="45"/>
    <x v="0"/>
    <n v="1485"/>
    <n v="166.1453958819929"/>
    <n v="1516.1245996725804"/>
    <n v="18987776.57"/>
    <n v="166"/>
    <n v="2223738.7699999991"/>
  </r>
  <r>
    <x v="0"/>
    <x v="4"/>
    <x v="4"/>
    <x v="3"/>
    <x v="46"/>
    <x v="46"/>
    <x v="0"/>
    <n v="114"/>
    <n v="12.251144843823464"/>
    <n v="141.21574119979391"/>
    <n v="4360868.5"/>
    <n v="13"/>
    <n v="332998.32"/>
  </r>
  <r>
    <x v="0"/>
    <x v="4"/>
    <x v="4"/>
    <x v="3"/>
    <x v="47"/>
    <x v="47"/>
    <x v="0"/>
    <n v="580"/>
    <n v="92.295504823424878"/>
    <n v="465.78729506218366"/>
    <n v="5802787.2199999858"/>
    <n v="90"/>
    <n v="1287093.7700000007"/>
  </r>
  <r>
    <x v="0"/>
    <x v="4"/>
    <x v="4"/>
    <x v="5"/>
    <x v="0"/>
    <x v="0"/>
    <x v="0"/>
    <n v="1562"/>
    <n v="252.16293278544907"/>
    <n v="1467.9146882871578"/>
    <n v="17646853.99999997"/>
    <n v="286"/>
    <n v="2951575.0799999963"/>
  </r>
  <r>
    <x v="0"/>
    <x v="4"/>
    <x v="4"/>
    <x v="5"/>
    <x v="1"/>
    <x v="1"/>
    <x v="0"/>
    <n v="2582"/>
    <n v="590.32050747464541"/>
    <n v="4523.5019523347892"/>
    <n v="94750809.60999988"/>
    <n v="416"/>
    <n v="12712618.479999995"/>
  </r>
  <r>
    <x v="0"/>
    <x v="4"/>
    <x v="4"/>
    <x v="5"/>
    <x v="2"/>
    <x v="2"/>
    <x v="0"/>
    <n v="1232"/>
    <n v="201.36253643304784"/>
    <n v="1177.9282919838695"/>
    <n v="19765759.579999991"/>
    <n v="244"/>
    <n v="2931430.8799999985"/>
  </r>
  <r>
    <x v="0"/>
    <x v="4"/>
    <x v="4"/>
    <x v="5"/>
    <x v="3"/>
    <x v="3"/>
    <x v="0"/>
    <n v="3166"/>
    <n v="302.81114113978987"/>
    <n v="2451.3482887503628"/>
    <n v="31496009.679999851"/>
    <n v="315"/>
    <n v="4198281.17"/>
  </r>
  <r>
    <x v="0"/>
    <x v="4"/>
    <x v="4"/>
    <x v="5"/>
    <x v="4"/>
    <x v="4"/>
    <x v="0"/>
    <n v="1673"/>
    <n v="282.11083940367564"/>
    <n v="1511.0112337377652"/>
    <n v="20479029.579999998"/>
    <n v="306"/>
    <n v="3853250.7500000019"/>
  </r>
  <r>
    <x v="0"/>
    <x v="4"/>
    <x v="4"/>
    <x v="5"/>
    <x v="5"/>
    <x v="5"/>
    <x v="0"/>
    <n v="519"/>
    <n v="85.375984911634333"/>
    <n v="383.97499410511949"/>
    <n v="5698993.4200000027"/>
    <n v="113"/>
    <n v="1372133.5600000003"/>
  </r>
  <r>
    <x v="0"/>
    <x v="4"/>
    <x v="4"/>
    <x v="5"/>
    <x v="6"/>
    <x v="6"/>
    <x v="0"/>
    <n v="1552"/>
    <n v="163.95041890997439"/>
    <n v="1563.1694160728582"/>
    <n v="20576902.440000061"/>
    <n v="200"/>
    <n v="2398633.79"/>
  </r>
  <r>
    <x v="0"/>
    <x v="4"/>
    <x v="4"/>
    <x v="5"/>
    <x v="7"/>
    <x v="7"/>
    <x v="0"/>
    <n v="4004"/>
    <n v="731.74434367178571"/>
    <n v="5622.9706423188409"/>
    <n v="114297968.62999973"/>
    <n v="689"/>
    <n v="15840443.969999986"/>
  </r>
  <r>
    <x v="0"/>
    <x v="4"/>
    <x v="4"/>
    <x v="5"/>
    <x v="8"/>
    <x v="8"/>
    <x v="0"/>
    <n v="173"/>
    <n v="24.646659685806512"/>
    <n v="134.07159929086686"/>
    <n v="1695114.0199999991"/>
    <n v="32"/>
    <n v="353089.10999999993"/>
  </r>
  <r>
    <x v="0"/>
    <x v="4"/>
    <x v="4"/>
    <x v="5"/>
    <x v="9"/>
    <x v="9"/>
    <x v="0"/>
    <n v="1527"/>
    <n v="311.04450503483213"/>
    <n v="1468.2499302828739"/>
    <n v="21462750.02"/>
    <n v="337"/>
    <n v="4626118.6399999978"/>
  </r>
  <r>
    <x v="0"/>
    <x v="4"/>
    <x v="4"/>
    <x v="5"/>
    <x v="10"/>
    <x v="10"/>
    <x v="0"/>
    <n v="1720"/>
    <n v="301.38502815797005"/>
    <n v="1978.6953607757725"/>
    <n v="35264039.019999996"/>
    <n v="284"/>
    <n v="5288830.370000001"/>
  </r>
  <r>
    <x v="1"/>
    <x v="3"/>
    <x v="5"/>
    <x v="11"/>
    <x v="11"/>
    <x v="11"/>
    <x v="0"/>
    <n v="508"/>
    <n v="175.26716600000009"/>
    <n v="437.61747299999899"/>
    <n v="7448596.6499999939"/>
    <n v="177"/>
    <n v="3099163.1600000011"/>
  </r>
  <r>
    <x v="0"/>
    <x v="4"/>
    <x v="4"/>
    <x v="5"/>
    <x v="12"/>
    <x v="12"/>
    <x v="0"/>
    <n v="2312"/>
    <n v="391.26093101223961"/>
    <n v="1887.8582989337449"/>
    <n v="25475086.830000006"/>
    <n v="488"/>
    <n v="5188088.040000001"/>
  </r>
  <r>
    <x v="0"/>
    <x v="4"/>
    <x v="4"/>
    <x v="5"/>
    <x v="13"/>
    <x v="13"/>
    <x v="0"/>
    <n v="1091"/>
    <n v="205.13562738494872"/>
    <n v="996.09342430188326"/>
    <n v="14626661.960000008"/>
    <n v="197"/>
    <n v="2844008.100000001"/>
  </r>
  <r>
    <x v="0"/>
    <x v="4"/>
    <x v="4"/>
    <x v="5"/>
    <x v="14"/>
    <x v="14"/>
    <x v="0"/>
    <n v="223"/>
    <n v="31.450319599074067"/>
    <n v="184.60459164667682"/>
    <n v="1803603.4100000008"/>
    <n v="37"/>
    <n v="351476.88"/>
  </r>
  <r>
    <x v="0"/>
    <x v="4"/>
    <x v="4"/>
    <x v="5"/>
    <x v="15"/>
    <x v="15"/>
    <x v="0"/>
    <n v="741"/>
    <n v="130.45025133703146"/>
    <n v="585.82259153198254"/>
    <n v="7927813.8299999991"/>
    <n v="164"/>
    <n v="1836057.2899999998"/>
  </r>
  <r>
    <x v="0"/>
    <x v="4"/>
    <x v="4"/>
    <x v="5"/>
    <x v="16"/>
    <x v="16"/>
    <x v="0"/>
    <n v="1673"/>
    <n v="240.43936293490012"/>
    <n v="1779.1808093191596"/>
    <n v="22071732.25999999"/>
    <n v="247"/>
    <n v="2709188.4999999995"/>
  </r>
  <r>
    <x v="0"/>
    <x v="4"/>
    <x v="4"/>
    <x v="5"/>
    <x v="17"/>
    <x v="17"/>
    <x v="0"/>
    <n v="1364"/>
    <n v="201.03037743728217"/>
    <n v="1598.3315616246064"/>
    <n v="19468962.97000001"/>
    <n v="226"/>
    <n v="2365269.5399999991"/>
  </r>
  <r>
    <x v="0"/>
    <x v="4"/>
    <x v="4"/>
    <x v="5"/>
    <x v="18"/>
    <x v="18"/>
    <x v="0"/>
    <n v="2729"/>
    <n v="346.15019258730746"/>
    <n v="2383.4212836162988"/>
    <n v="26620797.550000034"/>
    <n v="397"/>
    <n v="4001074.959999999"/>
  </r>
  <r>
    <x v="0"/>
    <x v="4"/>
    <x v="4"/>
    <x v="5"/>
    <x v="19"/>
    <x v="19"/>
    <x v="0"/>
    <n v="991"/>
    <n v="244.44814788379642"/>
    <n v="1307.1419563366674"/>
    <n v="20133776.049999993"/>
    <n v="249"/>
    <n v="4569812.4899999956"/>
  </r>
  <r>
    <x v="0"/>
    <x v="4"/>
    <x v="4"/>
    <x v="5"/>
    <x v="20"/>
    <x v="20"/>
    <x v="0"/>
    <n v="1028"/>
    <n v="167.86429586008052"/>
    <n v="971.91905461005763"/>
    <n v="13349638.369999994"/>
    <n v="186"/>
    <n v="2285725.66"/>
  </r>
  <r>
    <x v="0"/>
    <x v="4"/>
    <x v="4"/>
    <x v="5"/>
    <x v="21"/>
    <x v="21"/>
    <x v="0"/>
    <n v="776"/>
    <n v="122.50166343835937"/>
    <n v="546.30960503569281"/>
    <n v="7170280.5700000068"/>
    <n v="167"/>
    <n v="1679268.599999998"/>
  </r>
  <r>
    <x v="0"/>
    <x v="4"/>
    <x v="4"/>
    <x v="5"/>
    <x v="22"/>
    <x v="22"/>
    <x v="0"/>
    <n v="1889"/>
    <n v="386.20166107673515"/>
    <n v="1864.3105482339388"/>
    <n v="29656029.130000003"/>
    <n v="441"/>
    <n v="5505428.730000006"/>
  </r>
  <r>
    <x v="0"/>
    <x v="4"/>
    <x v="4"/>
    <x v="5"/>
    <x v="23"/>
    <x v="23"/>
    <x v="0"/>
    <n v="115"/>
    <n v="19.650839749492796"/>
    <n v="97.495876757131015"/>
    <n v="1599572.87"/>
    <n v="25"/>
    <n v="483275.88000000006"/>
  </r>
  <r>
    <x v="0"/>
    <x v="4"/>
    <x v="4"/>
    <x v="5"/>
    <x v="24"/>
    <x v="24"/>
    <x v="0"/>
    <n v="527"/>
    <n v="97.222530760615555"/>
    <n v="415.30168870577052"/>
    <n v="6597618.3199999938"/>
    <n v="112"/>
    <n v="1563067.7999999998"/>
  </r>
  <r>
    <x v="0"/>
    <x v="4"/>
    <x v="4"/>
    <x v="5"/>
    <x v="25"/>
    <x v="25"/>
    <x v="0"/>
    <n v="1012"/>
    <n v="210.05550532223072"/>
    <n v="833.35430837647004"/>
    <n v="12667583.050000001"/>
    <n v="245"/>
    <n v="3401009.7399999993"/>
  </r>
  <r>
    <x v="0"/>
    <x v="4"/>
    <x v="4"/>
    <x v="5"/>
    <x v="26"/>
    <x v="26"/>
    <x v="0"/>
    <n v="853"/>
    <n v="138.16373023870077"/>
    <n v="655.44597964442585"/>
    <n v="10371536.040000007"/>
    <n v="165"/>
    <n v="2427269.8600000003"/>
  </r>
  <r>
    <x v="0"/>
    <x v="4"/>
    <x v="4"/>
    <x v="5"/>
    <x v="27"/>
    <x v="27"/>
    <x v="0"/>
    <n v="724"/>
    <n v="105.58581765400113"/>
    <n v="572.17148570600568"/>
    <n v="6827674.7799999975"/>
    <n v="130"/>
    <n v="1382836.53"/>
  </r>
  <r>
    <x v="0"/>
    <x v="4"/>
    <x v="4"/>
    <x v="5"/>
    <x v="28"/>
    <x v="28"/>
    <x v="0"/>
    <n v="731"/>
    <n v="87.871858879817154"/>
    <n v="608.90480623773112"/>
    <n v="8077404.6800000062"/>
    <n v="110"/>
    <n v="1125032.0999999996"/>
  </r>
  <r>
    <x v="0"/>
    <x v="4"/>
    <x v="4"/>
    <x v="5"/>
    <x v="29"/>
    <x v="29"/>
    <x v="0"/>
    <n v="493"/>
    <n v="141.08855820141522"/>
    <n v="446.38877130947469"/>
    <n v="9791753.2700000051"/>
    <n v="159"/>
    <n v="3109106.709999999"/>
  </r>
  <r>
    <x v="0"/>
    <x v="4"/>
    <x v="4"/>
    <x v="5"/>
    <x v="30"/>
    <x v="30"/>
    <x v="0"/>
    <n v="624"/>
    <n v="110.3009745938927"/>
    <n v="494.03833970204226"/>
    <n v="6703654.7699999912"/>
    <n v="131"/>
    <n v="1283876.9999999998"/>
  </r>
  <r>
    <x v="0"/>
    <x v="4"/>
    <x v="4"/>
    <x v="5"/>
    <x v="31"/>
    <x v="31"/>
    <x v="0"/>
    <n v="825"/>
    <n v="218.77573121106613"/>
    <n v="760.40624030640686"/>
    <n v="10570779.570000017"/>
    <n v="255"/>
    <n v="3121533.5300000003"/>
  </r>
  <r>
    <x v="0"/>
    <x v="4"/>
    <x v="4"/>
    <x v="5"/>
    <x v="32"/>
    <x v="32"/>
    <x v="0"/>
    <n v="1658"/>
    <n v="319.88453992213977"/>
    <n v="1595.2977786632794"/>
    <n v="20616134.98"/>
    <n v="355"/>
    <n v="4039301.2000000011"/>
  </r>
  <r>
    <x v="0"/>
    <x v="4"/>
    <x v="4"/>
    <x v="5"/>
    <x v="33"/>
    <x v="33"/>
    <x v="0"/>
    <n v="1863"/>
    <n v="181.69892868371804"/>
    <n v="1453.9370374653447"/>
    <n v="19273750.809999976"/>
    <n v="235"/>
    <n v="2309304.16"/>
  </r>
  <r>
    <x v="0"/>
    <x v="4"/>
    <x v="4"/>
    <x v="5"/>
    <x v="34"/>
    <x v="34"/>
    <x v="0"/>
    <n v="14"/>
    <n v="2.7080749654776946"/>
    <n v="8.7937558878979587"/>
    <n v="124966.01999999999"/>
    <n v="5"/>
    <n v="42194.26"/>
  </r>
  <r>
    <x v="0"/>
    <x v="4"/>
    <x v="4"/>
    <x v="5"/>
    <x v="35"/>
    <x v="35"/>
    <x v="0"/>
    <n v="1828"/>
    <n v="231.76979604541887"/>
    <n v="1388.1543543039384"/>
    <n v="16897243.030000035"/>
    <n v="269"/>
    <n v="2789068.7899999996"/>
  </r>
  <r>
    <x v="0"/>
    <x v="4"/>
    <x v="4"/>
    <x v="5"/>
    <x v="36"/>
    <x v="36"/>
    <x v="0"/>
    <n v="1393"/>
    <n v="242.52837590826948"/>
    <n v="1177.7698279858967"/>
    <n v="14489174.780000009"/>
    <n v="261"/>
    <n v="2834343.2699999982"/>
  </r>
  <r>
    <x v="0"/>
    <x v="4"/>
    <x v="4"/>
    <x v="5"/>
    <x v="37"/>
    <x v="37"/>
    <x v="0"/>
    <n v="953"/>
    <n v="221.53811117585155"/>
    <n v="925.54956320117412"/>
    <n v="12296175.290000012"/>
    <n v="269"/>
    <n v="3098306.7399999993"/>
  </r>
  <r>
    <x v="0"/>
    <x v="4"/>
    <x v="4"/>
    <x v="5"/>
    <x v="38"/>
    <x v="38"/>
    <x v="0"/>
    <n v="289"/>
    <n v="52.040580336591205"/>
    <n v="286.88238334284819"/>
    <n v="5054983.8500000006"/>
    <n v="53"/>
    <n v="593634.73"/>
  </r>
  <r>
    <x v="0"/>
    <x v="4"/>
    <x v="4"/>
    <x v="5"/>
    <x v="39"/>
    <x v="39"/>
    <x v="0"/>
    <n v="868"/>
    <n v="236.56225298432511"/>
    <n v="889.30205166325447"/>
    <n v="15032767.620000014"/>
    <n v="272"/>
    <n v="4153753.6100000008"/>
  </r>
  <r>
    <x v="0"/>
    <x v="4"/>
    <x v="4"/>
    <x v="5"/>
    <x v="40"/>
    <x v="40"/>
    <x v="0"/>
    <n v="1990"/>
    <n v="278.21128445338667"/>
    <n v="1640.0070540933386"/>
    <n v="21606737.839999925"/>
    <n v="293"/>
    <n v="3730714.2899999991"/>
  </r>
  <r>
    <x v="0"/>
    <x v="4"/>
    <x v="4"/>
    <x v="5"/>
    <x v="41"/>
    <x v="41"/>
    <x v="0"/>
    <n v="203"/>
    <n v="0"/>
    <n v="375.89364720813995"/>
    <n v="6220469.8899999959"/>
    <n v="0"/>
    <n v="0"/>
  </r>
  <r>
    <x v="0"/>
    <x v="4"/>
    <x v="4"/>
    <x v="5"/>
    <x v="42"/>
    <x v="42"/>
    <x v="0"/>
    <n v="214"/>
    <n v="38.793254505466948"/>
    <n v="165.63395788851278"/>
    <n v="1962773.5000000009"/>
    <n v="57"/>
    <n v="472643.98999999993"/>
  </r>
  <r>
    <x v="0"/>
    <x v="4"/>
    <x v="4"/>
    <x v="5"/>
    <x v="43"/>
    <x v="43"/>
    <x v="0"/>
    <n v="304"/>
    <n v="66.856687147716755"/>
    <n v="287.41977733599765"/>
    <n v="3552335.6199999996"/>
    <n v="74"/>
    <n v="871784.89"/>
  </r>
  <r>
    <x v="0"/>
    <x v="4"/>
    <x v="4"/>
    <x v="5"/>
    <x v="44"/>
    <x v="44"/>
    <x v="0"/>
    <n v="1076"/>
    <n v="198.19555647342045"/>
    <n v="862.06295001049386"/>
    <n v="13585224.88000001"/>
    <n v="230"/>
    <n v="3010348.1999999997"/>
  </r>
  <r>
    <x v="0"/>
    <x v="4"/>
    <x v="4"/>
    <x v="5"/>
    <x v="45"/>
    <x v="45"/>
    <x v="0"/>
    <n v="1554"/>
    <n v="167.0472228704966"/>
    <n v="1640.168137091285"/>
    <n v="21485819.719999917"/>
    <n v="189"/>
    <n v="2197425.9200000004"/>
  </r>
  <r>
    <x v="0"/>
    <x v="4"/>
    <x v="4"/>
    <x v="5"/>
    <x v="46"/>
    <x v="46"/>
    <x v="0"/>
    <n v="105"/>
    <n v="11.370625855048246"/>
    <n v="118.03869249525286"/>
    <n v="4413051.1999999974"/>
    <n v="12"/>
    <n v="472859.69000000006"/>
  </r>
  <r>
    <x v="0"/>
    <x v="4"/>
    <x v="4"/>
    <x v="5"/>
    <x v="47"/>
    <x v="47"/>
    <x v="0"/>
    <n v="511"/>
    <n v="69.58663911291552"/>
    <n v="411.07924275959732"/>
    <n v="4543763.1699999943"/>
    <n v="85"/>
    <n v="766582.69000000006"/>
  </r>
  <r>
    <x v="0"/>
    <x v="4"/>
    <x v="4"/>
    <x v="0"/>
    <x v="0"/>
    <x v="0"/>
    <x v="0"/>
    <n v="1651"/>
    <n v="336.61618670884639"/>
    <n v="1477.8644001603229"/>
    <n v="17819934.549999975"/>
    <n v="348"/>
    <n v="3810966.9700000016"/>
  </r>
  <r>
    <x v="0"/>
    <x v="4"/>
    <x v="4"/>
    <x v="0"/>
    <x v="1"/>
    <x v="1"/>
    <x v="0"/>
    <n v="2701"/>
    <n v="572.47858270209247"/>
    <n v="4831.2113764121405"/>
    <n v="102603833.95999978"/>
    <n v="396"/>
    <n v="11409552.340000007"/>
  </r>
  <r>
    <x v="0"/>
    <x v="4"/>
    <x v="4"/>
    <x v="0"/>
    <x v="2"/>
    <x v="2"/>
    <x v="0"/>
    <n v="1258"/>
    <n v="228.17471009124876"/>
    <n v="1238.5450732111326"/>
    <n v="20766479.130000032"/>
    <n v="246"/>
    <n v="3691201.149999999"/>
  </r>
  <r>
    <x v="0"/>
    <x v="4"/>
    <x v="4"/>
    <x v="0"/>
    <x v="3"/>
    <x v="3"/>
    <x v="0"/>
    <n v="3255"/>
    <n v="323.65009687413652"/>
    <n v="2606.3356877745682"/>
    <n v="32368563.599999882"/>
    <n v="326"/>
    <n v="4379013.6099999994"/>
  </r>
  <r>
    <x v="0"/>
    <x v="4"/>
    <x v="4"/>
    <x v="0"/>
    <x v="4"/>
    <x v="4"/>
    <x v="0"/>
    <n v="1700"/>
    <n v="293.40042825975701"/>
    <n v="1521.0202636101687"/>
    <n v="20327860.819999989"/>
    <n v="327"/>
    <n v="4121599.6300000027"/>
  </r>
  <r>
    <x v="0"/>
    <x v="4"/>
    <x v="4"/>
    <x v="0"/>
    <x v="5"/>
    <x v="5"/>
    <x v="0"/>
    <n v="558"/>
    <n v="113.2116635567875"/>
    <n v="423.95728759542936"/>
    <n v="6182009.1599999908"/>
    <n v="145"/>
    <n v="1661582.9100000006"/>
  </r>
  <r>
    <x v="0"/>
    <x v="4"/>
    <x v="4"/>
    <x v="0"/>
    <x v="6"/>
    <x v="6"/>
    <x v="0"/>
    <n v="1561"/>
    <n v="160.05671795961084"/>
    <n v="1661.3818558208486"/>
    <n v="21842302.920000017"/>
    <n v="164"/>
    <n v="2312045.25"/>
  </r>
  <r>
    <x v="0"/>
    <x v="4"/>
    <x v="4"/>
    <x v="0"/>
    <x v="7"/>
    <x v="7"/>
    <x v="0"/>
    <n v="4139"/>
    <n v="794.31745787410989"/>
    <n v="5799.1155240733478"/>
    <n v="109688958.89999975"/>
    <n v="713"/>
    <n v="15341734.919999994"/>
  </r>
  <r>
    <x v="0"/>
    <x v="4"/>
    <x v="4"/>
    <x v="0"/>
    <x v="8"/>
    <x v="8"/>
    <x v="0"/>
    <n v="192"/>
    <n v="34.175429564334593"/>
    <n v="139.23598122503174"/>
    <n v="2319800.4400000009"/>
    <n v="43"/>
    <n v="642803.12"/>
  </r>
  <r>
    <x v="0"/>
    <x v="4"/>
    <x v="4"/>
    <x v="0"/>
    <x v="9"/>
    <x v="9"/>
    <x v="0"/>
    <n v="1568"/>
    <n v="321.07314190698781"/>
    <n v="1417.1462789343429"/>
    <n v="20302642.919999987"/>
    <n v="332"/>
    <n v="4479101.1100000031"/>
  </r>
  <r>
    <x v="0"/>
    <x v="4"/>
    <x v="4"/>
    <x v="0"/>
    <x v="10"/>
    <x v="10"/>
    <x v="0"/>
    <n v="1744"/>
    <n v="306.19232709668699"/>
    <n v="1974.0801978346051"/>
    <n v="35649081.770000055"/>
    <n v="308"/>
    <n v="5659823.9099999992"/>
  </r>
  <r>
    <x v="1"/>
    <x v="5"/>
    <x v="5"/>
    <x v="1"/>
    <x v="11"/>
    <x v="11"/>
    <x v="0"/>
    <n v="492"/>
    <n v="158.65772000000001"/>
    <n v="432.74169599999954"/>
    <n v="7485156.1899999995"/>
    <n v="165"/>
    <n v="3105461.38"/>
  </r>
  <r>
    <x v="0"/>
    <x v="4"/>
    <x v="4"/>
    <x v="0"/>
    <x v="12"/>
    <x v="12"/>
    <x v="0"/>
    <n v="2427"/>
    <n v="416.89872968541113"/>
    <n v="1985.7881966853438"/>
    <n v="27790191.309999991"/>
    <n v="522"/>
    <n v="5585861.3199999984"/>
  </r>
  <r>
    <x v="0"/>
    <x v="4"/>
    <x v="4"/>
    <x v="0"/>
    <x v="13"/>
    <x v="13"/>
    <x v="0"/>
    <n v="1231"/>
    <n v="209.19569433319137"/>
    <n v="1090.8913850934071"/>
    <n v="16138650.950000018"/>
    <n v="204"/>
    <n v="3306745.1700000009"/>
  </r>
  <r>
    <x v="0"/>
    <x v="4"/>
    <x v="4"/>
    <x v="0"/>
    <x v="14"/>
    <x v="14"/>
    <x v="0"/>
    <n v="218"/>
    <n v="33.867197568263904"/>
    <n v="190.61787257001984"/>
    <n v="1919327.0000000007"/>
    <n v="38"/>
    <n v="379645.07000000007"/>
  </r>
  <r>
    <x v="0"/>
    <x v="4"/>
    <x v="4"/>
    <x v="0"/>
    <x v="15"/>
    <x v="15"/>
    <x v="0"/>
    <n v="720"/>
    <n v="152.2234810594683"/>
    <n v="605.88652527621082"/>
    <n v="7607541.3000000035"/>
    <n v="164"/>
    <n v="1795559.26"/>
  </r>
  <r>
    <x v="0"/>
    <x v="4"/>
    <x v="4"/>
    <x v="0"/>
    <x v="16"/>
    <x v="16"/>
    <x v="0"/>
    <n v="1676"/>
    <n v="280.41057042535061"/>
    <n v="1795.7147351083859"/>
    <n v="21735210.570000026"/>
    <n v="262"/>
    <n v="3603405.3799999976"/>
  </r>
  <r>
    <x v="0"/>
    <x v="4"/>
    <x v="4"/>
    <x v="0"/>
    <x v="17"/>
    <x v="17"/>
    <x v="0"/>
    <n v="1414"/>
    <n v="229.22722207783121"/>
    <n v="1633.8077471723607"/>
    <n v="18670484.219999995"/>
    <n v="245"/>
    <n v="2296984.1299999994"/>
  </r>
  <r>
    <x v="0"/>
    <x v="4"/>
    <x v="4"/>
    <x v="0"/>
    <x v="18"/>
    <x v="18"/>
    <x v="0"/>
    <n v="2873"/>
    <n v="380.59447714821437"/>
    <n v="2470.1068685112305"/>
    <n v="26559338.280000098"/>
    <n v="458"/>
    <n v="4168670.5100000021"/>
  </r>
  <r>
    <x v="0"/>
    <x v="4"/>
    <x v="4"/>
    <x v="0"/>
    <x v="19"/>
    <x v="19"/>
    <x v="0"/>
    <n v="1088"/>
    <n v="242.70007990608053"/>
    <n v="1493.0843469662918"/>
    <n v="24318725.679999981"/>
    <n v="233"/>
    <n v="4260300.5799999991"/>
  </r>
  <r>
    <x v="0"/>
    <x v="4"/>
    <x v="4"/>
    <x v="0"/>
    <x v="20"/>
    <x v="20"/>
    <x v="0"/>
    <n v="1086"/>
    <n v="205.59621737907733"/>
    <n v="1090.0404431042602"/>
    <n v="14878970.630000016"/>
    <n v="210"/>
    <n v="2605506.1699999995"/>
  </r>
  <r>
    <x v="0"/>
    <x v="4"/>
    <x v="4"/>
    <x v="0"/>
    <x v="21"/>
    <x v="21"/>
    <x v="0"/>
    <n v="775"/>
    <n v="136.36449426163722"/>
    <n v="571.95829770872535"/>
    <n v="7703199.7399999937"/>
    <n v="177"/>
    <n v="1909235.73"/>
  </r>
  <r>
    <x v="0"/>
    <x v="4"/>
    <x v="4"/>
    <x v="0"/>
    <x v="22"/>
    <x v="22"/>
    <x v="0"/>
    <n v="1891"/>
    <n v="394.35598497278426"/>
    <n v="1917.4989495558943"/>
    <n v="30107647.370000072"/>
    <n v="427"/>
    <n v="6344477.5400000028"/>
  </r>
  <r>
    <x v="0"/>
    <x v="4"/>
    <x v="4"/>
    <x v="0"/>
    <x v="23"/>
    <x v="23"/>
    <x v="0"/>
    <n v="143"/>
    <n v="31.845831594032106"/>
    <n v="125.13694340476512"/>
    <n v="2396335.879999999"/>
    <n v="40"/>
    <n v="481272.85"/>
  </r>
  <r>
    <x v="0"/>
    <x v="4"/>
    <x v="4"/>
    <x v="0"/>
    <x v="24"/>
    <x v="24"/>
    <x v="0"/>
    <n v="502"/>
    <n v="100.46596171926859"/>
    <n v="429.64972352286287"/>
    <n v="6560224.8600000013"/>
    <n v="106"/>
    <n v="1470886.1200000003"/>
  </r>
  <r>
    <x v="0"/>
    <x v="4"/>
    <x v="4"/>
    <x v="0"/>
    <x v="25"/>
    <x v="25"/>
    <x v="0"/>
    <n v="1047"/>
    <n v="195.25644851088794"/>
    <n v="874.4253878528981"/>
    <n v="12482664.059999978"/>
    <n v="234"/>
    <n v="2866089.7599999988"/>
  </r>
  <r>
    <x v="0"/>
    <x v="4"/>
    <x v="4"/>
    <x v="0"/>
    <x v="26"/>
    <x v="26"/>
    <x v="0"/>
    <n v="828"/>
    <n v="165.77044588677285"/>
    <n v="626.94255200778707"/>
    <n v="10179839.330000004"/>
    <n v="187"/>
    <n v="2961419.3899999978"/>
  </r>
  <r>
    <x v="0"/>
    <x v="4"/>
    <x v="4"/>
    <x v="0"/>
    <x v="27"/>
    <x v="27"/>
    <x v="0"/>
    <n v="770"/>
    <n v="121.23662145448594"/>
    <n v="600.39557134620713"/>
    <n v="7365018.79"/>
    <n v="153"/>
    <n v="1595950.8699999994"/>
  </r>
  <r>
    <x v="0"/>
    <x v="4"/>
    <x v="4"/>
    <x v="0"/>
    <x v="28"/>
    <x v="28"/>
    <x v="0"/>
    <n v="792"/>
    <n v="88.563156871004509"/>
    <n v="690.67205419536867"/>
    <n v="8943538.8600000031"/>
    <n v="110"/>
    <n v="1168514.4800000002"/>
  </r>
  <r>
    <x v="0"/>
    <x v="4"/>
    <x v="4"/>
    <x v="0"/>
    <x v="29"/>
    <x v="29"/>
    <x v="0"/>
    <n v="534"/>
    <n v="134.30221428792709"/>
    <n v="491.6725757322003"/>
    <n v="10863305.329999991"/>
    <n v="166"/>
    <n v="2908417.0000000014"/>
  </r>
  <r>
    <x v="0"/>
    <x v="4"/>
    <x v="4"/>
    <x v="0"/>
    <x v="30"/>
    <x v="30"/>
    <x v="0"/>
    <n v="552"/>
    <n v="98.342619746336723"/>
    <n v="443.56122534551986"/>
    <n v="5824855.7099999953"/>
    <n v="104"/>
    <n v="1108200.5400000005"/>
  </r>
  <r>
    <x v="0"/>
    <x v="4"/>
    <x v="4"/>
    <x v="0"/>
    <x v="31"/>
    <x v="31"/>
    <x v="0"/>
    <n v="947"/>
    <n v="213.92825227286133"/>
    <n v="874.80471784806548"/>
    <n v="13478687.609999996"/>
    <n v="271"/>
    <n v="3190696.6999999983"/>
  </r>
  <r>
    <x v="0"/>
    <x v="4"/>
    <x v="4"/>
    <x v="0"/>
    <x v="32"/>
    <x v="32"/>
    <x v="0"/>
    <n v="1631"/>
    <n v="339.13926767668221"/>
    <n v="1603.2778995615524"/>
    <n v="22294498.730000045"/>
    <n v="358"/>
    <n v="4577169.1099999975"/>
  </r>
  <r>
    <x v="0"/>
    <x v="4"/>
    <x v="4"/>
    <x v="0"/>
    <x v="33"/>
    <x v="33"/>
    <x v="0"/>
    <n v="1956"/>
    <n v="192.71524954328279"/>
    <n v="1554.1905451873224"/>
    <n v="19656805.970000051"/>
    <n v="220"/>
    <n v="2615207.4100000006"/>
  </r>
  <r>
    <x v="0"/>
    <x v="4"/>
    <x v="4"/>
    <x v="0"/>
    <x v="34"/>
    <x v="34"/>
    <x v="0"/>
    <n v="14"/>
    <n v="4.1429359471862108"/>
    <n v="9.6895678764782271"/>
    <n v="191036.49999999997"/>
    <n v="8"/>
    <n v="66846.77"/>
  </r>
  <r>
    <x v="0"/>
    <x v="4"/>
    <x v="4"/>
    <x v="0"/>
    <x v="35"/>
    <x v="35"/>
    <x v="0"/>
    <n v="1856"/>
    <n v="255.42970674380427"/>
    <n v="1366.9454065743114"/>
    <n v="16905098.719999991"/>
    <n v="307"/>
    <n v="2964459.1399999978"/>
  </r>
  <r>
    <x v="0"/>
    <x v="4"/>
    <x v="4"/>
    <x v="0"/>
    <x v="36"/>
    <x v="36"/>
    <x v="0"/>
    <n v="1332"/>
    <n v="209.58895832817822"/>
    <n v="1143.2897434254457"/>
    <n v="14485230.32000001"/>
    <n v="262"/>
    <n v="2464540.5200000014"/>
  </r>
  <r>
    <x v="0"/>
    <x v="4"/>
    <x v="4"/>
    <x v="0"/>
    <x v="37"/>
    <x v="37"/>
    <x v="0"/>
    <n v="963"/>
    <n v="221.39428117768509"/>
    <n v="967.30928666882437"/>
    <n v="12431040.650000006"/>
    <n v="267"/>
    <n v="2800885.6399999992"/>
  </r>
  <r>
    <x v="0"/>
    <x v="4"/>
    <x v="4"/>
    <x v="0"/>
    <x v="38"/>
    <x v="38"/>
    <x v="0"/>
    <n v="330"/>
    <n v="76.716019022030807"/>
    <n v="343.09059962631085"/>
    <n v="5465403.040000001"/>
    <n v="73"/>
    <n v="1067071.7499999998"/>
  </r>
  <r>
    <x v="0"/>
    <x v="4"/>
    <x v="4"/>
    <x v="0"/>
    <x v="39"/>
    <x v="39"/>
    <x v="0"/>
    <n v="887"/>
    <n v="241.26290092440175"/>
    <n v="836.08288834168764"/>
    <n v="13456759.589999994"/>
    <n v="299"/>
    <n v="3924434.4299999992"/>
  </r>
  <r>
    <x v="0"/>
    <x v="4"/>
    <x v="4"/>
    <x v="0"/>
    <x v="40"/>
    <x v="40"/>
    <x v="0"/>
    <n v="1997"/>
    <n v="238.64882895772544"/>
    <n v="1568.2509310080936"/>
    <n v="20653348.980000045"/>
    <n v="248"/>
    <n v="3254414.3500000006"/>
  </r>
  <r>
    <x v="0"/>
    <x v="4"/>
    <x v="4"/>
    <x v="0"/>
    <x v="41"/>
    <x v="41"/>
    <x v="0"/>
    <n v="226"/>
    <n v="0"/>
    <n v="421.71159362405689"/>
    <n v="6495427.349999994"/>
    <n v="0"/>
    <n v="0"/>
  </r>
  <r>
    <x v="0"/>
    <x v="4"/>
    <x v="4"/>
    <x v="0"/>
    <x v="42"/>
    <x v="42"/>
    <x v="0"/>
    <n v="250"/>
    <n v="63.805950186607262"/>
    <n v="204.78782838938255"/>
    <n v="2688762.8600000008"/>
    <n v="85"/>
    <n v="726524.56999999983"/>
  </r>
  <r>
    <x v="0"/>
    <x v="4"/>
    <x v="4"/>
    <x v="0"/>
    <x v="43"/>
    <x v="43"/>
    <x v="0"/>
    <n v="307"/>
    <n v="75.416023038603058"/>
    <n v="321.06818390705087"/>
    <n v="3218778.0899999975"/>
    <n v="84"/>
    <n v="696269.53999999992"/>
  </r>
  <r>
    <x v="0"/>
    <x v="4"/>
    <x v="4"/>
    <x v="0"/>
    <x v="44"/>
    <x v="44"/>
    <x v="0"/>
    <n v="1184"/>
    <n v="218.69981421203389"/>
    <n v="960.90745375043275"/>
    <n v="15775482.640000019"/>
    <n v="269"/>
    <n v="3595337.209999999"/>
  </r>
  <r>
    <x v="0"/>
    <x v="4"/>
    <x v="4"/>
    <x v="0"/>
    <x v="45"/>
    <x v="45"/>
    <x v="0"/>
    <n v="1668"/>
    <n v="192.50732054593348"/>
    <n v="1748.9633587043725"/>
    <n v="23273312.949999992"/>
    <n v="217"/>
    <n v="2540405.36"/>
  </r>
  <r>
    <x v="0"/>
    <x v="4"/>
    <x v="4"/>
    <x v="0"/>
    <x v="46"/>
    <x v="46"/>
    <x v="0"/>
    <n v="99"/>
    <n v="7.4061129055875137"/>
    <n v="112.65510056388247"/>
    <n v="3913516.1699999995"/>
    <n v="9"/>
    <n v="315862.38"/>
  </r>
  <r>
    <x v="0"/>
    <x v="4"/>
    <x v="4"/>
    <x v="0"/>
    <x v="47"/>
    <x v="47"/>
    <x v="0"/>
    <n v="497"/>
    <n v="65.369232166678685"/>
    <n v="406.23391982136496"/>
    <n v="4722411.6799999969"/>
    <n v="73"/>
    <n v="757347.5199999999"/>
  </r>
  <r>
    <x v="0"/>
    <x v="4"/>
    <x v="4"/>
    <x v="2"/>
    <x v="0"/>
    <x v="0"/>
    <x v="0"/>
    <n v="1520"/>
    <n v="301.80611815260204"/>
    <n v="1411.6279770046949"/>
    <n v="17273427.630000003"/>
    <n v="315"/>
    <n v="3583164.879999999"/>
  </r>
  <r>
    <x v="0"/>
    <x v="4"/>
    <x v="4"/>
    <x v="2"/>
    <x v="1"/>
    <x v="1"/>
    <x v="0"/>
    <n v="2652"/>
    <n v="568.55883675206098"/>
    <n v="4680.4185083344155"/>
    <n v="96118058.25999999"/>
    <n v="411"/>
    <n v="10895757.180000005"/>
  </r>
  <r>
    <x v="0"/>
    <x v="4"/>
    <x v="4"/>
    <x v="2"/>
    <x v="2"/>
    <x v="2"/>
    <x v="0"/>
    <n v="1179"/>
    <n v="215.02864525883368"/>
    <n v="1121.6049327018745"/>
    <n v="17847852.520000011"/>
    <n v="234"/>
    <n v="3144979.9900000007"/>
  </r>
  <r>
    <x v="0"/>
    <x v="4"/>
    <x v="4"/>
    <x v="2"/>
    <x v="3"/>
    <x v="3"/>
    <x v="0"/>
    <n v="3067"/>
    <n v="295.12505123777152"/>
    <n v="2499.4260161374696"/>
    <n v="32789579.579999879"/>
    <n v="305"/>
    <n v="4008881.939999999"/>
  </r>
  <r>
    <x v="0"/>
    <x v="4"/>
    <x v="4"/>
    <x v="2"/>
    <x v="4"/>
    <x v="4"/>
    <x v="0"/>
    <n v="1518"/>
    <n v="259.70448668931004"/>
    <n v="1426.9467278094114"/>
    <n v="18112406.520000026"/>
    <n v="271"/>
    <n v="3395842.9499999993"/>
  </r>
  <r>
    <x v="0"/>
    <x v="4"/>
    <x v="4"/>
    <x v="2"/>
    <x v="5"/>
    <x v="5"/>
    <x v="0"/>
    <n v="439"/>
    <n v="81.260596964096919"/>
    <n v="325.38811785198021"/>
    <n v="4689400.5900000045"/>
    <n v="106"/>
    <n v="1250919.75"/>
  </r>
  <r>
    <x v="0"/>
    <x v="4"/>
    <x v="4"/>
    <x v="2"/>
    <x v="6"/>
    <x v="6"/>
    <x v="0"/>
    <n v="1398"/>
    <n v="153.06406104875262"/>
    <n v="1510.831139740056"/>
    <n v="18876832.380000044"/>
    <n v="175"/>
    <n v="2178667.23"/>
  </r>
  <r>
    <x v="0"/>
    <x v="4"/>
    <x v="4"/>
    <x v="2"/>
    <x v="7"/>
    <x v="7"/>
    <x v="0"/>
    <n v="3893"/>
    <n v="774.63027612508006"/>
    <n v="5224.7833953949039"/>
    <n v="103022640.52000023"/>
    <n v="730"/>
    <n v="16858284.169999994"/>
  </r>
  <r>
    <x v="0"/>
    <x v="4"/>
    <x v="4"/>
    <x v="2"/>
    <x v="8"/>
    <x v="8"/>
    <x v="0"/>
    <n v="204"/>
    <n v="31.063519604004938"/>
    <n v="153.4971510432317"/>
    <n v="2288617.8899999973"/>
    <n v="41"/>
    <n v="516650.6"/>
  </r>
  <r>
    <x v="0"/>
    <x v="4"/>
    <x v="4"/>
    <x v="2"/>
    <x v="9"/>
    <x v="9"/>
    <x v="0"/>
    <n v="1556"/>
    <n v="328.77541980879965"/>
    <n v="1502.9576558404231"/>
    <n v="21442375.789999992"/>
    <n v="328"/>
    <n v="5323146.4299999978"/>
  </r>
  <r>
    <x v="0"/>
    <x v="4"/>
    <x v="4"/>
    <x v="2"/>
    <x v="10"/>
    <x v="10"/>
    <x v="0"/>
    <n v="1738"/>
    <n v="317.27031795546577"/>
    <n v="2076.551537528308"/>
    <n v="36923953.790000014"/>
    <n v="296"/>
    <n v="5499246.4899999993"/>
  </r>
  <r>
    <x v="1"/>
    <x v="5"/>
    <x v="5"/>
    <x v="3"/>
    <x v="11"/>
    <x v="11"/>
    <x v="0"/>
    <n v="463"/>
    <n v="142.50324700000002"/>
    <n v="429.57845199999952"/>
    <n v="7311675.9800000023"/>
    <n v="145"/>
    <n v="2194401.790000001"/>
  </r>
  <r>
    <x v="0"/>
    <x v="4"/>
    <x v="4"/>
    <x v="2"/>
    <x v="12"/>
    <x v="12"/>
    <x v="0"/>
    <n v="2347"/>
    <n v="434.76878045760503"/>
    <n v="1933.1138663568322"/>
    <n v="24978689.899999984"/>
    <n v="560"/>
    <n v="5485279.5700000031"/>
  </r>
  <r>
    <x v="0"/>
    <x v="4"/>
    <x v="4"/>
    <x v="2"/>
    <x v="13"/>
    <x v="13"/>
    <x v="0"/>
    <n v="1166"/>
    <n v="206.67528136532147"/>
    <n v="1118.9936887351635"/>
    <n v="15258530.209999995"/>
    <n v="192"/>
    <n v="2953658.4000000013"/>
  </r>
  <r>
    <x v="0"/>
    <x v="4"/>
    <x v="4"/>
    <x v="2"/>
    <x v="14"/>
    <x v="14"/>
    <x v="0"/>
    <n v="211"/>
    <n v="22.353610715038105"/>
    <n v="187.68496060740839"/>
    <n v="1927871.6600000004"/>
    <n v="27"/>
    <n v="255599.41999999998"/>
  </r>
  <r>
    <x v="0"/>
    <x v="4"/>
    <x v="4"/>
    <x v="2"/>
    <x v="15"/>
    <x v="15"/>
    <x v="0"/>
    <n v="737"/>
    <n v="109.67906560182071"/>
    <n v="596.714541393133"/>
    <n v="7866422.9499999946"/>
    <n v="147"/>
    <n v="1468989.6700000004"/>
  </r>
  <r>
    <x v="0"/>
    <x v="4"/>
    <x v="4"/>
    <x v="2"/>
    <x v="16"/>
    <x v="16"/>
    <x v="0"/>
    <n v="1707"/>
    <n v="278.7314854467553"/>
    <n v="1685.7477765102392"/>
    <n v="20655085.050000008"/>
    <n v="287"/>
    <n v="3665638.9999999986"/>
  </r>
  <r>
    <x v="0"/>
    <x v="4"/>
    <x v="4"/>
    <x v="2"/>
    <x v="17"/>
    <x v="17"/>
    <x v="0"/>
    <n v="1339"/>
    <n v="235.79731299407646"/>
    <n v="1476.1246691824879"/>
    <n v="17176037.460000008"/>
    <n v="261"/>
    <n v="2718888.64"/>
  </r>
  <r>
    <x v="0"/>
    <x v="4"/>
    <x v="4"/>
    <x v="2"/>
    <x v="18"/>
    <x v="18"/>
    <x v="0"/>
    <n v="2792"/>
    <n v="368.61962430086891"/>
    <n v="2430.6155670146677"/>
    <n v="26189344.640000053"/>
    <n v="444"/>
    <n v="4112178.0199999996"/>
  </r>
  <r>
    <x v="0"/>
    <x v="4"/>
    <x v="4"/>
    <x v="2"/>
    <x v="19"/>
    <x v="19"/>
    <x v="0"/>
    <n v="1021"/>
    <n v="256.47242773051181"/>
    <n v="1375.1334094699216"/>
    <n v="24114817.739999965"/>
    <n v="240"/>
    <n v="4989334.9099999964"/>
  </r>
  <r>
    <x v="0"/>
    <x v="4"/>
    <x v="4"/>
    <x v="2"/>
    <x v="20"/>
    <x v="20"/>
    <x v="0"/>
    <n v="1056"/>
    <n v="191.33732256084861"/>
    <n v="987.77055240798416"/>
    <n v="14448357.890000017"/>
    <n v="205"/>
    <n v="2795764.4700000021"/>
  </r>
  <r>
    <x v="0"/>
    <x v="4"/>
    <x v="4"/>
    <x v="2"/>
    <x v="21"/>
    <x v="21"/>
    <x v="0"/>
    <n v="802"/>
    <n v="117.83648849783064"/>
    <n v="599.61580835614927"/>
    <n v="7925260.7700000061"/>
    <n v="155"/>
    <n v="1624457.5099999991"/>
  </r>
  <r>
    <x v="0"/>
    <x v="4"/>
    <x v="4"/>
    <x v="2"/>
    <x v="22"/>
    <x v="22"/>
    <x v="0"/>
    <n v="1831"/>
    <n v="379.05590716782837"/>
    <n v="1862.2684182599739"/>
    <n v="28841953.339999963"/>
    <n v="422"/>
    <n v="5738946.3300000001"/>
  </r>
  <r>
    <x v="0"/>
    <x v="4"/>
    <x v="4"/>
    <x v="2"/>
    <x v="23"/>
    <x v="23"/>
    <x v="0"/>
    <n v="135"/>
    <n v="24.823446683552856"/>
    <n v="107.96433562368003"/>
    <n v="2021083.65"/>
    <n v="31"/>
    <n v="450881.35000000003"/>
  </r>
  <r>
    <x v="0"/>
    <x v="4"/>
    <x v="4"/>
    <x v="2"/>
    <x v="24"/>
    <x v="24"/>
    <x v="0"/>
    <n v="520"/>
    <n v="107.93434062406236"/>
    <n v="393.06985198918017"/>
    <n v="5916673.3699999973"/>
    <n v="126"/>
    <n v="1317441.9600000002"/>
  </r>
  <r>
    <x v="0"/>
    <x v="4"/>
    <x v="4"/>
    <x v="2"/>
    <x v="25"/>
    <x v="25"/>
    <x v="0"/>
    <n v="1053"/>
    <n v="204.36138939481881"/>
    <n v="867.96179093529543"/>
    <n v="12481198.849999987"/>
    <n v="245"/>
    <n v="3124284.4899999998"/>
  </r>
  <r>
    <x v="0"/>
    <x v="4"/>
    <x v="4"/>
    <x v="2"/>
    <x v="26"/>
    <x v="26"/>
    <x v="0"/>
    <n v="779"/>
    <n v="121.32709045333267"/>
    <n v="579.88368360769266"/>
    <n v="8658977.4700000025"/>
    <n v="152"/>
    <n v="1753266.2499999995"/>
  </r>
  <r>
    <x v="0"/>
    <x v="4"/>
    <x v="4"/>
    <x v="2"/>
    <x v="27"/>
    <x v="27"/>
    <x v="0"/>
    <n v="707"/>
    <n v="123.62324542406149"/>
    <n v="592.88456744195719"/>
    <n v="7265444.9100000048"/>
    <n v="151"/>
    <n v="1563935.5200000009"/>
  </r>
  <r>
    <x v="0"/>
    <x v="4"/>
    <x v="4"/>
    <x v="2"/>
    <x v="28"/>
    <x v="28"/>
    <x v="0"/>
    <n v="795"/>
    <n v="101.29740770866945"/>
    <n v="720.96938580914264"/>
    <n v="9342071.769999994"/>
    <n v="119"/>
    <n v="1591564.9799999997"/>
  </r>
  <r>
    <x v="0"/>
    <x v="4"/>
    <x v="4"/>
    <x v="2"/>
    <x v="29"/>
    <x v="29"/>
    <x v="0"/>
    <n v="472"/>
    <n v="144.69921015538702"/>
    <n v="446.52407430775003"/>
    <n v="10324372.139999989"/>
    <n v="163"/>
    <n v="2884475.6000000024"/>
  </r>
  <r>
    <x v="0"/>
    <x v="4"/>
    <x v="4"/>
    <x v="2"/>
    <x v="30"/>
    <x v="30"/>
    <x v="0"/>
    <n v="517"/>
    <n v="89.103829864112058"/>
    <n v="429.04218853060712"/>
    <n v="5827101.7099999972"/>
    <n v="104"/>
    <n v="1049951.2099999997"/>
  </r>
  <r>
    <x v="0"/>
    <x v="4"/>
    <x v="4"/>
    <x v="2"/>
    <x v="31"/>
    <x v="31"/>
    <x v="0"/>
    <n v="965"/>
    <n v="250.80709780273298"/>
    <n v="863.42686599310821"/>
    <n v="12715585.630000005"/>
    <n v="304"/>
    <n v="3515763.8400000003"/>
  </r>
  <r>
    <x v="0"/>
    <x v="4"/>
    <x v="4"/>
    <x v="2"/>
    <x v="32"/>
    <x v="32"/>
    <x v="0"/>
    <n v="1658"/>
    <n v="351.14452152364032"/>
    <n v="1680.9019955720039"/>
    <n v="22784353.459999941"/>
    <n v="381"/>
    <n v="4491182.0100000007"/>
  </r>
  <r>
    <x v="0"/>
    <x v="4"/>
    <x v="4"/>
    <x v="2"/>
    <x v="33"/>
    <x v="33"/>
    <x v="0"/>
    <n v="1901"/>
    <n v="191.26267356180009"/>
    <n v="1591.8442197073184"/>
    <n v="20570451.529999983"/>
    <n v="222"/>
    <n v="2625178.4300000011"/>
  </r>
  <r>
    <x v="0"/>
    <x v="4"/>
    <x v="4"/>
    <x v="2"/>
    <x v="34"/>
    <x v="34"/>
    <x v="0"/>
    <n v="16"/>
    <n v="1.8653289762209477"/>
    <n v="10.048739871899533"/>
    <n v="172794.35000000003"/>
    <n v="4"/>
    <n v="40373.339999999997"/>
  </r>
  <r>
    <x v="0"/>
    <x v="4"/>
    <x v="4"/>
    <x v="2"/>
    <x v="35"/>
    <x v="35"/>
    <x v="0"/>
    <n v="1782"/>
    <n v="259.36406369364954"/>
    <n v="1413.3105309832488"/>
    <n v="16739258.129999986"/>
    <n v="304"/>
    <n v="2982361.8899999983"/>
  </r>
  <r>
    <x v="0"/>
    <x v="4"/>
    <x v="4"/>
    <x v="2"/>
    <x v="36"/>
    <x v="36"/>
    <x v="0"/>
    <n v="1378"/>
    <n v="281.13691241609109"/>
    <n v="1160.7452172029246"/>
    <n v="14340673.470000023"/>
    <n v="304"/>
    <n v="3307072.1500000004"/>
  </r>
  <r>
    <x v="0"/>
    <x v="4"/>
    <x v="4"/>
    <x v="2"/>
    <x v="37"/>
    <x v="37"/>
    <x v="0"/>
    <n v="940"/>
    <n v="247.3473218468381"/>
    <n v="966.74373967603412"/>
    <n v="13520766.050000008"/>
    <n v="272"/>
    <n v="3551569.3099999996"/>
  </r>
  <r>
    <x v="0"/>
    <x v="4"/>
    <x v="4"/>
    <x v="2"/>
    <x v="38"/>
    <x v="38"/>
    <x v="0"/>
    <n v="320"/>
    <n v="73.679936060734576"/>
    <n v="316.52614996495191"/>
    <n v="4240449.63"/>
    <n v="80"/>
    <n v="944056.5199999999"/>
  </r>
  <r>
    <x v="0"/>
    <x v="4"/>
    <x v="4"/>
    <x v="2"/>
    <x v="39"/>
    <x v="39"/>
    <x v="0"/>
    <n v="833"/>
    <n v="250.94480980097728"/>
    <n v="821.41924852861791"/>
    <n v="13913977.520000005"/>
    <n v="269"/>
    <n v="4439301.0999999987"/>
  </r>
  <r>
    <x v="0"/>
    <x v="4"/>
    <x v="4"/>
    <x v="2"/>
    <x v="40"/>
    <x v="40"/>
    <x v="0"/>
    <n v="1965"/>
    <n v="233.54681602276568"/>
    <n v="1619.8011523509272"/>
    <n v="21872129.710000031"/>
    <n v="257"/>
    <n v="3096581.1399999997"/>
  </r>
  <r>
    <x v="0"/>
    <x v="4"/>
    <x v="4"/>
    <x v="2"/>
    <x v="41"/>
    <x v="41"/>
    <x v="0"/>
    <n v="220"/>
    <n v="1.9921759746039132"/>
    <n v="403.17613886034508"/>
    <n v="6223041.0399999991"/>
    <n v="1"/>
    <n v="20553.8"/>
  </r>
  <r>
    <x v="0"/>
    <x v="4"/>
    <x v="4"/>
    <x v="2"/>
    <x v="42"/>
    <x v="42"/>
    <x v="0"/>
    <n v="211"/>
    <n v="38.52518350888429"/>
    <n v="158.09883698456977"/>
    <n v="1736206.2000000004"/>
    <n v="52"/>
    <n v="354793.14"/>
  </r>
  <r>
    <x v="0"/>
    <x v="4"/>
    <x v="4"/>
    <x v="2"/>
    <x v="43"/>
    <x v="43"/>
    <x v="0"/>
    <n v="249"/>
    <n v="43.684147443118277"/>
    <n v="245.58648586928481"/>
    <n v="2616803.6300000013"/>
    <n v="53"/>
    <n v="389808.10999999993"/>
  </r>
  <r>
    <x v="0"/>
    <x v="4"/>
    <x v="4"/>
    <x v="2"/>
    <x v="44"/>
    <x v="44"/>
    <x v="0"/>
    <n v="1147"/>
    <n v="227.3417921018667"/>
    <n v="993.05100634066912"/>
    <n v="16050982.069999997"/>
    <n v="275"/>
    <n v="3859633.0699999989"/>
  </r>
  <r>
    <x v="0"/>
    <x v="4"/>
    <x v="4"/>
    <x v="2"/>
    <x v="45"/>
    <x v="45"/>
    <x v="0"/>
    <n v="1520"/>
    <n v="174.23698877884209"/>
    <n v="1603.2533755618706"/>
    <n v="21818247.979999974"/>
    <n v="197"/>
    <n v="2294465.7600000007"/>
  </r>
  <r>
    <x v="0"/>
    <x v="4"/>
    <x v="4"/>
    <x v="2"/>
    <x v="46"/>
    <x v="46"/>
    <x v="0"/>
    <n v="113"/>
    <n v="9.711039876204504"/>
    <n v="134.14233928996501"/>
    <n v="4679704.330000001"/>
    <n v="11"/>
    <n v="400683.11000000004"/>
  </r>
  <r>
    <x v="0"/>
    <x v="4"/>
    <x v="4"/>
    <x v="2"/>
    <x v="47"/>
    <x v="47"/>
    <x v="0"/>
    <n v="483"/>
    <n v="70.59124610010889"/>
    <n v="411.12942475895733"/>
    <n v="4170060.2900000005"/>
    <n v="73"/>
    <n v="733855.77"/>
  </r>
  <r>
    <x v="0"/>
    <x v="4"/>
    <x v="4"/>
    <x v="4"/>
    <x v="0"/>
    <x v="0"/>
    <x v="0"/>
    <n v="1698"/>
    <n v="295.2260252364843"/>
    <n v="1540.4252523628006"/>
    <n v="20033508.619999979"/>
    <n v="313"/>
    <n v="3915054.9799999977"/>
  </r>
  <r>
    <x v="0"/>
    <x v="4"/>
    <x v="4"/>
    <x v="4"/>
    <x v="1"/>
    <x v="1"/>
    <x v="0"/>
    <n v="2709"/>
    <n v="538.11017314021819"/>
    <n v="4636.9577958884574"/>
    <n v="92192260.120000109"/>
    <n v="414"/>
    <n v="10104592.410000011"/>
  </r>
  <r>
    <x v="0"/>
    <x v="4"/>
    <x v="4"/>
    <x v="4"/>
    <x v="2"/>
    <x v="2"/>
    <x v="0"/>
    <n v="1255"/>
    <n v="216.23445124346196"/>
    <n v="1239.35399920082"/>
    <n v="20709217.370000008"/>
    <n v="231"/>
    <n v="3509810.0399999991"/>
  </r>
  <r>
    <x v="0"/>
    <x v="4"/>
    <x v="4"/>
    <x v="4"/>
    <x v="3"/>
    <x v="3"/>
    <x v="0"/>
    <n v="3099"/>
    <n v="339.72537566921085"/>
    <n v="2423.551382104718"/>
    <n v="29854706.490000144"/>
    <n v="356"/>
    <n v="4420813.6100000003"/>
  </r>
  <r>
    <x v="0"/>
    <x v="4"/>
    <x v="4"/>
    <x v="4"/>
    <x v="4"/>
    <x v="4"/>
    <x v="0"/>
    <n v="1650"/>
    <n v="320.1223059191089"/>
    <n v="1515.5911766793802"/>
    <n v="19553025.680000052"/>
    <n v="331"/>
    <n v="3980590.9099999988"/>
  </r>
  <r>
    <x v="0"/>
    <x v="4"/>
    <x v="4"/>
    <x v="4"/>
    <x v="5"/>
    <x v="5"/>
    <x v="0"/>
    <n v="531"/>
    <n v="116.11299151980158"/>
    <n v="410.16221577128721"/>
    <n v="5817290.6900000013"/>
    <n v="145"/>
    <n v="1697740.0500000003"/>
  </r>
  <r>
    <x v="0"/>
    <x v="4"/>
    <x v="4"/>
    <x v="4"/>
    <x v="6"/>
    <x v="6"/>
    <x v="0"/>
    <n v="1411"/>
    <n v="140.72823120600859"/>
    <n v="1427.1108088073106"/>
    <n v="16709000.650000021"/>
    <n v="173"/>
    <n v="1870435.1500000015"/>
  </r>
  <r>
    <x v="0"/>
    <x v="4"/>
    <x v="4"/>
    <x v="4"/>
    <x v="7"/>
    <x v="7"/>
    <x v="0"/>
    <n v="4108"/>
    <n v="798.96930281480888"/>
    <n v="5770.6131414366946"/>
    <n v="119173440.93000013"/>
    <n v="740"/>
    <n v="18341426.880000032"/>
  </r>
  <r>
    <x v="0"/>
    <x v="4"/>
    <x v="4"/>
    <x v="4"/>
    <x v="8"/>
    <x v="8"/>
    <x v="0"/>
    <n v="184"/>
    <n v="39.899121491369442"/>
    <n v="136.04778626567455"/>
    <n v="2290909.439999999"/>
    <n v="53"/>
    <n v="631889.27000000014"/>
  </r>
  <r>
    <x v="0"/>
    <x v="4"/>
    <x v="4"/>
    <x v="4"/>
    <x v="9"/>
    <x v="9"/>
    <x v="0"/>
    <n v="1627"/>
    <n v="369.3339522917629"/>
    <n v="1546.0160152915221"/>
    <n v="22047381.499999993"/>
    <n v="387"/>
    <n v="5823623.6499999994"/>
  </r>
  <r>
    <x v="0"/>
    <x v="4"/>
    <x v="4"/>
    <x v="4"/>
    <x v="10"/>
    <x v="10"/>
    <x v="0"/>
    <n v="1783"/>
    <n v="301.23985615982076"/>
    <n v="2101.1982382141141"/>
    <n v="35044828.240000099"/>
    <n v="282"/>
    <n v="5020460.41"/>
  </r>
  <r>
    <x v="1"/>
    <x v="5"/>
    <x v="5"/>
    <x v="5"/>
    <x v="11"/>
    <x v="11"/>
    <x v="0"/>
    <n v="484"/>
    <n v="120.85647800000005"/>
    <n v="409.11519399999952"/>
    <n v="6957694.0999999987"/>
    <n v="148"/>
    <n v="2082833.9700000011"/>
  </r>
  <r>
    <x v="0"/>
    <x v="4"/>
    <x v="4"/>
    <x v="4"/>
    <x v="12"/>
    <x v="12"/>
    <x v="0"/>
    <n v="2475"/>
    <n v="466.82491904895636"/>
    <n v="2054.8397528050787"/>
    <n v="25052171.759999972"/>
    <n v="595"/>
    <n v="5850363.6899999995"/>
  </r>
  <r>
    <x v="0"/>
    <x v="4"/>
    <x v="4"/>
    <x v="4"/>
    <x v="13"/>
    <x v="13"/>
    <x v="0"/>
    <n v="1287"/>
    <n v="210.44830331722321"/>
    <n v="1085.5539121614477"/>
    <n v="14527736.239999985"/>
    <n v="221"/>
    <n v="2908172.7299999995"/>
  </r>
  <r>
    <x v="0"/>
    <x v="4"/>
    <x v="4"/>
    <x v="4"/>
    <x v="14"/>
    <x v="14"/>
    <x v="0"/>
    <n v="244"/>
    <n v="48.381634383235109"/>
    <n v="218.92640620914526"/>
    <n v="2399424.3300000005"/>
    <n v="56"/>
    <n v="517323.61"/>
  </r>
  <r>
    <x v="0"/>
    <x v="4"/>
    <x v="4"/>
    <x v="4"/>
    <x v="15"/>
    <x v="15"/>
    <x v="0"/>
    <n v="760"/>
    <n v="131.54975232301513"/>
    <n v="612.47151419226475"/>
    <n v="8383692.1499999939"/>
    <n v="159"/>
    <n v="1720241.659999999"/>
  </r>
  <r>
    <x v="0"/>
    <x v="4"/>
    <x v="4"/>
    <x v="4"/>
    <x v="16"/>
    <x v="16"/>
    <x v="0"/>
    <n v="1758"/>
    <n v="291.35280928585962"/>
    <n v="1719.9348000744246"/>
    <n v="21140330.949999951"/>
    <n v="302"/>
    <n v="3443949.879999999"/>
  </r>
  <r>
    <x v="0"/>
    <x v="4"/>
    <x v="4"/>
    <x v="4"/>
    <x v="17"/>
    <x v="17"/>
    <x v="0"/>
    <n v="1376"/>
    <n v="241.44463892208461"/>
    <n v="1559.9545951138309"/>
    <n v="17614191.329999987"/>
    <n v="263"/>
    <n v="2500747.8799999985"/>
  </r>
  <r>
    <x v="0"/>
    <x v="4"/>
    <x v="4"/>
    <x v="4"/>
    <x v="18"/>
    <x v="18"/>
    <x v="0"/>
    <n v="2734"/>
    <n v="398.41822992099947"/>
    <n v="2364.375658859095"/>
    <n v="25561881.160000052"/>
    <n v="466"/>
    <n v="4242107.3699999982"/>
  </r>
  <r>
    <x v="0"/>
    <x v="4"/>
    <x v="4"/>
    <x v="4"/>
    <x v="19"/>
    <x v="19"/>
    <x v="0"/>
    <n v="1024"/>
    <n v="233.10825702835638"/>
    <n v="1336.5286239620511"/>
    <n v="22109458.980000008"/>
    <n v="260"/>
    <n v="4144280.9"/>
  </r>
  <r>
    <x v="0"/>
    <x v="4"/>
    <x v="4"/>
    <x v="4"/>
    <x v="20"/>
    <x v="20"/>
    <x v="0"/>
    <n v="1148"/>
    <n v="218.60051721329984"/>
    <n v="1087.4172491376985"/>
    <n v="14487300.060000008"/>
    <n v="241"/>
    <n v="2597481.8000000003"/>
  </r>
  <r>
    <x v="0"/>
    <x v="4"/>
    <x v="4"/>
    <x v="4"/>
    <x v="21"/>
    <x v="21"/>
    <x v="0"/>
    <n v="841"/>
    <n v="117.89964149702558"/>
    <n v="569.92807373460585"/>
    <n v="7998253.6300000036"/>
    <n v="168"/>
    <n v="1616085.6500000008"/>
  </r>
  <r>
    <x v="0"/>
    <x v="4"/>
    <x v="4"/>
    <x v="4"/>
    <x v="22"/>
    <x v="22"/>
    <x v="0"/>
    <n v="1811"/>
    <n v="391.60972100779344"/>
    <n v="1855.3522223481389"/>
    <n v="29910717.109999966"/>
    <n v="436"/>
    <n v="6270820.2500000009"/>
  </r>
  <r>
    <x v="0"/>
    <x v="4"/>
    <x v="4"/>
    <x v="4"/>
    <x v="23"/>
    <x v="23"/>
    <x v="0"/>
    <n v="131"/>
    <n v="21.810786721957982"/>
    <n v="109.0575516097438"/>
    <n v="1949146.06"/>
    <n v="31"/>
    <n v="307458.55999999994"/>
  </r>
  <r>
    <x v="0"/>
    <x v="4"/>
    <x v="4"/>
    <x v="4"/>
    <x v="24"/>
    <x v="24"/>
    <x v="0"/>
    <n v="451"/>
    <n v="98.433277745181059"/>
    <n v="389.98384102851981"/>
    <n v="5784180.8400000036"/>
    <n v="107"/>
    <n v="1523349.8800000001"/>
  </r>
  <r>
    <x v="0"/>
    <x v="4"/>
    <x v="4"/>
    <x v="4"/>
    <x v="25"/>
    <x v="25"/>
    <x v="0"/>
    <n v="1104"/>
    <n v="215.67651025057458"/>
    <n v="923.67563422506055"/>
    <n v="13044603.630000003"/>
    <n v="249"/>
    <n v="3371736.1099999994"/>
  </r>
  <r>
    <x v="0"/>
    <x v="4"/>
    <x v="4"/>
    <x v="4"/>
    <x v="26"/>
    <x v="26"/>
    <x v="0"/>
    <n v="774"/>
    <n v="135.06208927824017"/>
    <n v="588.94058849223563"/>
    <n v="8931828.9600000028"/>
    <n v="164"/>
    <n v="2171548.5000000005"/>
  </r>
  <r>
    <x v="0"/>
    <x v="4"/>
    <x v="4"/>
    <x v="4"/>
    <x v="27"/>
    <x v="27"/>
    <x v="0"/>
    <n v="723"/>
    <n v="156.58903500381655"/>
    <n v="620.85257108542328"/>
    <n v="7342258.7700000033"/>
    <n v="159"/>
    <n v="1866199.1700000011"/>
  </r>
  <r>
    <x v="0"/>
    <x v="4"/>
    <x v="4"/>
    <x v="4"/>
    <x v="28"/>
    <x v="28"/>
    <x v="0"/>
    <n v="791"/>
    <n v="117.02401150818802"/>
    <n v="693.70713615667967"/>
    <n v="9143004.6199999899"/>
    <n v="127"/>
    <n v="1755170.6000000003"/>
  </r>
  <r>
    <x v="0"/>
    <x v="4"/>
    <x v="4"/>
    <x v="4"/>
    <x v="29"/>
    <x v="29"/>
    <x v="0"/>
    <n v="441"/>
    <n v="140.43166420978926"/>
    <n v="459.01553314850946"/>
    <n v="10256447.659999996"/>
    <n v="140"/>
    <n v="2895488.9100000006"/>
  </r>
  <r>
    <x v="0"/>
    <x v="4"/>
    <x v="4"/>
    <x v="4"/>
    <x v="30"/>
    <x v="30"/>
    <x v="0"/>
    <n v="616"/>
    <n v="111.931102573112"/>
    <n v="492.90957371643145"/>
    <n v="6654330.1499999929"/>
    <n v="139"/>
    <n v="1329098.8700000006"/>
  </r>
  <r>
    <x v="0"/>
    <x v="4"/>
    <x v="4"/>
    <x v="4"/>
    <x v="31"/>
    <x v="31"/>
    <x v="0"/>
    <n v="1050"/>
    <n v="275.78732948428711"/>
    <n v="948.48074590884789"/>
    <n v="12752996.28999999"/>
    <n v="339"/>
    <n v="3629909.8099999996"/>
  </r>
  <r>
    <x v="0"/>
    <x v="4"/>
    <x v="4"/>
    <x v="4"/>
    <x v="32"/>
    <x v="32"/>
    <x v="0"/>
    <n v="1712"/>
    <n v="361.79712538784179"/>
    <n v="1657.7798728667617"/>
    <n v="22853324.09"/>
    <n v="388"/>
    <n v="4985681.9399999948"/>
  </r>
  <r>
    <x v="0"/>
    <x v="4"/>
    <x v="4"/>
    <x v="4"/>
    <x v="33"/>
    <x v="33"/>
    <x v="0"/>
    <n v="1974"/>
    <n v="196.44700249571054"/>
    <n v="1578.9682478714603"/>
    <n v="18951596.000000007"/>
    <n v="245"/>
    <n v="2398557.5700000003"/>
  </r>
  <r>
    <x v="0"/>
    <x v="4"/>
    <x v="4"/>
    <x v="4"/>
    <x v="34"/>
    <x v="34"/>
    <x v="0"/>
    <n v="21"/>
    <n v="2.092433973325833"/>
    <n v="11.048149859159141"/>
    <n v="193576.02000000005"/>
    <n v="4"/>
    <n v="44247.74"/>
  </r>
  <r>
    <x v="0"/>
    <x v="4"/>
    <x v="4"/>
    <x v="4"/>
    <x v="35"/>
    <x v="35"/>
    <x v="0"/>
    <n v="1936"/>
    <n v="264.02290163425903"/>
    <n v="1478.1610381565461"/>
    <n v="17782651.639999978"/>
    <n v="326"/>
    <n v="2814118.0899999994"/>
  </r>
  <r>
    <x v="0"/>
    <x v="4"/>
    <x v="4"/>
    <x v="4"/>
    <x v="36"/>
    <x v="36"/>
    <x v="0"/>
    <n v="1475"/>
    <n v="284.73414237023383"/>
    <n v="1217.7998744756005"/>
    <n v="14107466.349999966"/>
    <n v="317"/>
    <n v="3238694.42"/>
  </r>
  <r>
    <x v="0"/>
    <x v="4"/>
    <x v="4"/>
    <x v="4"/>
    <x v="37"/>
    <x v="37"/>
    <x v="0"/>
    <n v="962"/>
    <n v="244.68288088080413"/>
    <n v="965.53369369145889"/>
    <n v="13568536.04000001"/>
    <n v="275"/>
    <n v="3446847.859999998"/>
  </r>
  <r>
    <x v="0"/>
    <x v="4"/>
    <x v="4"/>
    <x v="4"/>
    <x v="38"/>
    <x v="38"/>
    <x v="0"/>
    <n v="332"/>
    <n v="61.75963121269357"/>
    <n v="335.9672737171183"/>
    <n v="5961280.5300000031"/>
    <n v="72"/>
    <n v="1082653.2900000003"/>
  </r>
  <r>
    <x v="0"/>
    <x v="4"/>
    <x v="4"/>
    <x v="4"/>
    <x v="39"/>
    <x v="39"/>
    <x v="0"/>
    <n v="882"/>
    <n v="254.66681275352946"/>
    <n v="840.8223922812698"/>
    <n v="14306686.140000002"/>
    <n v="320"/>
    <n v="4288145.2399999984"/>
  </r>
  <r>
    <x v="0"/>
    <x v="4"/>
    <x v="4"/>
    <x v="4"/>
    <x v="40"/>
    <x v="40"/>
    <x v="0"/>
    <n v="2112"/>
    <n v="236.07357199055468"/>
    <n v="1636.5866071369492"/>
    <n v="21513928.88000001"/>
    <n v="271"/>
    <n v="3167297.9299999988"/>
  </r>
  <r>
    <x v="0"/>
    <x v="4"/>
    <x v="4"/>
    <x v="4"/>
    <x v="41"/>
    <x v="41"/>
    <x v="0"/>
    <n v="221"/>
    <n v="3.4798399556393012"/>
    <n v="399.50967190708531"/>
    <n v="5335035.1399999978"/>
    <n v="2"/>
    <n v="59672.92"/>
  </r>
  <r>
    <x v="0"/>
    <x v="4"/>
    <x v="4"/>
    <x v="4"/>
    <x v="42"/>
    <x v="42"/>
    <x v="0"/>
    <n v="220"/>
    <n v="53.848337313546054"/>
    <n v="172.73653079796955"/>
    <n v="1756749.5299999993"/>
    <n v="73"/>
    <n v="497977.43000000011"/>
  </r>
  <r>
    <x v="0"/>
    <x v="4"/>
    <x v="4"/>
    <x v="4"/>
    <x v="43"/>
    <x v="43"/>
    <x v="0"/>
    <n v="294"/>
    <n v="62.881193198395984"/>
    <n v="302.68448014140472"/>
    <n v="2734110.6499999994"/>
    <n v="61"/>
    <n v="529073.17000000004"/>
  </r>
  <r>
    <x v="0"/>
    <x v="4"/>
    <x v="4"/>
    <x v="4"/>
    <x v="44"/>
    <x v="44"/>
    <x v="0"/>
    <n v="1151"/>
    <n v="234.70515900799919"/>
    <n v="948.43916490937704"/>
    <n v="14637211.890000017"/>
    <n v="254"/>
    <n v="3775217.1099999985"/>
  </r>
  <r>
    <x v="0"/>
    <x v="4"/>
    <x v="4"/>
    <x v="4"/>
    <x v="45"/>
    <x v="45"/>
    <x v="0"/>
    <n v="1634"/>
    <n v="201.4490664319448"/>
    <n v="1691.3089734393457"/>
    <n v="22837299.219999969"/>
    <n v="232"/>
    <n v="2562753.0499999993"/>
  </r>
  <r>
    <x v="0"/>
    <x v="4"/>
    <x v="4"/>
    <x v="4"/>
    <x v="46"/>
    <x v="46"/>
    <x v="0"/>
    <n v="105"/>
    <n v="6.1212989219662113"/>
    <n v="124.16845041711129"/>
    <n v="4323200.8599999994"/>
    <n v="7"/>
    <n v="150434.74"/>
  </r>
  <r>
    <x v="0"/>
    <x v="4"/>
    <x v="4"/>
    <x v="4"/>
    <x v="47"/>
    <x v="47"/>
    <x v="0"/>
    <n v="515"/>
    <n v="76.50157902476451"/>
    <n v="417.50663967766178"/>
    <n v="4588267.870000001"/>
    <n v="90"/>
    <n v="878985.45"/>
  </r>
  <r>
    <x v="0"/>
    <x v="4"/>
    <x v="6"/>
    <x v="6"/>
    <x v="0"/>
    <x v="0"/>
    <x v="0"/>
    <n v="1671"/>
    <n v="358.52329342957631"/>
    <n v="1606.8959175154378"/>
    <n v="19702092.090000015"/>
    <n v="347"/>
    <n v="4607653.9699999988"/>
  </r>
  <r>
    <x v="0"/>
    <x v="4"/>
    <x v="6"/>
    <x v="6"/>
    <x v="1"/>
    <x v="1"/>
    <x v="0"/>
    <n v="2580"/>
    <n v="484.06364282919895"/>
    <n v="4417.1007376911712"/>
    <n v="92122703.379999965"/>
    <n v="402"/>
    <n v="9606378.8400000036"/>
  </r>
  <r>
    <x v="0"/>
    <x v="4"/>
    <x v="6"/>
    <x v="6"/>
    <x v="2"/>
    <x v="2"/>
    <x v="0"/>
    <n v="1319"/>
    <n v="263.53141864052435"/>
    <n v="1396.4513571981586"/>
    <n v="22434731.980000027"/>
    <n v="266"/>
    <n v="4501493.2700000023"/>
  </r>
  <r>
    <x v="0"/>
    <x v="4"/>
    <x v="6"/>
    <x v="6"/>
    <x v="3"/>
    <x v="3"/>
    <x v="0"/>
    <n v="3166"/>
    <n v="360.37859940592512"/>
    <n v="2724.4739952685586"/>
    <n v="33633396.229999959"/>
    <n v="342"/>
    <n v="4606755.6599999946"/>
  </r>
  <r>
    <x v="0"/>
    <x v="4"/>
    <x v="6"/>
    <x v="6"/>
    <x v="4"/>
    <x v="4"/>
    <x v="0"/>
    <n v="1819"/>
    <n v="352.14456151089217"/>
    <n v="1686.5280135002899"/>
    <n v="22288332.529999979"/>
    <n v="378"/>
    <n v="4857746.4800000042"/>
  </r>
  <r>
    <x v="0"/>
    <x v="4"/>
    <x v="6"/>
    <x v="6"/>
    <x v="5"/>
    <x v="5"/>
    <x v="0"/>
    <n v="591"/>
    <n v="128.84137635754132"/>
    <n v="469.19004401880613"/>
    <n v="6863138.860000005"/>
    <n v="154"/>
    <n v="2180759.9499999997"/>
  </r>
  <r>
    <x v="0"/>
    <x v="4"/>
    <x v="6"/>
    <x v="6"/>
    <x v="6"/>
    <x v="6"/>
    <x v="0"/>
    <n v="1465"/>
    <n v="170.98516482029592"/>
    <n v="1555.7563081673568"/>
    <n v="20930993.450000014"/>
    <n v="197"/>
    <n v="2695454.4100000006"/>
  </r>
  <r>
    <x v="0"/>
    <x v="4"/>
    <x v="6"/>
    <x v="6"/>
    <x v="7"/>
    <x v="7"/>
    <x v="0"/>
    <n v="3949"/>
    <n v="709.29353295798785"/>
    <n v="5691.6187914437151"/>
    <n v="134269002.87999994"/>
    <n v="659"/>
    <n v="16393256.67999999"/>
  </r>
  <r>
    <x v="0"/>
    <x v="4"/>
    <x v="6"/>
    <x v="6"/>
    <x v="8"/>
    <x v="8"/>
    <x v="0"/>
    <n v="223"/>
    <n v="37.683859519609435"/>
    <n v="171.62099581219036"/>
    <n v="3650491.2200000011"/>
    <n v="54"/>
    <n v="915494.05999999982"/>
  </r>
  <r>
    <x v="0"/>
    <x v="4"/>
    <x v="6"/>
    <x v="6"/>
    <x v="9"/>
    <x v="9"/>
    <x v="0"/>
    <n v="1703"/>
    <n v="384.68509509606793"/>
    <n v="1600.9276335915119"/>
    <n v="23712549.629999969"/>
    <n v="402"/>
    <n v="5938583.5899999989"/>
  </r>
  <r>
    <x v="0"/>
    <x v="4"/>
    <x v="6"/>
    <x v="6"/>
    <x v="10"/>
    <x v="10"/>
    <x v="0"/>
    <n v="1929"/>
    <n v="387.30070306272438"/>
    <n v="2188.4426401019314"/>
    <n v="38066232.689999998"/>
    <n v="370"/>
    <n v="7342857.4600000056"/>
  </r>
  <r>
    <x v="1"/>
    <x v="5"/>
    <x v="5"/>
    <x v="0"/>
    <x v="11"/>
    <x v="11"/>
    <x v="0"/>
    <n v="449"/>
    <n v="137.75503300000005"/>
    <n v="398.40882299999953"/>
    <n v="7055116.3500000061"/>
    <n v="149"/>
    <n v="2473131.1799999992"/>
  </r>
  <r>
    <x v="0"/>
    <x v="4"/>
    <x v="6"/>
    <x v="6"/>
    <x v="12"/>
    <x v="12"/>
    <x v="0"/>
    <n v="2597"/>
    <n v="538.23345113864684"/>
    <n v="2130.0126188467725"/>
    <n v="25124489.960000016"/>
    <n v="670"/>
    <n v="5772641.6400000053"/>
  </r>
  <r>
    <x v="0"/>
    <x v="4"/>
    <x v="6"/>
    <x v="6"/>
    <x v="13"/>
    <x v="13"/>
    <x v="0"/>
    <n v="1318"/>
    <n v="233.88497901845471"/>
    <n v="1166.9677351235975"/>
    <n v="16172004.069999995"/>
    <n v="252"/>
    <n v="3506003.9199999995"/>
  </r>
  <r>
    <x v="0"/>
    <x v="4"/>
    <x v="6"/>
    <x v="6"/>
    <x v="14"/>
    <x v="14"/>
    <x v="0"/>
    <n v="266"/>
    <n v="49.258618372055402"/>
    <n v="225.56182912455739"/>
    <n v="2600635.0000000005"/>
    <n v="55"/>
    <n v="611573.44000000018"/>
  </r>
  <r>
    <x v="0"/>
    <x v="4"/>
    <x v="6"/>
    <x v="6"/>
    <x v="15"/>
    <x v="15"/>
    <x v="0"/>
    <n v="834"/>
    <n v="145.86385514054024"/>
    <n v="707.60268297954008"/>
    <n v="9970008.819999991"/>
    <n v="177"/>
    <n v="2014833.4200000011"/>
  </r>
  <r>
    <x v="0"/>
    <x v="4"/>
    <x v="6"/>
    <x v="6"/>
    <x v="16"/>
    <x v="16"/>
    <x v="0"/>
    <n v="1821"/>
    <n v="327.59894582379695"/>
    <n v="1912.5850726185352"/>
    <n v="25285426.18999999"/>
    <n v="330"/>
    <n v="4396488.7599999988"/>
  </r>
  <r>
    <x v="0"/>
    <x v="4"/>
    <x v="6"/>
    <x v="6"/>
    <x v="17"/>
    <x v="17"/>
    <x v="0"/>
    <n v="1448"/>
    <n v="233.85921101878318"/>
    <n v="1631.4157502028556"/>
    <n v="18824440.570000011"/>
    <n v="260"/>
    <n v="2709537.9099999997"/>
  </r>
  <r>
    <x v="0"/>
    <x v="4"/>
    <x v="6"/>
    <x v="6"/>
    <x v="18"/>
    <x v="18"/>
    <x v="0"/>
    <n v="2730"/>
    <n v="372.3952712527373"/>
    <n v="2436.8085239357347"/>
    <n v="28128147.899999987"/>
    <n v="432"/>
    <n v="4376025.9499999974"/>
  </r>
  <r>
    <x v="0"/>
    <x v="4"/>
    <x v="6"/>
    <x v="6"/>
    <x v="19"/>
    <x v="19"/>
    <x v="0"/>
    <n v="1112"/>
    <n v="276.17554147933828"/>
    <n v="1475.9062151852775"/>
    <n v="24239494.590000048"/>
    <n v="275"/>
    <n v="5624597.7300000023"/>
  </r>
  <r>
    <x v="0"/>
    <x v="4"/>
    <x v="6"/>
    <x v="6"/>
    <x v="20"/>
    <x v="20"/>
    <x v="0"/>
    <n v="1195"/>
    <n v="261.19536067030447"/>
    <n v="1177.6332079876365"/>
    <n v="15940867.120000031"/>
    <n v="263"/>
    <n v="3422640.3299999987"/>
  </r>
  <r>
    <x v="0"/>
    <x v="4"/>
    <x v="6"/>
    <x v="6"/>
    <x v="21"/>
    <x v="21"/>
    <x v="0"/>
    <n v="889"/>
    <n v="171.36622181543845"/>
    <n v="632.44205993768014"/>
    <n v="9506495.5000000112"/>
    <n v="224"/>
    <n v="2956530.580000001"/>
  </r>
  <r>
    <x v="0"/>
    <x v="4"/>
    <x v="6"/>
    <x v="6"/>
    <x v="22"/>
    <x v="22"/>
    <x v="0"/>
    <n v="1866"/>
    <n v="438.6716144078527"/>
    <n v="1899.1531577897697"/>
    <n v="34065421.839999989"/>
    <n v="468"/>
    <n v="8230096.4000000069"/>
  </r>
  <r>
    <x v="0"/>
    <x v="4"/>
    <x v="6"/>
    <x v="6"/>
    <x v="23"/>
    <x v="23"/>
    <x v="0"/>
    <n v="159"/>
    <n v="26.746121659042768"/>
    <n v="140.26762121188059"/>
    <n v="2578249.92"/>
    <n v="34"/>
    <n v="400924.43"/>
  </r>
  <r>
    <x v="0"/>
    <x v="4"/>
    <x v="6"/>
    <x v="6"/>
    <x v="24"/>
    <x v="24"/>
    <x v="0"/>
    <n v="538"/>
    <n v="125.77471239663483"/>
    <n v="457.74330816472838"/>
    <n v="6880149.1999999983"/>
    <n v="142"/>
    <n v="1809210.1300000004"/>
  </r>
  <r>
    <x v="0"/>
    <x v="4"/>
    <x v="6"/>
    <x v="6"/>
    <x v="25"/>
    <x v="25"/>
    <x v="0"/>
    <n v="1151"/>
    <n v="251.31444979626539"/>
    <n v="987.60864941004843"/>
    <n v="14521281.599999994"/>
    <n v="282"/>
    <n v="4043335.5899999994"/>
  </r>
  <r>
    <x v="0"/>
    <x v="4"/>
    <x v="6"/>
    <x v="6"/>
    <x v="26"/>
    <x v="26"/>
    <x v="0"/>
    <n v="896"/>
    <n v="169.01769284537718"/>
    <n v="703.91120202659613"/>
    <n v="11130168.079999972"/>
    <n v="203"/>
    <n v="2675604.6799999988"/>
  </r>
  <r>
    <x v="0"/>
    <x v="4"/>
    <x v="6"/>
    <x v="6"/>
    <x v="27"/>
    <x v="27"/>
    <x v="0"/>
    <n v="733"/>
    <n v="136.56723225905279"/>
    <n v="634.66494990934336"/>
    <n v="6933350.2699999949"/>
    <n v="142"/>
    <n v="1473514.8200000005"/>
  </r>
  <r>
    <x v="0"/>
    <x v="4"/>
    <x v="6"/>
    <x v="6"/>
    <x v="28"/>
    <x v="28"/>
    <x v="0"/>
    <n v="804"/>
    <n v="118.41843949041191"/>
    <n v="703.81144502787004"/>
    <n v="10400851.450000003"/>
    <n v="138"/>
    <n v="1887935.6099999996"/>
  </r>
  <r>
    <x v="0"/>
    <x v="4"/>
    <x v="6"/>
    <x v="6"/>
    <x v="29"/>
    <x v="29"/>
    <x v="0"/>
    <n v="485"/>
    <n v="142.10051718851491"/>
    <n v="492.05353872734418"/>
    <n v="11971222.879999995"/>
    <n v="140"/>
    <n v="3442138.1699999995"/>
  </r>
  <r>
    <x v="0"/>
    <x v="4"/>
    <x v="6"/>
    <x v="6"/>
    <x v="30"/>
    <x v="30"/>
    <x v="0"/>
    <n v="651"/>
    <n v="136.82009925582926"/>
    <n v="528.81112625876165"/>
    <n v="7524727.8499999931"/>
    <n v="153"/>
    <n v="1869150.290000001"/>
  </r>
  <r>
    <x v="0"/>
    <x v="4"/>
    <x v="6"/>
    <x v="6"/>
    <x v="31"/>
    <x v="31"/>
    <x v="0"/>
    <n v="1160"/>
    <n v="299.16809718623125"/>
    <n v="1014.44121706799"/>
    <n v="14012852.25"/>
    <n v="368"/>
    <n v="4141917.6099999994"/>
  </r>
  <r>
    <x v="0"/>
    <x v="4"/>
    <x v="6"/>
    <x v="6"/>
    <x v="32"/>
    <x v="32"/>
    <x v="0"/>
    <n v="1781"/>
    <n v="393.54647498310391"/>
    <n v="1791.6341151603976"/>
    <n v="24539304.290000014"/>
    <n v="389"/>
    <n v="5390244.7200000053"/>
  </r>
  <r>
    <x v="0"/>
    <x v="4"/>
    <x v="6"/>
    <x v="6"/>
    <x v="33"/>
    <x v="33"/>
    <x v="0"/>
    <n v="2057"/>
    <n v="256.88738272522221"/>
    <n v="1678.4511426032568"/>
    <n v="22444540.329999942"/>
    <n v="301"/>
    <n v="3445143.1699999985"/>
  </r>
  <r>
    <x v="0"/>
    <x v="4"/>
    <x v="6"/>
    <x v="6"/>
    <x v="34"/>
    <x v="34"/>
    <x v="0"/>
    <n v="34"/>
    <n v="4.4163119437012375"/>
    <n v="19.075725756824294"/>
    <n v="278669.04000000004"/>
    <n v="9"/>
    <n v="71382.679999999993"/>
  </r>
  <r>
    <x v="0"/>
    <x v="4"/>
    <x v="6"/>
    <x v="6"/>
    <x v="35"/>
    <x v="35"/>
    <x v="0"/>
    <n v="1874"/>
    <n v="296.25550422336045"/>
    <n v="1453.4562274714772"/>
    <n v="17957474.480000038"/>
    <n v="358"/>
    <n v="3391871.1999999993"/>
  </r>
  <r>
    <x v="0"/>
    <x v="4"/>
    <x v="6"/>
    <x v="6"/>
    <x v="36"/>
    <x v="36"/>
    <x v="0"/>
    <n v="1471"/>
    <n v="301.31924415880837"/>
    <n v="1300.4564494218964"/>
    <n v="15198399.989999987"/>
    <n v="354"/>
    <n v="3653180.4800000004"/>
  </r>
  <r>
    <x v="0"/>
    <x v="4"/>
    <x v="6"/>
    <x v="6"/>
    <x v="37"/>
    <x v="37"/>
    <x v="0"/>
    <n v="1045"/>
    <n v="254.64904875375632"/>
    <n v="1009.2563551340871"/>
    <n v="14208076.899999989"/>
    <n v="290"/>
    <n v="3661951.0200000014"/>
  </r>
  <r>
    <x v="0"/>
    <x v="4"/>
    <x v="6"/>
    <x v="6"/>
    <x v="38"/>
    <x v="38"/>
    <x v="0"/>
    <n v="399"/>
    <n v="95.241646785867701"/>
    <n v="397.26981493563829"/>
    <n v="6183534.9999999981"/>
    <n v="112"/>
    <n v="1334302.3499999994"/>
  </r>
  <r>
    <x v="0"/>
    <x v="4"/>
    <x v="6"/>
    <x v="6"/>
    <x v="39"/>
    <x v="39"/>
    <x v="0"/>
    <n v="915"/>
    <n v="278.05701045535352"/>
    <n v="921.05331625849237"/>
    <n v="14609130.800000012"/>
    <n v="309"/>
    <n v="4814651.719999996"/>
  </r>
  <r>
    <x v="0"/>
    <x v="4"/>
    <x v="6"/>
    <x v="6"/>
    <x v="40"/>
    <x v="40"/>
    <x v="0"/>
    <n v="2056"/>
    <n v="283.63440738425311"/>
    <n v="1689.7600964590979"/>
    <n v="23315032.089999914"/>
    <n v="306"/>
    <n v="3946355.3300000019"/>
  </r>
  <r>
    <x v="0"/>
    <x v="4"/>
    <x v="6"/>
    <x v="6"/>
    <x v="41"/>
    <x v="41"/>
    <x v="0"/>
    <n v="215"/>
    <n v="0.90456198846872204"/>
    <n v="404.34390484545838"/>
    <n v="5677459.9799999995"/>
    <n v="1"/>
    <n v="33058.15"/>
  </r>
  <r>
    <x v="0"/>
    <x v="4"/>
    <x v="6"/>
    <x v="6"/>
    <x v="42"/>
    <x v="42"/>
    <x v="0"/>
    <n v="229"/>
    <n v="73.046400068810854"/>
    <n v="196.69026749260959"/>
    <n v="2018881.6200000008"/>
    <n v="85"/>
    <n v="728331.12999999977"/>
  </r>
  <r>
    <x v="0"/>
    <x v="4"/>
    <x v="6"/>
    <x v="6"/>
    <x v="43"/>
    <x v="43"/>
    <x v="0"/>
    <n v="324"/>
    <n v="65.40015416628448"/>
    <n v="326.53230283739464"/>
    <n v="3505224.0599999987"/>
    <n v="78"/>
    <n v="781184.0900000002"/>
  </r>
  <r>
    <x v="0"/>
    <x v="4"/>
    <x v="6"/>
    <x v="6"/>
    <x v="44"/>
    <x v="44"/>
    <x v="0"/>
    <n v="1110"/>
    <n v="232.41892903714398"/>
    <n v="927.3457471782757"/>
    <n v="12537601.150000013"/>
    <n v="269"/>
    <n v="3128341.82"/>
  </r>
  <r>
    <x v="0"/>
    <x v="4"/>
    <x v="6"/>
    <x v="6"/>
    <x v="45"/>
    <x v="45"/>
    <x v="0"/>
    <n v="1614"/>
    <n v="209.84722532488581"/>
    <n v="1701.0128183156419"/>
    <n v="22617844.81000001"/>
    <n v="221"/>
    <n v="3040269.0099999993"/>
  </r>
  <r>
    <x v="0"/>
    <x v="4"/>
    <x v="6"/>
    <x v="6"/>
    <x v="46"/>
    <x v="46"/>
    <x v="0"/>
    <n v="126"/>
    <n v="14.619869813627163"/>
    <n v="150.01921208756804"/>
    <n v="5375780.4099999992"/>
    <n v="17"/>
    <n v="612130.06000000006"/>
  </r>
  <r>
    <x v="0"/>
    <x v="4"/>
    <x v="6"/>
    <x v="6"/>
    <x v="47"/>
    <x v="47"/>
    <x v="0"/>
    <n v="566"/>
    <n v="93.190848812011126"/>
    <n v="448.50126328254447"/>
    <n v="5610787.7400000067"/>
    <n v="114"/>
    <n v="1129262.1499999999"/>
  </r>
  <r>
    <x v="0"/>
    <x v="4"/>
    <x v="6"/>
    <x v="7"/>
    <x v="0"/>
    <x v="0"/>
    <x v="0"/>
    <n v="1540"/>
    <n v="311.97418402298013"/>
    <n v="1453.6076234695417"/>
    <n v="17955094.899999995"/>
    <n v="311"/>
    <n v="3836298.1999999974"/>
  </r>
  <r>
    <x v="0"/>
    <x v="4"/>
    <x v="6"/>
    <x v="7"/>
    <x v="1"/>
    <x v="1"/>
    <x v="0"/>
    <n v="2450"/>
    <n v="615.08423915895924"/>
    <n v="4357.2883054536669"/>
    <n v="98239398.169999629"/>
    <n v="394"/>
    <n v="14582511.430000005"/>
  </r>
  <r>
    <x v="0"/>
    <x v="4"/>
    <x v="6"/>
    <x v="7"/>
    <x v="2"/>
    <x v="2"/>
    <x v="0"/>
    <n v="1195"/>
    <n v="262.35512765551954"/>
    <n v="1160.2322582094559"/>
    <n v="19307092.84999999"/>
    <n v="256"/>
    <n v="4716081.5399999991"/>
  </r>
  <r>
    <x v="0"/>
    <x v="4"/>
    <x v="6"/>
    <x v="7"/>
    <x v="3"/>
    <x v="3"/>
    <x v="0"/>
    <n v="2829"/>
    <n v="314.20610599452817"/>
    <n v="2264.7450511291963"/>
    <n v="28008397.130000096"/>
    <n v="302"/>
    <n v="4136245.1499999943"/>
  </r>
  <r>
    <x v="0"/>
    <x v="4"/>
    <x v="6"/>
    <x v="7"/>
    <x v="4"/>
    <x v="4"/>
    <x v="0"/>
    <n v="1663"/>
    <n v="314.69995798823237"/>
    <n v="1546.3087672877925"/>
    <n v="20262660.119999945"/>
    <n v="322"/>
    <n v="4292565"/>
  </r>
  <r>
    <x v="0"/>
    <x v="4"/>
    <x v="6"/>
    <x v="7"/>
    <x v="5"/>
    <x v="5"/>
    <x v="0"/>
    <n v="506"/>
    <n v="117.2389275054483"/>
    <n v="390.0874550271991"/>
    <n v="5327836.3000000017"/>
    <n v="145"/>
    <n v="1470161.0899999989"/>
  </r>
  <r>
    <x v="0"/>
    <x v="4"/>
    <x v="6"/>
    <x v="7"/>
    <x v="6"/>
    <x v="6"/>
    <x v="0"/>
    <n v="1508"/>
    <n v="175.35139476463542"/>
    <n v="1551.8833332167264"/>
    <n v="20817198.469999999"/>
    <n v="200"/>
    <n v="2800799.0900000003"/>
  </r>
  <r>
    <x v="0"/>
    <x v="4"/>
    <x v="6"/>
    <x v="7"/>
    <x v="7"/>
    <x v="7"/>
    <x v="0"/>
    <n v="3673"/>
    <n v="741.24000055073725"/>
    <n v="5278.810943706173"/>
    <n v="114110117.08999959"/>
    <n v="671"/>
    <n v="15812412.57000001"/>
  </r>
  <r>
    <x v="0"/>
    <x v="4"/>
    <x v="6"/>
    <x v="7"/>
    <x v="8"/>
    <x v="8"/>
    <x v="0"/>
    <n v="188"/>
    <n v="25.984195668755721"/>
    <n v="134.67238228320821"/>
    <n v="2147458.3499999996"/>
    <n v="36"/>
    <n v="541153.77000000014"/>
  </r>
  <r>
    <x v="0"/>
    <x v="4"/>
    <x v="6"/>
    <x v="7"/>
    <x v="9"/>
    <x v="9"/>
    <x v="0"/>
    <n v="1485"/>
    <n v="352.77110250290474"/>
    <n v="1461.908211363723"/>
    <n v="22650044.430000003"/>
    <n v="365"/>
    <n v="5745631.7799999975"/>
  </r>
  <r>
    <x v="0"/>
    <x v="4"/>
    <x v="6"/>
    <x v="7"/>
    <x v="10"/>
    <x v="10"/>
    <x v="0"/>
    <n v="1691"/>
    <n v="327.68356982271848"/>
    <n v="2023.7965862008191"/>
    <n v="34638983.060000017"/>
    <n v="315"/>
    <n v="5774588.330000001"/>
  </r>
  <r>
    <x v="1"/>
    <x v="5"/>
    <x v="5"/>
    <x v="2"/>
    <x v="11"/>
    <x v="11"/>
    <x v="0"/>
    <n v="424"/>
    <n v="127.87051999999997"/>
    <n v="389.16888199999966"/>
    <n v="6854375.8399999989"/>
    <n v="137"/>
    <n v="2394983.6100000013"/>
  </r>
  <r>
    <x v="0"/>
    <x v="4"/>
    <x v="6"/>
    <x v="7"/>
    <x v="12"/>
    <x v="12"/>
    <x v="0"/>
    <n v="2378"/>
    <n v="500.70416761706622"/>
    <n v="2056.0231367899901"/>
    <n v="28381516.900000006"/>
    <n v="593"/>
    <n v="6586494.1000000052"/>
  </r>
  <r>
    <x v="0"/>
    <x v="4"/>
    <x v="6"/>
    <x v="7"/>
    <x v="13"/>
    <x v="13"/>
    <x v="0"/>
    <n v="1180"/>
    <n v="206.50499236749229"/>
    <n v="1016.2948690443536"/>
    <n v="14722590.490000019"/>
    <n v="211"/>
    <n v="3092169.2600000002"/>
  </r>
  <r>
    <x v="0"/>
    <x v="4"/>
    <x v="6"/>
    <x v="7"/>
    <x v="14"/>
    <x v="14"/>
    <x v="0"/>
    <n v="207"/>
    <n v="27.044638655237289"/>
    <n v="187.86107760516325"/>
    <n v="1852598.15"/>
    <n v="29"/>
    <n v="230743.47"/>
  </r>
  <r>
    <x v="0"/>
    <x v="4"/>
    <x v="6"/>
    <x v="7"/>
    <x v="15"/>
    <x v="15"/>
    <x v="0"/>
    <n v="735"/>
    <n v="132.40818831207187"/>
    <n v="625.13872003078382"/>
    <n v="8415266.6499999966"/>
    <n v="149"/>
    <n v="1691174.6099999996"/>
  </r>
  <r>
    <x v="0"/>
    <x v="4"/>
    <x v="6"/>
    <x v="7"/>
    <x v="16"/>
    <x v="16"/>
    <x v="0"/>
    <n v="1655"/>
    <n v="323.55879187530059"/>
    <n v="1718.4218520937075"/>
    <n v="21763650.640000049"/>
    <n v="311"/>
    <n v="4005930.5500000017"/>
  </r>
  <r>
    <x v="0"/>
    <x v="4"/>
    <x v="6"/>
    <x v="7"/>
    <x v="17"/>
    <x v="17"/>
    <x v="0"/>
    <n v="1269"/>
    <n v="211.29705530640365"/>
    <n v="1458.53346440674"/>
    <n v="17435077.189999994"/>
    <n v="232"/>
    <n v="2509964.2399999993"/>
  </r>
  <r>
    <x v="0"/>
    <x v="4"/>
    <x v="6"/>
    <x v="7"/>
    <x v="18"/>
    <x v="18"/>
    <x v="0"/>
    <n v="2389"/>
    <n v="370.69142127445804"/>
    <n v="2185.9267141339674"/>
    <n v="24299302.099999983"/>
    <n v="402"/>
    <n v="4275585.8599999994"/>
  </r>
  <r>
    <x v="0"/>
    <x v="4"/>
    <x v="6"/>
    <x v="7"/>
    <x v="19"/>
    <x v="19"/>
    <x v="0"/>
    <n v="1017"/>
    <n v="227.43224610071354"/>
    <n v="1387.7046433096634"/>
    <n v="23038472.860000033"/>
    <n v="237"/>
    <n v="4062656.0199999991"/>
  </r>
  <r>
    <x v="0"/>
    <x v="4"/>
    <x v="6"/>
    <x v="7"/>
    <x v="20"/>
    <x v="20"/>
    <x v="0"/>
    <n v="1055"/>
    <n v="210.81337031256956"/>
    <n v="1029.0143088822133"/>
    <n v="14354058.769999985"/>
    <n v="230"/>
    <n v="2966574.8000000003"/>
  </r>
  <r>
    <x v="0"/>
    <x v="4"/>
    <x v="6"/>
    <x v="7"/>
    <x v="21"/>
    <x v="21"/>
    <x v="0"/>
    <n v="781"/>
    <n v="138.73355623143661"/>
    <n v="550.12844898701053"/>
    <n v="8298962.9199999971"/>
    <n v="182"/>
    <n v="2134855.6900000009"/>
  </r>
  <r>
    <x v="0"/>
    <x v="4"/>
    <x v="6"/>
    <x v="7"/>
    <x v="22"/>
    <x v="22"/>
    <x v="0"/>
    <n v="1732"/>
    <n v="383.04917911692246"/>
    <n v="1748.4832987104924"/>
    <n v="29474278.249999993"/>
    <n v="427"/>
    <n v="6345200.1599999964"/>
  </r>
  <r>
    <x v="0"/>
    <x v="4"/>
    <x v="6"/>
    <x v="7"/>
    <x v="23"/>
    <x v="23"/>
    <x v="0"/>
    <n v="114"/>
    <n v="15.573213801474019"/>
    <n v="103.16276768489004"/>
    <n v="1792015.3199999994"/>
    <n v="22"/>
    <n v="244101.78"/>
  </r>
  <r>
    <x v="0"/>
    <x v="4"/>
    <x v="6"/>
    <x v="7"/>
    <x v="24"/>
    <x v="24"/>
    <x v="0"/>
    <n v="463"/>
    <n v="114.5608915395877"/>
    <n v="395.50860895809069"/>
    <n v="6579427.2099999972"/>
    <n v="126"/>
    <n v="1837986.06"/>
  </r>
  <r>
    <x v="0"/>
    <x v="4"/>
    <x v="6"/>
    <x v="7"/>
    <x v="25"/>
    <x v="25"/>
    <x v="0"/>
    <n v="969"/>
    <n v="212.50908329095279"/>
    <n v="836.52936533599438"/>
    <n v="12389608.960000005"/>
    <n v="234"/>
    <n v="3125964.3099999996"/>
  </r>
  <r>
    <x v="0"/>
    <x v="4"/>
    <x v="6"/>
    <x v="7"/>
    <x v="26"/>
    <x v="26"/>
    <x v="0"/>
    <n v="739"/>
    <n v="144.92719815248068"/>
    <n v="573.32255669133247"/>
    <n v="9053475.4899999965"/>
    <n v="169"/>
    <n v="2281765.4700000002"/>
  </r>
  <r>
    <x v="0"/>
    <x v="4"/>
    <x v="6"/>
    <x v="7"/>
    <x v="27"/>
    <x v="27"/>
    <x v="0"/>
    <n v="596"/>
    <n v="136.05484726558461"/>
    <n v="553.3606169458053"/>
    <n v="5903625.9699999988"/>
    <n v="138"/>
    <n v="1491136.7499999995"/>
  </r>
  <r>
    <x v="0"/>
    <x v="4"/>
    <x v="6"/>
    <x v="7"/>
    <x v="28"/>
    <x v="28"/>
    <x v="0"/>
    <n v="717"/>
    <n v="87.888826879600842"/>
    <n v="641.9707328162101"/>
    <n v="9539072.5000000112"/>
    <n v="110"/>
    <n v="1256897.4100000001"/>
  </r>
  <r>
    <x v="0"/>
    <x v="4"/>
    <x v="6"/>
    <x v="7"/>
    <x v="29"/>
    <x v="29"/>
    <x v="0"/>
    <n v="431"/>
    <n v="141.58931619503161"/>
    <n v="434.87365445626841"/>
    <n v="10573699.620000007"/>
    <n v="156"/>
    <n v="3022321.3699999992"/>
  </r>
  <r>
    <x v="0"/>
    <x v="4"/>
    <x v="6"/>
    <x v="7"/>
    <x v="30"/>
    <x v="30"/>
    <x v="0"/>
    <n v="534"/>
    <n v="98.774307740833606"/>
    <n v="452.02475923762768"/>
    <n v="6229690.4899999993"/>
    <n v="116"/>
    <n v="1292279.1599999999"/>
  </r>
  <r>
    <x v="0"/>
    <x v="4"/>
    <x v="6"/>
    <x v="7"/>
    <x v="31"/>
    <x v="31"/>
    <x v="0"/>
    <n v="1020"/>
    <n v="255.86206773829292"/>
    <n v="892.17970462656979"/>
    <n v="12469284.439999975"/>
    <n v="304"/>
    <n v="3752487.85"/>
  </r>
  <r>
    <x v="0"/>
    <x v="4"/>
    <x v="6"/>
    <x v="7"/>
    <x v="32"/>
    <x v="32"/>
    <x v="0"/>
    <n v="1567"/>
    <n v="356.24884645857065"/>
    <n v="1654.9053009034089"/>
    <n v="22104059.889999971"/>
    <n v="340"/>
    <n v="4687399.1700000018"/>
  </r>
  <r>
    <x v="0"/>
    <x v="4"/>
    <x v="6"/>
    <x v="7"/>
    <x v="33"/>
    <x v="33"/>
    <x v="0"/>
    <n v="1803"/>
    <n v="229.89801606928009"/>
    <n v="1507.4196907835508"/>
    <n v="21727124.940000016"/>
    <n v="248"/>
    <n v="3419461.92"/>
  </r>
  <r>
    <x v="0"/>
    <x v="4"/>
    <x v="6"/>
    <x v="7"/>
    <x v="34"/>
    <x v="34"/>
    <x v="0"/>
    <n v="33"/>
    <n v="5.6134039284408122"/>
    <n v="21.199195729754493"/>
    <n v="416987.16000000015"/>
    <n v="10"/>
    <n v="101986.96"/>
  </r>
  <r>
    <x v="0"/>
    <x v="4"/>
    <x v="6"/>
    <x v="7"/>
    <x v="35"/>
    <x v="35"/>
    <x v="0"/>
    <n v="1652"/>
    <n v="244.25620688624312"/>
    <n v="1269.7664798131359"/>
    <n v="15860395.270000005"/>
    <n v="278"/>
    <n v="2772591.629999999"/>
  </r>
  <r>
    <x v="0"/>
    <x v="4"/>
    <x v="6"/>
    <x v="7"/>
    <x v="36"/>
    <x v="36"/>
    <x v="0"/>
    <n v="1336"/>
    <n v="293.73031325555195"/>
    <n v="1153.4266802962188"/>
    <n v="13359995.560000017"/>
    <n v="315"/>
    <n v="3323616.1399999997"/>
  </r>
  <r>
    <x v="0"/>
    <x v="4"/>
    <x v="6"/>
    <x v="7"/>
    <x v="37"/>
    <x v="37"/>
    <x v="0"/>
    <n v="931"/>
    <n v="224.41850913913265"/>
    <n v="914.16848534625979"/>
    <n v="12166424.799999993"/>
    <n v="270"/>
    <n v="2905651.1699999976"/>
  </r>
  <r>
    <x v="0"/>
    <x v="4"/>
    <x v="6"/>
    <x v="7"/>
    <x v="38"/>
    <x v="38"/>
    <x v="0"/>
    <n v="335"/>
    <n v="68.244948130019324"/>
    <n v="320.98630490809433"/>
    <n v="5178778.3199999994"/>
    <n v="80"/>
    <n v="854992.87"/>
  </r>
  <r>
    <x v="0"/>
    <x v="4"/>
    <x v="6"/>
    <x v="7"/>
    <x v="39"/>
    <x v="39"/>
    <x v="0"/>
    <n v="871"/>
    <n v="256.49603873021073"/>
    <n v="891.87560663044735"/>
    <n v="15093135.919999979"/>
    <n v="283"/>
    <n v="4573114.860000005"/>
  </r>
  <r>
    <x v="0"/>
    <x v="4"/>
    <x v="6"/>
    <x v="7"/>
    <x v="40"/>
    <x v="40"/>
    <x v="0"/>
    <n v="1720"/>
    <n v="257.43083271829414"/>
    <n v="1435.260251703435"/>
    <n v="19787504.600000046"/>
    <n v="272"/>
    <n v="3723803.0199999977"/>
  </r>
  <r>
    <x v="0"/>
    <x v="4"/>
    <x v="6"/>
    <x v="7"/>
    <x v="41"/>
    <x v="41"/>
    <x v="0"/>
    <n v="191"/>
    <n v="1.4377239816720191"/>
    <n v="355.36103846988794"/>
    <n v="5837373.6099999947"/>
    <n v="1"/>
    <n v="57929.599999999999"/>
  </r>
  <r>
    <x v="0"/>
    <x v="4"/>
    <x v="6"/>
    <x v="7"/>
    <x v="42"/>
    <x v="42"/>
    <x v="0"/>
    <n v="177"/>
    <n v="42.501824458190427"/>
    <n v="146.15833413678624"/>
    <n v="1616163.3899999997"/>
    <n v="56"/>
    <n v="402431.56999999995"/>
  </r>
  <r>
    <x v="0"/>
    <x v="4"/>
    <x v="6"/>
    <x v="7"/>
    <x v="43"/>
    <x v="43"/>
    <x v="0"/>
    <n v="274"/>
    <n v="48.382670383221893"/>
    <n v="251.95362678811702"/>
    <n v="2759422.569999997"/>
    <n v="55"/>
    <n v="534336.82000000018"/>
  </r>
  <r>
    <x v="0"/>
    <x v="4"/>
    <x v="6"/>
    <x v="7"/>
    <x v="44"/>
    <x v="44"/>
    <x v="0"/>
    <n v="1052"/>
    <n v="179.19580971562729"/>
    <n v="893.61234160830497"/>
    <n v="14370641.760000018"/>
    <n v="191"/>
    <n v="2919192.8100000015"/>
  </r>
  <r>
    <x v="0"/>
    <x v="4"/>
    <x v="6"/>
    <x v="7"/>
    <x v="45"/>
    <x v="45"/>
    <x v="0"/>
    <n v="1439"/>
    <n v="188.56759559615671"/>
    <n v="1592.0303687049375"/>
    <n v="21195602.20999996"/>
    <n v="193"/>
    <n v="2401325.5000000005"/>
  </r>
  <r>
    <x v="0"/>
    <x v="4"/>
    <x v="6"/>
    <x v="7"/>
    <x v="46"/>
    <x v="46"/>
    <x v="0"/>
    <n v="98"/>
    <n v="8.201409895449137"/>
    <n v="120.67307146167008"/>
    <n v="4086635.0599999996"/>
    <n v="8"/>
    <n v="328113.93"/>
  </r>
  <r>
    <x v="0"/>
    <x v="4"/>
    <x v="6"/>
    <x v="7"/>
    <x v="47"/>
    <x v="47"/>
    <x v="0"/>
    <n v="486"/>
    <n v="64.367686179446281"/>
    <n v="411.2111277579163"/>
    <n v="4921512.2000000048"/>
    <n v="74"/>
    <n v="689615.78"/>
  </r>
  <r>
    <x v="0"/>
    <x v="4"/>
    <x v="6"/>
    <x v="8"/>
    <x v="0"/>
    <x v="0"/>
    <x v="0"/>
    <n v="1583"/>
    <n v="305.85787510095031"/>
    <n v="1488.3445220267192"/>
    <n v="18327387.639999967"/>
    <n v="315"/>
    <n v="3893401.0799999987"/>
  </r>
  <r>
    <x v="0"/>
    <x v="4"/>
    <x v="6"/>
    <x v="8"/>
    <x v="1"/>
    <x v="1"/>
    <x v="0"/>
    <n v="2610"/>
    <n v="553.57064894312953"/>
    <n v="4484.9814958258385"/>
    <n v="100807839.39000027"/>
    <n v="396"/>
    <n v="12485824.649999997"/>
  </r>
  <r>
    <x v="0"/>
    <x v="4"/>
    <x v="6"/>
    <x v="8"/>
    <x v="2"/>
    <x v="2"/>
    <x v="0"/>
    <n v="1289"/>
    <n v="239.54739094627061"/>
    <n v="1259.2296009474483"/>
    <n v="19747564.760000009"/>
    <n v="249"/>
    <n v="4112491.3600000008"/>
  </r>
  <r>
    <x v="0"/>
    <x v="4"/>
    <x v="6"/>
    <x v="8"/>
    <x v="3"/>
    <x v="3"/>
    <x v="0"/>
    <n v="3205"/>
    <n v="333.14794375305917"/>
    <n v="2591.2152519673423"/>
    <n v="32408853.560000043"/>
    <n v="347"/>
    <n v="4288905.1499999966"/>
  </r>
  <r>
    <x v="0"/>
    <x v="4"/>
    <x v="6"/>
    <x v="8"/>
    <x v="4"/>
    <x v="4"/>
    <x v="0"/>
    <n v="1707"/>
    <n v="291.81325327999008"/>
    <n v="1576.1258899076893"/>
    <n v="21369180.880000006"/>
    <n v="287"/>
    <n v="4052223.129999999"/>
  </r>
  <r>
    <x v="0"/>
    <x v="4"/>
    <x v="6"/>
    <x v="8"/>
    <x v="5"/>
    <x v="5"/>
    <x v="0"/>
    <n v="590"/>
    <n v="134.84230628104191"/>
    <n v="431.34322350127337"/>
    <n v="5866504.3199999966"/>
    <n v="177"/>
    <n v="1661683.1999999993"/>
  </r>
  <r>
    <x v="0"/>
    <x v="4"/>
    <x v="6"/>
    <x v="8"/>
    <x v="6"/>
    <x v="6"/>
    <x v="0"/>
    <n v="1513"/>
    <n v="198.323835471785"/>
    <n v="1631.4217822027767"/>
    <n v="21070673.129999995"/>
    <n v="204"/>
    <n v="3006640.1799999997"/>
  </r>
  <r>
    <x v="0"/>
    <x v="4"/>
    <x v="6"/>
    <x v="8"/>
    <x v="7"/>
    <x v="7"/>
    <x v="0"/>
    <n v="4101"/>
    <n v="821.0119455338114"/>
    <n v="5681.5883545715878"/>
    <n v="128535730.92999992"/>
    <n v="786"/>
    <n v="21170283.169999991"/>
  </r>
  <r>
    <x v="0"/>
    <x v="4"/>
    <x v="6"/>
    <x v="8"/>
    <x v="8"/>
    <x v="8"/>
    <x v="0"/>
    <n v="182"/>
    <n v="34.05420956587988"/>
    <n v="148.58853810580615"/>
    <n v="2559209.14"/>
    <n v="48"/>
    <n v="577041.28000000014"/>
  </r>
  <r>
    <x v="0"/>
    <x v="4"/>
    <x v="6"/>
    <x v="8"/>
    <x v="9"/>
    <x v="9"/>
    <x v="0"/>
    <n v="1631"/>
    <n v="406.87068481324775"/>
    <n v="1586.0827667807528"/>
    <n v="23557346.599999938"/>
    <n v="396"/>
    <n v="6155156.160000002"/>
  </r>
  <r>
    <x v="0"/>
    <x v="4"/>
    <x v="6"/>
    <x v="8"/>
    <x v="10"/>
    <x v="10"/>
    <x v="0"/>
    <n v="1799"/>
    <n v="316.0239199713547"/>
    <n v="2051.9822968415124"/>
    <n v="34908529.920000061"/>
    <n v="334"/>
    <n v="5284266.1500000013"/>
  </r>
  <r>
    <x v="1"/>
    <x v="5"/>
    <x v="5"/>
    <x v="4"/>
    <x v="11"/>
    <x v="11"/>
    <x v="0"/>
    <n v="472"/>
    <n v="132.81901200000001"/>
    <n v="402.51433799999933"/>
    <n v="5231038.9600000046"/>
    <n v="155"/>
    <n v="1768113.8699999996"/>
  </r>
  <r>
    <x v="0"/>
    <x v="4"/>
    <x v="6"/>
    <x v="8"/>
    <x v="12"/>
    <x v="12"/>
    <x v="0"/>
    <n v="2491"/>
    <n v="505.71479855319137"/>
    <n v="2110.2307520989598"/>
    <n v="29168256.680000022"/>
    <n v="593"/>
    <n v="6873151.5899999971"/>
  </r>
  <r>
    <x v="0"/>
    <x v="4"/>
    <x v="6"/>
    <x v="8"/>
    <x v="13"/>
    <x v="13"/>
    <x v="0"/>
    <n v="1228"/>
    <n v="213.29812928089399"/>
    <n v="1080.1553822302685"/>
    <n v="15506706.929999992"/>
    <n v="218"/>
    <n v="2813016.189999999"/>
  </r>
  <r>
    <x v="0"/>
    <x v="4"/>
    <x v="6"/>
    <x v="8"/>
    <x v="14"/>
    <x v="14"/>
    <x v="0"/>
    <n v="203"/>
    <n v="28.874074631915803"/>
    <n v="181.48197868648339"/>
    <n v="1905159.6299999985"/>
    <n v="31"/>
    <n v="476144.77"/>
  </r>
  <r>
    <x v="0"/>
    <x v="4"/>
    <x v="6"/>
    <x v="8"/>
    <x v="15"/>
    <x v="15"/>
    <x v="0"/>
    <n v="794"/>
    <n v="145.59824314392623"/>
    <n v="676.99464536972914"/>
    <n v="8258698.7700000014"/>
    <n v="173"/>
    <n v="1843359.1500000004"/>
  </r>
  <r>
    <x v="0"/>
    <x v="4"/>
    <x v="6"/>
    <x v="8"/>
    <x v="16"/>
    <x v="16"/>
    <x v="0"/>
    <n v="1723"/>
    <n v="322.47187188915638"/>
    <n v="1788.3020602028835"/>
    <n v="22265632.040000007"/>
    <n v="321"/>
    <n v="4161972.7699999982"/>
  </r>
  <r>
    <x v="0"/>
    <x v="4"/>
    <x v="6"/>
    <x v="8"/>
    <x v="17"/>
    <x v="17"/>
    <x v="0"/>
    <n v="1328"/>
    <n v="243.32705489808794"/>
    <n v="1520.4298466176938"/>
    <n v="18222331.319999974"/>
    <n v="240"/>
    <n v="3236920.0500000021"/>
  </r>
  <r>
    <x v="0"/>
    <x v="4"/>
    <x v="6"/>
    <x v="8"/>
    <x v="18"/>
    <x v="18"/>
    <x v="0"/>
    <n v="2777"/>
    <n v="387.42342606115972"/>
    <n v="2305.2930516122733"/>
    <n v="25366615.510000005"/>
    <n v="440"/>
    <n v="4552039.0399999972"/>
  </r>
  <r>
    <x v="0"/>
    <x v="4"/>
    <x v="6"/>
    <x v="8"/>
    <x v="19"/>
    <x v="19"/>
    <x v="0"/>
    <n v="1049"/>
    <n v="240.08662493939687"/>
    <n v="1377.8887664347963"/>
    <n v="23147774.220000006"/>
    <n v="248"/>
    <n v="4200369.7799999993"/>
  </r>
  <r>
    <x v="0"/>
    <x v="4"/>
    <x v="6"/>
    <x v="8"/>
    <x v="20"/>
    <x v="20"/>
    <x v="0"/>
    <n v="1084"/>
    <n v="226.69094911016344"/>
    <n v="1074.0318093083367"/>
    <n v="16155345.290000023"/>
    <n v="227"/>
    <n v="3442983.5099999979"/>
  </r>
  <r>
    <x v="0"/>
    <x v="4"/>
    <x v="6"/>
    <x v="8"/>
    <x v="21"/>
    <x v="21"/>
    <x v="0"/>
    <n v="795"/>
    <n v="146.84346912805231"/>
    <n v="570.2151657309463"/>
    <n v="8166186.2399999974"/>
    <n v="191"/>
    <n v="2164188.9199999995"/>
  </r>
  <r>
    <x v="0"/>
    <x v="4"/>
    <x v="6"/>
    <x v="8"/>
    <x v="22"/>
    <x v="22"/>
    <x v="0"/>
    <n v="1858"/>
    <n v="422.93939160840546"/>
    <n v="1920.3083365200835"/>
    <n v="34967272.320000008"/>
    <n v="423"/>
    <n v="7273140.5100000072"/>
  </r>
  <r>
    <x v="0"/>
    <x v="4"/>
    <x v="6"/>
    <x v="8"/>
    <x v="23"/>
    <x v="23"/>
    <x v="0"/>
    <n v="113"/>
    <n v="26.190609666124381"/>
    <n v="110.43427859219339"/>
    <n v="1553055.1400000004"/>
    <n v="29"/>
    <n v="352975.28999999992"/>
  </r>
  <r>
    <x v="0"/>
    <x v="4"/>
    <x v="6"/>
    <x v="8"/>
    <x v="24"/>
    <x v="24"/>
    <x v="0"/>
    <n v="511"/>
    <n v="129.07092935461492"/>
    <n v="436.55382243484974"/>
    <n v="6457453.0699999947"/>
    <n v="126"/>
    <n v="1745750.04"/>
  </r>
  <r>
    <x v="0"/>
    <x v="4"/>
    <x v="6"/>
    <x v="8"/>
    <x v="25"/>
    <x v="25"/>
    <x v="0"/>
    <n v="1124"/>
    <n v="244.25993188619583"/>
    <n v="907.70872042860458"/>
    <n v="13408557.47000001"/>
    <n v="288"/>
    <n v="3729517.5799999987"/>
  </r>
  <r>
    <x v="0"/>
    <x v="4"/>
    <x v="6"/>
    <x v="8"/>
    <x v="26"/>
    <x v="26"/>
    <x v="0"/>
    <n v="820"/>
    <n v="157.7655419888186"/>
    <n v="626.71740401065733"/>
    <n v="10676914.340000022"/>
    <n v="188"/>
    <n v="2990323.2100000004"/>
  </r>
  <r>
    <x v="0"/>
    <x v="4"/>
    <x v="6"/>
    <x v="8"/>
    <x v="27"/>
    <x v="27"/>
    <x v="0"/>
    <n v="729"/>
    <n v="129.1354933537919"/>
    <n v="610.37487621899163"/>
    <n v="7304459.1300000036"/>
    <n v="147"/>
    <n v="1580529.8799999994"/>
  </r>
  <r>
    <x v="0"/>
    <x v="4"/>
    <x v="6"/>
    <x v="8"/>
    <x v="28"/>
    <x v="28"/>
    <x v="0"/>
    <n v="803"/>
    <n v="97.693947754606043"/>
    <n v="723.7951177731195"/>
    <n v="10634731.069999987"/>
    <n v="125"/>
    <n v="1466132.83"/>
  </r>
  <r>
    <x v="0"/>
    <x v="4"/>
    <x v="6"/>
    <x v="8"/>
    <x v="29"/>
    <x v="29"/>
    <x v="0"/>
    <n v="472"/>
    <n v="119.19724048048388"/>
    <n v="448.90669527737674"/>
    <n v="10722160.449999994"/>
    <n v="137"/>
    <n v="2484397.2599999979"/>
  </r>
  <r>
    <x v="0"/>
    <x v="4"/>
    <x v="6"/>
    <x v="8"/>
    <x v="30"/>
    <x v="30"/>
    <x v="0"/>
    <n v="571"/>
    <n v="98.250140747515715"/>
    <n v="460.93248012407253"/>
    <n v="5862877.5299999975"/>
    <n v="118"/>
    <n v="1258847.1500000001"/>
  </r>
  <r>
    <x v="0"/>
    <x v="4"/>
    <x v="6"/>
    <x v="8"/>
    <x v="31"/>
    <x v="31"/>
    <x v="0"/>
    <n v="1089"/>
    <n v="271.77838353539312"/>
    <n v="960.35314375750045"/>
    <n v="13040040.159999985"/>
    <n v="347"/>
    <n v="3693089.5"/>
  </r>
  <r>
    <x v="0"/>
    <x v="4"/>
    <x v="6"/>
    <x v="8"/>
    <x v="32"/>
    <x v="32"/>
    <x v="0"/>
    <n v="1671"/>
    <n v="379.45861616269445"/>
    <n v="1677.0485586211264"/>
    <n v="23448964.009999942"/>
    <n v="398"/>
    <n v="5125403.8299999963"/>
  </r>
  <r>
    <x v="0"/>
    <x v="4"/>
    <x v="6"/>
    <x v="8"/>
    <x v="33"/>
    <x v="33"/>
    <x v="0"/>
    <n v="1792"/>
    <n v="224.15633214247478"/>
    <n v="1536.3424944148433"/>
    <n v="21883463.290000014"/>
    <n v="242"/>
    <n v="3461511.2000000007"/>
  </r>
  <r>
    <x v="0"/>
    <x v="4"/>
    <x v="6"/>
    <x v="8"/>
    <x v="34"/>
    <x v="34"/>
    <x v="0"/>
    <n v="28"/>
    <n v="3.4837839555890238"/>
    <n v="15.474423802733389"/>
    <n v="244903.30000000008"/>
    <n v="7"/>
    <n v="65865.45"/>
  </r>
  <r>
    <x v="0"/>
    <x v="4"/>
    <x v="6"/>
    <x v="8"/>
    <x v="35"/>
    <x v="35"/>
    <x v="0"/>
    <n v="1804"/>
    <n v="238.9892229533863"/>
    <n v="1386.5589593242751"/>
    <n v="17260606.160000037"/>
    <n v="290"/>
    <n v="2642794.6600000006"/>
  </r>
  <r>
    <x v="0"/>
    <x v="4"/>
    <x v="6"/>
    <x v="8"/>
    <x v="36"/>
    <x v="36"/>
    <x v="0"/>
    <n v="1437"/>
    <n v="280.9357924186549"/>
    <n v="1259.7503129408165"/>
    <n v="15285097.090000018"/>
    <n v="315"/>
    <n v="3268514.9400000004"/>
  </r>
  <r>
    <x v="0"/>
    <x v="4"/>
    <x v="6"/>
    <x v="8"/>
    <x v="37"/>
    <x v="37"/>
    <x v="0"/>
    <n v="1002"/>
    <n v="246.66651885551664"/>
    <n v="1018.1016120213275"/>
    <n v="14107495.339999983"/>
    <n v="283"/>
    <n v="3183712.290000001"/>
  </r>
  <r>
    <x v="0"/>
    <x v="4"/>
    <x v="6"/>
    <x v="8"/>
    <x v="38"/>
    <x v="38"/>
    <x v="0"/>
    <n v="345"/>
    <n v="74.371265051921498"/>
    <n v="331.78070777048828"/>
    <n v="5032736.629999998"/>
    <n v="86"/>
    <n v="1042710.7799999998"/>
  </r>
  <r>
    <x v="0"/>
    <x v="4"/>
    <x v="6"/>
    <x v="8"/>
    <x v="39"/>
    <x v="39"/>
    <x v="0"/>
    <n v="917"/>
    <n v="272.47328752653414"/>
    <n v="899.36548353496698"/>
    <n v="15056831.520000013"/>
    <n v="292"/>
    <n v="4652192.9499999965"/>
  </r>
  <r>
    <x v="0"/>
    <x v="4"/>
    <x v="6"/>
    <x v="8"/>
    <x v="40"/>
    <x v="40"/>
    <x v="0"/>
    <n v="2060"/>
    <n v="225.15105712979394"/>
    <n v="1580.1855998559442"/>
    <n v="21966356.419999976"/>
    <n v="257"/>
    <n v="3290881.0599999991"/>
  </r>
  <r>
    <x v="0"/>
    <x v="4"/>
    <x v="6"/>
    <x v="8"/>
    <x v="41"/>
    <x v="41"/>
    <x v="0"/>
    <n v="195"/>
    <n v="0"/>
    <n v="368.67252130019398"/>
    <n v="6056328.6800000006"/>
    <n v="0"/>
    <n v="0"/>
  </r>
  <r>
    <x v="0"/>
    <x v="4"/>
    <x v="6"/>
    <x v="8"/>
    <x v="42"/>
    <x v="42"/>
    <x v="0"/>
    <n v="209"/>
    <n v="43.875380440680466"/>
    <n v="149.6024860928805"/>
    <n v="1825964.6499999994"/>
    <n v="65"/>
    <n v="516391.54999999987"/>
  </r>
  <r>
    <x v="0"/>
    <x v="4"/>
    <x v="6"/>
    <x v="8"/>
    <x v="43"/>
    <x v="43"/>
    <x v="0"/>
    <n v="336"/>
    <n v="71.27449209139894"/>
    <n v="338.54883268420883"/>
    <n v="3774541.3199999994"/>
    <n v="80"/>
    <n v="737067.9099999998"/>
  </r>
  <r>
    <x v="0"/>
    <x v="4"/>
    <x v="6"/>
    <x v="8"/>
    <x v="44"/>
    <x v="44"/>
    <x v="0"/>
    <n v="1233"/>
    <n v="232.57139303520023"/>
    <n v="1003.1685292116929"/>
    <n v="16298211.120000016"/>
    <n v="285"/>
    <n v="4279859.25"/>
  </r>
  <r>
    <x v="0"/>
    <x v="4"/>
    <x v="6"/>
    <x v="8"/>
    <x v="45"/>
    <x v="45"/>
    <x v="0"/>
    <n v="1533"/>
    <n v="202.87888441371769"/>
    <n v="1640.3411450890774"/>
    <n v="21060635.479999952"/>
    <n v="213"/>
    <n v="2607149.0400000005"/>
  </r>
  <r>
    <x v="0"/>
    <x v="4"/>
    <x v="6"/>
    <x v="8"/>
    <x v="46"/>
    <x v="46"/>
    <x v="0"/>
    <n v="111"/>
    <n v="4.7247169397697171"/>
    <n v="135.24557627590102"/>
    <n v="4798396.8899999987"/>
    <n v="5"/>
    <n v="136957.49"/>
  </r>
  <r>
    <x v="0"/>
    <x v="4"/>
    <x v="6"/>
    <x v="8"/>
    <x v="47"/>
    <x v="47"/>
    <x v="0"/>
    <n v="488"/>
    <n v="90.913545841041966"/>
    <n v="437.94233641714908"/>
    <n v="5423138.1999999974"/>
    <n v="89"/>
    <n v="932880.60000000033"/>
  </r>
  <r>
    <x v="0"/>
    <x v="4"/>
    <x v="6"/>
    <x v="9"/>
    <x v="0"/>
    <x v="0"/>
    <x v="0"/>
    <n v="1561"/>
    <n v="304.26977012119562"/>
    <n v="1504.3438728227602"/>
    <n v="19015125.140000001"/>
    <n v="301"/>
    <n v="4084764.1899999976"/>
  </r>
  <r>
    <x v="0"/>
    <x v="4"/>
    <x v="6"/>
    <x v="9"/>
    <x v="1"/>
    <x v="1"/>
    <x v="0"/>
    <n v="2509"/>
    <n v="497.76460165454074"/>
    <n v="4216.7328222454544"/>
    <n v="96271691.609999865"/>
    <n v="390"/>
    <n v="10636530.709999992"/>
  </r>
  <r>
    <x v="0"/>
    <x v="4"/>
    <x v="6"/>
    <x v="9"/>
    <x v="2"/>
    <x v="2"/>
    <x v="0"/>
    <n v="1170"/>
    <n v="206.17485837170094"/>
    <n v="1162.7831151769401"/>
    <n v="18052272.529999994"/>
    <n v="220"/>
    <n v="2961552.5299999993"/>
  </r>
  <r>
    <x v="0"/>
    <x v="4"/>
    <x v="6"/>
    <x v="9"/>
    <x v="3"/>
    <x v="3"/>
    <x v="0"/>
    <n v="3172"/>
    <n v="380.94375414376253"/>
    <n v="2590.4192069774736"/>
    <n v="34333152.520000011"/>
    <n v="329"/>
    <n v="5279272.4700000025"/>
  </r>
  <r>
    <x v="0"/>
    <x v="4"/>
    <x v="6"/>
    <x v="9"/>
    <x v="4"/>
    <x v="4"/>
    <x v="0"/>
    <n v="1692"/>
    <n v="301.19144416043787"/>
    <n v="1543.8760133188096"/>
    <n v="20932712.719999969"/>
    <n v="299"/>
    <n v="4280565.2299999986"/>
  </r>
  <r>
    <x v="0"/>
    <x v="4"/>
    <x v="6"/>
    <x v="9"/>
    <x v="5"/>
    <x v="5"/>
    <x v="0"/>
    <n v="556"/>
    <n v="109.44223160483993"/>
    <n v="414.98200370984563"/>
    <n v="5489782.1199999964"/>
    <n v="147"/>
    <n v="1492154.7499999998"/>
  </r>
  <r>
    <x v="0"/>
    <x v="4"/>
    <x v="6"/>
    <x v="9"/>
    <x v="6"/>
    <x v="6"/>
    <x v="0"/>
    <n v="1473"/>
    <n v="185.79878163145341"/>
    <n v="1532.4747224641433"/>
    <n v="20367026.949999988"/>
    <n v="232"/>
    <n v="2671260.8599999975"/>
  </r>
  <r>
    <x v="0"/>
    <x v="4"/>
    <x v="6"/>
    <x v="9"/>
    <x v="7"/>
    <x v="7"/>
    <x v="0"/>
    <n v="3863"/>
    <n v="764.78000925065089"/>
    <n v="5353.3415707560653"/>
    <n v="125817175.42999974"/>
    <n v="678"/>
    <n v="19548625.439999986"/>
  </r>
  <r>
    <x v="0"/>
    <x v="4"/>
    <x v="6"/>
    <x v="9"/>
    <x v="8"/>
    <x v="8"/>
    <x v="0"/>
    <n v="184"/>
    <n v="38.403137510440125"/>
    <n v="136.38086026142858"/>
    <n v="2193568.0999999996"/>
    <n v="50"/>
    <n v="643121.43000000017"/>
  </r>
  <r>
    <x v="0"/>
    <x v="4"/>
    <x v="6"/>
    <x v="9"/>
    <x v="9"/>
    <x v="9"/>
    <x v="0"/>
    <n v="1606"/>
    <n v="382.79601412014961"/>
    <n v="1508.0330107757259"/>
    <n v="22801547.53999998"/>
    <n v="389"/>
    <n v="6258052.2399999974"/>
  </r>
  <r>
    <x v="0"/>
    <x v="4"/>
    <x v="6"/>
    <x v="9"/>
    <x v="10"/>
    <x v="10"/>
    <x v="0"/>
    <n v="1775"/>
    <n v="345.07721360098583"/>
    <n v="2103.5098981846427"/>
    <n v="34603560.209999926"/>
    <n v="324"/>
    <n v="6123966.3999999994"/>
  </r>
  <r>
    <x v="1"/>
    <x v="5"/>
    <x v="0"/>
    <x v="6"/>
    <x v="11"/>
    <x v="11"/>
    <x v="0"/>
    <n v="493"/>
    <n v="150.41531799999993"/>
    <n v="450.87475299999988"/>
    <n v="6784011.5099999942"/>
    <n v="160"/>
    <n v="2243078.4299999997"/>
  </r>
  <r>
    <x v="0"/>
    <x v="4"/>
    <x v="6"/>
    <x v="9"/>
    <x v="12"/>
    <x v="12"/>
    <x v="0"/>
    <n v="2172"/>
    <n v="444.13556333819832"/>
    <n v="1889.2515169159863"/>
    <n v="25752805.410000049"/>
    <n v="522"/>
    <n v="5847782.1799999941"/>
  </r>
  <r>
    <x v="0"/>
    <x v="4"/>
    <x v="6"/>
    <x v="9"/>
    <x v="13"/>
    <x v="13"/>
    <x v="0"/>
    <n v="1158"/>
    <n v="185.49575063531626"/>
    <n v="1059.1247914983644"/>
    <n v="14799360.700000007"/>
    <n v="196"/>
    <n v="2914192.0099999988"/>
  </r>
  <r>
    <x v="0"/>
    <x v="4"/>
    <x v="6"/>
    <x v="9"/>
    <x v="14"/>
    <x v="14"/>
    <x v="0"/>
    <n v="230"/>
    <n v="25.311669677329029"/>
    <n v="190.27605457437713"/>
    <n v="1964616.6300000008"/>
    <n v="32"/>
    <n v="266140.12"/>
  </r>
  <r>
    <x v="0"/>
    <x v="4"/>
    <x v="6"/>
    <x v="9"/>
    <x v="15"/>
    <x v="15"/>
    <x v="0"/>
    <n v="731"/>
    <n v="109.32044360639242"/>
    <n v="584.61700954735193"/>
    <n v="7480382.4000000088"/>
    <n v="135"/>
    <n v="1417093.0499999993"/>
  </r>
  <r>
    <x v="0"/>
    <x v="4"/>
    <x v="6"/>
    <x v="9"/>
    <x v="16"/>
    <x v="16"/>
    <x v="0"/>
    <n v="1724"/>
    <n v="318.40840094095756"/>
    <n v="1744.0789967666369"/>
    <n v="21963834.270000003"/>
    <n v="333"/>
    <n v="3971304.0900000008"/>
  </r>
  <r>
    <x v="0"/>
    <x v="4"/>
    <x v="6"/>
    <x v="9"/>
    <x v="17"/>
    <x v="17"/>
    <x v="0"/>
    <n v="1339"/>
    <n v="229.65175807241943"/>
    <n v="1547.7885272689234"/>
    <n v="19827433.419999957"/>
    <n v="241"/>
    <n v="2757547.2599999974"/>
  </r>
  <r>
    <x v="0"/>
    <x v="4"/>
    <x v="6"/>
    <x v="9"/>
    <x v="18"/>
    <x v="18"/>
    <x v="0"/>
    <n v="2597"/>
    <n v="388.89064504245573"/>
    <n v="2287.5126388389381"/>
    <n v="25878509.170000046"/>
    <n v="403"/>
    <n v="4472940.4400000004"/>
  </r>
  <r>
    <x v="0"/>
    <x v="4"/>
    <x v="6"/>
    <x v="9"/>
    <x v="19"/>
    <x v="19"/>
    <x v="0"/>
    <n v="1009"/>
    <n v="204.9440443873913"/>
    <n v="1359.4523666698201"/>
    <n v="22122378.869999982"/>
    <n v="226"/>
    <n v="3611152.9200000023"/>
  </r>
  <r>
    <x v="0"/>
    <x v="4"/>
    <x v="6"/>
    <x v="9"/>
    <x v="20"/>
    <x v="20"/>
    <x v="0"/>
    <n v="1092"/>
    <n v="184.61526964654075"/>
    <n v="1091.807420081733"/>
    <n v="17100462.680000003"/>
    <n v="199"/>
    <n v="2701873.4799999995"/>
  </r>
  <r>
    <x v="0"/>
    <x v="4"/>
    <x v="6"/>
    <x v="9"/>
    <x v="21"/>
    <x v="21"/>
    <x v="0"/>
    <n v="839"/>
    <n v="145.08452815047502"/>
    <n v="608.67477824066623"/>
    <n v="8141404.400000005"/>
    <n v="184"/>
    <n v="1898280.9099999988"/>
  </r>
  <r>
    <x v="0"/>
    <x v="4"/>
    <x v="6"/>
    <x v="9"/>
    <x v="22"/>
    <x v="22"/>
    <x v="0"/>
    <n v="1825"/>
    <n v="390.30935402437035"/>
    <n v="1834.0269256199913"/>
    <n v="30971891.369999975"/>
    <n v="397"/>
    <n v="6500320.7000000048"/>
  </r>
  <r>
    <x v="0"/>
    <x v="4"/>
    <x v="6"/>
    <x v="9"/>
    <x v="23"/>
    <x v="23"/>
    <x v="0"/>
    <n v="89"/>
    <n v="15.813355798412708"/>
    <n v="87.449121885206182"/>
    <n v="1416335.5000000007"/>
    <n v="14"/>
    <n v="377445.65000000008"/>
  </r>
  <r>
    <x v="0"/>
    <x v="4"/>
    <x v="6"/>
    <x v="9"/>
    <x v="24"/>
    <x v="24"/>
    <x v="0"/>
    <n v="479"/>
    <n v="126.85408138287512"/>
    <n v="419.47908965251696"/>
    <n v="6173976.5799999982"/>
    <n v="127"/>
    <n v="1742036.2599999995"/>
  </r>
  <r>
    <x v="0"/>
    <x v="4"/>
    <x v="6"/>
    <x v="9"/>
    <x v="25"/>
    <x v="25"/>
    <x v="0"/>
    <n v="1096"/>
    <n v="237.46312197284078"/>
    <n v="944.34937596151269"/>
    <n v="14183197.180000009"/>
    <n v="275"/>
    <n v="3933484.3700000015"/>
  </r>
  <r>
    <x v="0"/>
    <x v="4"/>
    <x v="6"/>
    <x v="9"/>
    <x v="26"/>
    <x v="26"/>
    <x v="0"/>
    <n v="808"/>
    <n v="145.25237414833532"/>
    <n v="602.68510031702067"/>
    <n v="9647090.4300000165"/>
    <n v="188"/>
    <n v="2335810.2599999984"/>
  </r>
  <r>
    <x v="0"/>
    <x v="4"/>
    <x v="6"/>
    <x v="9"/>
    <x v="27"/>
    <x v="27"/>
    <x v="0"/>
    <n v="752"/>
    <n v="150.6524980794951"/>
    <n v="629.74416197207336"/>
    <n v="8909000.6299999841"/>
    <n v="156"/>
    <n v="2040725.0399999996"/>
  </r>
  <r>
    <x v="0"/>
    <x v="4"/>
    <x v="6"/>
    <x v="9"/>
    <x v="28"/>
    <x v="28"/>
    <x v="0"/>
    <n v="766"/>
    <n v="107.19641363346943"/>
    <n v="657.94619761255569"/>
    <n v="8687351.4100000151"/>
    <n v="125"/>
    <n v="1230192.5800000003"/>
  </r>
  <r>
    <x v="0"/>
    <x v="4"/>
    <x v="6"/>
    <x v="9"/>
    <x v="29"/>
    <x v="29"/>
    <x v="0"/>
    <n v="429"/>
    <n v="134.14743228990014"/>
    <n v="440.76618438115133"/>
    <n v="10057686.299999999"/>
    <n v="142"/>
    <n v="2912603.5000000005"/>
  </r>
  <r>
    <x v="0"/>
    <x v="4"/>
    <x v="6"/>
    <x v="9"/>
    <x v="30"/>
    <x v="30"/>
    <x v="0"/>
    <n v="578"/>
    <n v="104.65094866591878"/>
    <n v="483.815331832364"/>
    <n v="6461218.6699999999"/>
    <n v="125"/>
    <n v="1260156.1599999999"/>
  </r>
  <r>
    <x v="0"/>
    <x v="4"/>
    <x v="6"/>
    <x v="9"/>
    <x v="31"/>
    <x v="31"/>
    <x v="0"/>
    <n v="955"/>
    <n v="226.87110810786686"/>
    <n v="858.9414170502896"/>
    <n v="11690917.02"/>
    <n v="284"/>
    <n v="3189956.77"/>
  </r>
  <r>
    <x v="0"/>
    <x v="4"/>
    <x v="6"/>
    <x v="9"/>
    <x v="32"/>
    <x v="32"/>
    <x v="0"/>
    <n v="1556"/>
    <n v="366.29475533050618"/>
    <n v="1640.9337720815165"/>
    <n v="22252265.029999945"/>
    <n v="360"/>
    <n v="5138617.8100000042"/>
  </r>
  <r>
    <x v="0"/>
    <x v="4"/>
    <x v="6"/>
    <x v="9"/>
    <x v="33"/>
    <x v="33"/>
    <x v="0"/>
    <n v="1814"/>
    <n v="184.18135565207194"/>
    <n v="1464.1495173351591"/>
    <n v="20024355.169999942"/>
    <n v="220"/>
    <n v="2724204.3699999982"/>
  </r>
  <r>
    <x v="0"/>
    <x v="4"/>
    <x v="6"/>
    <x v="9"/>
    <x v="34"/>
    <x v="34"/>
    <x v="0"/>
    <n v="18"/>
    <n v="4.9589169367841555"/>
    <n v="11.317347855727428"/>
    <n v="203419.79999999996"/>
    <n v="7"/>
    <n v="115888.5"/>
  </r>
  <r>
    <x v="0"/>
    <x v="4"/>
    <x v="6"/>
    <x v="9"/>
    <x v="35"/>
    <x v="35"/>
    <x v="0"/>
    <n v="1733"/>
    <n v="233.57102002245682"/>
    <n v="1317.5181122044019"/>
    <n v="17555963.579999991"/>
    <n v="285"/>
    <n v="3398135.9299999978"/>
  </r>
  <r>
    <x v="0"/>
    <x v="4"/>
    <x v="6"/>
    <x v="9"/>
    <x v="36"/>
    <x v="36"/>
    <x v="0"/>
    <n v="1392"/>
    <n v="279.11868344181937"/>
    <n v="1201.3789166849274"/>
    <n v="14033701.099999988"/>
    <n v="318"/>
    <n v="3141674.3600000008"/>
  </r>
  <r>
    <x v="0"/>
    <x v="4"/>
    <x v="6"/>
    <x v="9"/>
    <x v="37"/>
    <x v="37"/>
    <x v="0"/>
    <n v="921"/>
    <n v="243.8784848910586"/>
    <n v="899.10886153823742"/>
    <n v="11812745.989999995"/>
    <n v="273"/>
    <n v="3186799.7099999958"/>
  </r>
  <r>
    <x v="0"/>
    <x v="4"/>
    <x v="6"/>
    <x v="9"/>
    <x v="38"/>
    <x v="38"/>
    <x v="0"/>
    <n v="372"/>
    <n v="61.00424322232319"/>
    <n v="344.054892614018"/>
    <n v="4338643.5899999989"/>
    <n v="78"/>
    <n v="808021.17999999993"/>
  </r>
  <r>
    <x v="0"/>
    <x v="4"/>
    <x v="6"/>
    <x v="9"/>
    <x v="39"/>
    <x v="39"/>
    <x v="0"/>
    <n v="854"/>
    <n v="228.75207808388851"/>
    <n v="824.80178648549827"/>
    <n v="11224047.149999999"/>
    <n v="273"/>
    <n v="3130874.9899999993"/>
  </r>
  <r>
    <x v="0"/>
    <x v="4"/>
    <x v="6"/>
    <x v="9"/>
    <x v="40"/>
    <x v="40"/>
    <x v="0"/>
    <n v="1877"/>
    <n v="211.82667129965213"/>
    <n v="1530.0577364949693"/>
    <n v="21247979.490000043"/>
    <n v="228"/>
    <n v="3191619.9400000023"/>
  </r>
  <r>
    <x v="0"/>
    <x v="4"/>
    <x v="6"/>
    <x v="9"/>
    <x v="41"/>
    <x v="41"/>
    <x v="0"/>
    <n v="173"/>
    <n v="0"/>
    <n v="324.95348185752079"/>
    <n v="5800107.9099999992"/>
    <n v="0"/>
    <n v="0"/>
  </r>
  <r>
    <x v="0"/>
    <x v="4"/>
    <x v="6"/>
    <x v="9"/>
    <x v="42"/>
    <x v="42"/>
    <x v="0"/>
    <n v="246"/>
    <n v="59.634364239786287"/>
    <n v="193.6587375312553"/>
    <n v="2206333.5900000003"/>
    <n v="81"/>
    <n v="671486.69000000018"/>
  </r>
  <r>
    <x v="0"/>
    <x v="4"/>
    <x v="6"/>
    <x v="9"/>
    <x v="43"/>
    <x v="43"/>
    <x v="0"/>
    <n v="273"/>
    <n v="59.627924239868378"/>
    <n v="270.83705354739283"/>
    <n v="3079622.7399999984"/>
    <n v="65"/>
    <n v="690047.80000000016"/>
  </r>
  <r>
    <x v="0"/>
    <x v="4"/>
    <x v="6"/>
    <x v="9"/>
    <x v="44"/>
    <x v="44"/>
    <x v="0"/>
    <n v="1101"/>
    <n v="188.92564759159245"/>
    <n v="906.9259244385845"/>
    <n v="13828792.82000001"/>
    <n v="222"/>
    <n v="2827505.7200000025"/>
  </r>
  <r>
    <x v="0"/>
    <x v="4"/>
    <x v="6"/>
    <x v="9"/>
    <x v="45"/>
    <x v="45"/>
    <x v="0"/>
    <n v="1493"/>
    <n v="222.66247216151825"/>
    <n v="1599.2843046124628"/>
    <n v="20546958.269999966"/>
    <n v="222"/>
    <n v="2915204.2199999988"/>
  </r>
  <r>
    <x v="0"/>
    <x v="4"/>
    <x v="6"/>
    <x v="9"/>
    <x v="46"/>
    <x v="46"/>
    <x v="0"/>
    <n v="114"/>
    <n v="9.9967528725622614"/>
    <n v="132.88430430600232"/>
    <n v="4747240.7699999996"/>
    <n v="10"/>
    <n v="397184.13"/>
  </r>
  <r>
    <x v="0"/>
    <x v="4"/>
    <x v="6"/>
    <x v="9"/>
    <x v="47"/>
    <x v="47"/>
    <x v="0"/>
    <n v="478"/>
    <n v="60.104518233792817"/>
    <n v="402.7734748654787"/>
    <n v="4607458.4900000012"/>
    <n v="68"/>
    <n v="715136.40999999992"/>
  </r>
  <r>
    <x v="0"/>
    <x v="4"/>
    <x v="6"/>
    <x v="10"/>
    <x v="0"/>
    <x v="0"/>
    <x v="0"/>
    <n v="1573"/>
    <n v="285.52128636019944"/>
    <n v="1475.2614951935"/>
    <n v="18204143.53999998"/>
    <n v="311"/>
    <n v="3549175.6700000027"/>
  </r>
  <r>
    <x v="0"/>
    <x v="4"/>
    <x v="6"/>
    <x v="10"/>
    <x v="1"/>
    <x v="1"/>
    <x v="0"/>
    <n v="2663"/>
    <n v="626.12965801815278"/>
    <n v="4690.7016582033275"/>
    <n v="111288987.25999984"/>
    <n v="427"/>
    <n v="14424698.640000004"/>
  </r>
  <r>
    <x v="0"/>
    <x v="4"/>
    <x v="6"/>
    <x v="10"/>
    <x v="2"/>
    <x v="2"/>
    <x v="0"/>
    <n v="1276"/>
    <n v="211.94055829820033"/>
    <n v="1246.117958114595"/>
    <n v="17759598.31999997"/>
    <n v="241"/>
    <n v="3087469.1499999994"/>
  </r>
  <r>
    <x v="0"/>
    <x v="4"/>
    <x v="6"/>
    <x v="10"/>
    <x v="3"/>
    <x v="3"/>
    <x v="0"/>
    <n v="3068"/>
    <n v="318.6660019376734"/>
    <n v="2384.0570726081951"/>
    <n v="30720403.649999917"/>
    <n v="314"/>
    <n v="4112296.1600000011"/>
  </r>
  <r>
    <x v="0"/>
    <x v="4"/>
    <x v="6"/>
    <x v="10"/>
    <x v="4"/>
    <x v="4"/>
    <x v="0"/>
    <n v="1714"/>
    <n v="257.33716671948844"/>
    <n v="1581.6768788369243"/>
    <n v="22273307.030000001"/>
    <n v="276"/>
    <n v="3779468.7100000014"/>
  </r>
  <r>
    <x v="0"/>
    <x v="4"/>
    <x v="6"/>
    <x v="10"/>
    <x v="5"/>
    <x v="5"/>
    <x v="0"/>
    <n v="553"/>
    <n v="117.9657064961834"/>
    <n v="437.34206742480058"/>
    <n v="5604490.1700000055"/>
    <n v="142"/>
    <n v="1433593.8699999994"/>
  </r>
  <r>
    <x v="0"/>
    <x v="4"/>
    <x v="6"/>
    <x v="10"/>
    <x v="6"/>
    <x v="6"/>
    <x v="0"/>
    <n v="1579"/>
    <n v="192.04721155179908"/>
    <n v="1591.2843037144503"/>
    <n v="21755731.06000001"/>
    <n v="228"/>
    <n v="3148119.3299999991"/>
  </r>
  <r>
    <x v="0"/>
    <x v="4"/>
    <x v="6"/>
    <x v="10"/>
    <x v="7"/>
    <x v="7"/>
    <x v="0"/>
    <n v="4045"/>
    <n v="793.37939788606843"/>
    <n v="5786.9491392284408"/>
    <n v="139959286.52000022"/>
    <n v="721"/>
    <n v="20524111.739999987"/>
  </r>
  <r>
    <x v="0"/>
    <x v="4"/>
    <x v="6"/>
    <x v="10"/>
    <x v="8"/>
    <x v="8"/>
    <x v="0"/>
    <n v="200"/>
    <n v="25.05211168063785"/>
    <n v="143.67228416847823"/>
    <n v="2324338.299999998"/>
    <n v="34"/>
    <n v="402101.96"/>
  </r>
  <r>
    <x v="0"/>
    <x v="4"/>
    <x v="6"/>
    <x v="10"/>
    <x v="9"/>
    <x v="9"/>
    <x v="0"/>
    <n v="1566"/>
    <n v="349.56178554381722"/>
    <n v="1481.4833371141804"/>
    <n v="22381896.019999996"/>
    <n v="367"/>
    <n v="4872483.5600000015"/>
  </r>
  <r>
    <x v="0"/>
    <x v="4"/>
    <x v="6"/>
    <x v="10"/>
    <x v="10"/>
    <x v="10"/>
    <x v="0"/>
    <n v="1848"/>
    <n v="349.3431145466044"/>
    <n v="2027.0982731587362"/>
    <n v="33841583.309999987"/>
    <n v="370"/>
    <n v="5693756.4199999962"/>
  </r>
  <r>
    <x v="1"/>
    <x v="5"/>
    <x v="0"/>
    <x v="7"/>
    <x v="11"/>
    <x v="11"/>
    <x v="0"/>
    <n v="403"/>
    <n v="126.78141300000007"/>
    <n v="349.76059399999991"/>
    <n v="4826358.629999999"/>
    <n v="129"/>
    <n v="1751867.6600000006"/>
  </r>
  <r>
    <x v="0"/>
    <x v="4"/>
    <x v="6"/>
    <x v="10"/>
    <x v="12"/>
    <x v="12"/>
    <x v="0"/>
    <n v="2271"/>
    <n v="443.84550134189612"/>
    <n v="1970.1591678845816"/>
    <n v="25654057.380000003"/>
    <n v="514"/>
    <n v="5874689.5699999928"/>
  </r>
  <r>
    <x v="0"/>
    <x v="4"/>
    <x v="6"/>
    <x v="10"/>
    <x v="13"/>
    <x v="13"/>
    <x v="0"/>
    <n v="1214"/>
    <n v="182.96120266762637"/>
    <n v="1045.7770466685204"/>
    <n v="15302612.110000012"/>
    <n v="183"/>
    <n v="2650095.71"/>
  </r>
  <r>
    <x v="0"/>
    <x v="4"/>
    <x v="6"/>
    <x v="10"/>
    <x v="14"/>
    <x v="14"/>
    <x v="0"/>
    <n v="228"/>
    <n v="35.826981543280731"/>
    <n v="194.65773051852008"/>
    <n v="2136213.79"/>
    <n v="46"/>
    <n v="386391.89999999997"/>
  </r>
  <r>
    <x v="0"/>
    <x v="4"/>
    <x v="6"/>
    <x v="10"/>
    <x v="15"/>
    <x v="15"/>
    <x v="0"/>
    <n v="696"/>
    <n v="115.49816652763937"/>
    <n v="591.17727146372181"/>
    <n v="7612157.9100000039"/>
    <n v="136"/>
    <n v="1550673.7300000007"/>
  </r>
  <r>
    <x v="0"/>
    <x v="4"/>
    <x v="6"/>
    <x v="10"/>
    <x v="16"/>
    <x v="16"/>
    <x v="0"/>
    <n v="1786"/>
    <n v="356.64305845354551"/>
    <n v="1799.5322550597232"/>
    <n v="21970141.260000061"/>
    <n v="357"/>
    <n v="4284342.2199999988"/>
  </r>
  <r>
    <x v="0"/>
    <x v="4"/>
    <x v="6"/>
    <x v="10"/>
    <x v="17"/>
    <x v="17"/>
    <x v="0"/>
    <n v="1350"/>
    <n v="210.61848731505398"/>
    <n v="1562.8459490769769"/>
    <n v="20206467.700000014"/>
    <n v="246"/>
    <n v="2601809.8099999991"/>
  </r>
  <r>
    <x v="0"/>
    <x v="4"/>
    <x v="6"/>
    <x v="10"/>
    <x v="18"/>
    <x v="18"/>
    <x v="0"/>
    <n v="2688"/>
    <n v="341.63478364486991"/>
    <n v="2354.3707199866344"/>
    <n v="27604789.789999872"/>
    <n v="415"/>
    <n v="3988096.6099999985"/>
  </r>
  <r>
    <x v="0"/>
    <x v="4"/>
    <x v="6"/>
    <x v="10"/>
    <x v="19"/>
    <x v="19"/>
    <x v="0"/>
    <n v="1075"/>
    <n v="221.56241417554173"/>
    <n v="1458.4041214083918"/>
    <n v="22541266.770000014"/>
    <n v="241"/>
    <n v="3971501.5599999991"/>
  </r>
  <r>
    <x v="0"/>
    <x v="4"/>
    <x v="6"/>
    <x v="10"/>
    <x v="20"/>
    <x v="20"/>
    <x v="0"/>
    <n v="1201"/>
    <n v="232.29526203872035"/>
    <n v="1194.4997747726215"/>
    <n v="15959395.780000011"/>
    <n v="223"/>
    <n v="3014036.7299999995"/>
  </r>
  <r>
    <x v="0"/>
    <x v="4"/>
    <x v="6"/>
    <x v="10"/>
    <x v="21"/>
    <x v="21"/>
    <x v="0"/>
    <n v="835"/>
    <n v="127.71431937190886"/>
    <n v="595.18081141268647"/>
    <n v="7646186.6900000088"/>
    <n v="171"/>
    <n v="1701393.4200000013"/>
  </r>
  <r>
    <x v="0"/>
    <x v="4"/>
    <x v="6"/>
    <x v="10"/>
    <x v="22"/>
    <x v="22"/>
    <x v="0"/>
    <n v="1891"/>
    <n v="351.05251652481326"/>
    <n v="1942.5710572362862"/>
    <n v="32254742.959999982"/>
    <n v="411"/>
    <n v="6083897.29"/>
  </r>
  <r>
    <x v="0"/>
    <x v="4"/>
    <x v="6"/>
    <x v="10"/>
    <x v="23"/>
    <x v="23"/>
    <x v="0"/>
    <n v="105"/>
    <n v="21.171608730106165"/>
    <n v="107.0632586351669"/>
    <n v="1876507.2699999996"/>
    <n v="22"/>
    <n v="326451.38999999996"/>
  </r>
  <r>
    <x v="0"/>
    <x v="4"/>
    <x v="6"/>
    <x v="10"/>
    <x v="24"/>
    <x v="24"/>
    <x v="0"/>
    <n v="489"/>
    <n v="117.17012750632529"/>
    <n v="388.61600104595726"/>
    <n v="5927884.979999993"/>
    <n v="129"/>
    <n v="1849836.0600000005"/>
  </r>
  <r>
    <x v="0"/>
    <x v="4"/>
    <x v="6"/>
    <x v="10"/>
    <x v="25"/>
    <x v="25"/>
    <x v="0"/>
    <n v="1097"/>
    <n v="214.74543726244406"/>
    <n v="918.44660829171789"/>
    <n v="12764378.199999982"/>
    <n v="271"/>
    <n v="3122293.46"/>
  </r>
  <r>
    <x v="0"/>
    <x v="4"/>
    <x v="6"/>
    <x v="10"/>
    <x v="26"/>
    <x v="26"/>
    <x v="0"/>
    <n v="875"/>
    <n v="135.27086227557874"/>
    <n v="635.98946189245839"/>
    <n v="10554085.509999987"/>
    <n v="187"/>
    <n v="2135062.9400000009"/>
  </r>
  <r>
    <x v="0"/>
    <x v="4"/>
    <x v="6"/>
    <x v="10"/>
    <x v="27"/>
    <x v="27"/>
    <x v="0"/>
    <n v="694"/>
    <n v="124.25252941603947"/>
    <n v="574.83990567198839"/>
    <n v="7700240.6199999955"/>
    <n v="145"/>
    <n v="1704639.5200000005"/>
  </r>
  <r>
    <x v="0"/>
    <x v="4"/>
    <x v="6"/>
    <x v="10"/>
    <x v="28"/>
    <x v="28"/>
    <x v="0"/>
    <n v="765"/>
    <n v="104.70229466526423"/>
    <n v="702.97549103852737"/>
    <n v="8789294.0000000075"/>
    <n v="110"/>
    <n v="1341721.46"/>
  </r>
  <r>
    <x v="0"/>
    <x v="4"/>
    <x v="6"/>
    <x v="10"/>
    <x v="29"/>
    <x v="29"/>
    <x v="0"/>
    <n v="475"/>
    <n v="124.23105341631323"/>
    <n v="460.8414061252343"/>
    <n v="10645711.630000014"/>
    <n v="147"/>
    <n v="2321163.7099999995"/>
  </r>
  <r>
    <x v="0"/>
    <x v="4"/>
    <x v="6"/>
    <x v="10"/>
    <x v="30"/>
    <x v="30"/>
    <x v="0"/>
    <n v="595"/>
    <n v="93.35120480996693"/>
    <n v="450.38580525852092"/>
    <n v="5368845.6600000001"/>
    <n v="120"/>
    <n v="977264.7899999998"/>
  </r>
  <r>
    <x v="0"/>
    <x v="4"/>
    <x v="6"/>
    <x v="10"/>
    <x v="31"/>
    <x v="31"/>
    <x v="0"/>
    <n v="1021"/>
    <n v="276.93919046960326"/>
    <n v="937.00866705509486"/>
    <n v="12163198.999999987"/>
    <n v="316"/>
    <n v="3474482.27"/>
  </r>
  <r>
    <x v="0"/>
    <x v="4"/>
    <x v="6"/>
    <x v="10"/>
    <x v="32"/>
    <x v="32"/>
    <x v="0"/>
    <n v="1702"/>
    <n v="412.47061474186063"/>
    <n v="1764.4756085066142"/>
    <n v="23154647.269999977"/>
    <n v="402"/>
    <n v="5266692.9000000022"/>
  </r>
  <r>
    <x v="0"/>
    <x v="4"/>
    <x v="6"/>
    <x v="10"/>
    <x v="33"/>
    <x v="33"/>
    <x v="0"/>
    <n v="1931"/>
    <n v="180.58398069793105"/>
    <n v="1588.0466657557263"/>
    <n v="21443070.949999966"/>
    <n v="231"/>
    <n v="2689887.399999998"/>
  </r>
  <r>
    <x v="0"/>
    <x v="4"/>
    <x v="6"/>
    <x v="10"/>
    <x v="34"/>
    <x v="34"/>
    <x v="0"/>
    <n v="21"/>
    <n v="4.9632919367283836"/>
    <n v="13.494161827977594"/>
    <n v="220126.38999999996"/>
    <n v="8"/>
    <n v="87411.4"/>
  </r>
  <r>
    <x v="0"/>
    <x v="4"/>
    <x v="6"/>
    <x v="10"/>
    <x v="35"/>
    <x v="35"/>
    <x v="0"/>
    <n v="1803"/>
    <n v="252.58718378004059"/>
    <n v="1396.4870341977128"/>
    <n v="18150593.629999995"/>
    <n v="291"/>
    <n v="3203992.1999999997"/>
  </r>
  <r>
    <x v="0"/>
    <x v="4"/>
    <x v="6"/>
    <x v="10"/>
    <x v="36"/>
    <x v="36"/>
    <x v="0"/>
    <n v="1440"/>
    <n v="316.9510179595361"/>
    <n v="1275.5545387393465"/>
    <n v="15250124.100000001"/>
    <n v="306"/>
    <n v="3660536.8599999994"/>
  </r>
  <r>
    <x v="0"/>
    <x v="4"/>
    <x v="6"/>
    <x v="10"/>
    <x v="37"/>
    <x v="37"/>
    <x v="0"/>
    <n v="1008"/>
    <n v="245.09791587551337"/>
    <n v="983.36472446415189"/>
    <n v="13067425.50999999"/>
    <n v="284"/>
    <n v="3284122.1699999995"/>
  </r>
  <r>
    <x v="0"/>
    <x v="4"/>
    <x v="6"/>
    <x v="10"/>
    <x v="38"/>
    <x v="38"/>
    <x v="0"/>
    <n v="375"/>
    <n v="72.525719075448407"/>
    <n v="335.36245672482846"/>
    <n v="4607938.0200000061"/>
    <n v="90"/>
    <n v="1015012.0000000001"/>
  </r>
  <r>
    <x v="0"/>
    <x v="4"/>
    <x v="6"/>
    <x v="10"/>
    <x v="39"/>
    <x v="39"/>
    <x v="0"/>
    <n v="928"/>
    <n v="260.09087168438435"/>
    <n v="923.33554422939733"/>
    <n v="11378277.450000018"/>
    <n v="290"/>
    <n v="3133511.4999999995"/>
  </r>
  <r>
    <x v="0"/>
    <x v="4"/>
    <x v="6"/>
    <x v="10"/>
    <x v="40"/>
    <x v="40"/>
    <x v="0"/>
    <n v="2067"/>
    <n v="243.4795818961436"/>
    <n v="1533.4522984516962"/>
    <n v="21115686.92000002"/>
    <n v="270"/>
    <n v="3693865.4600000014"/>
  </r>
  <r>
    <x v="0"/>
    <x v="4"/>
    <x v="6"/>
    <x v="10"/>
    <x v="41"/>
    <x v="41"/>
    <x v="0"/>
    <n v="211"/>
    <n v="0"/>
    <n v="395.70325495560866"/>
    <n v="7083992.709999999"/>
    <n v="0"/>
    <n v="0"/>
  </r>
  <r>
    <x v="0"/>
    <x v="4"/>
    <x v="6"/>
    <x v="10"/>
    <x v="42"/>
    <x v="42"/>
    <x v="0"/>
    <n v="256"/>
    <n v="59.095947246649985"/>
    <n v="196.39175349641476"/>
    <n v="2508535.0600000005"/>
    <n v="80"/>
    <n v="640346.04999999981"/>
  </r>
  <r>
    <x v="0"/>
    <x v="4"/>
    <x v="6"/>
    <x v="10"/>
    <x v="43"/>
    <x v="43"/>
    <x v="0"/>
    <n v="311"/>
    <n v="76.800315020956205"/>
    <n v="313.53827100304164"/>
    <n v="3444066.129999999"/>
    <n v="80"/>
    <n v="872661.11000000022"/>
  </r>
  <r>
    <x v="0"/>
    <x v="4"/>
    <x v="6"/>
    <x v="10"/>
    <x v="44"/>
    <x v="44"/>
    <x v="0"/>
    <n v="1186"/>
    <n v="259.08830469716497"/>
    <n v="1031.681235848215"/>
    <n v="14536966.170000013"/>
    <n v="265"/>
    <n v="3866797.8200000012"/>
  </r>
  <r>
    <x v="0"/>
    <x v="4"/>
    <x v="6"/>
    <x v="10"/>
    <x v="45"/>
    <x v="45"/>
    <x v="0"/>
    <n v="1591"/>
    <n v="185.9364146296987"/>
    <n v="1655.8688198911314"/>
    <n v="21666262.430000011"/>
    <n v="194"/>
    <n v="2447059.0100000007"/>
  </r>
  <r>
    <x v="0"/>
    <x v="4"/>
    <x v="6"/>
    <x v="10"/>
    <x v="46"/>
    <x v="46"/>
    <x v="0"/>
    <n v="117"/>
    <n v="12.170143844856062"/>
    <n v="144.24693916115243"/>
    <n v="5026675.8699999973"/>
    <n v="7"/>
    <n v="422953.68"/>
  </r>
  <r>
    <x v="0"/>
    <x v="4"/>
    <x v="6"/>
    <x v="10"/>
    <x v="47"/>
    <x v="47"/>
    <x v="0"/>
    <n v="508"/>
    <n v="71.413790089623163"/>
    <n v="421.94038262114037"/>
    <n v="4530410.3800000045"/>
    <n v="82"/>
    <n v="704169.64000000013"/>
  </r>
  <r>
    <x v="0"/>
    <x v="4"/>
    <x v="6"/>
    <x v="11"/>
    <x v="0"/>
    <x v="0"/>
    <x v="0"/>
    <n v="1490"/>
    <n v="250.63145580497212"/>
    <n v="1367.1521085716679"/>
    <n v="16525519.570000004"/>
    <n v="259"/>
    <n v="3015966.6699999981"/>
  </r>
  <r>
    <x v="0"/>
    <x v="4"/>
    <x v="6"/>
    <x v="11"/>
    <x v="1"/>
    <x v="1"/>
    <x v="0"/>
    <n v="2519"/>
    <n v="500.17321662383529"/>
    <n v="4358.7817874346201"/>
    <n v="97773363.39000012"/>
    <n v="373"/>
    <n v="11238315.23"/>
  </r>
  <r>
    <x v="0"/>
    <x v="4"/>
    <x v="6"/>
    <x v="11"/>
    <x v="2"/>
    <x v="2"/>
    <x v="0"/>
    <n v="1256"/>
    <n v="228.35102708900121"/>
    <n v="1365.2769605955696"/>
    <n v="20848993.600000016"/>
    <n v="239"/>
    <n v="3313661.4099999992"/>
  </r>
  <r>
    <x v="0"/>
    <x v="4"/>
    <x v="6"/>
    <x v="11"/>
    <x v="3"/>
    <x v="3"/>
    <x v="0"/>
    <n v="3113"/>
    <n v="316.51081396514758"/>
    <n v="2452.7341707326932"/>
    <n v="32292300.950000092"/>
    <n v="295"/>
    <n v="4408383.5799999973"/>
  </r>
  <r>
    <x v="0"/>
    <x v="4"/>
    <x v="6"/>
    <x v="11"/>
    <x v="4"/>
    <x v="4"/>
    <x v="0"/>
    <n v="1764"/>
    <n v="292.30585327371062"/>
    <n v="1633.1167401811738"/>
    <n v="20943663.849999968"/>
    <n v="300"/>
    <n v="3832707.8100000019"/>
  </r>
  <r>
    <x v="0"/>
    <x v="4"/>
    <x v="6"/>
    <x v="11"/>
    <x v="5"/>
    <x v="5"/>
    <x v="0"/>
    <n v="535"/>
    <n v="98.401402745587433"/>
    <n v="427.51768555004122"/>
    <n v="5880940.589999998"/>
    <n v="128"/>
    <n v="1275825.4299999995"/>
  </r>
  <r>
    <x v="0"/>
    <x v="4"/>
    <x v="6"/>
    <x v="11"/>
    <x v="6"/>
    <x v="6"/>
    <x v="0"/>
    <n v="1535"/>
    <n v="158.61129097803698"/>
    <n v="1604.3253325482028"/>
    <n v="19364985.990000036"/>
    <n v="183"/>
    <n v="2367364.4399999995"/>
  </r>
  <r>
    <x v="0"/>
    <x v="4"/>
    <x v="6"/>
    <x v="11"/>
    <x v="7"/>
    <x v="7"/>
    <x v="0"/>
    <n v="3913"/>
    <n v="769.52054019021807"/>
    <n v="5567.1877570299575"/>
    <n v="126860040.72999997"/>
    <n v="705"/>
    <n v="19054001.800000023"/>
  </r>
  <r>
    <x v="0"/>
    <x v="4"/>
    <x v="6"/>
    <x v="11"/>
    <x v="8"/>
    <x v="8"/>
    <x v="0"/>
    <n v="191"/>
    <n v="33.887249568008286"/>
    <n v="139.43089022254705"/>
    <n v="2516758.1800000011"/>
    <n v="45"/>
    <n v="589276.42000000016"/>
  </r>
  <r>
    <x v="0"/>
    <x v="4"/>
    <x v="6"/>
    <x v="11"/>
    <x v="9"/>
    <x v="9"/>
    <x v="0"/>
    <n v="1579"/>
    <n v="326.34746483975147"/>
    <n v="1442.2142546147768"/>
    <n v="21210022.579999987"/>
    <n v="347"/>
    <n v="5263986.4700000007"/>
  </r>
  <r>
    <x v="0"/>
    <x v="4"/>
    <x v="6"/>
    <x v="11"/>
    <x v="10"/>
    <x v="10"/>
    <x v="0"/>
    <n v="1779"/>
    <n v="276.6093704738077"/>
    <n v="2025.5168501788953"/>
    <n v="33979269.899999984"/>
    <n v="291"/>
    <n v="4524400.97"/>
  </r>
  <r>
    <x v="1"/>
    <x v="5"/>
    <x v="0"/>
    <x v="8"/>
    <x v="11"/>
    <x v="11"/>
    <x v="0"/>
    <n v="478"/>
    <n v="115.75919900000007"/>
    <n v="407.49459599999966"/>
    <n v="6332889.0299999965"/>
    <n v="147"/>
    <n v="1821905.21"/>
  </r>
  <r>
    <x v="0"/>
    <x v="4"/>
    <x v="6"/>
    <x v="11"/>
    <x v="12"/>
    <x v="12"/>
    <x v="0"/>
    <n v="2270"/>
    <n v="450.81315925307314"/>
    <n v="1977.8996917859033"/>
    <n v="29912441.950000029"/>
    <n v="552"/>
    <n v="6666819.8300000019"/>
  </r>
  <r>
    <x v="0"/>
    <x v="4"/>
    <x v="6"/>
    <x v="11"/>
    <x v="13"/>
    <x v="13"/>
    <x v="0"/>
    <n v="1086"/>
    <n v="175.58200476169588"/>
    <n v="938.58857203494711"/>
    <n v="14833771.369999995"/>
    <n v="192"/>
    <n v="2926910.5099999979"/>
  </r>
  <r>
    <x v="0"/>
    <x v="4"/>
    <x v="6"/>
    <x v="11"/>
    <x v="14"/>
    <x v="14"/>
    <x v="0"/>
    <n v="259"/>
    <n v="42.636905456468405"/>
    <n v="191.49825755879684"/>
    <n v="2221732.38"/>
    <n v="53"/>
    <n v="579111.54999999993"/>
  </r>
  <r>
    <x v="0"/>
    <x v="4"/>
    <x v="6"/>
    <x v="11"/>
    <x v="15"/>
    <x v="15"/>
    <x v="0"/>
    <n v="750"/>
    <n v="143.59180816950399"/>
    <n v="627.83321099643547"/>
    <n v="8807880.3300000038"/>
    <n v="162"/>
    <n v="1918886.1000000006"/>
  </r>
  <r>
    <x v="0"/>
    <x v="4"/>
    <x v="6"/>
    <x v="11"/>
    <x v="16"/>
    <x v="16"/>
    <x v="0"/>
    <n v="1650"/>
    <n v="337.50907369746386"/>
    <n v="1660.2408748353982"/>
    <n v="21199822.080000002"/>
    <n v="358"/>
    <n v="4317129.2200000025"/>
  </r>
  <r>
    <x v="0"/>
    <x v="4"/>
    <x v="6"/>
    <x v="11"/>
    <x v="17"/>
    <x v="17"/>
    <x v="0"/>
    <n v="1306"/>
    <n v="206.49550936761312"/>
    <n v="1526.0004015466795"/>
    <n v="20016384.659999978"/>
    <n v="218"/>
    <n v="2577554.0600000005"/>
  </r>
  <r>
    <x v="0"/>
    <x v="4"/>
    <x v="6"/>
    <x v="11"/>
    <x v="18"/>
    <x v="18"/>
    <x v="0"/>
    <n v="2691"/>
    <n v="346.97490957679406"/>
    <n v="2292.5928077741742"/>
    <n v="26953530.809999928"/>
    <n v="405"/>
    <n v="4276230.4700000016"/>
  </r>
  <r>
    <x v="0"/>
    <x v="4"/>
    <x v="6"/>
    <x v="11"/>
    <x v="19"/>
    <x v="19"/>
    <x v="0"/>
    <n v="1027"/>
    <n v="245.22498187389317"/>
    <n v="1344.5962278592071"/>
    <n v="22832903.740000028"/>
    <n v="247"/>
    <n v="4831415.3400000036"/>
  </r>
  <r>
    <x v="0"/>
    <x v="4"/>
    <x v="6"/>
    <x v="11"/>
    <x v="20"/>
    <x v="20"/>
    <x v="0"/>
    <n v="1164"/>
    <n v="215.83481724855667"/>
    <n v="1113.4088538063622"/>
    <n v="13873120.770000026"/>
    <n v="239"/>
    <n v="2709350.3599999994"/>
  </r>
  <r>
    <x v="0"/>
    <x v="4"/>
    <x v="6"/>
    <x v="11"/>
    <x v="21"/>
    <x v="21"/>
    <x v="0"/>
    <n v="763"/>
    <n v="108.98912561061601"/>
    <n v="523.33311632859477"/>
    <n v="7038026.060000007"/>
    <n v="156"/>
    <n v="1572836.79"/>
  </r>
  <r>
    <x v="0"/>
    <x v="4"/>
    <x v="6"/>
    <x v="11"/>
    <x v="22"/>
    <x v="22"/>
    <x v="0"/>
    <n v="1828"/>
    <n v="381.95619413085569"/>
    <n v="1932.6650953625601"/>
    <n v="30763146.020000078"/>
    <n v="388"/>
    <n v="6111827.6100000013"/>
  </r>
  <r>
    <x v="0"/>
    <x v="4"/>
    <x v="6"/>
    <x v="11"/>
    <x v="23"/>
    <x v="23"/>
    <x v="0"/>
    <n v="81"/>
    <n v="18.573408763227796"/>
    <n v="70.85751709671446"/>
    <n v="1435165.0899999996"/>
    <n v="24"/>
    <n v="340469.75"/>
  </r>
  <r>
    <x v="0"/>
    <x v="4"/>
    <x v="6"/>
    <x v="11"/>
    <x v="24"/>
    <x v="24"/>
    <x v="0"/>
    <n v="494"/>
    <n v="98.187572748313315"/>
    <n v="400.88938888949713"/>
    <n v="7147420.9600000056"/>
    <n v="112"/>
    <n v="1725881.3600000006"/>
  </r>
  <r>
    <x v="0"/>
    <x v="4"/>
    <x v="6"/>
    <x v="11"/>
    <x v="25"/>
    <x v="25"/>
    <x v="0"/>
    <n v="1096"/>
    <n v="204.49687939309158"/>
    <n v="879.26023979126307"/>
    <n v="12476255.960000006"/>
    <n v="234"/>
    <n v="3057676.0900000017"/>
  </r>
  <r>
    <x v="0"/>
    <x v="4"/>
    <x v="6"/>
    <x v="11"/>
    <x v="26"/>
    <x v="26"/>
    <x v="0"/>
    <n v="784"/>
    <n v="135.21253327632235"/>
    <n v="593.8812164292533"/>
    <n v="9805405.5200000051"/>
    <n v="171"/>
    <n v="2057959.4100000001"/>
  </r>
  <r>
    <x v="0"/>
    <x v="4"/>
    <x v="6"/>
    <x v="11"/>
    <x v="27"/>
    <x v="27"/>
    <x v="0"/>
    <n v="697"/>
    <n v="133.71255929544387"/>
    <n v="619.57394610172287"/>
    <n v="7647426.3400000045"/>
    <n v="149"/>
    <n v="1742547.6700000004"/>
  </r>
  <r>
    <x v="0"/>
    <x v="4"/>
    <x v="6"/>
    <x v="11"/>
    <x v="28"/>
    <x v="28"/>
    <x v="0"/>
    <n v="711"/>
    <n v="84.660264920758308"/>
    <n v="636.02822989196522"/>
    <n v="7326802.0399999972"/>
    <n v="105"/>
    <n v="1200495.47"/>
  </r>
  <r>
    <x v="0"/>
    <x v="4"/>
    <x v="6"/>
    <x v="11"/>
    <x v="29"/>
    <x v="29"/>
    <x v="0"/>
    <n v="428"/>
    <n v="125.90661539495335"/>
    <n v="450.52907125669469"/>
    <n v="8819909.7700000014"/>
    <n v="131"/>
    <n v="2167805.7400000007"/>
  </r>
  <r>
    <x v="0"/>
    <x v="4"/>
    <x v="6"/>
    <x v="11"/>
    <x v="30"/>
    <x v="30"/>
    <x v="0"/>
    <n v="578"/>
    <n v="104.20197067164227"/>
    <n v="454.84603620166212"/>
    <n v="5708522.7400000039"/>
    <n v="124"/>
    <n v="1291435.4900000002"/>
  </r>
  <r>
    <x v="0"/>
    <x v="4"/>
    <x v="6"/>
    <x v="11"/>
    <x v="31"/>
    <x v="31"/>
    <x v="0"/>
    <n v="952"/>
    <n v="222.43339016443855"/>
    <n v="911.60325537896108"/>
    <n v="12344507.979999991"/>
    <n v="251"/>
    <n v="3003128.7600000007"/>
  </r>
  <r>
    <x v="0"/>
    <x v="4"/>
    <x v="6"/>
    <x v="11"/>
    <x v="32"/>
    <x v="32"/>
    <x v="0"/>
    <n v="1702"/>
    <n v="429.59585152354896"/>
    <n v="1686.9984264942873"/>
    <n v="22592223.669999983"/>
    <n v="441"/>
    <n v="5761105.620000001"/>
  </r>
  <r>
    <x v="0"/>
    <x v="4"/>
    <x v="6"/>
    <x v="11"/>
    <x v="33"/>
    <x v="33"/>
    <x v="0"/>
    <n v="1905"/>
    <n v="201.7923754275682"/>
    <n v="1534.6894144359212"/>
    <n v="19108630.629999988"/>
    <n v="233"/>
    <n v="2720015.09"/>
  </r>
  <r>
    <x v="0"/>
    <x v="4"/>
    <x v="6"/>
    <x v="11"/>
    <x v="34"/>
    <x v="34"/>
    <x v="0"/>
    <n v="16"/>
    <n v="3.8748689506035059"/>
    <n v="9.1373918835173189"/>
    <n v="156733.84000000003"/>
    <n v="7"/>
    <n v="71667.329999999987"/>
  </r>
  <r>
    <x v="0"/>
    <x v="4"/>
    <x v="6"/>
    <x v="11"/>
    <x v="35"/>
    <x v="35"/>
    <x v="0"/>
    <n v="1761"/>
    <n v="278.18146145376693"/>
    <n v="1343.6174448716927"/>
    <n v="16995435.000000007"/>
    <n v="301"/>
    <n v="3564688.4999999986"/>
  </r>
  <r>
    <x v="0"/>
    <x v="4"/>
    <x v="6"/>
    <x v="11"/>
    <x v="36"/>
    <x v="36"/>
    <x v="0"/>
    <n v="1446"/>
    <n v="280.02633743024853"/>
    <n v="1255.5626349941981"/>
    <n v="15279343.399999999"/>
    <n v="301"/>
    <n v="3298506.7199999988"/>
  </r>
  <r>
    <x v="0"/>
    <x v="4"/>
    <x v="6"/>
    <x v="11"/>
    <x v="37"/>
    <x v="37"/>
    <x v="0"/>
    <n v="969"/>
    <n v="246.88351285275061"/>
    <n v="987.08968841666649"/>
    <n v="13976447.470000003"/>
    <n v="284"/>
    <n v="3367497.4800000023"/>
  </r>
  <r>
    <x v="0"/>
    <x v="4"/>
    <x v="6"/>
    <x v="11"/>
    <x v="38"/>
    <x v="38"/>
    <x v="0"/>
    <n v="360"/>
    <n v="88.477799872092646"/>
    <n v="365.19551234451944"/>
    <n v="5058117.0000000019"/>
    <n v="106"/>
    <n v="1130064.7299999997"/>
  </r>
  <r>
    <x v="0"/>
    <x v="4"/>
    <x v="6"/>
    <x v="11"/>
    <x v="39"/>
    <x v="39"/>
    <x v="0"/>
    <n v="918"/>
    <n v="236.3575669869343"/>
    <n v="923.12029523214278"/>
    <n v="11886321.859999996"/>
    <n v="262"/>
    <n v="3416349.0399999991"/>
  </r>
  <r>
    <x v="0"/>
    <x v="4"/>
    <x v="6"/>
    <x v="11"/>
    <x v="40"/>
    <x v="40"/>
    <x v="0"/>
    <n v="2003"/>
    <n v="238.52726395927516"/>
    <n v="1561.5931050929601"/>
    <n v="21737923.439999979"/>
    <n v="258"/>
    <n v="3671701.2100000018"/>
  </r>
  <r>
    <x v="0"/>
    <x v="4"/>
    <x v="6"/>
    <x v="11"/>
    <x v="41"/>
    <x v="41"/>
    <x v="0"/>
    <n v="199"/>
    <n v="0"/>
    <n v="374.69767122338607"/>
    <n v="6734106.3699999973"/>
    <n v="0"/>
    <n v="0"/>
  </r>
  <r>
    <x v="0"/>
    <x v="4"/>
    <x v="6"/>
    <x v="11"/>
    <x v="42"/>
    <x v="42"/>
    <x v="0"/>
    <n v="243"/>
    <n v="56.147398284237831"/>
    <n v="182.4838746737116"/>
    <n v="2626675.6800000006"/>
    <n v="75"/>
    <n v="773394.29000000027"/>
  </r>
  <r>
    <x v="0"/>
    <x v="4"/>
    <x v="6"/>
    <x v="11"/>
    <x v="43"/>
    <x v="43"/>
    <x v="0"/>
    <n v="303"/>
    <n v="76.974604018734397"/>
    <n v="295.81578922896597"/>
    <n v="3772441.6499999985"/>
    <n v="86"/>
    <n v="882284.46000000031"/>
  </r>
  <r>
    <x v="0"/>
    <x v="4"/>
    <x v="6"/>
    <x v="11"/>
    <x v="44"/>
    <x v="44"/>
    <x v="0"/>
    <n v="1171"/>
    <n v="185.51388063508523"/>
    <n v="935.21570807794956"/>
    <n v="13983910.889999989"/>
    <n v="225"/>
    <n v="2902663.6300000013"/>
  </r>
  <r>
    <x v="0"/>
    <x v="4"/>
    <x v="6"/>
    <x v="11"/>
    <x v="45"/>
    <x v="45"/>
    <x v="0"/>
    <n v="1496"/>
    <n v="172.96256579508827"/>
    <n v="1540.7649023584688"/>
    <n v="21613948.550000012"/>
    <n v="205"/>
    <n v="2383375.2600000002"/>
  </r>
  <r>
    <x v="0"/>
    <x v="4"/>
    <x v="6"/>
    <x v="11"/>
    <x v="46"/>
    <x v="46"/>
    <x v="0"/>
    <n v="102"/>
    <n v="10.37049386779784"/>
    <n v="127.57862337363871"/>
    <n v="4919329.5399999991"/>
    <n v="11"/>
    <n v="474523.9"/>
  </r>
  <r>
    <x v="0"/>
    <x v="4"/>
    <x v="6"/>
    <x v="11"/>
    <x v="47"/>
    <x v="47"/>
    <x v="0"/>
    <n v="476"/>
    <n v="57.967314261037679"/>
    <n v="405.5907048295652"/>
    <n v="4418992.0500000017"/>
    <n v="72"/>
    <n v="651903.39999999991"/>
  </r>
  <r>
    <x v="0"/>
    <x v="6"/>
    <x v="6"/>
    <x v="1"/>
    <x v="0"/>
    <x v="0"/>
    <x v="0"/>
    <n v="1548"/>
    <n v="266.20926860638747"/>
    <n v="1404.5619660947718"/>
    <n v="17254128.759999994"/>
    <n v="281"/>
    <n v="3548142.7299999977"/>
  </r>
  <r>
    <x v="0"/>
    <x v="6"/>
    <x v="6"/>
    <x v="1"/>
    <x v="1"/>
    <x v="1"/>
    <x v="0"/>
    <n v="2487"/>
    <n v="505.17746756004141"/>
    <n v="4378.9713961772395"/>
    <n v="102769632.04999988"/>
    <n v="374"/>
    <n v="10714243.899999999"/>
  </r>
  <r>
    <x v="0"/>
    <x v="6"/>
    <x v="6"/>
    <x v="1"/>
    <x v="2"/>
    <x v="2"/>
    <x v="0"/>
    <n v="1217"/>
    <n v="213.57861627731836"/>
    <n v="1226.8139223606804"/>
    <n v="19542739.86999999"/>
    <n v="220"/>
    <n v="3270647.9699999988"/>
  </r>
  <r>
    <x v="0"/>
    <x v="6"/>
    <x v="6"/>
    <x v="1"/>
    <x v="3"/>
    <x v="3"/>
    <x v="0"/>
    <n v="3080"/>
    <n v="299.15360918641591"/>
    <n v="2414.9161852147968"/>
    <n v="31736205.82999998"/>
    <n v="299"/>
    <n v="3894974.5799999987"/>
  </r>
  <r>
    <x v="0"/>
    <x v="6"/>
    <x v="6"/>
    <x v="1"/>
    <x v="4"/>
    <x v="4"/>
    <x v="0"/>
    <n v="1649"/>
    <n v="252.95699977532641"/>
    <n v="1559.7332901166608"/>
    <n v="19745379.440000001"/>
    <n v="249"/>
    <n v="3203133.629999998"/>
  </r>
  <r>
    <x v="0"/>
    <x v="6"/>
    <x v="6"/>
    <x v="1"/>
    <x v="5"/>
    <x v="5"/>
    <x v="0"/>
    <n v="491"/>
    <n v="120.31707646620833"/>
    <n v="399.73021290427323"/>
    <n v="5380268.7399999965"/>
    <n v="136"/>
    <n v="1697201.2799999991"/>
  </r>
  <r>
    <x v="0"/>
    <x v="6"/>
    <x v="6"/>
    <x v="1"/>
    <x v="6"/>
    <x v="6"/>
    <x v="0"/>
    <n v="1443"/>
    <n v="149.04298510001297"/>
    <n v="1518.6981176397651"/>
    <n v="19354652.649999984"/>
    <n v="181"/>
    <n v="2245495.4699999993"/>
  </r>
  <r>
    <x v="0"/>
    <x v="6"/>
    <x v="6"/>
    <x v="1"/>
    <x v="7"/>
    <x v="7"/>
    <x v="0"/>
    <n v="3755"/>
    <n v="725.71109574869774"/>
    <n v="5499.3541538947002"/>
    <n v="123028479.39000009"/>
    <n v="650"/>
    <n v="19370829.70000001"/>
  </r>
  <r>
    <x v="0"/>
    <x v="6"/>
    <x v="6"/>
    <x v="1"/>
    <x v="8"/>
    <x v="8"/>
    <x v="0"/>
    <n v="202"/>
    <n v="26.9906056559261"/>
    <n v="142.59922018215744"/>
    <n v="1889345.3499999994"/>
    <n v="41"/>
    <n v="362562.03"/>
  </r>
  <r>
    <x v="0"/>
    <x v="6"/>
    <x v="6"/>
    <x v="1"/>
    <x v="9"/>
    <x v="9"/>
    <x v="0"/>
    <n v="1556"/>
    <n v="312.97282701024972"/>
    <n v="1379.5194194140054"/>
    <n v="19622155.240000028"/>
    <n v="342"/>
    <n v="4573077.910000002"/>
  </r>
  <r>
    <x v="0"/>
    <x v="6"/>
    <x v="6"/>
    <x v="1"/>
    <x v="10"/>
    <x v="10"/>
    <x v="0"/>
    <n v="1636"/>
    <n v="281.15175041590226"/>
    <n v="1883.5808929882737"/>
    <n v="33290741.910000045"/>
    <n v="277"/>
    <n v="5161357.370000002"/>
  </r>
  <r>
    <x v="1"/>
    <x v="5"/>
    <x v="0"/>
    <x v="9"/>
    <x v="11"/>
    <x v="11"/>
    <x v="0"/>
    <n v="434"/>
    <n v="113.99543199999997"/>
    <n v="389.76869999999957"/>
    <n v="6148941.5200000005"/>
    <n v="140"/>
    <n v="1726617.3500000003"/>
  </r>
  <r>
    <x v="0"/>
    <x v="6"/>
    <x v="6"/>
    <x v="1"/>
    <x v="12"/>
    <x v="12"/>
    <x v="0"/>
    <n v="2280"/>
    <n v="453.63668721707876"/>
    <n v="1949.9172211426219"/>
    <n v="28535326.230000041"/>
    <n v="521"/>
    <n v="5991473.3700000001"/>
  </r>
  <r>
    <x v="0"/>
    <x v="6"/>
    <x v="6"/>
    <x v="1"/>
    <x v="13"/>
    <x v="13"/>
    <x v="0"/>
    <n v="1178"/>
    <n v="189.9247255788562"/>
    <n v="1048.7852016301711"/>
    <n v="15239904.920000015"/>
    <n v="189"/>
    <n v="2854241.8300000005"/>
  </r>
  <r>
    <x v="0"/>
    <x v="6"/>
    <x v="6"/>
    <x v="1"/>
    <x v="14"/>
    <x v="14"/>
    <x v="0"/>
    <n v="230"/>
    <n v="43.551430444810165"/>
    <n v="195.14290451233515"/>
    <n v="2237097.12"/>
    <n v="49"/>
    <n v="493312.02000000014"/>
  </r>
  <r>
    <x v="0"/>
    <x v="6"/>
    <x v="6"/>
    <x v="1"/>
    <x v="15"/>
    <x v="15"/>
    <x v="0"/>
    <n v="721"/>
    <n v="133.0120153043743"/>
    <n v="593.89035742913609"/>
    <n v="7831001.1500000097"/>
    <n v="158"/>
    <n v="1638969.3500000006"/>
  </r>
  <r>
    <x v="0"/>
    <x v="6"/>
    <x v="6"/>
    <x v="1"/>
    <x v="16"/>
    <x v="16"/>
    <x v="0"/>
    <n v="1809"/>
    <n v="317.00087795890067"/>
    <n v="1777.0643803461433"/>
    <n v="23370000.769999932"/>
    <n v="327"/>
    <n v="4043774.1100000008"/>
  </r>
  <r>
    <x v="0"/>
    <x v="6"/>
    <x v="6"/>
    <x v="1"/>
    <x v="17"/>
    <x v="17"/>
    <x v="0"/>
    <n v="1301"/>
    <n v="211.81730129977154"/>
    <n v="1531.5966184753393"/>
    <n v="17904129.82"/>
    <n v="223"/>
    <n v="2642123.89"/>
  </r>
  <r>
    <x v="0"/>
    <x v="6"/>
    <x v="6"/>
    <x v="1"/>
    <x v="18"/>
    <x v="18"/>
    <x v="0"/>
    <n v="2711"/>
    <n v="364.52914435301415"/>
    <n v="2248.7495993330872"/>
    <n v="27046205.890000146"/>
    <n v="418"/>
    <n v="4439641.7799999993"/>
  </r>
  <r>
    <x v="0"/>
    <x v="6"/>
    <x v="6"/>
    <x v="1"/>
    <x v="19"/>
    <x v="19"/>
    <x v="0"/>
    <n v="1039"/>
    <n v="299.37723018356542"/>
    <n v="1348.4838818096448"/>
    <n v="23385157.590000004"/>
    <n v="290"/>
    <n v="5517069.7900000038"/>
  </r>
  <r>
    <x v="0"/>
    <x v="6"/>
    <x v="6"/>
    <x v="1"/>
    <x v="20"/>
    <x v="20"/>
    <x v="0"/>
    <n v="1044"/>
    <n v="203.12384041059519"/>
    <n v="1038.9182357559587"/>
    <n v="12031611.810000006"/>
    <n v="206"/>
    <n v="2373423.5000000005"/>
  </r>
  <r>
    <x v="0"/>
    <x v="6"/>
    <x v="6"/>
    <x v="1"/>
    <x v="21"/>
    <x v="21"/>
    <x v="0"/>
    <n v="827"/>
    <n v="137.0796582525204"/>
    <n v="595.17503941276027"/>
    <n v="8835520.6099999975"/>
    <n v="165"/>
    <n v="2130762.09"/>
  </r>
  <r>
    <x v="0"/>
    <x v="6"/>
    <x v="6"/>
    <x v="1"/>
    <x v="22"/>
    <x v="22"/>
    <x v="0"/>
    <n v="1872"/>
    <n v="417.42116767875086"/>
    <n v="1948.3254781629239"/>
    <n v="31038213.159999982"/>
    <n v="421"/>
    <n v="6498681.4799999995"/>
  </r>
  <r>
    <x v="0"/>
    <x v="6"/>
    <x v="6"/>
    <x v="1"/>
    <x v="23"/>
    <x v="23"/>
    <x v="0"/>
    <n v="58"/>
    <n v="9.97865887279292"/>
    <n v="52.868251326040102"/>
    <n v="758061.72999999963"/>
    <n v="7"/>
    <n v="141210.59999999998"/>
  </r>
  <r>
    <x v="0"/>
    <x v="6"/>
    <x v="6"/>
    <x v="1"/>
    <x v="24"/>
    <x v="24"/>
    <x v="0"/>
    <n v="527"/>
    <n v="72.940216070164453"/>
    <n v="410.81124176301387"/>
    <n v="8194588.6300000036"/>
    <n v="89"/>
    <n v="1259118.9100000001"/>
  </r>
  <r>
    <x v="0"/>
    <x v="6"/>
    <x v="6"/>
    <x v="1"/>
    <x v="25"/>
    <x v="25"/>
    <x v="0"/>
    <n v="1136"/>
    <n v="195.64947250587753"/>
    <n v="934.27392908995353"/>
    <n v="14054290.940000001"/>
    <n v="242"/>
    <n v="3088847.2799999979"/>
  </r>
  <r>
    <x v="0"/>
    <x v="6"/>
    <x v="6"/>
    <x v="1"/>
    <x v="26"/>
    <x v="26"/>
    <x v="0"/>
    <n v="867"/>
    <n v="142.95381717763715"/>
    <n v="642.50840180935427"/>
    <n v="10863284.790000001"/>
    <n v="172"/>
    <n v="2512886.7399999993"/>
  </r>
  <r>
    <x v="0"/>
    <x v="6"/>
    <x v="6"/>
    <x v="1"/>
    <x v="27"/>
    <x v="27"/>
    <x v="0"/>
    <n v="717"/>
    <n v="140.18429121294278"/>
    <n v="609.24537923339051"/>
    <n v="6353903.6799999904"/>
    <n v="137"/>
    <n v="1440750.7000000009"/>
  </r>
  <r>
    <x v="0"/>
    <x v="6"/>
    <x v="6"/>
    <x v="1"/>
    <x v="28"/>
    <x v="28"/>
    <x v="0"/>
    <n v="711"/>
    <n v="67.242074142803844"/>
    <n v="643.28851679941033"/>
    <n v="8547201.8299999963"/>
    <n v="80"/>
    <n v="855389.83"/>
  </r>
  <r>
    <x v="0"/>
    <x v="6"/>
    <x v="6"/>
    <x v="1"/>
    <x v="29"/>
    <x v="29"/>
    <x v="0"/>
    <n v="452"/>
    <n v="129.59321034795695"/>
    <n v="409.98180677358818"/>
    <n v="10027821.129999988"/>
    <n v="148"/>
    <n v="2577560.7499999986"/>
  </r>
  <r>
    <x v="0"/>
    <x v="6"/>
    <x v="6"/>
    <x v="1"/>
    <x v="30"/>
    <x v="30"/>
    <x v="0"/>
    <n v="557"/>
    <n v="92.225198824321126"/>
    <n v="460.11195413453351"/>
    <n v="5847158.6999999955"/>
    <n v="107"/>
    <n v="1220638.3999999997"/>
  </r>
  <r>
    <x v="0"/>
    <x v="6"/>
    <x v="6"/>
    <x v="1"/>
    <x v="31"/>
    <x v="31"/>
    <x v="0"/>
    <n v="936"/>
    <n v="238.01669196578413"/>
    <n v="939.41295802444426"/>
    <n v="11790612.550000003"/>
    <n v="260"/>
    <n v="3114118.6700000004"/>
  </r>
  <r>
    <x v="0"/>
    <x v="6"/>
    <x v="6"/>
    <x v="1"/>
    <x v="32"/>
    <x v="32"/>
    <x v="0"/>
    <n v="1709"/>
    <n v="344.61424560688772"/>
    <n v="1677.8731626106119"/>
    <n v="21960292.249999993"/>
    <n v="355"/>
    <n v="4691825.87"/>
  </r>
  <r>
    <x v="0"/>
    <x v="6"/>
    <x v="6"/>
    <x v="1"/>
    <x v="33"/>
    <x v="33"/>
    <x v="0"/>
    <n v="1915"/>
    <n v="253.98447576222819"/>
    <n v="1538.2033413911245"/>
    <n v="20294796.260000095"/>
    <n v="260"/>
    <n v="3717646.629999999"/>
  </r>
  <r>
    <x v="0"/>
    <x v="6"/>
    <x v="6"/>
    <x v="1"/>
    <x v="34"/>
    <x v="34"/>
    <x v="0"/>
    <n v="20"/>
    <n v="5.9735889238492055"/>
    <n v="13.841728823546839"/>
    <n v="212067.66999999995"/>
    <n v="11"/>
    <n v="103074.06"/>
  </r>
  <r>
    <x v="0"/>
    <x v="6"/>
    <x v="6"/>
    <x v="1"/>
    <x v="35"/>
    <x v="35"/>
    <x v="0"/>
    <n v="1808"/>
    <n v="240.18114593819186"/>
    <n v="1414.5539079673997"/>
    <n v="16817972.600000031"/>
    <n v="278"/>
    <n v="2624293.640000002"/>
  </r>
  <r>
    <x v="0"/>
    <x v="6"/>
    <x v="6"/>
    <x v="1"/>
    <x v="36"/>
    <x v="36"/>
    <x v="0"/>
    <n v="1426"/>
    <n v="301.58831115537839"/>
    <n v="1220.0440124469894"/>
    <n v="15272759.949999982"/>
    <n v="318"/>
    <n v="3326502.7099999967"/>
  </r>
  <r>
    <x v="0"/>
    <x v="6"/>
    <x v="6"/>
    <x v="1"/>
    <x v="37"/>
    <x v="37"/>
    <x v="0"/>
    <n v="936"/>
    <n v="235.34738199981226"/>
    <n v="904.10927647449319"/>
    <n v="13831479.929999996"/>
    <n v="281"/>
    <n v="3761370.1400000015"/>
  </r>
  <r>
    <x v="0"/>
    <x v="6"/>
    <x v="6"/>
    <x v="1"/>
    <x v="38"/>
    <x v="38"/>
    <x v="0"/>
    <n v="366"/>
    <n v="65.388249166436268"/>
    <n v="333.94279874292613"/>
    <n v="5225625.0100000063"/>
    <n v="75"/>
    <n v="848242.89"/>
  </r>
  <r>
    <x v="0"/>
    <x v="6"/>
    <x v="6"/>
    <x v="1"/>
    <x v="39"/>
    <x v="39"/>
    <x v="0"/>
    <n v="923"/>
    <n v="245.96383386447442"/>
    <n v="921.19667525666296"/>
    <n v="12955953.829999985"/>
    <n v="262"/>
    <n v="3874926.4000000018"/>
  </r>
  <r>
    <x v="0"/>
    <x v="6"/>
    <x v="6"/>
    <x v="1"/>
    <x v="40"/>
    <x v="40"/>
    <x v="0"/>
    <n v="2041"/>
    <n v="207.93624834924668"/>
    <n v="1618.6708313653392"/>
    <n v="22854798.080000062"/>
    <n v="233"/>
    <n v="3268564.68"/>
  </r>
  <r>
    <x v="0"/>
    <x v="6"/>
    <x v="6"/>
    <x v="1"/>
    <x v="41"/>
    <x v="41"/>
    <x v="0"/>
    <n v="160"/>
    <n v="1.4377239816720191"/>
    <n v="296.4092312214006"/>
    <n v="5103774.4099999964"/>
    <n v="1"/>
    <n v="21010.16"/>
  </r>
  <r>
    <x v="0"/>
    <x v="6"/>
    <x v="6"/>
    <x v="1"/>
    <x v="42"/>
    <x v="42"/>
    <x v="0"/>
    <n v="232"/>
    <n v="50.446642356910566"/>
    <n v="171.57952381271903"/>
    <n v="2227539.3199999994"/>
    <n v="75"/>
    <n v="631993.7799999998"/>
  </r>
  <r>
    <x v="0"/>
    <x v="6"/>
    <x v="6"/>
    <x v="1"/>
    <x v="43"/>
    <x v="43"/>
    <x v="0"/>
    <n v="346"/>
    <n v="72.424519076738505"/>
    <n v="312.67303701407127"/>
    <n v="3589560.1700000013"/>
    <n v="84"/>
    <n v="797790.91000000027"/>
  </r>
  <r>
    <x v="0"/>
    <x v="6"/>
    <x v="6"/>
    <x v="1"/>
    <x v="44"/>
    <x v="44"/>
    <x v="0"/>
    <n v="1120"/>
    <n v="201.05922343691427"/>
    <n v="953.38132484637515"/>
    <n v="14368546.170000004"/>
    <n v="236"/>
    <n v="2992870.1200000006"/>
  </r>
  <r>
    <x v="0"/>
    <x v="6"/>
    <x v="6"/>
    <x v="1"/>
    <x v="45"/>
    <x v="45"/>
    <x v="0"/>
    <n v="1533"/>
    <n v="203.98069939967178"/>
    <n v="1630.671964212343"/>
    <n v="22464076.629999988"/>
    <n v="202"/>
    <n v="3102990.7899999986"/>
  </r>
  <r>
    <x v="0"/>
    <x v="6"/>
    <x v="6"/>
    <x v="1"/>
    <x v="46"/>
    <x v="46"/>
    <x v="0"/>
    <n v="97"/>
    <n v="6.1976669209926776"/>
    <n v="113.53723755263704"/>
    <n v="5105944.5"/>
    <n v="6"/>
    <n v="259832.35"/>
  </r>
  <r>
    <x v="0"/>
    <x v="6"/>
    <x v="6"/>
    <x v="1"/>
    <x v="47"/>
    <x v="47"/>
    <x v="0"/>
    <n v="559"/>
    <n v="71.509278088405949"/>
    <n v="447.21802629890328"/>
    <n v="5330738.8000000082"/>
    <n v="81"/>
    <n v="797901.09999999986"/>
  </r>
  <r>
    <x v="0"/>
    <x v="6"/>
    <x v="6"/>
    <x v="3"/>
    <x v="0"/>
    <x v="0"/>
    <x v="0"/>
    <n v="1562"/>
    <n v="254.26562275864413"/>
    <n v="1442.532866610725"/>
    <n v="17485438.490000002"/>
    <n v="276"/>
    <n v="3046608.52"/>
  </r>
  <r>
    <x v="0"/>
    <x v="6"/>
    <x v="6"/>
    <x v="3"/>
    <x v="1"/>
    <x v="1"/>
    <x v="0"/>
    <n v="2609"/>
    <n v="507.1841495344608"/>
    <n v="4487.9716747877164"/>
    <n v="101750184.48999979"/>
    <n v="385"/>
    <n v="11739287.279999999"/>
  </r>
  <r>
    <x v="0"/>
    <x v="6"/>
    <x v="6"/>
    <x v="3"/>
    <x v="2"/>
    <x v="2"/>
    <x v="0"/>
    <n v="1234"/>
    <n v="204.37653739462576"/>
    <n v="1261.9614439126256"/>
    <n v="20782696.290000007"/>
    <n v="216"/>
    <n v="4403259.0900000026"/>
  </r>
  <r>
    <x v="0"/>
    <x v="6"/>
    <x v="6"/>
    <x v="3"/>
    <x v="3"/>
    <x v="3"/>
    <x v="0"/>
    <n v="3248"/>
    <n v="326.53226083739537"/>
    <n v="2496.3886641761887"/>
    <n v="31938284.579999972"/>
    <n v="313"/>
    <n v="4327732.799999998"/>
  </r>
  <r>
    <x v="0"/>
    <x v="6"/>
    <x v="6"/>
    <x v="3"/>
    <x v="4"/>
    <x v="4"/>
    <x v="0"/>
    <n v="1770"/>
    <n v="288.61314232078513"/>
    <n v="1591.4471137123753"/>
    <n v="19089265.139999963"/>
    <n v="291"/>
    <n v="3551652.5000000005"/>
  </r>
  <r>
    <x v="0"/>
    <x v="6"/>
    <x v="6"/>
    <x v="3"/>
    <x v="5"/>
    <x v="5"/>
    <x v="0"/>
    <n v="512"/>
    <n v="105.41809565613922"/>
    <n v="379.1465041666732"/>
    <n v="5134466.7100000018"/>
    <n v="138"/>
    <n v="1261781.4000000004"/>
  </r>
  <r>
    <x v="0"/>
    <x v="6"/>
    <x v="6"/>
    <x v="3"/>
    <x v="6"/>
    <x v="6"/>
    <x v="0"/>
    <n v="1547"/>
    <n v="195.83725150348388"/>
    <n v="1636.2552251411616"/>
    <n v="20640451.789999977"/>
    <n v="209"/>
    <n v="2830532.8800000013"/>
  </r>
  <r>
    <x v="0"/>
    <x v="6"/>
    <x v="6"/>
    <x v="3"/>
    <x v="7"/>
    <x v="7"/>
    <x v="0"/>
    <n v="4058"/>
    <n v="745.97177149041681"/>
    <n v="5694.2127404106504"/>
    <n v="123569272.32000008"/>
    <n v="723"/>
    <n v="16655922.690000005"/>
  </r>
  <r>
    <x v="0"/>
    <x v="6"/>
    <x v="6"/>
    <x v="3"/>
    <x v="8"/>
    <x v="8"/>
    <x v="0"/>
    <n v="178"/>
    <n v="31.576017597471665"/>
    <n v="116.12708551962201"/>
    <n v="1772376.5199999993"/>
    <n v="43"/>
    <n v="476022.18"/>
  </r>
  <r>
    <x v="0"/>
    <x v="6"/>
    <x v="6"/>
    <x v="3"/>
    <x v="9"/>
    <x v="9"/>
    <x v="0"/>
    <n v="1543"/>
    <n v="303.25768413409753"/>
    <n v="1421.9707798728384"/>
    <n v="21618687.390000004"/>
    <n v="322"/>
    <n v="5258056.2399999984"/>
  </r>
  <r>
    <x v="0"/>
    <x v="6"/>
    <x v="6"/>
    <x v="3"/>
    <x v="10"/>
    <x v="10"/>
    <x v="0"/>
    <n v="1765"/>
    <n v="333.34348975056611"/>
    <n v="2034.135870069018"/>
    <n v="34682093.870000035"/>
    <n v="306"/>
    <n v="5259834.379999999"/>
  </r>
  <r>
    <x v="1"/>
    <x v="5"/>
    <x v="0"/>
    <x v="10"/>
    <x v="11"/>
    <x v="11"/>
    <x v="0"/>
    <n v="463"/>
    <n v="113.42530100000003"/>
    <n v="396.35954900000007"/>
    <n v="6426127.5"/>
    <n v="128"/>
    <n v="1630863.0500000005"/>
  </r>
  <r>
    <x v="0"/>
    <x v="6"/>
    <x v="6"/>
    <x v="3"/>
    <x v="12"/>
    <x v="12"/>
    <x v="0"/>
    <n v="2427"/>
    <n v="492.86680271697685"/>
    <n v="2020.8718712380994"/>
    <n v="28682237.540000081"/>
    <n v="574"/>
    <n v="6761547.3400000054"/>
  </r>
  <r>
    <x v="0"/>
    <x v="6"/>
    <x v="6"/>
    <x v="3"/>
    <x v="13"/>
    <x v="13"/>
    <x v="0"/>
    <n v="1223"/>
    <n v="149.10541609921711"/>
    <n v="1046.2200686628719"/>
    <n v="15261910.329999972"/>
    <n v="170"/>
    <n v="2124281.4299999992"/>
  </r>
  <r>
    <x v="0"/>
    <x v="6"/>
    <x v="6"/>
    <x v="3"/>
    <x v="14"/>
    <x v="14"/>
    <x v="0"/>
    <n v="213"/>
    <n v="35.918435542114899"/>
    <n v="196.23331349843457"/>
    <n v="2306568.02"/>
    <n v="36"/>
    <n v="457347.47000000003"/>
  </r>
  <r>
    <x v="0"/>
    <x v="6"/>
    <x v="6"/>
    <x v="3"/>
    <x v="15"/>
    <x v="15"/>
    <x v="0"/>
    <n v="709"/>
    <n v="137.96285324126148"/>
    <n v="603.95905130078029"/>
    <n v="8423407.3400000036"/>
    <n v="152"/>
    <n v="1988561.5699999996"/>
  </r>
  <r>
    <x v="0"/>
    <x v="6"/>
    <x v="6"/>
    <x v="3"/>
    <x v="16"/>
    <x v="16"/>
    <x v="0"/>
    <n v="1703"/>
    <n v="310.52707204142803"/>
    <n v="1737.6755678482668"/>
    <n v="21390375.269999921"/>
    <n v="303"/>
    <n v="3598713.5500000007"/>
  </r>
  <r>
    <x v="0"/>
    <x v="6"/>
    <x v="6"/>
    <x v="3"/>
    <x v="17"/>
    <x v="17"/>
    <x v="0"/>
    <n v="1304"/>
    <n v="229.2835420771134"/>
    <n v="1526.0304975462939"/>
    <n v="18375116.299999986"/>
    <n v="239"/>
    <n v="2634317.1800000002"/>
  </r>
  <r>
    <x v="0"/>
    <x v="6"/>
    <x v="6"/>
    <x v="3"/>
    <x v="18"/>
    <x v="18"/>
    <x v="0"/>
    <n v="2859"/>
    <n v="412.44578574217707"/>
    <n v="2449.8391667696042"/>
    <n v="28158318.740000051"/>
    <n v="432"/>
    <n v="4740314.0899999989"/>
  </r>
  <r>
    <x v="0"/>
    <x v="6"/>
    <x v="6"/>
    <x v="3"/>
    <x v="19"/>
    <x v="19"/>
    <x v="0"/>
    <n v="976"/>
    <n v="229.94692606865675"/>
    <n v="1288.7188205715249"/>
    <n v="20844320.580000024"/>
    <n v="242"/>
    <n v="4460132.3299999991"/>
  </r>
  <r>
    <x v="0"/>
    <x v="6"/>
    <x v="6"/>
    <x v="3"/>
    <x v="20"/>
    <x v="20"/>
    <x v="0"/>
    <n v="1178"/>
    <n v="194.7833795169185"/>
    <n v="1194.457366773162"/>
    <n v="15518922.000000024"/>
    <n v="213"/>
    <n v="2404932.4699999997"/>
  </r>
  <r>
    <x v="0"/>
    <x v="6"/>
    <x v="6"/>
    <x v="3"/>
    <x v="21"/>
    <x v="21"/>
    <x v="0"/>
    <n v="781"/>
    <n v="114.66514753825859"/>
    <n v="526.01485429440777"/>
    <n v="6671729.7100000102"/>
    <n v="151"/>
    <n v="1471549.0899999999"/>
  </r>
  <r>
    <x v="0"/>
    <x v="6"/>
    <x v="6"/>
    <x v="3"/>
    <x v="22"/>
    <x v="22"/>
    <x v="0"/>
    <n v="1954"/>
    <n v="386.32932507510748"/>
    <n v="2025.3152581814672"/>
    <n v="32248108.999999981"/>
    <n v="404"/>
    <n v="6587286.3099999987"/>
  </r>
  <r>
    <x v="0"/>
    <x v="6"/>
    <x v="6"/>
    <x v="3"/>
    <x v="23"/>
    <x v="23"/>
    <x v="0"/>
    <n v="69"/>
    <n v="5.5933019286970707"/>
    <n v="66.483385152475563"/>
    <n v="1141083.0900000001"/>
    <n v="5"/>
    <n v="60427.600000000006"/>
  </r>
  <r>
    <x v="0"/>
    <x v="6"/>
    <x v="6"/>
    <x v="3"/>
    <x v="24"/>
    <x v="24"/>
    <x v="0"/>
    <n v="497"/>
    <n v="81.821942956940958"/>
    <n v="392.59272699526207"/>
    <n v="7050963.0699999947"/>
    <n v="95"/>
    <n v="1503758.8500000003"/>
  </r>
  <r>
    <x v="0"/>
    <x v="6"/>
    <x v="6"/>
    <x v="3"/>
    <x v="25"/>
    <x v="25"/>
    <x v="0"/>
    <n v="1125"/>
    <n v="207.52314935451295"/>
    <n v="952.00220186395688"/>
    <n v="13478949.179999985"/>
    <n v="247"/>
    <n v="2913265.2399999988"/>
  </r>
  <r>
    <x v="0"/>
    <x v="6"/>
    <x v="6"/>
    <x v="3"/>
    <x v="26"/>
    <x v="26"/>
    <x v="0"/>
    <n v="852"/>
    <n v="141.0573472018132"/>
    <n v="621.91920507182249"/>
    <n v="10346999.540000007"/>
    <n v="173"/>
    <n v="2239029.58"/>
  </r>
  <r>
    <x v="0"/>
    <x v="6"/>
    <x v="6"/>
    <x v="3"/>
    <x v="27"/>
    <x v="27"/>
    <x v="0"/>
    <n v="727"/>
    <n v="99.862832726957222"/>
    <n v="611.59206120347517"/>
    <n v="6835971.5999999968"/>
    <n v="114"/>
    <n v="1179263.7300000002"/>
  </r>
  <r>
    <x v="0"/>
    <x v="6"/>
    <x v="6"/>
    <x v="3"/>
    <x v="28"/>
    <x v="28"/>
    <x v="0"/>
    <n v="801"/>
    <n v="81.764877957668403"/>
    <n v="732.38660766359533"/>
    <n v="10320908.899999985"/>
    <n v="83"/>
    <n v="1072493.5500000003"/>
  </r>
  <r>
    <x v="0"/>
    <x v="6"/>
    <x v="6"/>
    <x v="3"/>
    <x v="29"/>
    <x v="29"/>
    <x v="0"/>
    <n v="457"/>
    <n v="124.81449540887557"/>
    <n v="446.63321030635899"/>
    <n v="12015065.65000001"/>
    <n v="134"/>
    <n v="3232839.0400000019"/>
  </r>
  <r>
    <x v="0"/>
    <x v="6"/>
    <x v="6"/>
    <x v="3"/>
    <x v="30"/>
    <x v="30"/>
    <x v="0"/>
    <n v="628"/>
    <n v="111.15370158302218"/>
    <n v="489.80963375594894"/>
    <n v="6872758.3300000001"/>
    <n v="119"/>
    <n v="1790340.36"/>
  </r>
  <r>
    <x v="0"/>
    <x v="6"/>
    <x v="6"/>
    <x v="3"/>
    <x v="31"/>
    <x v="31"/>
    <x v="0"/>
    <n v="872"/>
    <n v="215.67728825056489"/>
    <n v="827.91412944582214"/>
    <n v="10989860.409999996"/>
    <n v="244"/>
    <n v="3002583.629999998"/>
  </r>
  <r>
    <x v="0"/>
    <x v="6"/>
    <x v="6"/>
    <x v="3"/>
    <x v="32"/>
    <x v="32"/>
    <x v="0"/>
    <n v="1758"/>
    <n v="362.28725038159354"/>
    <n v="1745.3980107498128"/>
    <n v="23740370.36999996"/>
    <n v="339"/>
    <n v="4809070.2799999975"/>
  </r>
  <r>
    <x v="0"/>
    <x v="6"/>
    <x v="6"/>
    <x v="3"/>
    <x v="33"/>
    <x v="33"/>
    <x v="0"/>
    <n v="2049"/>
    <n v="219.39655920315195"/>
    <n v="1597.9083186300152"/>
    <n v="20754726.180000056"/>
    <n v="251"/>
    <n v="3297516.2300000009"/>
  </r>
  <r>
    <x v="0"/>
    <x v="6"/>
    <x v="6"/>
    <x v="3"/>
    <x v="34"/>
    <x v="34"/>
    <x v="0"/>
    <n v="21"/>
    <n v="5.0658749354206645"/>
    <n v="11.476764853695192"/>
    <n v="216419.60999999993"/>
    <n v="9"/>
    <n v="88542.16"/>
  </r>
  <r>
    <x v="0"/>
    <x v="6"/>
    <x v="6"/>
    <x v="3"/>
    <x v="35"/>
    <x v="35"/>
    <x v="0"/>
    <n v="1674"/>
    <n v="229.05821207998596"/>
    <n v="1254.9016840026327"/>
    <n v="14965547.470000045"/>
    <n v="257"/>
    <n v="2432750.7199999993"/>
  </r>
  <r>
    <x v="0"/>
    <x v="6"/>
    <x v="6"/>
    <x v="3"/>
    <x v="36"/>
    <x v="36"/>
    <x v="0"/>
    <n v="1484"/>
    <n v="284.57871437221519"/>
    <n v="1227.7714473484805"/>
    <n v="15305514.289999967"/>
    <n v="307"/>
    <n v="3589442.4499999997"/>
  </r>
  <r>
    <x v="0"/>
    <x v="6"/>
    <x v="6"/>
    <x v="3"/>
    <x v="37"/>
    <x v="37"/>
    <x v="0"/>
    <n v="1084"/>
    <n v="297.12720921224803"/>
    <n v="1077.3992422654078"/>
    <n v="15385991.829999978"/>
    <n v="340"/>
    <n v="4226973.3300000019"/>
  </r>
  <r>
    <x v="0"/>
    <x v="6"/>
    <x v="6"/>
    <x v="3"/>
    <x v="38"/>
    <x v="38"/>
    <x v="0"/>
    <n v="372"/>
    <n v="78.588204998164343"/>
    <n v="360.43299040523084"/>
    <n v="5128571.7800000012"/>
    <n v="93"/>
    <n v="1013363.1199999998"/>
  </r>
  <r>
    <x v="0"/>
    <x v="6"/>
    <x v="6"/>
    <x v="3"/>
    <x v="39"/>
    <x v="39"/>
    <x v="0"/>
    <n v="890"/>
    <n v="217.16233423163351"/>
    <n v="913.06765336029241"/>
    <n v="14313242.019999996"/>
    <n v="237"/>
    <n v="3531970.6099999989"/>
  </r>
  <r>
    <x v="0"/>
    <x v="6"/>
    <x v="6"/>
    <x v="3"/>
    <x v="40"/>
    <x v="40"/>
    <x v="0"/>
    <n v="2302"/>
    <n v="219.60463620049921"/>
    <n v="1777.2198623441682"/>
    <n v="25545757.950000025"/>
    <n v="244"/>
    <n v="3356461.4899999979"/>
  </r>
  <r>
    <x v="0"/>
    <x v="6"/>
    <x v="6"/>
    <x v="3"/>
    <x v="41"/>
    <x v="41"/>
    <x v="0"/>
    <n v="194"/>
    <n v="3.1037009604342889"/>
    <n v="377.0549081933363"/>
    <n v="7059072.4100000001"/>
    <n v="2"/>
    <n v="42824.53"/>
  </r>
  <r>
    <x v="0"/>
    <x v="6"/>
    <x v="6"/>
    <x v="3"/>
    <x v="42"/>
    <x v="42"/>
    <x v="0"/>
    <n v="243"/>
    <n v="45.465235420413109"/>
    <n v="182.03002667949698"/>
    <n v="1881339.0300000007"/>
    <n v="64"/>
    <n v="477758.36999999994"/>
  </r>
  <r>
    <x v="0"/>
    <x v="6"/>
    <x v="6"/>
    <x v="3"/>
    <x v="43"/>
    <x v="43"/>
    <x v="0"/>
    <n v="398"/>
    <n v="81.218108964638532"/>
    <n v="374.88600422098591"/>
    <n v="4298127.9700000016"/>
    <n v="91"/>
    <n v="941131.80000000028"/>
  </r>
  <r>
    <x v="0"/>
    <x v="6"/>
    <x v="6"/>
    <x v="3"/>
    <x v="44"/>
    <x v="44"/>
    <x v="0"/>
    <n v="1184"/>
    <n v="248.56430883132396"/>
    <n v="1006.8955731641809"/>
    <n v="16172924.920000011"/>
    <n v="274"/>
    <n v="3552126.9800000004"/>
  </r>
  <r>
    <x v="0"/>
    <x v="6"/>
    <x v="6"/>
    <x v="3"/>
    <x v="45"/>
    <x v="45"/>
    <x v="0"/>
    <n v="1598"/>
    <n v="173.2231457917664"/>
    <n v="1630.6175122130358"/>
    <n v="21529667.870000023"/>
    <n v="173"/>
    <n v="2200681.88"/>
  </r>
  <r>
    <x v="0"/>
    <x v="6"/>
    <x v="6"/>
    <x v="3"/>
    <x v="46"/>
    <x v="46"/>
    <x v="0"/>
    <n v="130"/>
    <n v="9.3387708809501557"/>
    <n v="147.40846812084956"/>
    <n v="5942593.1999999983"/>
    <n v="10"/>
    <n v="334466.33"/>
  </r>
  <r>
    <x v="0"/>
    <x v="6"/>
    <x v="6"/>
    <x v="3"/>
    <x v="47"/>
    <x v="47"/>
    <x v="0"/>
    <n v="571"/>
    <n v="82.655421946315826"/>
    <n v="476.6003899243392"/>
    <n v="6007825.0899999971"/>
    <n v="96"/>
    <n v="987670.2100000002"/>
  </r>
  <r>
    <x v="0"/>
    <x v="6"/>
    <x v="6"/>
    <x v="5"/>
    <x v="0"/>
    <x v="0"/>
    <x v="0"/>
    <n v="1625"/>
    <n v="264.73994762511813"/>
    <n v="1441.2814946266737"/>
    <n v="18578908.869999982"/>
    <n v="287"/>
    <n v="3202884.8800000004"/>
  </r>
  <r>
    <x v="0"/>
    <x v="6"/>
    <x v="6"/>
    <x v="5"/>
    <x v="1"/>
    <x v="1"/>
    <x v="0"/>
    <n v="2487"/>
    <n v="478.46144190061557"/>
    <n v="4345.2859426066561"/>
    <n v="96838989.85999985"/>
    <n v="360"/>
    <n v="10850511.260000005"/>
  </r>
  <r>
    <x v="0"/>
    <x v="6"/>
    <x v="6"/>
    <x v="5"/>
    <x v="2"/>
    <x v="2"/>
    <x v="0"/>
    <n v="1160"/>
    <n v="238.84198495526329"/>
    <n v="1154.0353642884534"/>
    <n v="18284116.469999999"/>
    <n v="233"/>
    <n v="3641712.36"/>
  </r>
  <r>
    <x v="0"/>
    <x v="6"/>
    <x v="6"/>
    <x v="5"/>
    <x v="3"/>
    <x v="3"/>
    <x v="0"/>
    <n v="3100"/>
    <n v="290.38346229821701"/>
    <n v="2378.050026684763"/>
    <n v="31999114.720000003"/>
    <n v="283"/>
    <n v="3818126.5199999982"/>
  </r>
  <r>
    <x v="0"/>
    <x v="6"/>
    <x v="6"/>
    <x v="5"/>
    <x v="4"/>
    <x v="4"/>
    <x v="0"/>
    <n v="1483"/>
    <n v="193.70470353066926"/>
    <n v="1311.6785972788402"/>
    <n v="17123615.750000007"/>
    <n v="201"/>
    <n v="2720693.8299999991"/>
  </r>
  <r>
    <x v="0"/>
    <x v="6"/>
    <x v="6"/>
    <x v="5"/>
    <x v="5"/>
    <x v="5"/>
    <x v="0"/>
    <n v="483"/>
    <n v="103.88695067565813"/>
    <n v="370.76892827346995"/>
    <n v="5184603.53"/>
    <n v="131"/>
    <n v="1297981.5900000008"/>
  </r>
  <r>
    <x v="0"/>
    <x v="6"/>
    <x v="6"/>
    <x v="5"/>
    <x v="6"/>
    <x v="6"/>
    <x v="0"/>
    <n v="1459"/>
    <n v="172.97791579489245"/>
    <n v="1548.1085782648443"/>
    <n v="20865624.370000023"/>
    <n v="199"/>
    <n v="2599480.1999999997"/>
  </r>
  <r>
    <x v="0"/>
    <x v="6"/>
    <x v="6"/>
    <x v="5"/>
    <x v="7"/>
    <x v="7"/>
    <x v="0"/>
    <n v="3629"/>
    <n v="672.20786443075167"/>
    <n v="5087.8342721407207"/>
    <n v="116813276.10000053"/>
    <n v="605"/>
    <n v="18482511.029999986"/>
  </r>
  <r>
    <x v="0"/>
    <x v="6"/>
    <x v="6"/>
    <x v="5"/>
    <x v="8"/>
    <x v="8"/>
    <x v="0"/>
    <n v="147"/>
    <n v="23.310090702844981"/>
    <n v="101.51745570586424"/>
    <n v="1572121.3400000008"/>
    <n v="34"/>
    <n v="367672.47000000009"/>
  </r>
  <r>
    <x v="0"/>
    <x v="6"/>
    <x v="6"/>
    <x v="5"/>
    <x v="9"/>
    <x v="9"/>
    <x v="0"/>
    <n v="1470"/>
    <n v="266.99564859636274"/>
    <n v="1326.4540430904817"/>
    <n v="20660257.960000027"/>
    <n v="286"/>
    <n v="4262785.049999997"/>
  </r>
  <r>
    <x v="0"/>
    <x v="6"/>
    <x v="6"/>
    <x v="5"/>
    <x v="10"/>
    <x v="10"/>
    <x v="0"/>
    <n v="1603"/>
    <n v="305.86691010083501"/>
    <n v="1837.3646555774399"/>
    <n v="30616237.999999978"/>
    <n v="274"/>
    <n v="5748228.9100000029"/>
  </r>
  <r>
    <x v="1"/>
    <x v="5"/>
    <x v="0"/>
    <x v="11"/>
    <x v="11"/>
    <x v="11"/>
    <x v="0"/>
    <n v="486"/>
    <n v="116.56506500000006"/>
    <n v="450.01539699999984"/>
    <n v="6506966.2099999962"/>
    <n v="126"/>
    <n v="1799317.1399999992"/>
  </r>
  <r>
    <x v="0"/>
    <x v="6"/>
    <x v="6"/>
    <x v="5"/>
    <x v="12"/>
    <x v="12"/>
    <x v="0"/>
    <n v="2243"/>
    <n v="438.78257640643784"/>
    <n v="1865.6416302169625"/>
    <n v="27553178.000000007"/>
    <n v="518"/>
    <n v="6730367.6799999932"/>
  </r>
  <r>
    <x v="0"/>
    <x v="6"/>
    <x v="6"/>
    <x v="5"/>
    <x v="13"/>
    <x v="13"/>
    <x v="0"/>
    <n v="1068"/>
    <n v="157.0886649974473"/>
    <n v="926.7566931857782"/>
    <n v="13225589.29000001"/>
    <n v="153"/>
    <n v="2299664.3800000013"/>
  </r>
  <r>
    <x v="0"/>
    <x v="6"/>
    <x v="6"/>
    <x v="5"/>
    <x v="14"/>
    <x v="14"/>
    <x v="0"/>
    <n v="184"/>
    <n v="31.181136602505575"/>
    <n v="158.10361798450876"/>
    <n v="1763507.6099999999"/>
    <n v="31"/>
    <n v="357646.49"/>
  </r>
  <r>
    <x v="0"/>
    <x v="6"/>
    <x v="6"/>
    <x v="5"/>
    <x v="15"/>
    <x v="15"/>
    <x v="0"/>
    <n v="695"/>
    <n v="126.0035163937181"/>
    <n v="548.21746801136953"/>
    <n v="7344982.7799999984"/>
    <n v="149"/>
    <n v="1593167.03"/>
  </r>
  <r>
    <x v="0"/>
    <x v="6"/>
    <x v="6"/>
    <x v="5"/>
    <x v="16"/>
    <x v="16"/>
    <x v="0"/>
    <n v="1672"/>
    <n v="279.29176543961319"/>
    <n v="1648.0406399909245"/>
    <n v="21915643.67000005"/>
    <n v="268"/>
    <n v="3598914.419999999"/>
  </r>
  <r>
    <x v="0"/>
    <x v="6"/>
    <x v="6"/>
    <x v="5"/>
    <x v="17"/>
    <x v="17"/>
    <x v="0"/>
    <n v="1233"/>
    <n v="211.56678430296512"/>
    <n v="1401.9710671277949"/>
    <n v="16910278.56000001"/>
    <n v="218"/>
    <n v="2391048.1599999992"/>
  </r>
  <r>
    <x v="0"/>
    <x v="6"/>
    <x v="6"/>
    <x v="5"/>
    <x v="18"/>
    <x v="18"/>
    <x v="0"/>
    <n v="2644"/>
    <n v="317.72488994967074"/>
    <n v="2199.6000089596455"/>
    <n v="25207553.579999976"/>
    <n v="362"/>
    <n v="3717820.569999997"/>
  </r>
  <r>
    <x v="0"/>
    <x v="6"/>
    <x v="6"/>
    <x v="5"/>
    <x v="19"/>
    <x v="19"/>
    <x v="0"/>
    <n v="916"/>
    <n v="189.82132258017435"/>
    <n v="1277.2439217178053"/>
    <n v="21123884.53000005"/>
    <n v="205"/>
    <n v="3021912.3300000015"/>
  </r>
  <r>
    <x v="0"/>
    <x v="6"/>
    <x v="6"/>
    <x v="5"/>
    <x v="20"/>
    <x v="20"/>
    <x v="0"/>
    <n v="1087"/>
    <n v="187.94145760413863"/>
    <n v="1037.9726927680142"/>
    <n v="13808561.550000006"/>
    <n v="204"/>
    <n v="2365150.2400000002"/>
  </r>
  <r>
    <x v="0"/>
    <x v="6"/>
    <x v="6"/>
    <x v="5"/>
    <x v="21"/>
    <x v="21"/>
    <x v="0"/>
    <n v="766"/>
    <n v="123.57969442461678"/>
    <n v="556.28675290850481"/>
    <n v="6946576.0400000112"/>
    <n v="157"/>
    <n v="1549513.8099999996"/>
  </r>
  <r>
    <x v="0"/>
    <x v="6"/>
    <x v="6"/>
    <x v="5"/>
    <x v="22"/>
    <x v="22"/>
    <x v="0"/>
    <n v="1777"/>
    <n v="368.86716929771353"/>
    <n v="1817.3365988327591"/>
    <n v="28340940.019999996"/>
    <n v="390"/>
    <n v="5713924.9899999984"/>
  </r>
  <r>
    <x v="0"/>
    <x v="6"/>
    <x v="6"/>
    <x v="5"/>
    <x v="23"/>
    <x v="23"/>
    <x v="0"/>
    <n v="70"/>
    <n v="11.690672850968314"/>
    <n v="74.358563052083468"/>
    <n v="1264738.21"/>
    <n v="12"/>
    <n v="212396.43000000005"/>
  </r>
  <r>
    <x v="0"/>
    <x v="6"/>
    <x v="6"/>
    <x v="5"/>
    <x v="24"/>
    <x v="24"/>
    <x v="0"/>
    <n v="529"/>
    <n v="90.283565849072914"/>
    <n v="432.92663748108851"/>
    <n v="5692878.0600000024"/>
    <n v="103"/>
    <n v="950537.59000000067"/>
  </r>
  <r>
    <x v="0"/>
    <x v="6"/>
    <x v="6"/>
    <x v="5"/>
    <x v="25"/>
    <x v="25"/>
    <x v="0"/>
    <n v="969"/>
    <n v="177.44015173800835"/>
    <n v="807.84996870159603"/>
    <n v="11058094.779999992"/>
    <n v="198"/>
    <n v="2446653.0599999996"/>
  </r>
  <r>
    <x v="0"/>
    <x v="6"/>
    <x v="6"/>
    <x v="5"/>
    <x v="26"/>
    <x v="26"/>
    <x v="0"/>
    <n v="822"/>
    <n v="142.26539518641312"/>
    <n v="613.85215317466236"/>
    <n v="9802579.1799999978"/>
    <n v="178"/>
    <n v="1973604.280000001"/>
  </r>
  <r>
    <x v="0"/>
    <x v="6"/>
    <x v="6"/>
    <x v="5"/>
    <x v="27"/>
    <x v="27"/>
    <x v="0"/>
    <n v="654"/>
    <n v="101.44402370680039"/>
    <n v="552.63125695510291"/>
    <n v="6418785.9099999936"/>
    <n v="107"/>
    <n v="1186199.72"/>
  </r>
  <r>
    <x v="0"/>
    <x v="6"/>
    <x v="6"/>
    <x v="5"/>
    <x v="28"/>
    <x v="28"/>
    <x v="0"/>
    <n v="712"/>
    <n v="71.863230083893768"/>
    <n v="617.57092412725592"/>
    <n v="9094206.6799999997"/>
    <n v="82"/>
    <n v="1073723.1700000002"/>
  </r>
  <r>
    <x v="0"/>
    <x v="6"/>
    <x v="6"/>
    <x v="5"/>
    <x v="29"/>
    <x v="29"/>
    <x v="0"/>
    <n v="402"/>
    <n v="100.00951572508735"/>
    <n v="380.55979514865686"/>
    <n v="9611782.4299999978"/>
    <n v="116"/>
    <n v="2292558.79"/>
  </r>
  <r>
    <x v="0"/>
    <x v="6"/>
    <x v="6"/>
    <x v="5"/>
    <x v="30"/>
    <x v="30"/>
    <x v="0"/>
    <n v="564"/>
    <n v="62.061046208851167"/>
    <n v="443.23441234968567"/>
    <n v="5810633.9800000042"/>
    <n v="76"/>
    <n v="853472.29999999993"/>
  </r>
  <r>
    <x v="0"/>
    <x v="6"/>
    <x v="6"/>
    <x v="5"/>
    <x v="31"/>
    <x v="31"/>
    <x v="0"/>
    <n v="862"/>
    <n v="198.98970346329662"/>
    <n v="802.48133277003717"/>
    <n v="10445644.899999997"/>
    <n v="236"/>
    <n v="2549476.8800000004"/>
  </r>
  <r>
    <x v="0"/>
    <x v="6"/>
    <x v="6"/>
    <x v="5"/>
    <x v="32"/>
    <x v="32"/>
    <x v="0"/>
    <n v="1676"/>
    <n v="319.92769992158964"/>
    <n v="1610.4629104699573"/>
    <n v="20119480.5"/>
    <n v="346"/>
    <n v="3683222.4400000009"/>
  </r>
  <r>
    <x v="0"/>
    <x v="6"/>
    <x v="6"/>
    <x v="5"/>
    <x v="33"/>
    <x v="33"/>
    <x v="0"/>
    <n v="1911"/>
    <n v="220.39472619042738"/>
    <n v="1490.8844829943405"/>
    <n v="18890044.050000031"/>
    <n v="254"/>
    <n v="3158010.5700000003"/>
  </r>
  <r>
    <x v="0"/>
    <x v="6"/>
    <x v="6"/>
    <x v="5"/>
    <x v="34"/>
    <x v="34"/>
    <x v="0"/>
    <n v="13"/>
    <n v="4.201067946445149"/>
    <n v="7.0635669099542602"/>
    <n v="155018.22999999998"/>
    <n v="7"/>
    <n v="98591.74"/>
  </r>
  <r>
    <x v="0"/>
    <x v="6"/>
    <x v="6"/>
    <x v="5"/>
    <x v="35"/>
    <x v="35"/>
    <x v="0"/>
    <n v="1592"/>
    <n v="225.68127312303477"/>
    <n v="1290.7158955460734"/>
    <n v="15968527.010000009"/>
    <n v="244"/>
    <n v="2629871.4199999995"/>
  </r>
  <r>
    <x v="0"/>
    <x v="6"/>
    <x v="6"/>
    <x v="5"/>
    <x v="36"/>
    <x v="36"/>
    <x v="0"/>
    <n v="1402"/>
    <n v="266.38249860417915"/>
    <n v="1187.7449518587309"/>
    <n v="14776257.030000007"/>
    <n v="300"/>
    <n v="3309412.66"/>
  </r>
  <r>
    <x v="0"/>
    <x v="6"/>
    <x v="6"/>
    <x v="5"/>
    <x v="37"/>
    <x v="37"/>
    <x v="0"/>
    <n v="957"/>
    <n v="268.75061057399091"/>
    <n v="932.46770411298098"/>
    <n v="12762624.860000005"/>
    <n v="314"/>
    <n v="3506669.9500000025"/>
  </r>
  <r>
    <x v="0"/>
    <x v="6"/>
    <x v="6"/>
    <x v="5"/>
    <x v="38"/>
    <x v="38"/>
    <x v="0"/>
    <n v="349"/>
    <n v="89.673101856855055"/>
    <n v="300.50235616922203"/>
    <n v="3932885.7899999991"/>
    <n v="94"/>
    <n v="1163741.3899999994"/>
  </r>
  <r>
    <x v="0"/>
    <x v="6"/>
    <x v="6"/>
    <x v="5"/>
    <x v="39"/>
    <x v="39"/>
    <x v="0"/>
    <n v="822"/>
    <n v="234.01825901675585"/>
    <n v="777.62724808687494"/>
    <n v="12157834.28999999"/>
    <n v="271"/>
    <n v="3850737.0999999996"/>
  </r>
  <r>
    <x v="0"/>
    <x v="6"/>
    <x v="6"/>
    <x v="5"/>
    <x v="40"/>
    <x v="40"/>
    <x v="0"/>
    <n v="2134"/>
    <n v="214.13714127019833"/>
    <n v="1624.8686582863311"/>
    <n v="24095946.160000063"/>
    <n v="238"/>
    <n v="2979442.2399999988"/>
  </r>
  <r>
    <x v="0"/>
    <x v="6"/>
    <x v="6"/>
    <x v="5"/>
    <x v="41"/>
    <x v="41"/>
    <x v="0"/>
    <n v="192"/>
    <n v="1.4377239816720191"/>
    <n v="366.2518753310527"/>
    <n v="6151327.9899999937"/>
    <n v="1"/>
    <n v="26637.26"/>
  </r>
  <r>
    <x v="0"/>
    <x v="6"/>
    <x v="6"/>
    <x v="5"/>
    <x v="42"/>
    <x v="42"/>
    <x v="0"/>
    <n v="247"/>
    <n v="55.88348228760222"/>
    <n v="178.70828472184235"/>
    <n v="1696051.3400000003"/>
    <n v="78"/>
    <n v="522068.44000000024"/>
  </r>
  <r>
    <x v="0"/>
    <x v="6"/>
    <x v="6"/>
    <x v="5"/>
    <x v="43"/>
    <x v="43"/>
    <x v="0"/>
    <n v="257"/>
    <n v="55.399656293769979"/>
    <n v="257.67805271514243"/>
    <n v="3202777.69"/>
    <n v="63"/>
    <n v="543953.7699999999"/>
  </r>
  <r>
    <x v="0"/>
    <x v="6"/>
    <x v="6"/>
    <x v="5"/>
    <x v="44"/>
    <x v="44"/>
    <x v="0"/>
    <n v="1068"/>
    <n v="180.24032970231201"/>
    <n v="867.9347169356414"/>
    <n v="13224161.54000001"/>
    <n v="227"/>
    <n v="2820632.1000000015"/>
  </r>
  <r>
    <x v="0"/>
    <x v="6"/>
    <x v="6"/>
    <x v="5"/>
    <x v="45"/>
    <x v="45"/>
    <x v="0"/>
    <n v="1420"/>
    <n v="145.40082414644297"/>
    <n v="1468.4448532803942"/>
    <n v="18777419.889999963"/>
    <n v="164"/>
    <n v="2010333.0299999998"/>
  </r>
  <r>
    <x v="0"/>
    <x v="6"/>
    <x v="6"/>
    <x v="5"/>
    <x v="46"/>
    <x v="46"/>
    <x v="0"/>
    <n v="96"/>
    <n v="8.9695708856566849"/>
    <n v="114.5800415393435"/>
    <n v="3569801.3099999996"/>
    <n v="10"/>
    <n v="314200.52999999997"/>
  </r>
  <r>
    <x v="0"/>
    <x v="6"/>
    <x v="6"/>
    <x v="5"/>
    <x v="47"/>
    <x v="47"/>
    <x v="0"/>
    <n v="487"/>
    <n v="75.947033031833826"/>
    <n v="395.64469195635564"/>
    <n v="4592906.150000005"/>
    <n v="79"/>
    <n v="821005.18000000017"/>
  </r>
  <r>
    <x v="0"/>
    <x v="6"/>
    <x v="6"/>
    <x v="0"/>
    <x v="0"/>
    <x v="0"/>
    <x v="0"/>
    <n v="1656"/>
    <n v="281.11509241636941"/>
    <n v="1542.8909123313667"/>
    <n v="19334850.150000006"/>
    <n v="295"/>
    <n v="3834727.5000000042"/>
  </r>
  <r>
    <x v="0"/>
    <x v="6"/>
    <x v="6"/>
    <x v="0"/>
    <x v="1"/>
    <x v="1"/>
    <x v="0"/>
    <n v="2603"/>
    <n v="539.69421612002509"/>
    <n v="4600.166088357475"/>
    <n v="104788002.59999995"/>
    <n v="407"/>
    <n v="12847837.839999998"/>
  </r>
  <r>
    <x v="0"/>
    <x v="6"/>
    <x v="6"/>
    <x v="0"/>
    <x v="2"/>
    <x v="2"/>
    <x v="0"/>
    <n v="1255"/>
    <n v="210.19847332040823"/>
    <n v="1282.7022446482231"/>
    <n v="20538881.870000042"/>
    <n v="228"/>
    <n v="3272254.6900000013"/>
  </r>
  <r>
    <x v="0"/>
    <x v="6"/>
    <x v="6"/>
    <x v="0"/>
    <x v="3"/>
    <x v="3"/>
    <x v="0"/>
    <n v="3217"/>
    <n v="348.38163455886132"/>
    <n v="2540.537986613363"/>
    <n v="35401623.25999999"/>
    <n v="357"/>
    <n v="5036755.7399999993"/>
  </r>
  <r>
    <x v="0"/>
    <x v="6"/>
    <x v="6"/>
    <x v="0"/>
    <x v="4"/>
    <x v="4"/>
    <x v="0"/>
    <n v="1792"/>
    <n v="257.358143719221"/>
    <n v="1643.785191045173"/>
    <n v="22176262.289999992"/>
    <n v="267"/>
    <n v="3487497.3400000012"/>
  </r>
  <r>
    <x v="0"/>
    <x v="6"/>
    <x v="6"/>
    <x v="0"/>
    <x v="5"/>
    <x v="5"/>
    <x v="0"/>
    <n v="520"/>
    <n v="108.0769366222446"/>
    <n v="413.37405473034323"/>
    <n v="5920792.0199999977"/>
    <n v="132"/>
    <n v="1564990.0899999999"/>
  </r>
  <r>
    <x v="0"/>
    <x v="6"/>
    <x v="6"/>
    <x v="0"/>
    <x v="6"/>
    <x v="6"/>
    <x v="0"/>
    <n v="1520"/>
    <n v="189.66208058220448"/>
    <n v="1578.4615208779076"/>
    <n v="20615018.479999997"/>
    <n v="209"/>
    <n v="2691433.0699999984"/>
  </r>
  <r>
    <x v="0"/>
    <x v="6"/>
    <x v="6"/>
    <x v="0"/>
    <x v="7"/>
    <x v="7"/>
    <x v="0"/>
    <n v="4058"/>
    <n v="805.02621273759485"/>
    <n v="5698.4438343567208"/>
    <n v="125838238.92999998"/>
    <n v="707"/>
    <n v="18498811.299999986"/>
  </r>
  <r>
    <x v="0"/>
    <x v="6"/>
    <x v="6"/>
    <x v="0"/>
    <x v="8"/>
    <x v="8"/>
    <x v="0"/>
    <n v="173"/>
    <n v="31.609496597044874"/>
    <n v="128.80710535797817"/>
    <n v="2376781.41"/>
    <n v="45"/>
    <n v="456808.21000000014"/>
  </r>
  <r>
    <x v="0"/>
    <x v="6"/>
    <x v="6"/>
    <x v="0"/>
    <x v="9"/>
    <x v="9"/>
    <x v="0"/>
    <n v="1459"/>
    <n v="347.27171957301073"/>
    <n v="1368.6314605528057"/>
    <n v="21076895.930000003"/>
    <n v="353"/>
    <n v="5048021.7600000035"/>
  </r>
  <r>
    <x v="0"/>
    <x v="6"/>
    <x v="6"/>
    <x v="0"/>
    <x v="10"/>
    <x v="10"/>
    <x v="0"/>
    <n v="1874"/>
    <n v="314.55105799013029"/>
    <n v="2087.9721873827207"/>
    <n v="38246908.529999927"/>
    <n v="299"/>
    <n v="5849895.0400000019"/>
  </r>
  <r>
    <x v="0"/>
    <x v="0"/>
    <x v="0"/>
    <x v="0"/>
    <x v="11"/>
    <x v="11"/>
    <x v="0"/>
    <n v="407"/>
    <n v="102.98340768717638"/>
    <n v="350.76673052845558"/>
    <n v="4864134.6999999983"/>
    <n v="120"/>
    <n v="1481174.9999999998"/>
  </r>
  <r>
    <x v="0"/>
    <x v="6"/>
    <x v="6"/>
    <x v="0"/>
    <x v="12"/>
    <x v="12"/>
    <x v="0"/>
    <n v="2450"/>
    <n v="492.17336472581673"/>
    <n v="2052.1354918395505"/>
    <n v="29445041.039999958"/>
    <n v="597"/>
    <n v="6996866.0000000009"/>
  </r>
  <r>
    <x v="0"/>
    <x v="6"/>
    <x v="6"/>
    <x v="0"/>
    <x v="13"/>
    <x v="13"/>
    <x v="0"/>
    <n v="1175"/>
    <n v="196.17252049920975"/>
    <n v="1115.6898317772789"/>
    <n v="16345463.56000001"/>
    <n v="202"/>
    <n v="2717276.9400000013"/>
  </r>
  <r>
    <x v="0"/>
    <x v="6"/>
    <x v="6"/>
    <x v="0"/>
    <x v="14"/>
    <x v="14"/>
    <x v="0"/>
    <n v="212"/>
    <n v="32.683764583350204"/>
    <n v="174.57706777450676"/>
    <n v="2069237.7799999998"/>
    <n v="38"/>
    <n v="360252.16000000003"/>
  </r>
  <r>
    <x v="0"/>
    <x v="6"/>
    <x v="6"/>
    <x v="0"/>
    <x v="15"/>
    <x v="15"/>
    <x v="0"/>
    <n v="738"/>
    <n v="135.66879327050597"/>
    <n v="648.05820673860785"/>
    <n v="8392590.5900000054"/>
    <n v="159"/>
    <n v="1752030.2899999996"/>
  </r>
  <r>
    <x v="0"/>
    <x v="6"/>
    <x v="6"/>
    <x v="0"/>
    <x v="16"/>
    <x v="16"/>
    <x v="0"/>
    <n v="1691"/>
    <n v="349.02297555068583"/>
    <n v="1722.1138380466437"/>
    <n v="22323395.979999997"/>
    <n v="345"/>
    <n v="4415817.5900000008"/>
  </r>
  <r>
    <x v="0"/>
    <x v="6"/>
    <x v="6"/>
    <x v="0"/>
    <x v="17"/>
    <x v="17"/>
    <x v="0"/>
    <n v="1308"/>
    <n v="219.0565312074865"/>
    <n v="1539.5576223738519"/>
    <n v="18860373.419999983"/>
    <n v="241"/>
    <n v="2487465.7200000021"/>
  </r>
  <r>
    <x v="0"/>
    <x v="6"/>
    <x v="6"/>
    <x v="0"/>
    <x v="18"/>
    <x v="18"/>
    <x v="0"/>
    <n v="2836"/>
    <n v="418.32641566721173"/>
    <n v="2443.5510768497638"/>
    <n v="27110555.320000049"/>
    <n v="444"/>
    <n v="4595672.8"/>
  </r>
  <r>
    <x v="0"/>
    <x v="6"/>
    <x v="6"/>
    <x v="0"/>
    <x v="19"/>
    <x v="19"/>
    <x v="0"/>
    <n v="1084"/>
    <n v="257.74502171428912"/>
    <n v="1416.3106899449965"/>
    <n v="24372068.97000001"/>
    <n v="266"/>
    <n v="4723985.2200000025"/>
  </r>
  <r>
    <x v="0"/>
    <x v="6"/>
    <x v="6"/>
    <x v="0"/>
    <x v="20"/>
    <x v="20"/>
    <x v="0"/>
    <n v="1180"/>
    <n v="195.04687351355938"/>
    <n v="1187.7257118589762"/>
    <n v="16494705.540000014"/>
    <n v="222"/>
    <n v="2488539.7800000012"/>
  </r>
  <r>
    <x v="0"/>
    <x v="6"/>
    <x v="6"/>
    <x v="0"/>
    <x v="21"/>
    <x v="21"/>
    <x v="0"/>
    <n v="834"/>
    <n v="141.65817419415382"/>
    <n v="622.41031606556817"/>
    <n v="8253486.3499999857"/>
    <n v="182"/>
    <n v="1816849.1900000002"/>
  </r>
  <r>
    <x v="0"/>
    <x v="6"/>
    <x v="6"/>
    <x v="0"/>
    <x v="22"/>
    <x v="22"/>
    <x v="0"/>
    <n v="1902"/>
    <n v="365.24873434384114"/>
    <n v="1950.5499521345637"/>
    <n v="30800599.550000019"/>
    <n v="416"/>
    <n v="5567717.290000001"/>
  </r>
  <r>
    <x v="0"/>
    <x v="6"/>
    <x v="6"/>
    <x v="0"/>
    <x v="23"/>
    <x v="23"/>
    <x v="0"/>
    <n v="66"/>
    <n v="10.586924865038799"/>
    <n v="62.701491200686839"/>
    <n v="1236638.4099999999"/>
    <n v="15"/>
    <n v="233184.15000000002"/>
  </r>
  <r>
    <x v="0"/>
    <x v="6"/>
    <x v="6"/>
    <x v="0"/>
    <x v="24"/>
    <x v="24"/>
    <x v="0"/>
    <n v="535"/>
    <n v="96.74922476664932"/>
    <n v="425.25627857887002"/>
    <n v="6017831.6799999913"/>
    <n v="101"/>
    <n v="1348381.3800000006"/>
  </r>
  <r>
    <x v="0"/>
    <x v="6"/>
    <x v="6"/>
    <x v="0"/>
    <x v="25"/>
    <x v="25"/>
    <x v="0"/>
    <n v="977"/>
    <n v="191.608771557388"/>
    <n v="829.4985574256234"/>
    <n v="11990728.799999993"/>
    <n v="231"/>
    <n v="2744364.7699999986"/>
  </r>
  <r>
    <x v="0"/>
    <x v="6"/>
    <x v="6"/>
    <x v="0"/>
    <x v="26"/>
    <x v="26"/>
    <x v="0"/>
    <n v="833"/>
    <n v="146.79175112871144"/>
    <n v="614.31073716881588"/>
    <n v="10199243.490000004"/>
    <n v="170"/>
    <n v="2083167.96"/>
  </r>
  <r>
    <x v="0"/>
    <x v="6"/>
    <x v="6"/>
    <x v="0"/>
    <x v="27"/>
    <x v="27"/>
    <x v="0"/>
    <n v="639"/>
    <n v="104.73654366482755"/>
    <n v="530.9705482312329"/>
    <n v="7130231.660000002"/>
    <n v="119"/>
    <n v="1332327.67"/>
  </r>
  <r>
    <x v="0"/>
    <x v="6"/>
    <x v="6"/>
    <x v="0"/>
    <x v="28"/>
    <x v="28"/>
    <x v="0"/>
    <n v="743"/>
    <n v="75.848423033090882"/>
    <n v="698.86562109091835"/>
    <n v="9688536.0700000003"/>
    <n v="93"/>
    <n v="988084.67000000027"/>
  </r>
  <r>
    <x v="0"/>
    <x v="6"/>
    <x v="6"/>
    <x v="0"/>
    <x v="29"/>
    <x v="29"/>
    <x v="0"/>
    <n v="452"/>
    <n v="138.29121123707557"/>
    <n v="433.25733447687333"/>
    <n v="10719626.420000009"/>
    <n v="141"/>
    <n v="3352998.5600000005"/>
  </r>
  <r>
    <x v="0"/>
    <x v="6"/>
    <x v="6"/>
    <x v="0"/>
    <x v="30"/>
    <x v="30"/>
    <x v="0"/>
    <n v="609"/>
    <n v="81.203929964819309"/>
    <n v="465.61645206436179"/>
    <n v="6126579.0800000001"/>
    <n v="98"/>
    <n v="1055243.22"/>
  </r>
  <r>
    <x v="0"/>
    <x v="6"/>
    <x v="6"/>
    <x v="0"/>
    <x v="31"/>
    <x v="31"/>
    <x v="0"/>
    <n v="1005"/>
    <n v="220.92478118367015"/>
    <n v="961.78576873923919"/>
    <n v="12994968.75999999"/>
    <n v="273"/>
    <n v="2852131.24"/>
  </r>
  <r>
    <x v="0"/>
    <x v="6"/>
    <x v="6"/>
    <x v="0"/>
    <x v="32"/>
    <x v="32"/>
    <x v="0"/>
    <n v="1839"/>
    <n v="409.41994678075014"/>
    <n v="1791.6811851598009"/>
    <n v="22305273.269999977"/>
    <n v="412"/>
    <n v="4824633.5599999987"/>
  </r>
  <r>
    <x v="0"/>
    <x v="6"/>
    <x v="6"/>
    <x v="0"/>
    <x v="33"/>
    <x v="33"/>
    <x v="0"/>
    <n v="2028"/>
    <n v="269.75884256113795"/>
    <n v="1670.542710704075"/>
    <n v="22347525.170000024"/>
    <n v="291"/>
    <n v="4137574.42"/>
  </r>
  <r>
    <x v="0"/>
    <x v="6"/>
    <x v="6"/>
    <x v="0"/>
    <x v="34"/>
    <x v="34"/>
    <x v="0"/>
    <n v="17"/>
    <n v="5.6060389285347005"/>
    <n v="9.8794708740573611"/>
    <n v="227027.88999999998"/>
    <n v="9"/>
    <n v="110760.69"/>
  </r>
  <r>
    <x v="0"/>
    <x v="6"/>
    <x v="6"/>
    <x v="0"/>
    <x v="35"/>
    <x v="35"/>
    <x v="0"/>
    <n v="1738"/>
    <n v="295.15877023734191"/>
    <n v="1438.1280496668758"/>
    <n v="17521880.309999991"/>
    <n v="298"/>
    <n v="3272668.1700000013"/>
  </r>
  <r>
    <x v="0"/>
    <x v="6"/>
    <x v="6"/>
    <x v="0"/>
    <x v="36"/>
    <x v="36"/>
    <x v="0"/>
    <n v="1421"/>
    <n v="293.35422226034581"/>
    <n v="1225.6752803751995"/>
    <n v="15610113.669999979"/>
    <n v="316"/>
    <n v="3667295.9899999993"/>
  </r>
  <r>
    <x v="0"/>
    <x v="6"/>
    <x v="6"/>
    <x v="0"/>
    <x v="37"/>
    <x v="37"/>
    <x v="0"/>
    <n v="1058"/>
    <n v="291.52676028364249"/>
    <n v="1059.4191974946159"/>
    <n v="13595185.119999982"/>
    <n v="305"/>
    <n v="3755658.5199999996"/>
  </r>
  <r>
    <x v="0"/>
    <x v="6"/>
    <x v="6"/>
    <x v="0"/>
    <x v="38"/>
    <x v="38"/>
    <x v="0"/>
    <n v="359"/>
    <n v="78.352104001174169"/>
    <n v="337.73202369462109"/>
    <n v="5175021.3799999943"/>
    <n v="89"/>
    <n v="1013597.6400000002"/>
  </r>
  <r>
    <x v="0"/>
    <x v="6"/>
    <x v="6"/>
    <x v="0"/>
    <x v="39"/>
    <x v="39"/>
    <x v="0"/>
    <n v="963"/>
    <n v="260.59589667794637"/>
    <n v="981.49346748800531"/>
    <n v="14839362.319999991"/>
    <n v="310"/>
    <n v="3758921.5500000003"/>
  </r>
  <r>
    <x v="0"/>
    <x v="6"/>
    <x v="6"/>
    <x v="0"/>
    <x v="40"/>
    <x v="40"/>
    <x v="0"/>
    <n v="2361"/>
    <n v="232.82036803202635"/>
    <n v="1885.8109989598577"/>
    <n v="28292471.630000073"/>
    <n v="256"/>
    <n v="3414357.5300000007"/>
  </r>
  <r>
    <x v="0"/>
    <x v="6"/>
    <x v="6"/>
    <x v="0"/>
    <x v="41"/>
    <x v="41"/>
    <x v="0"/>
    <n v="184"/>
    <n v="0"/>
    <n v="358.11034243484005"/>
    <n v="6426187.7399999974"/>
    <n v="0"/>
    <n v="0"/>
  </r>
  <r>
    <x v="0"/>
    <x v="6"/>
    <x v="6"/>
    <x v="0"/>
    <x v="42"/>
    <x v="42"/>
    <x v="0"/>
    <n v="222"/>
    <n v="47.515950394270789"/>
    <n v="174.60350377416972"/>
    <n v="1782292.9600000011"/>
    <n v="72"/>
    <n v="493038.77999999997"/>
  </r>
  <r>
    <x v="0"/>
    <x v="6"/>
    <x v="6"/>
    <x v="0"/>
    <x v="43"/>
    <x v="43"/>
    <x v="0"/>
    <n v="321"/>
    <n v="79.515806986339356"/>
    <n v="337.55599569686558"/>
    <n v="4083486.0300000007"/>
    <n v="87"/>
    <n v="1019316.8999999999"/>
  </r>
  <r>
    <x v="0"/>
    <x v="6"/>
    <x v="6"/>
    <x v="0"/>
    <x v="44"/>
    <x v="44"/>
    <x v="0"/>
    <n v="1188"/>
    <n v="214.15556226996353"/>
    <n v="992.23115335112141"/>
    <n v="16629814.20000001"/>
    <n v="243"/>
    <n v="3569027.4999999995"/>
  </r>
  <r>
    <x v="0"/>
    <x v="6"/>
    <x v="6"/>
    <x v="0"/>
    <x v="45"/>
    <x v="45"/>
    <x v="0"/>
    <n v="1617"/>
    <n v="174.41948877651546"/>
    <n v="1675.075752646286"/>
    <n v="21467614.699999973"/>
    <n v="206"/>
    <n v="2163564.6700000018"/>
  </r>
  <r>
    <x v="0"/>
    <x v="6"/>
    <x v="6"/>
    <x v="0"/>
    <x v="46"/>
    <x v="46"/>
    <x v="0"/>
    <n v="112"/>
    <n v="9.664452876798391"/>
    <n v="158.99488697314692"/>
    <n v="5032200.4900000012"/>
    <n v="10"/>
    <n v="378600.04000000004"/>
  </r>
  <r>
    <x v="0"/>
    <x v="6"/>
    <x v="6"/>
    <x v="0"/>
    <x v="47"/>
    <x v="47"/>
    <x v="0"/>
    <n v="559"/>
    <n v="89.995261852748229"/>
    <n v="453.77208121535284"/>
    <n v="5354916.9099999983"/>
    <n v="104"/>
    <n v="1169932.4100000004"/>
  </r>
  <r>
    <x v="0"/>
    <x v="6"/>
    <x v="6"/>
    <x v="2"/>
    <x v="0"/>
    <x v="0"/>
    <x v="0"/>
    <n v="1549"/>
    <n v="284.6593893711871"/>
    <n v="1407.2564900604229"/>
    <n v="18107166.030000005"/>
    <n v="289"/>
    <n v="3676084.63"/>
  </r>
  <r>
    <x v="0"/>
    <x v="6"/>
    <x v="6"/>
    <x v="2"/>
    <x v="1"/>
    <x v="1"/>
    <x v="0"/>
    <n v="2432"/>
    <n v="534.10698519125094"/>
    <n v="4505.9952575579582"/>
    <n v="99966625.599999994"/>
    <n v="387"/>
    <n v="11231862.099999998"/>
  </r>
  <r>
    <x v="0"/>
    <x v="6"/>
    <x v="6"/>
    <x v="2"/>
    <x v="2"/>
    <x v="2"/>
    <x v="0"/>
    <n v="1193"/>
    <n v="227.17619810397767"/>
    <n v="1226.112259369625"/>
    <n v="22552128.590000004"/>
    <n v="221"/>
    <n v="3957491.8899999997"/>
  </r>
  <r>
    <x v="0"/>
    <x v="6"/>
    <x v="6"/>
    <x v="2"/>
    <x v="3"/>
    <x v="3"/>
    <x v="0"/>
    <n v="3019"/>
    <n v="308.19172307119868"/>
    <n v="2372.8378477512197"/>
    <n v="30947324.690000001"/>
    <n v="297"/>
    <n v="5060043.620000001"/>
  </r>
  <r>
    <x v="0"/>
    <x v="6"/>
    <x v="6"/>
    <x v="2"/>
    <x v="4"/>
    <x v="4"/>
    <x v="0"/>
    <n v="1544"/>
    <n v="220.05258219478901"/>
    <n v="1388.5857712984309"/>
    <n v="20020582.610000022"/>
    <n v="240"/>
    <n v="3279034.6500000018"/>
  </r>
  <r>
    <x v="0"/>
    <x v="6"/>
    <x v="6"/>
    <x v="2"/>
    <x v="5"/>
    <x v="5"/>
    <x v="0"/>
    <n v="466"/>
    <n v="98.97722273824688"/>
    <n v="364.07648135878435"/>
    <n v="5391722.9799999986"/>
    <n v="126"/>
    <n v="1310742.3599999999"/>
  </r>
  <r>
    <x v="0"/>
    <x v="6"/>
    <x v="6"/>
    <x v="2"/>
    <x v="6"/>
    <x v="6"/>
    <x v="0"/>
    <n v="1527"/>
    <n v="171.39205381510888"/>
    <n v="1639.4442961005066"/>
    <n v="21612215.539999988"/>
    <n v="198"/>
    <n v="2356379.1399999997"/>
  </r>
  <r>
    <x v="0"/>
    <x v="6"/>
    <x v="6"/>
    <x v="2"/>
    <x v="7"/>
    <x v="7"/>
    <x v="0"/>
    <n v="3822"/>
    <n v="720.29993281767872"/>
    <n v="5549.9706322494449"/>
    <n v="122885213.81000009"/>
    <n v="625"/>
    <n v="18296828.22000001"/>
  </r>
  <r>
    <x v="0"/>
    <x v="6"/>
    <x v="6"/>
    <x v="2"/>
    <x v="8"/>
    <x v="8"/>
    <x v="0"/>
    <n v="139"/>
    <n v="20.547962738056352"/>
    <n v="101.68106570377861"/>
    <n v="1709241.4100000004"/>
    <n v="29"/>
    <n v="358193.51999999996"/>
  </r>
  <r>
    <x v="0"/>
    <x v="6"/>
    <x v="6"/>
    <x v="2"/>
    <x v="9"/>
    <x v="9"/>
    <x v="0"/>
    <n v="1372"/>
    <n v="357.130395447333"/>
    <n v="1358.5163606817541"/>
    <n v="22111492.84000003"/>
    <n v="330"/>
    <n v="5853097.4499999993"/>
  </r>
  <r>
    <x v="0"/>
    <x v="6"/>
    <x v="6"/>
    <x v="2"/>
    <x v="10"/>
    <x v="10"/>
    <x v="0"/>
    <n v="1647"/>
    <n v="278.73113344676011"/>
    <n v="1849.7756924192242"/>
    <n v="34021255.210000105"/>
    <n v="292"/>
    <n v="5484299.6599999955"/>
  </r>
  <r>
    <x v="0"/>
    <x v="0"/>
    <x v="0"/>
    <x v="2"/>
    <x v="11"/>
    <x v="11"/>
    <x v="0"/>
    <n v="392"/>
    <n v="91.158115837924257"/>
    <n v="347.63597856836628"/>
    <n v="4832191.629999999"/>
    <n v="99"/>
    <n v="1263279.3399999996"/>
  </r>
  <r>
    <x v="0"/>
    <x v="6"/>
    <x v="6"/>
    <x v="2"/>
    <x v="12"/>
    <x v="12"/>
    <x v="0"/>
    <n v="2274"/>
    <n v="457.19753717168578"/>
    <n v="1923.9959894730657"/>
    <n v="27528435.870000012"/>
    <n v="549"/>
    <n v="6471350.3900000025"/>
  </r>
  <r>
    <x v="0"/>
    <x v="6"/>
    <x v="6"/>
    <x v="2"/>
    <x v="13"/>
    <x v="13"/>
    <x v="0"/>
    <n v="1099"/>
    <n v="157.5707579913016"/>
    <n v="1002.1455742247282"/>
    <n v="14696343.320000013"/>
    <n v="174"/>
    <n v="2300358.1799999983"/>
  </r>
  <r>
    <x v="0"/>
    <x v="6"/>
    <x v="6"/>
    <x v="2"/>
    <x v="14"/>
    <x v="14"/>
    <x v="0"/>
    <n v="226"/>
    <n v="35.218971551031608"/>
    <n v="208.22375134558169"/>
    <n v="2572237.6199999992"/>
    <n v="38"/>
    <n v="411397.68000000017"/>
  </r>
  <r>
    <x v="0"/>
    <x v="6"/>
    <x v="6"/>
    <x v="2"/>
    <x v="15"/>
    <x v="15"/>
    <x v="0"/>
    <n v="664"/>
    <n v="112.87365656109641"/>
    <n v="552.1733819609409"/>
    <n v="7559129.6899999985"/>
    <n v="134"/>
    <n v="1618942.4300000002"/>
  </r>
  <r>
    <x v="0"/>
    <x v="6"/>
    <x v="6"/>
    <x v="2"/>
    <x v="16"/>
    <x v="16"/>
    <x v="0"/>
    <n v="1606"/>
    <n v="295.65251323104764"/>
    <n v="1603.3114005611303"/>
    <n v="20056343.819999922"/>
    <n v="303"/>
    <n v="3252307.1400000006"/>
  </r>
  <r>
    <x v="0"/>
    <x v="6"/>
    <x v="6"/>
    <x v="2"/>
    <x v="17"/>
    <x v="17"/>
    <x v="0"/>
    <n v="1263"/>
    <n v="196.00610750133137"/>
    <n v="1452.6270654820357"/>
    <n v="17880930.390000012"/>
    <n v="218"/>
    <n v="2249030.11"/>
  </r>
  <r>
    <x v="0"/>
    <x v="6"/>
    <x v="6"/>
    <x v="2"/>
    <x v="18"/>
    <x v="18"/>
    <x v="0"/>
    <n v="2636"/>
    <n v="372.02891425740802"/>
    <n v="2364.682396855188"/>
    <n v="25718382.979999952"/>
    <n v="407"/>
    <n v="4027632.72"/>
  </r>
  <r>
    <x v="0"/>
    <x v="6"/>
    <x v="6"/>
    <x v="2"/>
    <x v="19"/>
    <x v="19"/>
    <x v="0"/>
    <n v="1015"/>
    <n v="260.93686067359971"/>
    <n v="1345.6018348463863"/>
    <n v="22539702.229999978"/>
    <n v="258"/>
    <n v="4775194.8300000019"/>
  </r>
  <r>
    <x v="0"/>
    <x v="6"/>
    <x v="6"/>
    <x v="2"/>
    <x v="20"/>
    <x v="20"/>
    <x v="0"/>
    <n v="1083"/>
    <n v="224.5297411377145"/>
    <n v="1124.1766636690948"/>
    <n v="16137935.260000013"/>
    <n v="211"/>
    <n v="2800963.6399999973"/>
  </r>
  <r>
    <x v="0"/>
    <x v="6"/>
    <x v="6"/>
    <x v="2"/>
    <x v="21"/>
    <x v="21"/>
    <x v="0"/>
    <n v="750"/>
    <n v="119.40711847780841"/>
    <n v="538.57299613431894"/>
    <n v="7225113.8699999871"/>
    <n v="148"/>
    <n v="1763813.2100000002"/>
  </r>
  <r>
    <x v="0"/>
    <x v="6"/>
    <x v="6"/>
    <x v="2"/>
    <x v="22"/>
    <x v="22"/>
    <x v="0"/>
    <n v="1776"/>
    <n v="380.01258315563263"/>
    <n v="1876.2264690820371"/>
    <n v="30384266.819999989"/>
    <n v="386"/>
    <n v="5984235.3599999957"/>
  </r>
  <r>
    <x v="0"/>
    <x v="6"/>
    <x v="6"/>
    <x v="2"/>
    <x v="23"/>
    <x v="23"/>
    <x v="0"/>
    <n v="70"/>
    <n v="11.031419859372413"/>
    <n v="64.531120177362851"/>
    <n v="1288780.6199999999"/>
    <n v="16"/>
    <n v="196595.52999999997"/>
  </r>
  <r>
    <x v="0"/>
    <x v="6"/>
    <x v="6"/>
    <x v="2"/>
    <x v="24"/>
    <x v="24"/>
    <x v="0"/>
    <n v="440"/>
    <n v="82.178352952397475"/>
    <n v="393.25199198685777"/>
    <n v="5198856.389999995"/>
    <n v="89"/>
    <n v="965614.44000000018"/>
  </r>
  <r>
    <x v="0"/>
    <x v="6"/>
    <x v="6"/>
    <x v="2"/>
    <x v="25"/>
    <x v="25"/>
    <x v="0"/>
    <n v="995"/>
    <n v="185.45122063588406"/>
    <n v="854.09756011203558"/>
    <n v="12208109.389999984"/>
    <n v="219"/>
    <n v="2718267.459999999"/>
  </r>
  <r>
    <x v="0"/>
    <x v="6"/>
    <x v="6"/>
    <x v="2"/>
    <x v="26"/>
    <x v="26"/>
    <x v="0"/>
    <n v="786"/>
    <n v="149.41346909529014"/>
    <n v="568.30511475529408"/>
    <n v="9612218.7399999946"/>
    <n v="193"/>
    <n v="2580023.3099999996"/>
  </r>
  <r>
    <x v="0"/>
    <x v="6"/>
    <x v="6"/>
    <x v="2"/>
    <x v="27"/>
    <x v="27"/>
    <x v="0"/>
    <n v="697"/>
    <n v="97.339558759123733"/>
    <n v="590.36007547413794"/>
    <n v="7722683.8600000041"/>
    <n v="108"/>
    <n v="1253059.7800000005"/>
  </r>
  <r>
    <x v="0"/>
    <x v="6"/>
    <x v="6"/>
    <x v="2"/>
    <x v="28"/>
    <x v="28"/>
    <x v="0"/>
    <n v="690"/>
    <n v="62.759698199944808"/>
    <n v="640.34925283688199"/>
    <n v="8847190.8100000117"/>
    <n v="73"/>
    <n v="875417.29999999981"/>
  </r>
  <r>
    <x v="0"/>
    <x v="6"/>
    <x v="6"/>
    <x v="2"/>
    <x v="29"/>
    <x v="29"/>
    <x v="0"/>
    <n v="446"/>
    <n v="115.83657352332538"/>
    <n v="405.41534683179998"/>
    <n v="9113045.980000006"/>
    <n v="131"/>
    <n v="2460945.34"/>
  </r>
  <r>
    <x v="0"/>
    <x v="6"/>
    <x v="6"/>
    <x v="2"/>
    <x v="30"/>
    <x v="30"/>
    <x v="0"/>
    <n v="536"/>
    <n v="81.586475959942618"/>
    <n v="450.73654625404998"/>
    <n v="6133407.0399999991"/>
    <n v="96"/>
    <n v="1054908.6800000002"/>
  </r>
  <r>
    <x v="0"/>
    <x v="6"/>
    <x v="6"/>
    <x v="2"/>
    <x v="31"/>
    <x v="31"/>
    <x v="0"/>
    <n v="972"/>
    <n v="259.68781568952249"/>
    <n v="938.11152404103541"/>
    <n v="12866925.580000009"/>
    <n v="282"/>
    <n v="3459022.5099999988"/>
  </r>
  <r>
    <x v="0"/>
    <x v="6"/>
    <x v="6"/>
    <x v="2"/>
    <x v="32"/>
    <x v="32"/>
    <x v="0"/>
    <n v="1816"/>
    <n v="378.39546717624739"/>
    <n v="1780.7496802991541"/>
    <n v="21558495.059999987"/>
    <n v="398"/>
    <n v="4594485.4999999972"/>
  </r>
  <r>
    <x v="0"/>
    <x v="6"/>
    <x v="6"/>
    <x v="2"/>
    <x v="33"/>
    <x v="33"/>
    <x v="0"/>
    <n v="1868"/>
    <n v="254.50001775565602"/>
    <n v="1482.8131080972328"/>
    <n v="19693424.490000017"/>
    <n v="292"/>
    <n v="3975002.4599999981"/>
  </r>
  <r>
    <x v="0"/>
    <x v="6"/>
    <x v="6"/>
    <x v="2"/>
    <x v="34"/>
    <x v="34"/>
    <x v="0"/>
    <n v="11"/>
    <n v="1.1687579851007743"/>
    <n v="6.3137979195122496"/>
    <n v="197804.67"/>
    <n v="2"/>
    <n v="16793.5"/>
  </r>
  <r>
    <x v="0"/>
    <x v="6"/>
    <x v="6"/>
    <x v="2"/>
    <x v="35"/>
    <x v="35"/>
    <x v="0"/>
    <n v="1699"/>
    <n v="277.51777846222751"/>
    <n v="1437.7066696722497"/>
    <n v="19905984.919999991"/>
    <n v="277"/>
    <n v="3684731.8199999984"/>
  </r>
  <r>
    <x v="0"/>
    <x v="6"/>
    <x v="6"/>
    <x v="2"/>
    <x v="36"/>
    <x v="36"/>
    <x v="0"/>
    <n v="1450"/>
    <n v="256.68928472774712"/>
    <n v="1243.1241821527613"/>
    <n v="15015234.680000016"/>
    <n v="280"/>
    <n v="2921532.5199999986"/>
  </r>
  <r>
    <x v="0"/>
    <x v="6"/>
    <x v="6"/>
    <x v="2"/>
    <x v="37"/>
    <x v="37"/>
    <x v="0"/>
    <n v="1109"/>
    <n v="285.45022136110543"/>
    <n v="1067.4059193928003"/>
    <n v="13135956.019999987"/>
    <n v="326"/>
    <n v="3109450.1000000006"/>
  </r>
  <r>
    <x v="0"/>
    <x v="6"/>
    <x v="6"/>
    <x v="2"/>
    <x v="38"/>
    <x v="38"/>
    <x v="0"/>
    <n v="278"/>
    <n v="63.876504185707866"/>
    <n v="282.07596740411975"/>
    <n v="4345850.8800000008"/>
    <n v="73"/>
    <n v="881733.2"/>
  </r>
  <r>
    <x v="0"/>
    <x v="6"/>
    <x v="6"/>
    <x v="2"/>
    <x v="39"/>
    <x v="39"/>
    <x v="0"/>
    <n v="860"/>
    <n v="239.90075094176643"/>
    <n v="877.47438381403208"/>
    <n v="13713164.089999991"/>
    <n v="278"/>
    <n v="3830266.1600000011"/>
  </r>
  <r>
    <x v="0"/>
    <x v="6"/>
    <x v="6"/>
    <x v="2"/>
    <x v="40"/>
    <x v="40"/>
    <x v="0"/>
    <n v="2184"/>
    <n v="217.11733523220707"/>
    <n v="1690.456051450223"/>
    <n v="24778374.660000063"/>
    <n v="237"/>
    <n v="3197579.2800000021"/>
  </r>
  <r>
    <x v="0"/>
    <x v="6"/>
    <x v="6"/>
    <x v="2"/>
    <x v="41"/>
    <x v="41"/>
    <x v="0"/>
    <n v="199"/>
    <n v="0"/>
    <n v="393.15907798804113"/>
    <n v="6842987.9599999972"/>
    <n v="0"/>
    <n v="0"/>
  </r>
  <r>
    <x v="0"/>
    <x v="6"/>
    <x v="6"/>
    <x v="2"/>
    <x v="42"/>
    <x v="42"/>
    <x v="0"/>
    <n v="232"/>
    <n v="69.920144108664033"/>
    <n v="188.01109660325082"/>
    <n v="2434140.4099999978"/>
    <n v="91"/>
    <n v="845638.37999999977"/>
  </r>
  <r>
    <x v="0"/>
    <x v="6"/>
    <x v="6"/>
    <x v="2"/>
    <x v="43"/>
    <x v="43"/>
    <x v="0"/>
    <n v="268"/>
    <n v="71.79570608475457"/>
    <n v="280.51397442403209"/>
    <n v="3305557.1099999989"/>
    <n v="81"/>
    <n v="884628.22"/>
  </r>
  <r>
    <x v="0"/>
    <x v="6"/>
    <x v="6"/>
    <x v="2"/>
    <x v="44"/>
    <x v="44"/>
    <x v="0"/>
    <n v="1063"/>
    <n v="215.40986225397378"/>
    <n v="910.36878339469547"/>
    <n v="15620652.540000023"/>
    <n v="220"/>
    <n v="3459751.0799999996"/>
  </r>
  <r>
    <x v="0"/>
    <x v="6"/>
    <x v="6"/>
    <x v="2"/>
    <x v="45"/>
    <x v="45"/>
    <x v="0"/>
    <n v="1508"/>
    <n v="175.42515476369539"/>
    <n v="1666.1881847595816"/>
    <n v="22088098.08999997"/>
    <n v="185"/>
    <n v="2063277.5999999999"/>
  </r>
  <r>
    <x v="0"/>
    <x v="6"/>
    <x v="6"/>
    <x v="2"/>
    <x v="46"/>
    <x v="46"/>
    <x v="0"/>
    <n v="124"/>
    <n v="21.266046728902278"/>
    <n v="156.28752300766021"/>
    <n v="5133874.2100000009"/>
    <n v="20"/>
    <n v="788958.23999999987"/>
  </r>
  <r>
    <x v="0"/>
    <x v="6"/>
    <x v="6"/>
    <x v="2"/>
    <x v="47"/>
    <x v="47"/>
    <x v="0"/>
    <n v="584"/>
    <n v="84.878668917974096"/>
    <n v="471.47401698968963"/>
    <n v="5207932.0200000014"/>
    <n v="102"/>
    <n v="921305.67999999947"/>
  </r>
  <r>
    <x v="0"/>
    <x v="6"/>
    <x v="6"/>
    <x v="4"/>
    <x v="0"/>
    <x v="0"/>
    <x v="0"/>
    <n v="1577"/>
    <n v="311.22780403249544"/>
    <n v="1426.1199268199528"/>
    <n v="18522712.91999995"/>
    <n v="323"/>
    <n v="4060603.3300000005"/>
  </r>
  <r>
    <x v="0"/>
    <x v="6"/>
    <x v="6"/>
    <x v="4"/>
    <x v="1"/>
    <x v="1"/>
    <x v="0"/>
    <n v="2585"/>
    <n v="476.46396292607898"/>
    <n v="4406.3961868276328"/>
    <n v="93434488.069999829"/>
    <n v="349"/>
    <n v="10277487.520000003"/>
  </r>
  <r>
    <x v="0"/>
    <x v="6"/>
    <x v="6"/>
    <x v="4"/>
    <x v="2"/>
    <x v="2"/>
    <x v="0"/>
    <n v="1213"/>
    <n v="199.6731114545847"/>
    <n v="1216.7529474889395"/>
    <n v="20915133.62000002"/>
    <n v="216"/>
    <n v="3479413.85"/>
  </r>
  <r>
    <x v="0"/>
    <x v="6"/>
    <x v="6"/>
    <x v="4"/>
    <x v="3"/>
    <x v="3"/>
    <x v="0"/>
    <n v="3129"/>
    <n v="345.9273635901481"/>
    <n v="2461.9517926151939"/>
    <n v="30699899.829999909"/>
    <n v="335"/>
    <n v="4780624.6800000006"/>
  </r>
  <r>
    <x v="0"/>
    <x v="6"/>
    <x v="6"/>
    <x v="4"/>
    <x v="4"/>
    <x v="4"/>
    <x v="0"/>
    <n v="1729"/>
    <n v="288.05996832783654"/>
    <n v="1534.8679484336405"/>
    <n v="20234368.020000007"/>
    <n v="290"/>
    <n v="3892910.7000000016"/>
  </r>
  <r>
    <x v="0"/>
    <x v="6"/>
    <x v="6"/>
    <x v="4"/>
    <x v="5"/>
    <x v="5"/>
    <x v="0"/>
    <n v="482"/>
    <n v="98.9789027382255"/>
    <n v="393.83986497936348"/>
    <n v="5787831.440000006"/>
    <n v="118"/>
    <n v="1358215.9299999997"/>
  </r>
  <r>
    <x v="0"/>
    <x v="6"/>
    <x v="6"/>
    <x v="4"/>
    <x v="6"/>
    <x v="6"/>
    <x v="0"/>
    <n v="1394"/>
    <n v="165.80989188626992"/>
    <n v="1471.6945382389661"/>
    <n v="18728350.700000033"/>
    <n v="185"/>
    <n v="2108660.96"/>
  </r>
  <r>
    <x v="0"/>
    <x v="6"/>
    <x v="6"/>
    <x v="4"/>
    <x v="7"/>
    <x v="7"/>
    <x v="0"/>
    <n v="3916"/>
    <n v="753.03973340031507"/>
    <n v="5490.655996005582"/>
    <n v="123068652.59999993"/>
    <n v="665"/>
    <n v="17832030.129999999"/>
  </r>
  <r>
    <x v="0"/>
    <x v="6"/>
    <x v="6"/>
    <x v="4"/>
    <x v="8"/>
    <x v="8"/>
    <x v="0"/>
    <n v="144"/>
    <n v="36.705175532085605"/>
    <n v="104.43834466862899"/>
    <n v="2098812.1800000002"/>
    <n v="47"/>
    <n v="770250.67"/>
  </r>
  <r>
    <x v="0"/>
    <x v="6"/>
    <x v="6"/>
    <x v="4"/>
    <x v="9"/>
    <x v="9"/>
    <x v="0"/>
    <n v="1505"/>
    <n v="332.80326875745294"/>
    <n v="1399.409187160456"/>
    <n v="21433686.339999981"/>
    <n v="344"/>
    <n v="5357809.1400000034"/>
  </r>
  <r>
    <x v="0"/>
    <x v="6"/>
    <x v="6"/>
    <x v="4"/>
    <x v="10"/>
    <x v="10"/>
    <x v="0"/>
    <n v="1653"/>
    <n v="275.41404348904564"/>
    <n v="1927.513471428231"/>
    <n v="36901894.200000092"/>
    <n v="254"/>
    <n v="5156433.3599999994"/>
  </r>
  <r>
    <x v="0"/>
    <x v="0"/>
    <x v="0"/>
    <x v="4"/>
    <x v="11"/>
    <x v="11"/>
    <x v="0"/>
    <n v="408"/>
    <n v="95.802034778723936"/>
    <n v="352.8307515021433"/>
    <n v="4956118.7899999991"/>
    <n v="109"/>
    <n v="1429675.4800000004"/>
  </r>
  <r>
    <x v="0"/>
    <x v="6"/>
    <x v="6"/>
    <x v="4"/>
    <x v="12"/>
    <x v="12"/>
    <x v="0"/>
    <n v="2249"/>
    <n v="482.40025285040349"/>
    <n v="1883.2708799922243"/>
    <n v="23557241.569999967"/>
    <n v="565"/>
    <n v="5773837.0199999986"/>
  </r>
  <r>
    <x v="0"/>
    <x v="6"/>
    <x v="6"/>
    <x v="4"/>
    <x v="13"/>
    <x v="13"/>
    <x v="0"/>
    <n v="1206"/>
    <n v="238.69730195710767"/>
    <n v="1050.7432446052112"/>
    <n v="15595059.110000003"/>
    <n v="208"/>
    <n v="3474906.0099999993"/>
  </r>
  <r>
    <x v="0"/>
    <x v="6"/>
    <x v="6"/>
    <x v="4"/>
    <x v="14"/>
    <x v="14"/>
    <x v="0"/>
    <n v="178"/>
    <n v="36.465824535136818"/>
    <n v="154.49541403050597"/>
    <n v="2007844.2900000003"/>
    <n v="40"/>
    <n v="419185.94999999995"/>
  </r>
  <r>
    <x v="0"/>
    <x v="6"/>
    <x v="6"/>
    <x v="4"/>
    <x v="15"/>
    <x v="15"/>
    <x v="0"/>
    <n v="707"/>
    <n v="129.58206934809894"/>
    <n v="553.0833209493411"/>
    <n v="8444123.5799999982"/>
    <n v="168"/>
    <n v="1931337.86"/>
  </r>
  <r>
    <x v="0"/>
    <x v="6"/>
    <x v="6"/>
    <x v="4"/>
    <x v="16"/>
    <x v="16"/>
    <x v="0"/>
    <n v="1703"/>
    <n v="296.83838121593027"/>
    <n v="1710.1073071997032"/>
    <n v="22018467.499999933"/>
    <n v="285"/>
    <n v="3550709.8400000008"/>
  </r>
  <r>
    <x v="0"/>
    <x v="6"/>
    <x v="6"/>
    <x v="4"/>
    <x v="17"/>
    <x v="17"/>
    <x v="0"/>
    <n v="1352"/>
    <n v="227.13807010446357"/>
    <n v="1648.3642619867949"/>
    <n v="21643928.900000006"/>
    <n v="251"/>
    <n v="3186320.7300000009"/>
  </r>
  <r>
    <x v="0"/>
    <x v="6"/>
    <x v="6"/>
    <x v="4"/>
    <x v="18"/>
    <x v="18"/>
    <x v="0"/>
    <n v="2723"/>
    <n v="457.10520417286261"/>
    <n v="2362.3263408852222"/>
    <n v="26724432.069999997"/>
    <n v="487"/>
    <n v="5666019.099999995"/>
  </r>
  <r>
    <x v="0"/>
    <x v="6"/>
    <x v="6"/>
    <x v="4"/>
    <x v="19"/>
    <x v="19"/>
    <x v="0"/>
    <n v="1019"/>
    <n v="266.37013660433695"/>
    <n v="1294.9181554924971"/>
    <n v="19997032.619999994"/>
    <n v="281"/>
    <n v="4287389.8600000013"/>
  </r>
  <r>
    <x v="0"/>
    <x v="6"/>
    <x v="6"/>
    <x v="4"/>
    <x v="20"/>
    <x v="20"/>
    <x v="0"/>
    <n v="1036"/>
    <n v="196.6540124930718"/>
    <n v="1042.2095877140021"/>
    <n v="15981107.030000025"/>
    <n v="199"/>
    <n v="2594739.1999999997"/>
  </r>
  <r>
    <x v="0"/>
    <x v="6"/>
    <x v="6"/>
    <x v="4"/>
    <x v="21"/>
    <x v="21"/>
    <x v="0"/>
    <n v="806"/>
    <n v="118.59548648815499"/>
    <n v="558.78881387660897"/>
    <n v="6779127.909999989"/>
    <n v="157"/>
    <n v="1447601.43"/>
  </r>
  <r>
    <x v="0"/>
    <x v="6"/>
    <x v="6"/>
    <x v="4"/>
    <x v="22"/>
    <x v="22"/>
    <x v="0"/>
    <n v="1721"/>
    <n v="356.29312445800628"/>
    <n v="1826.5815057149082"/>
    <n v="31797984.109999996"/>
    <n v="367"/>
    <n v="6565292.860000005"/>
  </r>
  <r>
    <x v="0"/>
    <x v="6"/>
    <x v="6"/>
    <x v="4"/>
    <x v="23"/>
    <x v="23"/>
    <x v="0"/>
    <n v="71"/>
    <n v="14.459232815674948"/>
    <n v="62.560066202489715"/>
    <n v="1204828.1799999995"/>
    <n v="20"/>
    <n v="258606.55000000002"/>
  </r>
  <r>
    <x v="0"/>
    <x v="6"/>
    <x v="6"/>
    <x v="4"/>
    <x v="24"/>
    <x v="24"/>
    <x v="0"/>
    <n v="489"/>
    <n v="84.419837923823238"/>
    <n v="404.20587184721836"/>
    <n v="5592018.9900000012"/>
    <n v="88"/>
    <n v="1224454.0999999999"/>
  </r>
  <r>
    <x v="0"/>
    <x v="6"/>
    <x v="6"/>
    <x v="4"/>
    <x v="25"/>
    <x v="25"/>
    <x v="0"/>
    <n v="1089"/>
    <n v="226.56378011178464"/>
    <n v="957.40300779510801"/>
    <n v="13758838.579999972"/>
    <n v="263"/>
    <n v="3285980.5900000003"/>
  </r>
  <r>
    <x v="0"/>
    <x v="6"/>
    <x v="6"/>
    <x v="4"/>
    <x v="26"/>
    <x v="26"/>
    <x v="0"/>
    <n v="833"/>
    <n v="144.35063415983069"/>
    <n v="616.65368713894827"/>
    <n v="10939688.530000003"/>
    <n v="177"/>
    <n v="2605650.5300000003"/>
  </r>
  <r>
    <x v="0"/>
    <x v="6"/>
    <x v="6"/>
    <x v="4"/>
    <x v="27"/>
    <x v="27"/>
    <x v="0"/>
    <n v="646"/>
    <n v="162.10728793347027"/>
    <n v="550.19949298610345"/>
    <n v="7102737.4599999934"/>
    <n v="157"/>
    <n v="1989818.6900000004"/>
  </r>
  <r>
    <x v="0"/>
    <x v="6"/>
    <x v="6"/>
    <x v="4"/>
    <x v="28"/>
    <x v="28"/>
    <x v="0"/>
    <n v="657"/>
    <n v="93.241851811361002"/>
    <n v="603.83532330235744"/>
    <n v="8280417.1599999927"/>
    <n v="104"/>
    <n v="1339798.1099999999"/>
  </r>
  <r>
    <x v="0"/>
    <x v="6"/>
    <x v="6"/>
    <x v="4"/>
    <x v="29"/>
    <x v="29"/>
    <x v="0"/>
    <n v="453"/>
    <n v="126.74420038427594"/>
    <n v="448.37577228414472"/>
    <n v="9292571.3799999952"/>
    <n v="145"/>
    <n v="2723408.4000000004"/>
  </r>
  <r>
    <x v="0"/>
    <x v="6"/>
    <x v="6"/>
    <x v="4"/>
    <x v="30"/>
    <x v="30"/>
    <x v="0"/>
    <n v="591"/>
    <n v="108.95526161104777"/>
    <n v="481.40003586315396"/>
    <n v="6494144.8400000064"/>
    <n v="122"/>
    <n v="1522216.53"/>
  </r>
  <r>
    <x v="0"/>
    <x v="6"/>
    <x v="6"/>
    <x v="4"/>
    <x v="31"/>
    <x v="31"/>
    <x v="0"/>
    <n v="975"/>
    <n v="258.22628470815397"/>
    <n v="955.02375882543947"/>
    <n v="13680291.309999989"/>
    <n v="272"/>
    <n v="3928469.0799999996"/>
  </r>
  <r>
    <x v="0"/>
    <x v="6"/>
    <x v="6"/>
    <x v="4"/>
    <x v="32"/>
    <x v="32"/>
    <x v="0"/>
    <n v="1979"/>
    <n v="427.29361755289801"/>
    <n v="1995.1091365665188"/>
    <n v="21720663.440000013"/>
    <n v="413"/>
    <n v="4654006.1499999994"/>
  </r>
  <r>
    <x v="0"/>
    <x v="6"/>
    <x v="6"/>
    <x v="4"/>
    <x v="33"/>
    <x v="33"/>
    <x v="0"/>
    <n v="1965"/>
    <n v="261.30809366886763"/>
    <n v="1588.1134137548752"/>
    <n v="20713201.800000053"/>
    <n v="299"/>
    <n v="4005971.0999999982"/>
  </r>
  <r>
    <x v="0"/>
    <x v="6"/>
    <x v="6"/>
    <x v="4"/>
    <x v="34"/>
    <x v="34"/>
    <x v="0"/>
    <n v="16"/>
    <n v="3.4636689558454479"/>
    <n v="9.7063458762643435"/>
    <n v="155520.86000000002"/>
    <n v="6"/>
    <n v="73345.38"/>
  </r>
  <r>
    <x v="0"/>
    <x v="6"/>
    <x v="6"/>
    <x v="4"/>
    <x v="35"/>
    <x v="35"/>
    <x v="0"/>
    <n v="1762"/>
    <n v="298.96538218881511"/>
    <n v="1392.7302532456054"/>
    <n v="17572459.349999979"/>
    <n v="333"/>
    <n v="3459267.6399999978"/>
  </r>
  <r>
    <x v="0"/>
    <x v="6"/>
    <x v="6"/>
    <x v="4"/>
    <x v="36"/>
    <x v="36"/>
    <x v="0"/>
    <n v="1456"/>
    <n v="298.59517219353478"/>
    <n v="1219.5602504531571"/>
    <n v="14880816.040000007"/>
    <n v="333"/>
    <n v="3491738.1400000015"/>
  </r>
  <r>
    <x v="0"/>
    <x v="6"/>
    <x v="6"/>
    <x v="4"/>
    <x v="37"/>
    <x v="37"/>
    <x v="0"/>
    <n v="1056"/>
    <n v="269.99883655807844"/>
    <n v="1032.5328738373598"/>
    <n v="11692652.179999981"/>
    <n v="308"/>
    <n v="2990188.8599999985"/>
  </r>
  <r>
    <x v="0"/>
    <x v="6"/>
    <x v="6"/>
    <x v="4"/>
    <x v="38"/>
    <x v="38"/>
    <x v="0"/>
    <n v="215"/>
    <n v="35.488897547590611"/>
    <n v="210.26213531959652"/>
    <n v="4188692.2399999988"/>
    <n v="44"/>
    <n v="391984.86999999994"/>
  </r>
  <r>
    <x v="0"/>
    <x v="6"/>
    <x v="6"/>
    <x v="4"/>
    <x v="39"/>
    <x v="39"/>
    <x v="0"/>
    <n v="860"/>
    <n v="250.26932780958862"/>
    <n v="857.39814106996141"/>
    <n v="14591658.210000005"/>
    <n v="280"/>
    <n v="4491372.2100000028"/>
  </r>
  <r>
    <x v="0"/>
    <x v="6"/>
    <x v="6"/>
    <x v="4"/>
    <x v="40"/>
    <x v="40"/>
    <x v="0"/>
    <n v="2277"/>
    <n v="275.45286148855092"/>
    <n v="1798.972832066861"/>
    <n v="24012280.340000007"/>
    <n v="279"/>
    <n v="3724755.9999999991"/>
  </r>
  <r>
    <x v="0"/>
    <x v="6"/>
    <x v="6"/>
    <x v="4"/>
    <x v="41"/>
    <x v="41"/>
    <x v="0"/>
    <n v="185"/>
    <n v="0"/>
    <n v="368.04107030824423"/>
    <n v="6184172.9799999995"/>
    <n v="0"/>
    <n v="0"/>
  </r>
  <r>
    <x v="0"/>
    <x v="6"/>
    <x v="6"/>
    <x v="4"/>
    <x v="42"/>
    <x v="42"/>
    <x v="0"/>
    <n v="250"/>
    <n v="66.842017147903775"/>
    <n v="186.71648861975439"/>
    <n v="2539163.4999999995"/>
    <n v="95"/>
    <n v="777937.86000000022"/>
  </r>
  <r>
    <x v="0"/>
    <x v="6"/>
    <x v="6"/>
    <x v="4"/>
    <x v="43"/>
    <x v="43"/>
    <x v="0"/>
    <n v="269"/>
    <n v="70.096615106414404"/>
    <n v="271.97924153283202"/>
    <n v="2829520.3899999997"/>
    <n v="77"/>
    <n v="743332.75999999943"/>
  </r>
  <r>
    <x v="0"/>
    <x v="6"/>
    <x v="6"/>
    <x v="4"/>
    <x v="44"/>
    <x v="44"/>
    <x v="0"/>
    <n v="1047"/>
    <n v="212.25573129418248"/>
    <n v="865.87977996183656"/>
    <n v="15871783.730000002"/>
    <n v="222"/>
    <n v="4079638.23"/>
  </r>
  <r>
    <x v="0"/>
    <x v="6"/>
    <x v="6"/>
    <x v="4"/>
    <x v="45"/>
    <x v="45"/>
    <x v="0"/>
    <n v="1462"/>
    <n v="241.70633991874871"/>
    <n v="1552.0421852147063"/>
    <n v="21953143.110000044"/>
    <n v="239"/>
    <n v="3298462.8399999989"/>
  </r>
  <r>
    <x v="0"/>
    <x v="6"/>
    <x v="6"/>
    <x v="4"/>
    <x v="46"/>
    <x v="46"/>
    <x v="0"/>
    <n v="99"/>
    <n v="8.648243889752937"/>
    <n v="131.04525832944631"/>
    <n v="4077405.680000002"/>
    <n v="9"/>
    <n v="224796.33000000002"/>
  </r>
  <r>
    <x v="0"/>
    <x v="6"/>
    <x v="6"/>
    <x v="4"/>
    <x v="47"/>
    <x v="47"/>
    <x v="0"/>
    <n v="612"/>
    <n v="101.03081671206789"/>
    <n v="520.25043736789246"/>
    <n v="5849462.9899999984"/>
    <n v="116"/>
    <n v="1228392.7999999998"/>
  </r>
  <r>
    <x v="0"/>
    <x v="6"/>
    <x v="7"/>
    <x v="6"/>
    <x v="0"/>
    <x v="0"/>
    <x v="0"/>
    <n v="1720"/>
    <n v="309.39187605589967"/>
    <n v="1598.2522236256225"/>
    <n v="20363855.189999979"/>
    <n v="325"/>
    <n v="3880841.1700000013"/>
  </r>
  <r>
    <x v="0"/>
    <x v="6"/>
    <x v="7"/>
    <x v="6"/>
    <x v="1"/>
    <x v="1"/>
    <x v="0"/>
    <n v="2533"/>
    <n v="497.50491665785091"/>
    <n v="4425.548488583473"/>
    <n v="96257744.479999959"/>
    <n v="394"/>
    <n v="9875642.0600000005"/>
  </r>
  <r>
    <x v="0"/>
    <x v="6"/>
    <x v="7"/>
    <x v="6"/>
    <x v="2"/>
    <x v="2"/>
    <x v="0"/>
    <n v="1146"/>
    <n v="224.09098614330773"/>
    <n v="1260.2315669346769"/>
    <n v="21126280.459999982"/>
    <n v="233"/>
    <n v="3708682.4099999974"/>
  </r>
  <r>
    <x v="0"/>
    <x v="6"/>
    <x v="7"/>
    <x v="6"/>
    <x v="3"/>
    <x v="3"/>
    <x v="0"/>
    <n v="3140"/>
    <n v="348.61103555593667"/>
    <n v="2513.2292789615035"/>
    <n v="32440295.440000061"/>
    <n v="356"/>
    <n v="4741861.1499999939"/>
  </r>
  <r>
    <x v="0"/>
    <x v="6"/>
    <x v="7"/>
    <x v="6"/>
    <x v="4"/>
    <x v="4"/>
    <x v="0"/>
    <n v="1645"/>
    <n v="257.89099571242821"/>
    <n v="1493.5728169600679"/>
    <n v="19969167.720000021"/>
    <n v="283"/>
    <n v="3521265.5100000007"/>
  </r>
  <r>
    <x v="0"/>
    <x v="6"/>
    <x v="7"/>
    <x v="6"/>
    <x v="5"/>
    <x v="5"/>
    <x v="0"/>
    <n v="498"/>
    <n v="124.44899641353504"/>
    <n v="399.96984290121895"/>
    <n v="5298535.950000002"/>
    <n v="147"/>
    <n v="1614981.4200000006"/>
  </r>
  <r>
    <x v="0"/>
    <x v="6"/>
    <x v="7"/>
    <x v="6"/>
    <x v="6"/>
    <x v="6"/>
    <x v="0"/>
    <n v="1453"/>
    <n v="149.12197509900599"/>
    <n v="1563.6130150672"/>
    <n v="21474395.520000018"/>
    <n v="174"/>
    <n v="2213378.810000001"/>
  </r>
  <r>
    <x v="0"/>
    <x v="6"/>
    <x v="7"/>
    <x v="6"/>
    <x v="7"/>
    <x v="7"/>
    <x v="0"/>
    <n v="3787"/>
    <n v="726.49259973873529"/>
    <n v="5372.5824685107709"/>
    <n v="119872601.15000018"/>
    <n v="643"/>
    <n v="19079602.450000007"/>
  </r>
  <r>
    <x v="0"/>
    <x v="6"/>
    <x v="7"/>
    <x v="6"/>
    <x v="8"/>
    <x v="8"/>
    <x v="0"/>
    <n v="171"/>
    <n v="29.508828623824016"/>
    <n v="128.11294436682721"/>
    <n v="2536997.0299999993"/>
    <n v="44"/>
    <n v="559658.68000000005"/>
  </r>
  <r>
    <x v="0"/>
    <x v="6"/>
    <x v="7"/>
    <x v="6"/>
    <x v="9"/>
    <x v="9"/>
    <x v="0"/>
    <n v="1429"/>
    <n v="348.42854155826353"/>
    <n v="1398.9484111663271"/>
    <n v="21553898.150000032"/>
    <n v="353"/>
    <n v="5353561.9299999988"/>
  </r>
  <r>
    <x v="0"/>
    <x v="6"/>
    <x v="7"/>
    <x v="6"/>
    <x v="10"/>
    <x v="10"/>
    <x v="0"/>
    <n v="1711"/>
    <n v="320.07605591969832"/>
    <n v="2077.3898135176191"/>
    <n v="40001364.81000004"/>
    <n v="309"/>
    <n v="6459237.4999999981"/>
  </r>
  <r>
    <x v="0"/>
    <x v="0"/>
    <x v="2"/>
    <x v="6"/>
    <x v="11"/>
    <x v="11"/>
    <x v="0"/>
    <n v="383"/>
    <n v="85.894676905022095"/>
    <n v="313.4149060046135"/>
    <n v="5780661.7100000037"/>
    <n v="110"/>
    <n v="1539551.4900000002"/>
  </r>
  <r>
    <x v="0"/>
    <x v="6"/>
    <x v="7"/>
    <x v="6"/>
    <x v="12"/>
    <x v="12"/>
    <x v="0"/>
    <n v="2314"/>
    <n v="483.31588983873115"/>
    <n v="2004.1034144518621"/>
    <n v="26224761.760000013"/>
    <n v="570"/>
    <n v="6033591.2899999963"/>
  </r>
  <r>
    <x v="0"/>
    <x v="6"/>
    <x v="7"/>
    <x v="6"/>
    <x v="13"/>
    <x v="13"/>
    <x v="0"/>
    <n v="1187"/>
    <n v="215.34084725485368"/>
    <n v="1100.8536549664093"/>
    <n v="17007644.730000004"/>
    <n v="218"/>
    <n v="3353738.57"/>
  </r>
  <r>
    <x v="0"/>
    <x v="6"/>
    <x v="7"/>
    <x v="6"/>
    <x v="14"/>
    <x v="14"/>
    <x v="0"/>
    <n v="217"/>
    <n v="40.158862488058311"/>
    <n v="195.34477550976186"/>
    <n v="2315553.3299999987"/>
    <n v="48"/>
    <n v="519209.51000000007"/>
  </r>
  <r>
    <x v="0"/>
    <x v="6"/>
    <x v="7"/>
    <x v="6"/>
    <x v="15"/>
    <x v="15"/>
    <x v="0"/>
    <n v="677"/>
    <n v="137.84519224276139"/>
    <n v="627.19723900454233"/>
    <n v="9372230.4999999981"/>
    <n v="161"/>
    <n v="2125828.5000000009"/>
  </r>
  <r>
    <x v="0"/>
    <x v="6"/>
    <x v="7"/>
    <x v="6"/>
    <x v="16"/>
    <x v="16"/>
    <x v="0"/>
    <n v="1680"/>
    <n v="320.32380191654033"/>
    <n v="1722.3652380434405"/>
    <n v="22848171.670000009"/>
    <n v="299"/>
    <n v="3896752.149999999"/>
  </r>
  <r>
    <x v="0"/>
    <x v="6"/>
    <x v="7"/>
    <x v="6"/>
    <x v="17"/>
    <x v="17"/>
    <x v="0"/>
    <n v="1355"/>
    <n v="231.69477604637513"/>
    <n v="1514.3583126950907"/>
    <n v="18581371.959999997"/>
    <n v="241"/>
    <n v="2889384.4900000021"/>
  </r>
  <r>
    <x v="0"/>
    <x v="6"/>
    <x v="7"/>
    <x v="6"/>
    <x v="18"/>
    <x v="18"/>
    <x v="0"/>
    <n v="2844"/>
    <n v="429.61900452325449"/>
    <n v="2528.7700767634042"/>
    <n v="29403179.109999999"/>
    <n v="492"/>
    <n v="5150171.0699999956"/>
  </r>
  <r>
    <x v="0"/>
    <x v="6"/>
    <x v="7"/>
    <x v="6"/>
    <x v="19"/>
    <x v="19"/>
    <x v="0"/>
    <n v="1099"/>
    <n v="280.12725942896219"/>
    <n v="1459.2543443975546"/>
    <n v="23081126.989999995"/>
    <n v="275"/>
    <n v="4701855.919999999"/>
  </r>
  <r>
    <x v="0"/>
    <x v="6"/>
    <x v="7"/>
    <x v="6"/>
    <x v="20"/>
    <x v="20"/>
    <x v="0"/>
    <n v="1059"/>
    <n v="195.83800850347424"/>
    <n v="1091.8994660805588"/>
    <n v="15987557.740000004"/>
    <n v="194"/>
    <n v="2800869.0399999991"/>
  </r>
  <r>
    <x v="0"/>
    <x v="6"/>
    <x v="7"/>
    <x v="6"/>
    <x v="21"/>
    <x v="21"/>
    <x v="0"/>
    <n v="829"/>
    <n v="149.92424308877875"/>
    <n v="619.40039910393796"/>
    <n v="7957748.4700000118"/>
    <n v="185"/>
    <n v="2047055.9200000006"/>
  </r>
  <r>
    <x v="0"/>
    <x v="6"/>
    <x v="7"/>
    <x v="6"/>
    <x v="22"/>
    <x v="22"/>
    <x v="0"/>
    <n v="1834"/>
    <n v="383.69629610867298"/>
    <n v="1979.9892607592813"/>
    <n v="34188239.470000021"/>
    <n v="396"/>
    <n v="6195822.8499999996"/>
  </r>
  <r>
    <x v="0"/>
    <x v="6"/>
    <x v="7"/>
    <x v="6"/>
    <x v="23"/>
    <x v="23"/>
    <x v="0"/>
    <n v="74"/>
    <n v="13.959405822046701"/>
    <n v="68.809644122820615"/>
    <n v="1311125.75"/>
    <n v="17"/>
    <n v="249517.89999999997"/>
  </r>
  <r>
    <x v="0"/>
    <x v="6"/>
    <x v="7"/>
    <x v="6"/>
    <x v="24"/>
    <x v="24"/>
    <x v="0"/>
    <n v="569"/>
    <n v="113.54791455250103"/>
    <n v="456.52415918026958"/>
    <n v="6603414.8699999945"/>
    <n v="130"/>
    <n v="1585516.810000001"/>
  </r>
  <r>
    <x v="0"/>
    <x v="6"/>
    <x v="7"/>
    <x v="6"/>
    <x v="25"/>
    <x v="25"/>
    <x v="0"/>
    <n v="1153"/>
    <n v="237.05661897802295"/>
    <n v="1020.7840369871313"/>
    <n v="14630185.199999996"/>
    <n v="288"/>
    <n v="3547284.5199999991"/>
  </r>
  <r>
    <x v="0"/>
    <x v="6"/>
    <x v="7"/>
    <x v="6"/>
    <x v="26"/>
    <x v="26"/>
    <x v="0"/>
    <n v="810"/>
    <n v="193.02663253931323"/>
    <n v="637.95251486743132"/>
    <n v="9419793.0700000022"/>
    <n v="205"/>
    <n v="2969516.5300000017"/>
  </r>
  <r>
    <x v="0"/>
    <x v="6"/>
    <x v="7"/>
    <x v="6"/>
    <x v="27"/>
    <x v="27"/>
    <x v="0"/>
    <n v="637"/>
    <n v="143.39618217199796"/>
    <n v="553.84703893960489"/>
    <n v="6926317.0800000001"/>
    <n v="149"/>
    <n v="1833048.32"/>
  </r>
  <r>
    <x v="0"/>
    <x v="6"/>
    <x v="7"/>
    <x v="6"/>
    <x v="28"/>
    <x v="28"/>
    <x v="0"/>
    <n v="707"/>
    <n v="93.886367803144708"/>
    <n v="686.88865524359994"/>
    <n v="9755586.7399999984"/>
    <n v="107"/>
    <n v="1341487.27"/>
  </r>
  <r>
    <x v="0"/>
    <x v="6"/>
    <x v="7"/>
    <x v="6"/>
    <x v="29"/>
    <x v="29"/>
    <x v="0"/>
    <n v="471"/>
    <n v="122.5963414371524"/>
    <n v="423.14997960572066"/>
    <n v="9024584.0999999922"/>
    <n v="136"/>
    <n v="2348465.87"/>
  </r>
  <r>
    <x v="0"/>
    <x v="6"/>
    <x v="7"/>
    <x v="6"/>
    <x v="30"/>
    <x v="30"/>
    <x v="0"/>
    <n v="628"/>
    <n v="128.34073536392344"/>
    <n v="529.21813925357264"/>
    <n v="7230363.7200000072"/>
    <n v="143"/>
    <n v="1893368.4299999997"/>
  </r>
  <r>
    <x v="0"/>
    <x v="6"/>
    <x v="7"/>
    <x v="6"/>
    <x v="31"/>
    <x v="31"/>
    <x v="0"/>
    <n v="926"/>
    <n v="233.44986902400149"/>
    <n v="906.81649943998093"/>
    <n v="12446117.590000007"/>
    <n v="249"/>
    <n v="3199379.0500000003"/>
  </r>
  <r>
    <x v="0"/>
    <x v="6"/>
    <x v="7"/>
    <x v="6"/>
    <x v="32"/>
    <x v="32"/>
    <x v="0"/>
    <n v="2059"/>
    <n v="457.77253816435552"/>
    <n v="1978.5709397773487"/>
    <n v="23480613.279999938"/>
    <n v="445"/>
    <n v="5296704.7899999935"/>
  </r>
  <r>
    <x v="0"/>
    <x v="6"/>
    <x v="7"/>
    <x v="6"/>
    <x v="33"/>
    <x v="33"/>
    <x v="0"/>
    <n v="1913"/>
    <n v="243.8138958918818"/>
    <n v="1572.1427099584682"/>
    <n v="20738189.860000003"/>
    <n v="299"/>
    <n v="3599070.7899999982"/>
  </r>
  <r>
    <x v="0"/>
    <x v="6"/>
    <x v="7"/>
    <x v="6"/>
    <x v="34"/>
    <x v="34"/>
    <x v="0"/>
    <n v="12"/>
    <n v="3.5598449546194049"/>
    <n v="7.1592509087344887"/>
    <n v="152603.29999999999"/>
    <n v="6"/>
    <n v="65249.56"/>
  </r>
  <r>
    <x v="0"/>
    <x v="6"/>
    <x v="7"/>
    <x v="6"/>
    <x v="35"/>
    <x v="35"/>
    <x v="0"/>
    <n v="1801"/>
    <n v="318.77095993633577"/>
    <n v="1482.242037104515"/>
    <n v="15523237.530000001"/>
    <n v="344"/>
    <n v="2970149.160000002"/>
  </r>
  <r>
    <x v="0"/>
    <x v="6"/>
    <x v="7"/>
    <x v="6"/>
    <x v="36"/>
    <x v="36"/>
    <x v="0"/>
    <n v="1490"/>
    <n v="303.5453081304309"/>
    <n v="1308.5006893193483"/>
    <n v="16262387.79000002"/>
    <n v="328"/>
    <n v="3752341.3199999989"/>
  </r>
  <r>
    <x v="0"/>
    <x v="6"/>
    <x v="7"/>
    <x v="6"/>
    <x v="37"/>
    <x v="37"/>
    <x v="0"/>
    <n v="1047"/>
    <n v="304.94406111259991"/>
    <n v="1073.4525523157181"/>
    <n v="12606283.939999992"/>
    <n v="327"/>
    <n v="3814832.790000001"/>
  </r>
  <r>
    <x v="0"/>
    <x v="6"/>
    <x v="7"/>
    <x v="6"/>
    <x v="38"/>
    <x v="38"/>
    <x v="0"/>
    <n v="49"/>
    <n v="5.5028419298502467"/>
    <n v="25.046772680705907"/>
    <n v="328396.58"/>
    <n v="10"/>
    <n v="61117.119999999988"/>
  </r>
  <r>
    <x v="0"/>
    <x v="6"/>
    <x v="7"/>
    <x v="6"/>
    <x v="39"/>
    <x v="39"/>
    <x v="0"/>
    <n v="892"/>
    <n v="259.05087369764209"/>
    <n v="877.32365681595422"/>
    <n v="14759063.850000009"/>
    <n v="304"/>
    <n v="4445415.4700000007"/>
  </r>
  <r>
    <x v="0"/>
    <x v="6"/>
    <x v="7"/>
    <x v="6"/>
    <x v="40"/>
    <x v="40"/>
    <x v="0"/>
    <n v="2224"/>
    <n v="276.82462547106377"/>
    <n v="1763.1734025232311"/>
    <n v="23936608.179999944"/>
    <n v="271"/>
    <n v="3575437.3399999994"/>
  </r>
  <r>
    <x v="0"/>
    <x v="6"/>
    <x v="7"/>
    <x v="6"/>
    <x v="41"/>
    <x v="41"/>
    <x v="0"/>
    <n v="207"/>
    <n v="0"/>
    <n v="395.40615095939609"/>
    <n v="5633384.6200000001"/>
    <n v="0"/>
    <n v="0"/>
  </r>
  <r>
    <x v="0"/>
    <x v="6"/>
    <x v="7"/>
    <x v="6"/>
    <x v="42"/>
    <x v="42"/>
    <x v="0"/>
    <n v="256"/>
    <n v="60.988200222527723"/>
    <n v="208.23608734542444"/>
    <n v="2920550.6799999997"/>
    <n v="85"/>
    <n v="759394.7"/>
  </r>
  <r>
    <x v="0"/>
    <x v="6"/>
    <x v="7"/>
    <x v="6"/>
    <x v="43"/>
    <x v="43"/>
    <x v="0"/>
    <n v="293"/>
    <n v="86.03672190321133"/>
    <n v="289.99067030322425"/>
    <n v="3534094.379999999"/>
    <n v="93"/>
    <n v="1067408.69"/>
  </r>
  <r>
    <x v="0"/>
    <x v="6"/>
    <x v="7"/>
    <x v="6"/>
    <x v="44"/>
    <x v="44"/>
    <x v="0"/>
    <n v="1136"/>
    <n v="215.82258924871255"/>
    <n v="990.69423737071475"/>
    <n v="16286884.600000015"/>
    <n v="229"/>
    <n v="3127979.8800000022"/>
  </r>
  <r>
    <x v="0"/>
    <x v="6"/>
    <x v="7"/>
    <x v="6"/>
    <x v="45"/>
    <x v="45"/>
    <x v="0"/>
    <n v="1559"/>
    <n v="214.1288942703035"/>
    <n v="1616.5485693923856"/>
    <n v="23274989.820000038"/>
    <n v="206"/>
    <n v="3381732.9500000011"/>
  </r>
  <r>
    <x v="0"/>
    <x v="6"/>
    <x v="7"/>
    <x v="6"/>
    <x v="46"/>
    <x v="46"/>
    <x v="0"/>
    <n v="105"/>
    <n v="9.1768328830145283"/>
    <n v="133.59938229688657"/>
    <n v="4539741.8200000031"/>
    <n v="10"/>
    <n v="381443.77"/>
  </r>
  <r>
    <x v="0"/>
    <x v="6"/>
    <x v="7"/>
    <x v="6"/>
    <x v="47"/>
    <x v="47"/>
    <x v="0"/>
    <n v="521"/>
    <n v="106.28694464506322"/>
    <n v="473.84208895950167"/>
    <n v="5356728.040000001"/>
    <n v="114"/>
    <n v="1287746.6499999999"/>
  </r>
  <r>
    <x v="0"/>
    <x v="6"/>
    <x v="7"/>
    <x v="7"/>
    <x v="0"/>
    <x v="0"/>
    <x v="0"/>
    <n v="1401"/>
    <n v="247.46516984533577"/>
    <n v="1332.349868015325"/>
    <n v="16493883.399999991"/>
    <n v="265"/>
    <n v="3375998.8600000022"/>
  </r>
  <r>
    <x v="0"/>
    <x v="6"/>
    <x v="7"/>
    <x v="7"/>
    <x v="1"/>
    <x v="1"/>
    <x v="0"/>
    <n v="2218"/>
    <n v="430.53669551155582"/>
    <n v="4055.4878933009859"/>
    <n v="95573487.539999932"/>
    <n v="328"/>
    <n v="8923556.570000004"/>
  </r>
  <r>
    <x v="0"/>
    <x v="6"/>
    <x v="7"/>
    <x v="7"/>
    <x v="2"/>
    <x v="2"/>
    <x v="0"/>
    <n v="1081"/>
    <n v="222.04367516940661"/>
    <n v="1166.3321521316964"/>
    <n v="20451935.009999987"/>
    <n v="233"/>
    <n v="3853938.0200000005"/>
  </r>
  <r>
    <x v="0"/>
    <x v="6"/>
    <x v="7"/>
    <x v="7"/>
    <x v="3"/>
    <x v="3"/>
    <x v="0"/>
    <n v="2943"/>
    <n v="321.68313589921149"/>
    <n v="2363.4681518706648"/>
    <n v="30909924.360000085"/>
    <n v="287"/>
    <n v="4412729.9300000016"/>
  </r>
  <r>
    <x v="0"/>
    <x v="6"/>
    <x v="7"/>
    <x v="7"/>
    <x v="4"/>
    <x v="4"/>
    <x v="0"/>
    <n v="1524"/>
    <n v="245.25275287353932"/>
    <n v="1395.7015422077238"/>
    <n v="18941336.47000001"/>
    <n v="272"/>
    <n v="3343256.1300000027"/>
  </r>
  <r>
    <x v="0"/>
    <x v="6"/>
    <x v="7"/>
    <x v="7"/>
    <x v="5"/>
    <x v="5"/>
    <x v="0"/>
    <n v="488"/>
    <n v="111.31797558092808"/>
    <n v="378.52677317457312"/>
    <n v="5269553.32"/>
    <n v="129"/>
    <n v="1470545.4099999995"/>
  </r>
  <r>
    <x v="0"/>
    <x v="6"/>
    <x v="7"/>
    <x v="7"/>
    <x v="6"/>
    <x v="6"/>
    <x v="0"/>
    <n v="1302"/>
    <n v="154.55760902971312"/>
    <n v="1464.1482103351668"/>
    <n v="21397845.939999998"/>
    <n v="177"/>
    <n v="2597371.7499999991"/>
  </r>
  <r>
    <x v="0"/>
    <x v="6"/>
    <x v="7"/>
    <x v="7"/>
    <x v="7"/>
    <x v="7"/>
    <x v="0"/>
    <n v="3597"/>
    <n v="686.41728224961207"/>
    <n v="5141.7637324532388"/>
    <n v="132751857.32000011"/>
    <n v="623"/>
    <n v="20357573.800000008"/>
  </r>
  <r>
    <x v="0"/>
    <x v="6"/>
    <x v="7"/>
    <x v="7"/>
    <x v="8"/>
    <x v="8"/>
    <x v="0"/>
    <n v="148"/>
    <n v="35.043415553269583"/>
    <n v="105.78584765145115"/>
    <n v="1854283.71"/>
    <n v="48"/>
    <n v="791181.23999999987"/>
  </r>
  <r>
    <x v="0"/>
    <x v="6"/>
    <x v="7"/>
    <x v="7"/>
    <x v="9"/>
    <x v="9"/>
    <x v="0"/>
    <n v="1297"/>
    <n v="339.60600967073236"/>
    <n v="1342.4348368867575"/>
    <n v="20896343.49000001"/>
    <n v="322"/>
    <n v="4943151.0900000045"/>
  </r>
  <r>
    <x v="0"/>
    <x v="6"/>
    <x v="7"/>
    <x v="7"/>
    <x v="10"/>
    <x v="10"/>
    <x v="0"/>
    <n v="1594"/>
    <n v="281.55179841080229"/>
    <n v="1898.2761938009432"/>
    <n v="35084429.530000024"/>
    <n v="261"/>
    <n v="5460730.8000000045"/>
  </r>
  <r>
    <x v="0"/>
    <x v="0"/>
    <x v="2"/>
    <x v="7"/>
    <x v="11"/>
    <x v="11"/>
    <x v="0"/>
    <n v="359"/>
    <n v="90.611730844889451"/>
    <n v="318.44943194043367"/>
    <n v="5419119.6199999992"/>
    <n v="99"/>
    <n v="1516763.85"/>
  </r>
  <r>
    <x v="0"/>
    <x v="6"/>
    <x v="7"/>
    <x v="7"/>
    <x v="12"/>
    <x v="12"/>
    <x v="0"/>
    <n v="2104"/>
    <n v="475.96942793238316"/>
    <n v="1804.9237369909843"/>
    <n v="26949324.670000054"/>
    <n v="531"/>
    <n v="6738257.9900000002"/>
  </r>
  <r>
    <x v="0"/>
    <x v="6"/>
    <x v="7"/>
    <x v="7"/>
    <x v="13"/>
    <x v="13"/>
    <x v="0"/>
    <n v="1185"/>
    <n v="215.50878525271284"/>
    <n v="1091.7803980820765"/>
    <n v="16920515.420000013"/>
    <n v="209"/>
    <n v="3310326.2999999989"/>
  </r>
  <r>
    <x v="0"/>
    <x v="6"/>
    <x v="7"/>
    <x v="7"/>
    <x v="14"/>
    <x v="14"/>
    <x v="0"/>
    <n v="194"/>
    <n v="32.742668582599308"/>
    <n v="185.6641456331696"/>
    <n v="2312411.4500000011"/>
    <n v="33"/>
    <n v="368466.94999999995"/>
  </r>
  <r>
    <x v="0"/>
    <x v="6"/>
    <x v="7"/>
    <x v="7"/>
    <x v="15"/>
    <x v="15"/>
    <x v="0"/>
    <n v="666"/>
    <n v="127.73425337165479"/>
    <n v="574.38210567782517"/>
    <n v="8019773.8500000015"/>
    <n v="139"/>
    <n v="1636331.8899999997"/>
  </r>
  <r>
    <x v="0"/>
    <x v="6"/>
    <x v="7"/>
    <x v="7"/>
    <x v="16"/>
    <x v="16"/>
    <x v="0"/>
    <n v="1553"/>
    <n v="310.95339203599349"/>
    <n v="1604.8089985420324"/>
    <n v="20601621.720000066"/>
    <n v="290"/>
    <n v="3596087.1700000013"/>
  </r>
  <r>
    <x v="0"/>
    <x v="6"/>
    <x v="7"/>
    <x v="7"/>
    <x v="17"/>
    <x v="17"/>
    <x v="0"/>
    <n v="1198"/>
    <n v="207.3527423566853"/>
    <n v="1369.2184885453216"/>
    <n v="17344740.830000002"/>
    <n v="209"/>
    <n v="3087247.9"/>
  </r>
  <r>
    <x v="0"/>
    <x v="6"/>
    <x v="7"/>
    <x v="7"/>
    <x v="18"/>
    <x v="18"/>
    <x v="0"/>
    <n v="2570"/>
    <n v="404.84736183904141"/>
    <n v="2236.7764804857293"/>
    <n v="25062210.569999967"/>
    <n v="427"/>
    <n v="4576050.5199999977"/>
  </r>
  <r>
    <x v="0"/>
    <x v="6"/>
    <x v="7"/>
    <x v="7"/>
    <x v="19"/>
    <x v="19"/>
    <x v="0"/>
    <n v="925"/>
    <n v="228.75542908384577"/>
    <n v="1198.8625087170035"/>
    <n v="20919311.03000002"/>
    <n v="219"/>
    <n v="4603661.2899999982"/>
  </r>
  <r>
    <x v="0"/>
    <x v="6"/>
    <x v="7"/>
    <x v="7"/>
    <x v="20"/>
    <x v="20"/>
    <x v="0"/>
    <n v="1016"/>
    <n v="224.84563613368749"/>
    <n v="1031.5604018497575"/>
    <n v="14559690.720000008"/>
    <n v="228"/>
    <n v="2968978.5399999991"/>
  </r>
  <r>
    <x v="0"/>
    <x v="6"/>
    <x v="7"/>
    <x v="7"/>
    <x v="21"/>
    <x v="21"/>
    <x v="0"/>
    <n v="796"/>
    <n v="157.70285998961748"/>
    <n v="596.28709739858311"/>
    <n v="8283149.3100000108"/>
    <n v="180"/>
    <n v="2215574.5200000014"/>
  </r>
  <r>
    <x v="0"/>
    <x v="6"/>
    <x v="7"/>
    <x v="7"/>
    <x v="22"/>
    <x v="22"/>
    <x v="0"/>
    <n v="1636"/>
    <n v="348.63478155563433"/>
    <n v="1771.3921794184519"/>
    <n v="29985137.98999998"/>
    <n v="342"/>
    <n v="5694708.0099999979"/>
  </r>
  <r>
    <x v="0"/>
    <x v="6"/>
    <x v="7"/>
    <x v="7"/>
    <x v="23"/>
    <x v="23"/>
    <x v="0"/>
    <n v="77"/>
    <n v="18.225635767661171"/>
    <n v="68.087531132026029"/>
    <n v="1073350.95"/>
    <n v="24"/>
    <n v="320649.46999999997"/>
  </r>
  <r>
    <x v="0"/>
    <x v="6"/>
    <x v="7"/>
    <x v="7"/>
    <x v="24"/>
    <x v="24"/>
    <x v="0"/>
    <n v="508"/>
    <n v="118.60184148807402"/>
    <n v="431.62035349774084"/>
    <n v="6835860.7499999963"/>
    <n v="140"/>
    <n v="1905557.4800000004"/>
  </r>
  <r>
    <x v="0"/>
    <x v="6"/>
    <x v="7"/>
    <x v="7"/>
    <x v="25"/>
    <x v="25"/>
    <x v="0"/>
    <n v="946"/>
    <n v="205.49819238032697"/>
    <n v="807.04902571180787"/>
    <n v="12024340.410000002"/>
    <n v="238"/>
    <n v="3153789.3299999996"/>
  </r>
  <r>
    <x v="0"/>
    <x v="6"/>
    <x v="7"/>
    <x v="7"/>
    <x v="26"/>
    <x v="26"/>
    <x v="0"/>
    <n v="770"/>
    <n v="179.93477870620714"/>
    <n v="615.19761715751099"/>
    <n v="11438169.429999981"/>
    <n v="196"/>
    <n v="3186880.5999999996"/>
  </r>
  <r>
    <x v="0"/>
    <x v="6"/>
    <x v="7"/>
    <x v="7"/>
    <x v="27"/>
    <x v="27"/>
    <x v="0"/>
    <n v="556"/>
    <n v="109.49916660411415"/>
    <n v="523.4077323276432"/>
    <n v="6488859.2399999937"/>
    <n v="115"/>
    <n v="1332409.5300000005"/>
  </r>
  <r>
    <x v="0"/>
    <x v="6"/>
    <x v="7"/>
    <x v="7"/>
    <x v="28"/>
    <x v="28"/>
    <x v="0"/>
    <n v="654"/>
    <n v="94.739089792274285"/>
    <n v="605.053422286829"/>
    <n v="9670596.2099999879"/>
    <n v="106"/>
    <n v="1451855.8899999994"/>
  </r>
  <r>
    <x v="0"/>
    <x v="6"/>
    <x v="7"/>
    <x v="7"/>
    <x v="29"/>
    <x v="29"/>
    <x v="0"/>
    <n v="474"/>
    <n v="116.8146925108564"/>
    <n v="438.0590674156611"/>
    <n v="10682310.179999994"/>
    <n v="139"/>
    <n v="2345864.7699999996"/>
  </r>
  <r>
    <x v="0"/>
    <x v="6"/>
    <x v="7"/>
    <x v="7"/>
    <x v="30"/>
    <x v="30"/>
    <x v="0"/>
    <n v="507"/>
    <n v="112.11834657072502"/>
    <n v="432.12934049125272"/>
    <n v="6104843.8200000003"/>
    <n v="116"/>
    <n v="1594841.4400000004"/>
  </r>
  <r>
    <x v="0"/>
    <x v="6"/>
    <x v="7"/>
    <x v="7"/>
    <x v="31"/>
    <x v="31"/>
    <x v="0"/>
    <n v="855"/>
    <n v="227.03044410583558"/>
    <n v="866.97200694791468"/>
    <n v="12033098.609999975"/>
    <n v="234"/>
    <n v="3037387.3800000018"/>
  </r>
  <r>
    <x v="0"/>
    <x v="6"/>
    <x v="7"/>
    <x v="7"/>
    <x v="32"/>
    <x v="32"/>
    <x v="0"/>
    <n v="1722"/>
    <n v="396.09387795062963"/>
    <n v="1759.0632095756096"/>
    <n v="22199970.350000035"/>
    <n v="386"/>
    <n v="4990120.1699999971"/>
  </r>
  <r>
    <x v="0"/>
    <x v="6"/>
    <x v="7"/>
    <x v="7"/>
    <x v="33"/>
    <x v="33"/>
    <x v="0"/>
    <n v="1864"/>
    <n v="243.40973289703399"/>
    <n v="1524.7404425627492"/>
    <n v="20777730.959999949"/>
    <n v="257"/>
    <n v="3675958.2799999984"/>
  </r>
  <r>
    <x v="0"/>
    <x v="6"/>
    <x v="7"/>
    <x v="7"/>
    <x v="34"/>
    <x v="34"/>
    <x v="0"/>
    <n v="14"/>
    <n v="3.8251639512371414"/>
    <n v="7.8606618997929623"/>
    <n v="180198.81999999998"/>
    <n v="6"/>
    <n v="59658.849999999991"/>
  </r>
  <r>
    <x v="0"/>
    <x v="6"/>
    <x v="7"/>
    <x v="7"/>
    <x v="35"/>
    <x v="35"/>
    <x v="0"/>
    <n v="1687"/>
    <n v="275.86233748333103"/>
    <n v="1322.5882771397692"/>
    <n v="16842229.52999996"/>
    <n v="302"/>
    <n v="3358533.0300000031"/>
  </r>
  <r>
    <x v="0"/>
    <x v="6"/>
    <x v="7"/>
    <x v="7"/>
    <x v="36"/>
    <x v="36"/>
    <x v="0"/>
    <n v="1317"/>
    <n v="262.51586565347071"/>
    <n v="1144.0225864161007"/>
    <n v="14798871.280000014"/>
    <n v="298"/>
    <n v="3254992.4900000016"/>
  </r>
  <r>
    <x v="0"/>
    <x v="6"/>
    <x v="7"/>
    <x v="7"/>
    <x v="37"/>
    <x v="37"/>
    <x v="0"/>
    <n v="962"/>
    <n v="272.84554552178889"/>
    <n v="974.68151857484349"/>
    <n v="12223842.029999999"/>
    <n v="286"/>
    <n v="3534506.5099999979"/>
  </r>
  <r>
    <x v="0"/>
    <x v="6"/>
    <x v="7"/>
    <x v="7"/>
    <x v="38"/>
    <x v="38"/>
    <x v="0"/>
    <n v="43"/>
    <n v="5.352391931768171"/>
    <n v="21.87615172112471"/>
    <n v="302100.56"/>
    <n v="9"/>
    <n v="63620.01"/>
  </r>
  <r>
    <x v="0"/>
    <x v="6"/>
    <x v="7"/>
    <x v="7"/>
    <x v="39"/>
    <x v="39"/>
    <x v="0"/>
    <n v="850"/>
    <n v="266.32467560491648"/>
    <n v="829.74762542244946"/>
    <n v="13589866.009999992"/>
    <n v="284"/>
    <n v="4819365.8099999987"/>
  </r>
  <r>
    <x v="0"/>
    <x v="6"/>
    <x v="7"/>
    <x v="7"/>
    <x v="40"/>
    <x v="40"/>
    <x v="0"/>
    <n v="2029"/>
    <n v="230.80138705776395"/>
    <n v="1606.1478355249778"/>
    <n v="23342908.890000015"/>
    <n v="236"/>
    <n v="3324634.189999999"/>
  </r>
  <r>
    <x v="0"/>
    <x v="6"/>
    <x v="7"/>
    <x v="7"/>
    <x v="41"/>
    <x v="41"/>
    <x v="0"/>
    <n v="165"/>
    <n v="0"/>
    <n v="318.18962494374574"/>
    <n v="4446108.5100000007"/>
    <n v="0"/>
    <n v="0"/>
  </r>
  <r>
    <x v="0"/>
    <x v="6"/>
    <x v="7"/>
    <x v="7"/>
    <x v="42"/>
    <x v="42"/>
    <x v="0"/>
    <n v="223"/>
    <n v="58.345458256217142"/>
    <n v="164.76337889961081"/>
    <n v="2346374.9699999993"/>
    <n v="77"/>
    <n v="810065.39000000013"/>
  </r>
  <r>
    <x v="0"/>
    <x v="6"/>
    <x v="7"/>
    <x v="7"/>
    <x v="43"/>
    <x v="43"/>
    <x v="0"/>
    <n v="293"/>
    <n v="82.022168954388448"/>
    <n v="296.5559452195306"/>
    <n v="3242384.4900000007"/>
    <n v="89"/>
    <n v="846322.13000000024"/>
  </r>
  <r>
    <x v="0"/>
    <x v="6"/>
    <x v="7"/>
    <x v="7"/>
    <x v="44"/>
    <x v="44"/>
    <x v="0"/>
    <n v="1063"/>
    <n v="231.92083204349348"/>
    <n v="978.89096552117974"/>
    <n v="16518310.919999992"/>
    <n v="254"/>
    <n v="3557126.3000000003"/>
  </r>
  <r>
    <x v="0"/>
    <x v="6"/>
    <x v="7"/>
    <x v="7"/>
    <x v="45"/>
    <x v="45"/>
    <x v="0"/>
    <n v="1432"/>
    <n v="212.92975228559013"/>
    <n v="1635.830289146581"/>
    <n v="24197024.740000017"/>
    <n v="217"/>
    <n v="3203542.2400000021"/>
  </r>
  <r>
    <x v="0"/>
    <x v="6"/>
    <x v="7"/>
    <x v="7"/>
    <x v="46"/>
    <x v="46"/>
    <x v="0"/>
    <n v="102"/>
    <n v="7.4607229048913499"/>
    <n v="128.50635036181211"/>
    <n v="5208553.709999999"/>
    <n v="9"/>
    <n v="337635.75"/>
  </r>
  <r>
    <x v="0"/>
    <x v="6"/>
    <x v="7"/>
    <x v="7"/>
    <x v="47"/>
    <x v="47"/>
    <x v="0"/>
    <n v="529"/>
    <n v="95.584975781491039"/>
    <n v="481.55810486113899"/>
    <n v="6266613.4100000076"/>
    <n v="93"/>
    <n v="1248511.31"/>
  </r>
  <r>
    <x v="0"/>
    <x v="6"/>
    <x v="7"/>
    <x v="8"/>
    <x v="0"/>
    <x v="0"/>
    <x v="0"/>
    <n v="1629"/>
    <n v="299.58095518096826"/>
    <n v="1587.5362477622307"/>
    <n v="20386300.989999995"/>
    <n v="312"/>
    <n v="4103072.6800000025"/>
  </r>
  <r>
    <x v="0"/>
    <x v="6"/>
    <x v="7"/>
    <x v="8"/>
    <x v="1"/>
    <x v="1"/>
    <x v="0"/>
    <n v="2515"/>
    <n v="442.60068835776497"/>
    <n v="4331.8590467778249"/>
    <n v="94166756.080000073"/>
    <n v="369"/>
    <n v="10347430.380000001"/>
  </r>
  <r>
    <x v="0"/>
    <x v="6"/>
    <x v="7"/>
    <x v="8"/>
    <x v="2"/>
    <x v="2"/>
    <x v="0"/>
    <n v="1190"/>
    <n v="221.74278717324233"/>
    <n v="1289.9934575552743"/>
    <n v="21858642.580000002"/>
    <n v="223"/>
    <n v="3689650.38"/>
  </r>
  <r>
    <x v="0"/>
    <x v="6"/>
    <x v="7"/>
    <x v="8"/>
    <x v="3"/>
    <x v="3"/>
    <x v="0"/>
    <n v="3152"/>
    <n v="375.92752620770852"/>
    <n v="2432.6522979887022"/>
    <n v="31410070.860000193"/>
    <n v="360"/>
    <n v="4913060.1700000027"/>
  </r>
  <r>
    <x v="0"/>
    <x v="6"/>
    <x v="7"/>
    <x v="8"/>
    <x v="4"/>
    <x v="4"/>
    <x v="0"/>
    <n v="1685"/>
    <n v="269.10503056947277"/>
    <n v="1541.911807343844"/>
    <n v="21676089.050000045"/>
    <n v="290"/>
    <n v="3855178.8099999987"/>
  </r>
  <r>
    <x v="0"/>
    <x v="6"/>
    <x v="7"/>
    <x v="8"/>
    <x v="5"/>
    <x v="5"/>
    <x v="0"/>
    <n v="537"/>
    <n v="124.22747241635889"/>
    <n v="433.44664947445938"/>
    <n v="6031415.9000000013"/>
    <n v="151"/>
    <n v="1621092.3100000005"/>
  </r>
  <r>
    <x v="0"/>
    <x v="6"/>
    <x v="7"/>
    <x v="8"/>
    <x v="6"/>
    <x v="6"/>
    <x v="0"/>
    <n v="1466"/>
    <n v="181.00253269259548"/>
    <n v="1538.2384363906738"/>
    <n v="24528827.769999966"/>
    <n v="210"/>
    <n v="3022426.0800000005"/>
  </r>
  <r>
    <x v="0"/>
    <x v="6"/>
    <x v="7"/>
    <x v="8"/>
    <x v="7"/>
    <x v="7"/>
    <x v="0"/>
    <n v="4078"/>
    <n v="792.04103890312808"/>
    <n v="5755.8331486251391"/>
    <n v="139995873.06999975"/>
    <n v="688"/>
    <n v="20034786.530000012"/>
  </r>
  <r>
    <x v="0"/>
    <x v="6"/>
    <x v="7"/>
    <x v="8"/>
    <x v="8"/>
    <x v="8"/>
    <x v="0"/>
    <n v="150"/>
    <n v="26.004303668499386"/>
    <n v="106.37261464397115"/>
    <n v="1859919.3900000008"/>
    <n v="38"/>
    <n v="480449.38000000006"/>
  </r>
  <r>
    <x v="0"/>
    <x v="6"/>
    <x v="7"/>
    <x v="8"/>
    <x v="9"/>
    <x v="9"/>
    <x v="0"/>
    <n v="1405"/>
    <n v="355.24133747141479"/>
    <n v="1435.8586126957991"/>
    <n v="24696392.49999997"/>
    <n v="333"/>
    <n v="6187920.2100000009"/>
  </r>
  <r>
    <x v="0"/>
    <x v="6"/>
    <x v="7"/>
    <x v="8"/>
    <x v="10"/>
    <x v="10"/>
    <x v="0"/>
    <n v="1706"/>
    <n v="329.83784879525581"/>
    <n v="2044.6670649347691"/>
    <n v="37008949.639999948"/>
    <n v="287"/>
    <n v="6315326.0200000014"/>
  </r>
  <r>
    <x v="0"/>
    <x v="0"/>
    <x v="2"/>
    <x v="8"/>
    <x v="11"/>
    <x v="11"/>
    <x v="0"/>
    <n v="470"/>
    <n v="117.48144350235675"/>
    <n v="396.21505494908394"/>
    <n v="6523413.3500000024"/>
    <n v="147"/>
    <n v="2129548.9299999978"/>
  </r>
  <r>
    <x v="0"/>
    <x v="6"/>
    <x v="7"/>
    <x v="8"/>
    <x v="12"/>
    <x v="12"/>
    <x v="0"/>
    <n v="2295"/>
    <n v="530.03481224316249"/>
    <n v="2033.5596900763508"/>
    <n v="30254566.179999985"/>
    <n v="580"/>
    <n v="7998362.8700000066"/>
  </r>
  <r>
    <x v="0"/>
    <x v="6"/>
    <x v="7"/>
    <x v="8"/>
    <x v="13"/>
    <x v="13"/>
    <x v="0"/>
    <n v="1199"/>
    <n v="214.18133126963505"/>
    <n v="1060.5444014802688"/>
    <n v="15064566.659999989"/>
    <n v="223"/>
    <n v="2846262.9300000025"/>
  </r>
  <r>
    <x v="0"/>
    <x v="6"/>
    <x v="7"/>
    <x v="8"/>
    <x v="14"/>
    <x v="14"/>
    <x v="0"/>
    <n v="195"/>
    <n v="38.110867514165953"/>
    <n v="167.92770485927227"/>
    <n v="2133278.8700000006"/>
    <n v="42"/>
    <n v="510105.63"/>
  </r>
  <r>
    <x v="0"/>
    <x v="6"/>
    <x v="7"/>
    <x v="8"/>
    <x v="15"/>
    <x v="15"/>
    <x v="0"/>
    <n v="711"/>
    <n v="125.64413839829939"/>
    <n v="576.18322765486494"/>
    <n v="8700555.0599999987"/>
    <n v="149"/>
    <n v="1917154.7799999996"/>
  </r>
  <r>
    <x v="0"/>
    <x v="6"/>
    <x v="7"/>
    <x v="8"/>
    <x v="16"/>
    <x v="16"/>
    <x v="0"/>
    <n v="1752"/>
    <n v="330.19861179065703"/>
    <n v="1771.0321164230388"/>
    <n v="22657598.220000073"/>
    <n v="330"/>
    <n v="3834159.8000000007"/>
  </r>
  <r>
    <x v="0"/>
    <x v="6"/>
    <x v="7"/>
    <x v="8"/>
    <x v="17"/>
    <x v="17"/>
    <x v="0"/>
    <n v="1314"/>
    <n v="215.73338524984959"/>
    <n v="1460.9280713762153"/>
    <n v="18114947.809999995"/>
    <n v="231"/>
    <n v="2579712.3699999992"/>
  </r>
  <r>
    <x v="0"/>
    <x v="6"/>
    <x v="7"/>
    <x v="8"/>
    <x v="18"/>
    <x v="18"/>
    <x v="0"/>
    <n v="2849"/>
    <n v="474.04991195685318"/>
    <n v="2482.3071683557114"/>
    <n v="28416372.450000055"/>
    <n v="501"/>
    <n v="5728038.9699999988"/>
  </r>
  <r>
    <x v="0"/>
    <x v="6"/>
    <x v="7"/>
    <x v="8"/>
    <x v="19"/>
    <x v="19"/>
    <x v="0"/>
    <n v="1086"/>
    <n v="291.51068528384741"/>
    <n v="1438.6197076606011"/>
    <n v="24882930.080000039"/>
    <n v="296"/>
    <n v="5203391.3800000008"/>
  </r>
  <r>
    <x v="0"/>
    <x v="6"/>
    <x v="7"/>
    <x v="8"/>
    <x v="20"/>
    <x v="20"/>
    <x v="0"/>
    <n v="1139"/>
    <n v="226.75255810937841"/>
    <n v="1144.3419924120274"/>
    <n v="16506006.170000022"/>
    <n v="226"/>
    <n v="3335832.8699999992"/>
  </r>
  <r>
    <x v="0"/>
    <x v="6"/>
    <x v="7"/>
    <x v="8"/>
    <x v="21"/>
    <x v="21"/>
    <x v="0"/>
    <n v="835"/>
    <n v="158.16403798373852"/>
    <n v="655.34957064566117"/>
    <n v="8656430.8300000057"/>
    <n v="186"/>
    <n v="1984343.1499999994"/>
  </r>
  <r>
    <x v="0"/>
    <x v="6"/>
    <x v="7"/>
    <x v="8"/>
    <x v="22"/>
    <x v="22"/>
    <x v="0"/>
    <n v="1782"/>
    <n v="383.3986011124681"/>
    <n v="1900.4287827735068"/>
    <n v="35394101.170000009"/>
    <n v="390"/>
    <n v="8535300.0100000035"/>
  </r>
  <r>
    <x v="0"/>
    <x v="6"/>
    <x v="7"/>
    <x v="8"/>
    <x v="23"/>
    <x v="23"/>
    <x v="0"/>
    <n v="63"/>
    <n v="16.244533792916091"/>
    <n v="67.890232134541193"/>
    <n v="1035793.5099999999"/>
    <n v="16"/>
    <n v="317126.27"/>
  </r>
  <r>
    <x v="0"/>
    <x v="6"/>
    <x v="7"/>
    <x v="8"/>
    <x v="24"/>
    <x v="24"/>
    <x v="0"/>
    <n v="546"/>
    <n v="107.58492462851672"/>
    <n v="472.05742698225282"/>
    <n v="8448002.7899999972"/>
    <n v="127"/>
    <n v="1837956.2400000002"/>
  </r>
  <r>
    <x v="0"/>
    <x v="6"/>
    <x v="7"/>
    <x v="8"/>
    <x v="25"/>
    <x v="25"/>
    <x v="0"/>
    <n v="1035"/>
    <n v="229.38709507579333"/>
    <n v="885.28407171447259"/>
    <n v="13061310.78999999"/>
    <n v="261"/>
    <n v="3216495.6400000006"/>
  </r>
  <r>
    <x v="0"/>
    <x v="6"/>
    <x v="7"/>
    <x v="8"/>
    <x v="26"/>
    <x v="26"/>
    <x v="0"/>
    <n v="867"/>
    <n v="170.15477283088168"/>
    <n v="665.78530051262283"/>
    <n v="12355315.109999996"/>
    <n v="204"/>
    <n v="3562906.11"/>
  </r>
  <r>
    <x v="0"/>
    <x v="6"/>
    <x v="7"/>
    <x v="8"/>
    <x v="27"/>
    <x v="27"/>
    <x v="0"/>
    <n v="582"/>
    <n v="129.95430934335369"/>
    <n v="552.3512179586736"/>
    <n v="6834012.1599999983"/>
    <n v="128"/>
    <n v="1796826.7799999996"/>
  </r>
  <r>
    <x v="0"/>
    <x v="6"/>
    <x v="7"/>
    <x v="8"/>
    <x v="28"/>
    <x v="28"/>
    <x v="0"/>
    <n v="776"/>
    <n v="82.103142953356254"/>
    <n v="725.44841375204282"/>
    <n v="11614679.000000004"/>
    <n v="100"/>
    <n v="1357337.85"/>
  </r>
  <r>
    <x v="0"/>
    <x v="6"/>
    <x v="7"/>
    <x v="8"/>
    <x v="29"/>
    <x v="29"/>
    <x v="0"/>
    <n v="512"/>
    <n v="139.95934221581038"/>
    <n v="468.30742303005781"/>
    <n v="11071471.659999995"/>
    <n v="156"/>
    <n v="3039385.8699999996"/>
  </r>
  <r>
    <x v="0"/>
    <x v="6"/>
    <x v="7"/>
    <x v="8"/>
    <x v="30"/>
    <x v="30"/>
    <x v="0"/>
    <n v="637"/>
    <n v="124.28439741563322"/>
    <n v="526.5681202873551"/>
    <n v="7362280.25"/>
    <n v="130"/>
    <n v="1682379.9499999995"/>
  </r>
  <r>
    <x v="0"/>
    <x v="6"/>
    <x v="7"/>
    <x v="8"/>
    <x v="31"/>
    <x v="31"/>
    <x v="0"/>
    <n v="985"/>
    <n v="220.77404018559167"/>
    <n v="919.73768227526443"/>
    <n v="13407768.460000001"/>
    <n v="261"/>
    <n v="3154271.7800000012"/>
  </r>
  <r>
    <x v="0"/>
    <x v="6"/>
    <x v="7"/>
    <x v="8"/>
    <x v="32"/>
    <x v="32"/>
    <x v="0"/>
    <n v="1989"/>
    <n v="411.87166274949601"/>
    <n v="1994.0183215804209"/>
    <n v="26105245.530000042"/>
    <n v="411"/>
    <n v="5077365.4400000004"/>
  </r>
  <r>
    <x v="0"/>
    <x v="6"/>
    <x v="7"/>
    <x v="8"/>
    <x v="33"/>
    <x v="33"/>
    <x v="0"/>
    <n v="1922"/>
    <n v="320.26383291730468"/>
    <n v="1688.4362024759678"/>
    <n v="22767276.969999995"/>
    <n v="314"/>
    <n v="4411722.7699999986"/>
  </r>
  <r>
    <x v="0"/>
    <x v="6"/>
    <x v="7"/>
    <x v="8"/>
    <x v="34"/>
    <x v="34"/>
    <x v="0"/>
    <n v="15"/>
    <n v="3.6049319540446398"/>
    <n v="8.406566892833812"/>
    <n v="194248.58000000002"/>
    <n v="6"/>
    <n v="74803.290000000008"/>
  </r>
  <r>
    <x v="0"/>
    <x v="6"/>
    <x v="7"/>
    <x v="8"/>
    <x v="35"/>
    <x v="35"/>
    <x v="0"/>
    <n v="1791"/>
    <n v="280.80394742033587"/>
    <n v="1470.9801322480866"/>
    <n v="18265160.650000036"/>
    <n v="285"/>
    <n v="3452098.14"/>
  </r>
  <r>
    <x v="0"/>
    <x v="6"/>
    <x v="7"/>
    <x v="8"/>
    <x v="36"/>
    <x v="36"/>
    <x v="0"/>
    <n v="1522"/>
    <n v="324.45225986391102"/>
    <n v="1326.6439780880646"/>
    <n v="16489708.149999993"/>
    <n v="343"/>
    <n v="3811363.6799999997"/>
  </r>
  <r>
    <x v="0"/>
    <x v="6"/>
    <x v="7"/>
    <x v="8"/>
    <x v="37"/>
    <x v="37"/>
    <x v="0"/>
    <n v="1066"/>
    <n v="267.46701659035404"/>
    <n v="1070.9211603479898"/>
    <n v="14043893.140000002"/>
    <n v="292"/>
    <n v="3649130.6100000017"/>
  </r>
  <r>
    <x v="0"/>
    <x v="6"/>
    <x v="7"/>
    <x v="8"/>
    <x v="38"/>
    <x v="38"/>
    <x v="0"/>
    <n v="61"/>
    <n v="10.26863486909633"/>
    <n v="31.774347594943361"/>
    <n v="433567.44"/>
    <n v="19"/>
    <n v="123041.36000000003"/>
  </r>
  <r>
    <x v="0"/>
    <x v="6"/>
    <x v="7"/>
    <x v="8"/>
    <x v="39"/>
    <x v="39"/>
    <x v="0"/>
    <n v="931"/>
    <n v="272.68685152381175"/>
    <n v="899.30507553573659"/>
    <n v="15239734.640000002"/>
    <n v="310"/>
    <n v="4812747.6999999993"/>
  </r>
  <r>
    <x v="0"/>
    <x v="6"/>
    <x v="7"/>
    <x v="8"/>
    <x v="40"/>
    <x v="40"/>
    <x v="0"/>
    <n v="2177"/>
    <n v="237.22387497589074"/>
    <n v="1657.3622808720995"/>
    <n v="25677422.619999994"/>
    <n v="250"/>
    <n v="3453266.02"/>
  </r>
  <r>
    <x v="0"/>
    <x v="6"/>
    <x v="7"/>
    <x v="8"/>
    <x v="41"/>
    <x v="41"/>
    <x v="0"/>
    <n v="194"/>
    <n v="1.2468239841055957"/>
    <n v="362.84398837449601"/>
    <n v="6017235.0900000017"/>
    <n v="1"/>
    <n v="10199.76"/>
  </r>
  <r>
    <x v="0"/>
    <x v="6"/>
    <x v="7"/>
    <x v="8"/>
    <x v="42"/>
    <x v="42"/>
    <x v="0"/>
    <n v="236"/>
    <n v="66.580582151236484"/>
    <n v="186.05439262819502"/>
    <n v="2322340.7799999998"/>
    <n v="90"/>
    <n v="749418.49000000069"/>
  </r>
  <r>
    <x v="0"/>
    <x v="6"/>
    <x v="7"/>
    <x v="8"/>
    <x v="43"/>
    <x v="43"/>
    <x v="0"/>
    <n v="298"/>
    <n v="84.198422926645762"/>
    <n v="313.61294400208971"/>
    <n v="4116714.5400000005"/>
    <n v="81"/>
    <n v="981263.17999999982"/>
  </r>
  <r>
    <x v="0"/>
    <x v="6"/>
    <x v="7"/>
    <x v="8"/>
    <x v="44"/>
    <x v="44"/>
    <x v="0"/>
    <n v="1216"/>
    <n v="249.34241982140469"/>
    <n v="1042.4859817104766"/>
    <n v="17138988.870000001"/>
    <n v="257"/>
    <n v="3831067.1300000004"/>
  </r>
  <r>
    <x v="0"/>
    <x v="6"/>
    <x v="7"/>
    <x v="8"/>
    <x v="45"/>
    <x v="45"/>
    <x v="0"/>
    <n v="1537"/>
    <n v="227.61254609841512"/>
    <n v="1693.076667416809"/>
    <n v="23114640.890000019"/>
    <n v="245"/>
    <n v="2935847.5100000016"/>
  </r>
  <r>
    <x v="0"/>
    <x v="6"/>
    <x v="7"/>
    <x v="8"/>
    <x v="46"/>
    <x v="46"/>
    <x v="0"/>
    <n v="94"/>
    <n v="8.386445893090313"/>
    <n v="111.23250558201762"/>
    <n v="3920907.8000000012"/>
    <n v="8"/>
    <n v="318954.18"/>
  </r>
  <r>
    <x v="0"/>
    <x v="6"/>
    <x v="7"/>
    <x v="8"/>
    <x v="47"/>
    <x v="47"/>
    <x v="0"/>
    <n v="630"/>
    <n v="96.806941765913479"/>
    <n v="539.40287812373856"/>
    <n v="6801513.8599999994"/>
    <n v="110"/>
    <n v="1249113.22"/>
  </r>
  <r>
    <x v="0"/>
    <x v="6"/>
    <x v="7"/>
    <x v="9"/>
    <x v="0"/>
    <x v="0"/>
    <x v="0"/>
    <n v="1541"/>
    <n v="293.3318682606311"/>
    <n v="1448.599420533385"/>
    <n v="17888372.240000013"/>
    <n v="316"/>
    <n v="3653055.35"/>
  </r>
  <r>
    <x v="0"/>
    <x v="6"/>
    <x v="7"/>
    <x v="9"/>
    <x v="1"/>
    <x v="1"/>
    <x v="0"/>
    <n v="2478"/>
    <n v="500.22732962314524"/>
    <n v="4422.143046626893"/>
    <n v="102821928.7899999"/>
    <n v="368"/>
    <n v="11524333.279999994"/>
  </r>
  <r>
    <x v="0"/>
    <x v="6"/>
    <x v="7"/>
    <x v="9"/>
    <x v="2"/>
    <x v="2"/>
    <x v="0"/>
    <n v="1134"/>
    <n v="240.54090493360565"/>
    <n v="1246.468487110126"/>
    <n v="24321742.860000044"/>
    <n v="225"/>
    <n v="5220604.8299999982"/>
  </r>
  <r>
    <x v="0"/>
    <x v="6"/>
    <x v="7"/>
    <x v="9"/>
    <x v="3"/>
    <x v="3"/>
    <x v="0"/>
    <n v="3060"/>
    <n v="365.75928433733282"/>
    <n v="2490.7425342481824"/>
    <n v="31582895.599999879"/>
    <n v="353"/>
    <n v="4486088.7500000019"/>
  </r>
  <r>
    <x v="0"/>
    <x v="6"/>
    <x v="7"/>
    <x v="9"/>
    <x v="4"/>
    <x v="4"/>
    <x v="0"/>
    <n v="1710"/>
    <n v="289.93679430391137"/>
    <n v="1566.3291660325758"/>
    <n v="21165433.830000024"/>
    <n v="291"/>
    <n v="4018582.78"/>
  </r>
  <r>
    <x v="0"/>
    <x v="6"/>
    <x v="7"/>
    <x v="9"/>
    <x v="5"/>
    <x v="5"/>
    <x v="0"/>
    <n v="468"/>
    <n v="83.295454938156709"/>
    <n v="350.94100052623429"/>
    <n v="4948490.7399999946"/>
    <n v="112"/>
    <n v="1213481.79"/>
  </r>
  <r>
    <x v="0"/>
    <x v="6"/>
    <x v="7"/>
    <x v="9"/>
    <x v="6"/>
    <x v="6"/>
    <x v="0"/>
    <n v="1462"/>
    <n v="161.30481694370013"/>
    <n v="1499.3826508860063"/>
    <n v="21871868.54000001"/>
    <n v="188"/>
    <n v="2538813.8300000005"/>
  </r>
  <r>
    <x v="0"/>
    <x v="6"/>
    <x v="7"/>
    <x v="9"/>
    <x v="7"/>
    <x v="7"/>
    <x v="0"/>
    <n v="3849"/>
    <n v="814.11143562177847"/>
    <n v="5466.2573373166206"/>
    <n v="128402673.80000016"/>
    <n v="701"/>
    <n v="21181562.199999992"/>
  </r>
  <r>
    <x v="0"/>
    <x v="6"/>
    <x v="7"/>
    <x v="9"/>
    <x v="8"/>
    <x v="8"/>
    <x v="0"/>
    <n v="166"/>
    <n v="40.528243483349442"/>
    <n v="124.21209341655499"/>
    <n v="1989128.2300000002"/>
    <n v="51"/>
    <n v="760078.74999999977"/>
  </r>
  <r>
    <x v="0"/>
    <x v="6"/>
    <x v="7"/>
    <x v="9"/>
    <x v="9"/>
    <x v="9"/>
    <x v="0"/>
    <n v="1424"/>
    <n v="348.69130055491422"/>
    <n v="1394.6701662208695"/>
    <n v="23435015.859999977"/>
    <n v="339"/>
    <n v="6338402.8899999941"/>
  </r>
  <r>
    <x v="0"/>
    <x v="6"/>
    <x v="7"/>
    <x v="9"/>
    <x v="10"/>
    <x v="10"/>
    <x v="0"/>
    <n v="1700"/>
    <n v="333.44454474927812"/>
    <n v="1990.1281316300231"/>
    <n v="36197574.020000033"/>
    <n v="300"/>
    <n v="6883936.4099999964"/>
  </r>
  <r>
    <x v="0"/>
    <x v="0"/>
    <x v="2"/>
    <x v="9"/>
    <x v="11"/>
    <x v="11"/>
    <x v="0"/>
    <n v="396"/>
    <n v="88.26599387479267"/>
    <n v="330.13573179145754"/>
    <n v="5936655.7300000014"/>
    <n v="113"/>
    <n v="1523527.66"/>
  </r>
  <r>
    <x v="0"/>
    <x v="6"/>
    <x v="7"/>
    <x v="9"/>
    <x v="12"/>
    <x v="12"/>
    <x v="0"/>
    <n v="2177"/>
    <n v="470.01986600822823"/>
    <n v="1881.8529000103008"/>
    <n v="26269475.390000049"/>
    <n v="541"/>
    <n v="6283622.9600000037"/>
  </r>
  <r>
    <x v="0"/>
    <x v="6"/>
    <x v="7"/>
    <x v="9"/>
    <x v="13"/>
    <x v="13"/>
    <x v="0"/>
    <n v="1177"/>
    <n v="196.37449549663501"/>
    <n v="1013.888428075032"/>
    <n v="14142149.910000011"/>
    <n v="211"/>
    <n v="2860406.7199999974"/>
  </r>
  <r>
    <x v="0"/>
    <x v="6"/>
    <x v="7"/>
    <x v="9"/>
    <x v="14"/>
    <x v="14"/>
    <x v="0"/>
    <n v="189"/>
    <n v="29.292145626586265"/>
    <n v="161.15939094555412"/>
    <n v="1870555.3199999994"/>
    <n v="32"/>
    <n v="310167.46000000002"/>
  </r>
  <r>
    <x v="0"/>
    <x v="6"/>
    <x v="7"/>
    <x v="9"/>
    <x v="15"/>
    <x v="15"/>
    <x v="0"/>
    <n v="651"/>
    <n v="119.77233747315255"/>
    <n v="569.99557573374557"/>
    <n v="7565482.2700000107"/>
    <n v="137"/>
    <n v="1514012.3900000001"/>
  </r>
  <r>
    <x v="0"/>
    <x v="6"/>
    <x v="7"/>
    <x v="9"/>
    <x v="16"/>
    <x v="16"/>
    <x v="0"/>
    <n v="1705"/>
    <n v="299.03008918799054"/>
    <n v="1749.004639703842"/>
    <n v="22998969.160000067"/>
    <n v="290"/>
    <n v="3483183.9799999986"/>
  </r>
  <r>
    <x v="0"/>
    <x v="6"/>
    <x v="7"/>
    <x v="9"/>
    <x v="17"/>
    <x v="17"/>
    <x v="0"/>
    <n v="1313"/>
    <n v="192.70955154335536"/>
    <n v="1485.6965680604676"/>
    <n v="18893774.450000003"/>
    <n v="218"/>
    <n v="2318621.1799999992"/>
  </r>
  <r>
    <x v="0"/>
    <x v="6"/>
    <x v="7"/>
    <x v="9"/>
    <x v="18"/>
    <x v="18"/>
    <x v="0"/>
    <n v="2752"/>
    <n v="447.56003129454393"/>
    <n v="2509.81207300508"/>
    <n v="27963335.159999974"/>
    <n v="458"/>
    <n v="4836543.6899999976"/>
  </r>
  <r>
    <x v="0"/>
    <x v="6"/>
    <x v="7"/>
    <x v="9"/>
    <x v="19"/>
    <x v="19"/>
    <x v="0"/>
    <n v="1130"/>
    <n v="293.97595525242048"/>
    <n v="1472.3769722302675"/>
    <n v="23327387.349999987"/>
    <n v="280"/>
    <n v="5148522.7100000009"/>
  </r>
  <r>
    <x v="0"/>
    <x v="6"/>
    <x v="7"/>
    <x v="9"/>
    <x v="20"/>
    <x v="20"/>
    <x v="0"/>
    <n v="1115"/>
    <n v="209.53589632885473"/>
    <n v="1123.7547406744718"/>
    <n v="15920001.98"/>
    <n v="227"/>
    <n v="2932995.1899999985"/>
  </r>
  <r>
    <x v="0"/>
    <x v="6"/>
    <x v="7"/>
    <x v="9"/>
    <x v="21"/>
    <x v="21"/>
    <x v="0"/>
    <n v="746"/>
    <n v="144.23565316129643"/>
    <n v="562.17927083338714"/>
    <n v="7329281.4999999981"/>
    <n v="163"/>
    <n v="1862985.6500000004"/>
  </r>
  <r>
    <x v="0"/>
    <x v="6"/>
    <x v="7"/>
    <x v="9"/>
    <x v="22"/>
    <x v="22"/>
    <x v="0"/>
    <n v="1769"/>
    <n v="428.74124153444404"/>
    <n v="1852.2492123876968"/>
    <n v="32864191.360000022"/>
    <n v="417"/>
    <n v="8033366.3200000031"/>
  </r>
  <r>
    <x v="0"/>
    <x v="6"/>
    <x v="7"/>
    <x v="9"/>
    <x v="23"/>
    <x v="23"/>
    <x v="0"/>
    <n v="73"/>
    <n v="22.997607706828486"/>
    <n v="73.420790064038144"/>
    <n v="958528.11000000022"/>
    <n v="25"/>
    <n v="310976.44000000006"/>
  </r>
  <r>
    <x v="0"/>
    <x v="6"/>
    <x v="7"/>
    <x v="9"/>
    <x v="24"/>
    <x v="24"/>
    <x v="0"/>
    <n v="527"/>
    <n v="98.427480745255039"/>
    <n v="411.30927375666477"/>
    <n v="7543866.0799999982"/>
    <n v="128"/>
    <n v="1728032.4200000002"/>
  </r>
  <r>
    <x v="0"/>
    <x v="6"/>
    <x v="7"/>
    <x v="9"/>
    <x v="25"/>
    <x v="25"/>
    <x v="0"/>
    <n v="1021"/>
    <n v="210.71873531377599"/>
    <n v="917.57605630281864"/>
    <n v="13475369.95999998"/>
    <n v="243"/>
    <n v="3195724.6000000006"/>
  </r>
  <r>
    <x v="0"/>
    <x v="6"/>
    <x v="7"/>
    <x v="9"/>
    <x v="26"/>
    <x v="26"/>
    <x v="0"/>
    <n v="854"/>
    <n v="169.26509684222336"/>
    <n v="623.3925390530427"/>
    <n v="10219566.919999983"/>
    <n v="199"/>
    <n v="3045643.290000001"/>
  </r>
  <r>
    <x v="0"/>
    <x v="6"/>
    <x v="7"/>
    <x v="9"/>
    <x v="27"/>
    <x v="27"/>
    <x v="0"/>
    <n v="558"/>
    <n v="130.99908033003507"/>
    <n v="545.28139504879914"/>
    <n v="6865176.4899999974"/>
    <n v="125"/>
    <n v="1678332.6699999983"/>
  </r>
  <r>
    <x v="0"/>
    <x v="6"/>
    <x v="7"/>
    <x v="9"/>
    <x v="28"/>
    <x v="28"/>
    <x v="0"/>
    <n v="664"/>
    <n v="119.64429147478494"/>
    <n v="607.98640224943949"/>
    <n v="10557501.030000018"/>
    <n v="129"/>
    <n v="2119309.4300000006"/>
  </r>
  <r>
    <x v="0"/>
    <x v="6"/>
    <x v="7"/>
    <x v="9"/>
    <x v="29"/>
    <x v="29"/>
    <x v="0"/>
    <n v="499"/>
    <n v="125.49706840017423"/>
    <n v="452.12567823634078"/>
    <n v="10775175.499999994"/>
    <n v="145"/>
    <n v="2802107.8799999994"/>
  </r>
  <r>
    <x v="0"/>
    <x v="6"/>
    <x v="7"/>
    <x v="9"/>
    <x v="30"/>
    <x v="30"/>
    <x v="0"/>
    <n v="608"/>
    <n v="128.86657135722007"/>
    <n v="519.89725937239461"/>
    <n v="7027076.6200000001"/>
    <n v="155"/>
    <n v="1755105.6399999997"/>
  </r>
  <r>
    <x v="0"/>
    <x v="6"/>
    <x v="7"/>
    <x v="9"/>
    <x v="31"/>
    <x v="31"/>
    <x v="0"/>
    <n v="952"/>
    <n v="221.69126117389914"/>
    <n v="887.92605168079535"/>
    <n v="12376181.150000019"/>
    <n v="267"/>
    <n v="3248242.350000001"/>
  </r>
  <r>
    <x v="0"/>
    <x v="6"/>
    <x v="7"/>
    <x v="9"/>
    <x v="32"/>
    <x v="32"/>
    <x v="0"/>
    <n v="1861"/>
    <n v="393.18914998765894"/>
    <n v="1777.4063213417758"/>
    <n v="25381305.810000021"/>
    <n v="393"/>
    <n v="5523128.6400000015"/>
  </r>
  <r>
    <x v="0"/>
    <x v="6"/>
    <x v="7"/>
    <x v="9"/>
    <x v="33"/>
    <x v="33"/>
    <x v="0"/>
    <n v="1987"/>
    <n v="268.59016157603617"/>
    <n v="1569.9771269860767"/>
    <n v="20607596.020000003"/>
    <n v="304"/>
    <n v="3995320.0999999954"/>
  </r>
  <r>
    <x v="0"/>
    <x v="6"/>
    <x v="7"/>
    <x v="9"/>
    <x v="34"/>
    <x v="34"/>
    <x v="0"/>
    <n v="12"/>
    <n v="5.5032039298456334"/>
    <n v="7.685851902021426"/>
    <n v="228964.26999999996"/>
    <n v="9"/>
    <n v="187012.63999999998"/>
  </r>
  <r>
    <x v="0"/>
    <x v="6"/>
    <x v="7"/>
    <x v="9"/>
    <x v="35"/>
    <x v="35"/>
    <x v="0"/>
    <n v="1703"/>
    <n v="295.01991123911171"/>
    <n v="1360.9688486504951"/>
    <n v="16501637.830000011"/>
    <n v="305"/>
    <n v="3547833.4099999969"/>
  </r>
  <r>
    <x v="0"/>
    <x v="6"/>
    <x v="7"/>
    <x v="9"/>
    <x v="36"/>
    <x v="36"/>
    <x v="0"/>
    <n v="1457"/>
    <n v="307.83251107577814"/>
    <n v="1295.5607924843041"/>
    <n v="15787218.430000026"/>
    <n v="330"/>
    <n v="3372879.6900000023"/>
  </r>
  <r>
    <x v="0"/>
    <x v="6"/>
    <x v="7"/>
    <x v="9"/>
    <x v="37"/>
    <x v="37"/>
    <x v="0"/>
    <n v="1049"/>
    <n v="295.56429923217223"/>
    <n v="1100.4398759716862"/>
    <n v="15250132.749999998"/>
    <n v="311"/>
    <n v="4196092.58"/>
  </r>
  <r>
    <x v="0"/>
    <x v="6"/>
    <x v="7"/>
    <x v="9"/>
    <x v="38"/>
    <x v="38"/>
    <x v="0"/>
    <n v="40"/>
    <n v="9.1531808833160415"/>
    <n v="21.597122724681746"/>
    <n v="290294.74"/>
    <n v="16"/>
    <n v="116591.59000000003"/>
  </r>
  <r>
    <x v="0"/>
    <x v="6"/>
    <x v="7"/>
    <x v="9"/>
    <x v="39"/>
    <x v="39"/>
    <x v="0"/>
    <n v="823"/>
    <n v="248.64187583033493"/>
    <n v="858.96559604998095"/>
    <n v="12478552.300000008"/>
    <n v="280"/>
    <n v="3895951.0700000012"/>
  </r>
  <r>
    <x v="0"/>
    <x v="6"/>
    <x v="7"/>
    <x v="9"/>
    <x v="40"/>
    <x v="40"/>
    <x v="0"/>
    <n v="2172"/>
    <n v="251.51878179366071"/>
    <n v="1753.311613648948"/>
    <n v="25810399.890000027"/>
    <n v="246"/>
    <n v="3914046.4400000018"/>
  </r>
  <r>
    <x v="0"/>
    <x v="6"/>
    <x v="7"/>
    <x v="9"/>
    <x v="41"/>
    <x v="41"/>
    <x v="0"/>
    <n v="194"/>
    <n v="0"/>
    <n v="368.48848830254019"/>
    <n v="6012445.0200000023"/>
    <n v="0"/>
    <n v="0"/>
  </r>
  <r>
    <x v="0"/>
    <x v="6"/>
    <x v="7"/>
    <x v="9"/>
    <x v="42"/>
    <x v="42"/>
    <x v="0"/>
    <n v="235"/>
    <n v="58.30032825679244"/>
    <n v="184.14454865254137"/>
    <n v="1956652.8799999987"/>
    <n v="90"/>
    <n v="585355.98999999987"/>
  </r>
  <r>
    <x v="0"/>
    <x v="6"/>
    <x v="7"/>
    <x v="9"/>
    <x v="43"/>
    <x v="43"/>
    <x v="0"/>
    <n v="279"/>
    <n v="76.049825030523422"/>
    <n v="276.21717047880736"/>
    <n v="3513733.7500000009"/>
    <n v="75"/>
    <n v="866972.03000000014"/>
  </r>
  <r>
    <x v="0"/>
    <x v="6"/>
    <x v="7"/>
    <x v="9"/>
    <x v="44"/>
    <x v="44"/>
    <x v="0"/>
    <n v="1159"/>
    <n v="269.74657156129439"/>
    <n v="978.19811353001433"/>
    <n v="14059802.27999999"/>
    <n v="279"/>
    <n v="4003240.649999999"/>
  </r>
  <r>
    <x v="0"/>
    <x v="6"/>
    <x v="7"/>
    <x v="9"/>
    <x v="45"/>
    <x v="45"/>
    <x v="0"/>
    <n v="1477"/>
    <n v="211.38886630523308"/>
    <n v="1597.5266046348736"/>
    <n v="19775386.140000004"/>
    <n v="236"/>
    <n v="2816965.6899999995"/>
  </r>
  <r>
    <x v="0"/>
    <x v="6"/>
    <x v="7"/>
    <x v="9"/>
    <x v="46"/>
    <x v="46"/>
    <x v="0"/>
    <n v="123"/>
    <n v="12.016675846812454"/>
    <n v="170.67168882429209"/>
    <n v="5590010.879999999"/>
    <n v="12"/>
    <n v="496599.36999999994"/>
  </r>
  <r>
    <x v="0"/>
    <x v="6"/>
    <x v="7"/>
    <x v="9"/>
    <x v="47"/>
    <x v="47"/>
    <x v="0"/>
    <n v="584"/>
    <n v="99.746194728444166"/>
    <n v="503.68175557910826"/>
    <n v="6961457.2500000047"/>
    <n v="107"/>
    <n v="1599468.2399999993"/>
  </r>
  <r>
    <x v="0"/>
    <x v="6"/>
    <x v="7"/>
    <x v="10"/>
    <x v="0"/>
    <x v="0"/>
    <x v="0"/>
    <n v="1627"/>
    <n v="309.68133405220925"/>
    <n v="1546.4592332858788"/>
    <n v="17157751.190000035"/>
    <n v="340"/>
    <n v="3475962.310000001"/>
  </r>
  <r>
    <x v="0"/>
    <x v="6"/>
    <x v="7"/>
    <x v="10"/>
    <x v="1"/>
    <x v="1"/>
    <x v="0"/>
    <n v="2560"/>
    <n v="555.77679191500602"/>
    <n v="4583.1990335737646"/>
    <n v="115977477.14000005"/>
    <n v="405"/>
    <n v="14812776.640000006"/>
  </r>
  <r>
    <x v="0"/>
    <x v="6"/>
    <x v="7"/>
    <x v="10"/>
    <x v="2"/>
    <x v="2"/>
    <x v="0"/>
    <n v="1155"/>
    <n v="226.09593711774863"/>
    <n v="1262.2035519095389"/>
    <n v="25873215.160000023"/>
    <n v="201"/>
    <n v="4688684.6199999992"/>
  </r>
  <r>
    <x v="0"/>
    <x v="6"/>
    <x v="7"/>
    <x v="10"/>
    <x v="3"/>
    <x v="3"/>
    <x v="0"/>
    <n v="3120"/>
    <n v="371.17219026832925"/>
    <n v="2512.1149999757199"/>
    <n v="32933266.699999962"/>
    <n v="345"/>
    <n v="5322337.2199999988"/>
  </r>
  <r>
    <x v="0"/>
    <x v="6"/>
    <x v="7"/>
    <x v="10"/>
    <x v="4"/>
    <x v="4"/>
    <x v="0"/>
    <n v="1762"/>
    <n v="240.29705493671409"/>
    <n v="1551.3171732239509"/>
    <n v="20429001.700000092"/>
    <n v="265"/>
    <n v="3463422.21"/>
  </r>
  <r>
    <x v="0"/>
    <x v="6"/>
    <x v="7"/>
    <x v="10"/>
    <x v="5"/>
    <x v="5"/>
    <x v="0"/>
    <n v="489"/>
    <n v="118.00356149570081"/>
    <n v="376.08425520571046"/>
    <n v="5195571.1600000039"/>
    <n v="148"/>
    <n v="1507599.7599999995"/>
  </r>
  <r>
    <x v="0"/>
    <x v="6"/>
    <x v="7"/>
    <x v="10"/>
    <x v="6"/>
    <x v="6"/>
    <x v="0"/>
    <n v="1492"/>
    <n v="163.74758891255991"/>
    <n v="1592.2586987020284"/>
    <n v="22341736.919999957"/>
    <n v="182"/>
    <n v="2360899.3999999985"/>
  </r>
  <r>
    <x v="0"/>
    <x v="6"/>
    <x v="7"/>
    <x v="10"/>
    <x v="7"/>
    <x v="7"/>
    <x v="0"/>
    <n v="4066"/>
    <n v="733.52120564913514"/>
    <n v="5758.8584865865723"/>
    <n v="127641417.11999983"/>
    <n v="682"/>
    <n v="17305968.580000013"/>
  </r>
  <r>
    <x v="0"/>
    <x v="6"/>
    <x v="7"/>
    <x v="10"/>
    <x v="8"/>
    <x v="8"/>
    <x v="0"/>
    <n v="152"/>
    <n v="36.298849537265419"/>
    <n v="110.78835458767969"/>
    <n v="1549377.1800000011"/>
    <n v="49"/>
    <n v="525721.94000000018"/>
  </r>
  <r>
    <x v="0"/>
    <x v="6"/>
    <x v="7"/>
    <x v="10"/>
    <x v="9"/>
    <x v="9"/>
    <x v="0"/>
    <n v="1433"/>
    <n v="364.79488634962684"/>
    <n v="1437.9697966688893"/>
    <n v="22112737.189999986"/>
    <n v="344"/>
    <n v="5978377.1999999993"/>
  </r>
  <r>
    <x v="0"/>
    <x v="6"/>
    <x v="7"/>
    <x v="10"/>
    <x v="10"/>
    <x v="10"/>
    <x v="0"/>
    <n v="1552"/>
    <n v="284.29465737583649"/>
    <n v="1794.7487401207038"/>
    <n v="36167925.04999999"/>
    <n v="273"/>
    <n v="5851704.7700000005"/>
  </r>
  <r>
    <x v="0"/>
    <x v="0"/>
    <x v="2"/>
    <x v="10"/>
    <x v="11"/>
    <x v="11"/>
    <x v="0"/>
    <n v="348"/>
    <n v="93.926433802633966"/>
    <n v="302.88339613886825"/>
    <n v="6119483.6500000004"/>
    <n v="112"/>
    <n v="1902885.1899999995"/>
  </r>
  <r>
    <x v="0"/>
    <x v="6"/>
    <x v="7"/>
    <x v="10"/>
    <x v="12"/>
    <x v="12"/>
    <x v="0"/>
    <n v="2201"/>
    <n v="490.73540474414767"/>
    <n v="1967.3976089197836"/>
    <n v="26414522.539999988"/>
    <n v="526"/>
    <n v="6449554.1200000001"/>
  </r>
  <r>
    <x v="0"/>
    <x v="6"/>
    <x v="7"/>
    <x v="10"/>
    <x v="13"/>
    <x v="13"/>
    <x v="0"/>
    <n v="1217"/>
    <n v="214.05678127122277"/>
    <n v="1181.2867199410584"/>
    <n v="16887296.040000007"/>
    <n v="205"/>
    <n v="2916662.2999999989"/>
  </r>
  <r>
    <x v="0"/>
    <x v="6"/>
    <x v="7"/>
    <x v="10"/>
    <x v="14"/>
    <x v="14"/>
    <x v="0"/>
    <n v="211"/>
    <n v="26.116865667064463"/>
    <n v="167.68650586234708"/>
    <n v="2268199.4"/>
    <n v="29"/>
    <n v="303452.13"/>
  </r>
  <r>
    <x v="0"/>
    <x v="6"/>
    <x v="7"/>
    <x v="10"/>
    <x v="15"/>
    <x v="15"/>
    <x v="0"/>
    <n v="671"/>
    <n v="139.45038522229862"/>
    <n v="569.53439473962374"/>
    <n v="6996795.1099999966"/>
    <n v="154"/>
    <n v="1547605.9399999992"/>
  </r>
  <r>
    <x v="0"/>
    <x v="6"/>
    <x v="7"/>
    <x v="10"/>
    <x v="16"/>
    <x v="16"/>
    <x v="0"/>
    <n v="1662"/>
    <n v="307.35090108191753"/>
    <n v="1718.0834020980244"/>
    <n v="22451729.130000029"/>
    <n v="306"/>
    <n v="3633093.6599999969"/>
  </r>
  <r>
    <x v="0"/>
    <x v="6"/>
    <x v="7"/>
    <x v="10"/>
    <x v="17"/>
    <x v="17"/>
    <x v="0"/>
    <n v="1326"/>
    <n v="244.31529988548962"/>
    <n v="1552.5211652085952"/>
    <n v="21002267.930000011"/>
    <n v="239"/>
    <n v="3155744.4000000008"/>
  </r>
  <r>
    <x v="0"/>
    <x v="6"/>
    <x v="7"/>
    <x v="10"/>
    <x v="18"/>
    <x v="18"/>
    <x v="0"/>
    <n v="2806"/>
    <n v="469.96890500887787"/>
    <n v="2370.2062947847676"/>
    <n v="25677421.520000063"/>
    <n v="514"/>
    <n v="5180046.7399999974"/>
  </r>
  <r>
    <x v="0"/>
    <x v="6"/>
    <x v="7"/>
    <x v="10"/>
    <x v="19"/>
    <x v="19"/>
    <x v="0"/>
    <n v="1048"/>
    <n v="277.55585646174239"/>
    <n v="1421.4056608800456"/>
    <n v="21573820.909999967"/>
    <n v="276"/>
    <n v="4642914.6899999995"/>
  </r>
  <r>
    <x v="0"/>
    <x v="6"/>
    <x v="7"/>
    <x v="10"/>
    <x v="20"/>
    <x v="20"/>
    <x v="0"/>
    <n v="1137"/>
    <n v="236.40866398628316"/>
    <n v="1157.5809302432594"/>
    <n v="15294829.650000002"/>
    <n v="242"/>
    <n v="3145006.4000000004"/>
  </r>
  <r>
    <x v="0"/>
    <x v="6"/>
    <x v="7"/>
    <x v="10"/>
    <x v="21"/>
    <x v="21"/>
    <x v="0"/>
    <n v="810"/>
    <n v="134.77814828185979"/>
    <n v="654.04452666229326"/>
    <n v="8469739.7900000047"/>
    <n v="167"/>
    <n v="1788742.1900000004"/>
  </r>
  <r>
    <x v="0"/>
    <x v="6"/>
    <x v="7"/>
    <x v="10"/>
    <x v="22"/>
    <x v="22"/>
    <x v="0"/>
    <n v="1875"/>
    <n v="360.67278740217512"/>
    <n v="2003.2987134621321"/>
    <n v="33560138.530000031"/>
    <n v="387"/>
    <n v="6189946.0399999991"/>
  </r>
  <r>
    <x v="0"/>
    <x v="6"/>
    <x v="7"/>
    <x v="10"/>
    <x v="23"/>
    <x v="23"/>
    <x v="0"/>
    <n v="60"/>
    <n v="16.218956793242143"/>
    <n v="60.737120225728447"/>
    <n v="901822.44000000006"/>
    <n v="20"/>
    <n v="235026.93"/>
  </r>
  <r>
    <x v="0"/>
    <x v="6"/>
    <x v="7"/>
    <x v="10"/>
    <x v="24"/>
    <x v="24"/>
    <x v="0"/>
    <n v="489"/>
    <n v="116.45638151542414"/>
    <n v="427.22499555377277"/>
    <n v="6915736.8800000027"/>
    <n v="128"/>
    <n v="1779065.9700000002"/>
  </r>
  <r>
    <x v="0"/>
    <x v="6"/>
    <x v="7"/>
    <x v="10"/>
    <x v="25"/>
    <x v="25"/>
    <x v="0"/>
    <n v="1000"/>
    <n v="230.49019606173096"/>
    <n v="894.85073759251793"/>
    <n v="12007666.529999992"/>
    <n v="248"/>
    <n v="3013417.11"/>
  </r>
  <r>
    <x v="0"/>
    <x v="6"/>
    <x v="7"/>
    <x v="10"/>
    <x v="26"/>
    <x v="26"/>
    <x v="0"/>
    <n v="883"/>
    <n v="166.56183987668419"/>
    <n v="671.92459443435894"/>
    <n v="11329467.220000025"/>
    <n v="203"/>
    <n v="2884702.74"/>
  </r>
  <r>
    <x v="0"/>
    <x v="6"/>
    <x v="7"/>
    <x v="10"/>
    <x v="27"/>
    <x v="27"/>
    <x v="0"/>
    <n v="599"/>
    <n v="146.6932021299678"/>
    <n v="540.43056711063741"/>
    <n v="8248724.0200000023"/>
    <n v="151"/>
    <n v="2041483.4100000011"/>
  </r>
  <r>
    <x v="0"/>
    <x v="6"/>
    <x v="7"/>
    <x v="10"/>
    <x v="28"/>
    <x v="28"/>
    <x v="0"/>
    <n v="723"/>
    <n v="104.44120766859251"/>
    <n v="679.35715633961127"/>
    <n v="10962454.250000002"/>
    <n v="119"/>
    <n v="1828149.3699999996"/>
  </r>
  <r>
    <x v="0"/>
    <x v="6"/>
    <x v="7"/>
    <x v="10"/>
    <x v="29"/>
    <x v="29"/>
    <x v="0"/>
    <n v="564"/>
    <n v="160.32029795625076"/>
    <n v="505.07095856139892"/>
    <n v="10910210.809999995"/>
    <n v="181"/>
    <n v="3261361.1999999993"/>
  </r>
  <r>
    <x v="0"/>
    <x v="6"/>
    <x v="7"/>
    <x v="10"/>
    <x v="30"/>
    <x v="30"/>
    <x v="0"/>
    <n v="556"/>
    <n v="106.96009263648199"/>
    <n v="457.09062817304812"/>
    <n v="5474555.2500000019"/>
    <n v="114"/>
    <n v="1230439.7400000005"/>
  </r>
  <r>
    <x v="0"/>
    <x v="6"/>
    <x v="7"/>
    <x v="10"/>
    <x v="31"/>
    <x v="31"/>
    <x v="0"/>
    <n v="944"/>
    <n v="234.06694901613511"/>
    <n v="900.95564251469602"/>
    <n v="13333653.819999998"/>
    <n v="262"/>
    <n v="3438899.7399999984"/>
  </r>
  <r>
    <x v="0"/>
    <x v="6"/>
    <x v="7"/>
    <x v="10"/>
    <x v="32"/>
    <x v="32"/>
    <x v="0"/>
    <n v="1884"/>
    <n v="403.42754685714084"/>
    <n v="1775.3287843682624"/>
    <n v="25419682.689999968"/>
    <n v="406"/>
    <n v="5265244.9800000004"/>
  </r>
  <r>
    <x v="0"/>
    <x v="6"/>
    <x v="7"/>
    <x v="10"/>
    <x v="33"/>
    <x v="33"/>
    <x v="0"/>
    <n v="1972"/>
    <n v="281.41333841256744"/>
    <n v="1644.1871980400499"/>
    <n v="21775196.920000017"/>
    <n v="293"/>
    <n v="4097873.1700000027"/>
  </r>
  <r>
    <x v="0"/>
    <x v="6"/>
    <x v="7"/>
    <x v="10"/>
    <x v="34"/>
    <x v="34"/>
    <x v="0"/>
    <n v="12"/>
    <n v="2.9502659623902647"/>
    <n v="6.3704029187906555"/>
    <n v="110093.71"/>
    <n v="6"/>
    <n v="61891.59"/>
  </r>
  <r>
    <x v="0"/>
    <x v="6"/>
    <x v="7"/>
    <x v="10"/>
    <x v="35"/>
    <x v="35"/>
    <x v="0"/>
    <n v="1879"/>
    <n v="270.35810055349845"/>
    <n v="1484.4103030768811"/>
    <n v="18418851.710000046"/>
    <n v="299"/>
    <n v="3170272.7399999993"/>
  </r>
  <r>
    <x v="0"/>
    <x v="6"/>
    <x v="7"/>
    <x v="10"/>
    <x v="36"/>
    <x v="36"/>
    <x v="0"/>
    <n v="1491"/>
    <n v="292.35372027310012"/>
    <n v="1277.8413857101925"/>
    <n v="15514211.699999994"/>
    <n v="321"/>
    <n v="3441378.1400000011"/>
  </r>
  <r>
    <x v="0"/>
    <x v="6"/>
    <x v="7"/>
    <x v="10"/>
    <x v="37"/>
    <x v="37"/>
    <x v="0"/>
    <n v="1159"/>
    <n v="308.75224606405334"/>
    <n v="1168.1947981079522"/>
    <n v="15369128.310000019"/>
    <n v="335"/>
    <n v="4030228.1499999994"/>
  </r>
  <r>
    <x v="0"/>
    <x v="6"/>
    <x v="7"/>
    <x v="10"/>
    <x v="38"/>
    <x v="38"/>
    <x v="0"/>
    <n v="44"/>
    <n v="8.9605168857721047"/>
    <n v="23.895461695382718"/>
    <n v="322421.99999999994"/>
    <n v="16"/>
    <n v="103819.71"/>
  </r>
  <r>
    <x v="0"/>
    <x v="6"/>
    <x v="7"/>
    <x v="10"/>
    <x v="39"/>
    <x v="39"/>
    <x v="0"/>
    <n v="878"/>
    <n v="259.6526826899705"/>
    <n v="905.91510745147104"/>
    <n v="14041518.130000008"/>
    <n v="280"/>
    <n v="4341995.5199999968"/>
  </r>
  <r>
    <x v="0"/>
    <x v="6"/>
    <x v="7"/>
    <x v="10"/>
    <x v="40"/>
    <x v="40"/>
    <x v="0"/>
    <n v="2309"/>
    <n v="236.29484898773379"/>
    <n v="1801.7959180308735"/>
    <n v="25925753.440000001"/>
    <n v="245"/>
    <n v="3437079.6900000018"/>
  </r>
  <r>
    <x v="0"/>
    <x v="6"/>
    <x v="7"/>
    <x v="10"/>
    <x v="41"/>
    <x v="41"/>
    <x v="0"/>
    <n v="195"/>
    <n v="0"/>
    <n v="366.05916033350906"/>
    <n v="6433724.4299999978"/>
    <n v="0"/>
    <n v="0"/>
  </r>
  <r>
    <x v="0"/>
    <x v="6"/>
    <x v="7"/>
    <x v="10"/>
    <x v="42"/>
    <x v="42"/>
    <x v="0"/>
    <n v="221"/>
    <n v="61.677301213743107"/>
    <n v="158.2529809826047"/>
    <n v="1666458.62"/>
    <n v="85"/>
    <n v="717563.59000000008"/>
  </r>
  <r>
    <x v="0"/>
    <x v="6"/>
    <x v="7"/>
    <x v="10"/>
    <x v="43"/>
    <x v="43"/>
    <x v="0"/>
    <n v="308"/>
    <n v="76.123872029579474"/>
    <n v="325.47637385085585"/>
    <n v="4125241.4499999997"/>
    <n v="81"/>
    <n v="948103.93999999983"/>
  </r>
  <r>
    <x v="0"/>
    <x v="6"/>
    <x v="7"/>
    <x v="10"/>
    <x v="44"/>
    <x v="44"/>
    <x v="0"/>
    <n v="1203"/>
    <n v="238.89696695456243"/>
    <n v="1047.6633806444759"/>
    <n v="15353136.15000001"/>
    <n v="270"/>
    <n v="3453128.8900000006"/>
  </r>
  <r>
    <x v="0"/>
    <x v="6"/>
    <x v="7"/>
    <x v="10"/>
    <x v="45"/>
    <x v="45"/>
    <x v="0"/>
    <n v="1479"/>
    <n v="181.10590169127769"/>
    <n v="1622.955787310701"/>
    <n v="19043255.369999986"/>
    <n v="194"/>
    <n v="2196854.17"/>
  </r>
  <r>
    <x v="0"/>
    <x v="6"/>
    <x v="7"/>
    <x v="10"/>
    <x v="46"/>
    <x v="46"/>
    <x v="0"/>
    <n v="101"/>
    <n v="11.142918857951035"/>
    <n v="122.38410643985794"/>
    <n v="4432250.8100000015"/>
    <n v="11"/>
    <n v="416558.4"/>
  </r>
  <r>
    <x v="0"/>
    <x v="6"/>
    <x v="7"/>
    <x v="10"/>
    <x v="47"/>
    <x v="47"/>
    <x v="0"/>
    <n v="607"/>
    <n v="81.690559958615808"/>
    <n v="479.49265888746919"/>
    <n v="6302531.25"/>
    <n v="98"/>
    <n v="1081157.4600000004"/>
  </r>
  <r>
    <x v="0"/>
    <x v="6"/>
    <x v="7"/>
    <x v="11"/>
    <x v="0"/>
    <x v="0"/>
    <x v="0"/>
    <n v="1579"/>
    <n v="293.79666425470577"/>
    <n v="1482.3977011025277"/>
    <n v="16817307.989999983"/>
    <n v="299"/>
    <n v="3156997.640000002"/>
  </r>
  <r>
    <x v="0"/>
    <x v="6"/>
    <x v="7"/>
    <x v="11"/>
    <x v="1"/>
    <x v="1"/>
    <x v="0"/>
    <n v="2391"/>
    <n v="505.85440155141214"/>
    <n v="4157.6736089983278"/>
    <n v="102198059.34000009"/>
    <n v="353"/>
    <n v="12420268.779999997"/>
  </r>
  <r>
    <x v="0"/>
    <x v="6"/>
    <x v="7"/>
    <x v="11"/>
    <x v="2"/>
    <x v="2"/>
    <x v="0"/>
    <n v="1141"/>
    <n v="201.4294184321954"/>
    <n v="1158.5311642311431"/>
    <n v="22623772.599999961"/>
    <n v="201"/>
    <n v="3824011.03"/>
  </r>
  <r>
    <x v="0"/>
    <x v="6"/>
    <x v="7"/>
    <x v="11"/>
    <x v="3"/>
    <x v="3"/>
    <x v="0"/>
    <n v="3112"/>
    <n v="283.71957738316775"/>
    <n v="2479.6930913890319"/>
    <n v="33311532.379999992"/>
    <n v="288"/>
    <n v="4030271.2499999995"/>
  </r>
  <r>
    <x v="0"/>
    <x v="6"/>
    <x v="7"/>
    <x v="11"/>
    <x v="4"/>
    <x v="4"/>
    <x v="0"/>
    <n v="1613"/>
    <n v="248.02937683814324"/>
    <n v="1430.6362917623812"/>
    <n v="17549961.919999994"/>
    <n v="255"/>
    <n v="3022304.0700000003"/>
  </r>
  <r>
    <x v="0"/>
    <x v="6"/>
    <x v="7"/>
    <x v="11"/>
    <x v="5"/>
    <x v="5"/>
    <x v="0"/>
    <n v="481"/>
    <n v="98.220628747891908"/>
    <n v="380.68817614702027"/>
    <n v="5701558.4000000013"/>
    <n v="116"/>
    <n v="1616752.0900000003"/>
  </r>
  <r>
    <x v="0"/>
    <x v="6"/>
    <x v="7"/>
    <x v="11"/>
    <x v="6"/>
    <x v="6"/>
    <x v="0"/>
    <n v="1443"/>
    <n v="171.75315081050582"/>
    <n v="1494.1119369531921"/>
    <n v="20882529.430000074"/>
    <n v="195"/>
    <n v="2423142.8800000008"/>
  </r>
  <r>
    <x v="0"/>
    <x v="6"/>
    <x v="7"/>
    <x v="11"/>
    <x v="7"/>
    <x v="7"/>
    <x v="0"/>
    <n v="3781"/>
    <n v="723.72888877396713"/>
    <n v="5485.8377460669944"/>
    <n v="117894166.01000005"/>
    <n v="626"/>
    <n v="15735319.890000012"/>
  </r>
  <r>
    <x v="0"/>
    <x v="6"/>
    <x v="7"/>
    <x v="11"/>
    <x v="8"/>
    <x v="8"/>
    <x v="0"/>
    <n v="130"/>
    <n v="31.780865594860273"/>
    <n v="98.345721746297329"/>
    <n v="1507785.8600000006"/>
    <n v="40"/>
    <n v="581226.39999999991"/>
  </r>
  <r>
    <x v="0"/>
    <x v="6"/>
    <x v="7"/>
    <x v="11"/>
    <x v="9"/>
    <x v="9"/>
    <x v="0"/>
    <n v="1359"/>
    <n v="291.38012728551178"/>
    <n v="1336.0054469687175"/>
    <n v="19320807.390000012"/>
    <n v="293"/>
    <n v="4600412.0599999977"/>
  </r>
  <r>
    <x v="0"/>
    <x v="6"/>
    <x v="7"/>
    <x v="11"/>
    <x v="10"/>
    <x v="10"/>
    <x v="0"/>
    <n v="1479"/>
    <n v="278.18453345372779"/>
    <n v="1756.4199946093186"/>
    <n v="33948566.870000035"/>
    <n v="262"/>
    <n v="5118049.9400000041"/>
  </r>
  <r>
    <x v="0"/>
    <x v="0"/>
    <x v="2"/>
    <x v="11"/>
    <x v="11"/>
    <x v="11"/>
    <x v="0"/>
    <n v="367"/>
    <n v="103.41823568163321"/>
    <n v="332.49576476137207"/>
    <n v="6147855.5099999979"/>
    <n v="110"/>
    <n v="2235345.3000000007"/>
  </r>
  <r>
    <x v="0"/>
    <x v="6"/>
    <x v="7"/>
    <x v="11"/>
    <x v="12"/>
    <x v="12"/>
    <x v="0"/>
    <n v="2150"/>
    <n v="431.01436050546664"/>
    <n v="1837.1585575800605"/>
    <n v="25082639.550000012"/>
    <n v="491"/>
    <n v="5715354.0000000037"/>
  </r>
  <r>
    <x v="0"/>
    <x v="6"/>
    <x v="7"/>
    <x v="11"/>
    <x v="13"/>
    <x v="13"/>
    <x v="0"/>
    <n v="1193"/>
    <n v="189.30385058677081"/>
    <n v="1090.5128870982333"/>
    <n v="16222060.31999998"/>
    <n v="187"/>
    <n v="3042713.7099999972"/>
  </r>
  <r>
    <x v="0"/>
    <x v="6"/>
    <x v="7"/>
    <x v="11"/>
    <x v="14"/>
    <x v="14"/>
    <x v="0"/>
    <n v="178"/>
    <n v="31.193158602352316"/>
    <n v="146.58444713135418"/>
    <n v="1916152.5999999999"/>
    <n v="33"/>
    <n v="345375.04"/>
  </r>
  <r>
    <x v="0"/>
    <x v="6"/>
    <x v="7"/>
    <x v="11"/>
    <x v="15"/>
    <x v="15"/>
    <x v="0"/>
    <n v="615"/>
    <n v="137.45661924771497"/>
    <n v="538.37535413683713"/>
    <n v="7276325.2999999952"/>
    <n v="151"/>
    <n v="1600101.6600000004"/>
  </r>
  <r>
    <x v="0"/>
    <x v="6"/>
    <x v="7"/>
    <x v="11"/>
    <x v="16"/>
    <x v="16"/>
    <x v="0"/>
    <n v="1659"/>
    <n v="286.53352434729578"/>
    <n v="1672.4281706800327"/>
    <n v="22779403.729999851"/>
    <n v="293"/>
    <n v="3703661.1000000024"/>
  </r>
  <r>
    <x v="0"/>
    <x v="6"/>
    <x v="7"/>
    <x v="11"/>
    <x v="17"/>
    <x v="17"/>
    <x v="0"/>
    <n v="1202"/>
    <n v="240.46615393455849"/>
    <n v="1419.1076999093384"/>
    <n v="21027455.25999999"/>
    <n v="230"/>
    <n v="3240618.8599999985"/>
  </r>
  <r>
    <x v="0"/>
    <x v="6"/>
    <x v="7"/>
    <x v="11"/>
    <x v="18"/>
    <x v="18"/>
    <x v="0"/>
    <n v="2722"/>
    <n v="412.72991173855502"/>
    <n v="2344.457276113018"/>
    <n v="27496845.049999971"/>
    <n v="458"/>
    <n v="5025829.2799999993"/>
  </r>
  <r>
    <x v="0"/>
    <x v="6"/>
    <x v="7"/>
    <x v="11"/>
    <x v="19"/>
    <x v="19"/>
    <x v="0"/>
    <n v="1013"/>
    <n v="244.83811687882522"/>
    <n v="1353.8028257418393"/>
    <n v="20715874.569999997"/>
    <n v="220"/>
    <n v="4040132.97"/>
  </r>
  <r>
    <x v="0"/>
    <x v="6"/>
    <x v="7"/>
    <x v="11"/>
    <x v="20"/>
    <x v="20"/>
    <x v="0"/>
    <n v="1055"/>
    <n v="218.79691521079613"/>
    <n v="1056.978793525727"/>
    <n v="14276516.43999999"/>
    <n v="214"/>
    <n v="2770409.0499999993"/>
  </r>
  <r>
    <x v="0"/>
    <x v="6"/>
    <x v="7"/>
    <x v="11"/>
    <x v="21"/>
    <x v="21"/>
    <x v="0"/>
    <n v="776"/>
    <n v="136.89179525491525"/>
    <n v="589.15860248945728"/>
    <n v="6589931.3700000048"/>
    <n v="158"/>
    <n v="1399794.5900000003"/>
  </r>
  <r>
    <x v="0"/>
    <x v="6"/>
    <x v="7"/>
    <x v="11"/>
    <x v="22"/>
    <x v="22"/>
    <x v="0"/>
    <n v="1725"/>
    <n v="314.25864599385795"/>
    <n v="1846.3722804626152"/>
    <n v="33899431.139999986"/>
    <n v="348"/>
    <n v="6096509.109999992"/>
  </r>
  <r>
    <x v="0"/>
    <x v="6"/>
    <x v="7"/>
    <x v="11"/>
    <x v="23"/>
    <x v="23"/>
    <x v="0"/>
    <n v="62"/>
    <n v="9.5632038780891051"/>
    <n v="62.425110204210092"/>
    <n v="763224.6"/>
    <n v="15"/>
    <n v="100916.5"/>
  </r>
  <r>
    <x v="0"/>
    <x v="6"/>
    <x v="7"/>
    <x v="11"/>
    <x v="24"/>
    <x v="24"/>
    <x v="0"/>
    <n v="488"/>
    <n v="98.869770739616698"/>
    <n v="405.49499283078512"/>
    <n v="6680864.3300000066"/>
    <n v="113"/>
    <n v="1449185.52"/>
  </r>
  <r>
    <x v="0"/>
    <x v="6"/>
    <x v="7"/>
    <x v="11"/>
    <x v="25"/>
    <x v="25"/>
    <x v="0"/>
    <n v="969"/>
    <n v="195.87773850296779"/>
    <n v="821.35318852945863"/>
    <n v="10825428.289999992"/>
    <n v="218"/>
    <n v="2510762.6300000008"/>
  </r>
  <r>
    <x v="0"/>
    <x v="6"/>
    <x v="7"/>
    <x v="11"/>
    <x v="26"/>
    <x v="26"/>
    <x v="0"/>
    <n v="759"/>
    <n v="124.19821841673196"/>
    <n v="554.19372093518416"/>
    <n v="9456631.5800000019"/>
    <n v="162"/>
    <n v="2167855.8199999998"/>
  </r>
  <r>
    <x v="0"/>
    <x v="6"/>
    <x v="7"/>
    <x v="11"/>
    <x v="27"/>
    <x v="27"/>
    <x v="0"/>
    <n v="589"/>
    <n v="135.27054527558278"/>
    <n v="566.60217377700394"/>
    <n v="8522470.3399999943"/>
    <n v="133"/>
    <n v="2038501.5699999996"/>
  </r>
  <r>
    <x v="0"/>
    <x v="6"/>
    <x v="7"/>
    <x v="11"/>
    <x v="28"/>
    <x v="28"/>
    <x v="0"/>
    <n v="686"/>
    <n v="78.580184998266617"/>
    <n v="635.82122389460301"/>
    <n v="11208298.920000006"/>
    <n v="90"/>
    <n v="1466759.7"/>
  </r>
  <r>
    <x v="0"/>
    <x v="6"/>
    <x v="7"/>
    <x v="11"/>
    <x v="29"/>
    <x v="29"/>
    <x v="0"/>
    <n v="503"/>
    <n v="134.23554228877697"/>
    <n v="469.54163201432408"/>
    <n v="10390493.4"/>
    <n v="138"/>
    <n v="2771399.3899999997"/>
  </r>
  <r>
    <x v="0"/>
    <x v="6"/>
    <x v="7"/>
    <x v="11"/>
    <x v="30"/>
    <x v="30"/>
    <x v="0"/>
    <n v="620"/>
    <n v="119.89961447153006"/>
    <n v="500.6989376171332"/>
    <n v="6718285.8299999991"/>
    <n v="122"/>
    <n v="1489082.1200000003"/>
  </r>
  <r>
    <x v="0"/>
    <x v="6"/>
    <x v="7"/>
    <x v="11"/>
    <x v="31"/>
    <x v="31"/>
    <x v="0"/>
    <n v="879"/>
    <n v="217.89267222232323"/>
    <n v="832.63787638560393"/>
    <n v="12558702.239999991"/>
    <n v="241"/>
    <n v="3585351.0799999977"/>
  </r>
  <r>
    <x v="0"/>
    <x v="6"/>
    <x v="7"/>
    <x v="11"/>
    <x v="32"/>
    <x v="32"/>
    <x v="0"/>
    <n v="1892"/>
    <n v="405.14365183526411"/>
    <n v="1846.308444463416"/>
    <n v="25870192.020000007"/>
    <n v="385"/>
    <n v="5685246.9600000009"/>
  </r>
  <r>
    <x v="0"/>
    <x v="6"/>
    <x v="7"/>
    <x v="11"/>
    <x v="33"/>
    <x v="33"/>
    <x v="0"/>
    <n v="2005"/>
    <n v="243.76198589254355"/>
    <n v="1605.1458805377445"/>
    <n v="22201126.689999953"/>
    <n v="258"/>
    <n v="3812598.5900000022"/>
  </r>
  <r>
    <x v="0"/>
    <x v="6"/>
    <x v="7"/>
    <x v="11"/>
    <x v="34"/>
    <x v="34"/>
    <x v="0"/>
    <n v="8"/>
    <n v="2.3322679702684499"/>
    <n v="4.6526409406885367"/>
    <n v="86039.85"/>
    <n v="4"/>
    <n v="37861.78"/>
  </r>
  <r>
    <x v="0"/>
    <x v="6"/>
    <x v="7"/>
    <x v="11"/>
    <x v="35"/>
    <x v="35"/>
    <x v="0"/>
    <n v="1718"/>
    <n v="272.01006653243945"/>
    <n v="1383.1553633676679"/>
    <n v="16434733.409999978"/>
    <n v="289"/>
    <n v="3101508.4899999979"/>
  </r>
  <r>
    <x v="0"/>
    <x v="6"/>
    <x v="7"/>
    <x v="11"/>
    <x v="36"/>
    <x v="36"/>
    <x v="0"/>
    <n v="1452"/>
    <n v="301.9627691506048"/>
    <n v="1251.5503250453487"/>
    <n v="14761277.300000023"/>
    <n v="324"/>
    <n v="3548602.3299999996"/>
  </r>
  <r>
    <x v="0"/>
    <x v="6"/>
    <x v="7"/>
    <x v="11"/>
    <x v="37"/>
    <x v="37"/>
    <x v="0"/>
    <n v="1142"/>
    <n v="299.97122117599332"/>
    <n v="1080.3402292279154"/>
    <n v="12842995.149999995"/>
    <n v="346"/>
    <n v="3246681.9100000011"/>
  </r>
  <r>
    <x v="0"/>
    <x v="6"/>
    <x v="7"/>
    <x v="11"/>
    <x v="38"/>
    <x v="38"/>
    <x v="0"/>
    <n v="39"/>
    <n v="9.9516998731365902"/>
    <n v="22.666053711055113"/>
    <n v="246887.95000000007"/>
    <n v="16"/>
    <n v="117668.42000000001"/>
  </r>
  <r>
    <x v="0"/>
    <x v="6"/>
    <x v="7"/>
    <x v="11"/>
    <x v="39"/>
    <x v="39"/>
    <x v="0"/>
    <n v="892"/>
    <n v="256.18745373414498"/>
    <n v="894.07549260240273"/>
    <n v="12680558.220000012"/>
    <n v="287"/>
    <n v="3699560.1100000003"/>
  </r>
  <r>
    <x v="0"/>
    <x v="6"/>
    <x v="7"/>
    <x v="11"/>
    <x v="40"/>
    <x v="40"/>
    <x v="0"/>
    <n v="2216"/>
    <n v="232.52817803575115"/>
    <n v="1726.6315129890668"/>
    <n v="24440329.119999871"/>
    <n v="268"/>
    <n v="3516736.1099999994"/>
  </r>
  <r>
    <x v="0"/>
    <x v="6"/>
    <x v="7"/>
    <x v="11"/>
    <x v="41"/>
    <x v="41"/>
    <x v="0"/>
    <n v="169"/>
    <n v="0"/>
    <n v="309.48883905466278"/>
    <n v="5650449.6299999999"/>
    <n v="0"/>
    <n v="0"/>
  </r>
  <r>
    <x v="0"/>
    <x v="6"/>
    <x v="7"/>
    <x v="11"/>
    <x v="42"/>
    <x v="42"/>
    <x v="0"/>
    <n v="214"/>
    <n v="52.126485335496099"/>
    <n v="163.1001979208128"/>
    <n v="1795578.9000000001"/>
    <n v="72"/>
    <n v="592114.75999999989"/>
  </r>
  <r>
    <x v="0"/>
    <x v="6"/>
    <x v="7"/>
    <x v="11"/>
    <x v="43"/>
    <x v="43"/>
    <x v="0"/>
    <n v="304"/>
    <n v="72.41791507682268"/>
    <n v="291.89151927899212"/>
    <n v="3548179.069999998"/>
    <n v="77"/>
    <n v="824887.64"/>
  </r>
  <r>
    <x v="0"/>
    <x v="6"/>
    <x v="7"/>
    <x v="11"/>
    <x v="44"/>
    <x v="44"/>
    <x v="0"/>
    <n v="1089"/>
    <n v="221.73744417331034"/>
    <n v="918.83094528682216"/>
    <n v="14321045.410000009"/>
    <n v="235"/>
    <n v="3399944.3999999985"/>
  </r>
  <r>
    <x v="0"/>
    <x v="6"/>
    <x v="7"/>
    <x v="11"/>
    <x v="45"/>
    <x v="45"/>
    <x v="0"/>
    <n v="1460"/>
    <n v="182.46102167400267"/>
    <n v="1533.6657364489643"/>
    <n v="22588892.699999973"/>
    <n v="203"/>
    <n v="2704817.649999998"/>
  </r>
  <r>
    <x v="0"/>
    <x v="6"/>
    <x v="7"/>
    <x v="11"/>
    <x v="46"/>
    <x v="46"/>
    <x v="0"/>
    <n v="104"/>
    <n v="15.316151804751021"/>
    <n v="126.87430638261726"/>
    <n v="4602002.8"/>
    <n v="17"/>
    <n v="626640.28"/>
  </r>
  <r>
    <x v="0"/>
    <x v="6"/>
    <x v="7"/>
    <x v="11"/>
    <x v="47"/>
    <x v="47"/>
    <x v="0"/>
    <n v="553"/>
    <n v="94.45552379588915"/>
    <n v="452.37399823317543"/>
    <n v="6255669.8100000042"/>
    <n v="95"/>
    <n v="1259011.1500000004"/>
  </r>
  <r>
    <x v="0"/>
    <x v="7"/>
    <x v="7"/>
    <x v="1"/>
    <x v="0"/>
    <x v="0"/>
    <x v="0"/>
    <n v="1556"/>
    <n v="327.83081482084151"/>
    <n v="1468.9427252740529"/>
    <n v="17061703.279999994"/>
    <n v="312"/>
    <n v="3703228.8600000013"/>
  </r>
  <r>
    <x v="0"/>
    <x v="7"/>
    <x v="7"/>
    <x v="1"/>
    <x v="1"/>
    <x v="1"/>
    <x v="0"/>
    <n v="2566"/>
    <n v="477.52996091248974"/>
    <n v="4472.8207139808655"/>
    <n v="100364974.43999974"/>
    <n v="397"/>
    <n v="11320221.940000003"/>
  </r>
  <r>
    <x v="0"/>
    <x v="7"/>
    <x v="7"/>
    <x v="1"/>
    <x v="2"/>
    <x v="2"/>
    <x v="0"/>
    <n v="1100"/>
    <n v="202.9348254130044"/>
    <n v="1279.4537186896364"/>
    <n v="21758608.769999977"/>
    <n v="189"/>
    <n v="3466914.8599999975"/>
  </r>
  <r>
    <x v="0"/>
    <x v="7"/>
    <x v="7"/>
    <x v="1"/>
    <x v="3"/>
    <x v="3"/>
    <x v="0"/>
    <n v="3252"/>
    <n v="367.34834631707554"/>
    <n v="2584.152411057376"/>
    <n v="33942596.010000043"/>
    <n v="360"/>
    <n v="5208560.1099999966"/>
  </r>
  <r>
    <x v="0"/>
    <x v="7"/>
    <x v="7"/>
    <x v="1"/>
    <x v="4"/>
    <x v="4"/>
    <x v="0"/>
    <n v="1659"/>
    <n v="262.87827964885082"/>
    <n v="1457.0985514250415"/>
    <n v="18293745.980000038"/>
    <n v="277"/>
    <n v="3591284.8899999992"/>
  </r>
  <r>
    <x v="0"/>
    <x v="7"/>
    <x v="7"/>
    <x v="1"/>
    <x v="5"/>
    <x v="5"/>
    <x v="0"/>
    <n v="469"/>
    <n v="114.08406954566615"/>
    <n v="385.50027908567557"/>
    <n v="5888862.1600000048"/>
    <n v="120"/>
    <n v="1687041.7499999991"/>
  </r>
  <r>
    <x v="0"/>
    <x v="7"/>
    <x v="7"/>
    <x v="1"/>
    <x v="6"/>
    <x v="6"/>
    <x v="0"/>
    <n v="1413"/>
    <n v="195.15935951212552"/>
    <n v="1454.6360314564283"/>
    <n v="20600673.529999975"/>
    <n v="206"/>
    <n v="2888102.5300000003"/>
  </r>
  <r>
    <x v="0"/>
    <x v="7"/>
    <x v="7"/>
    <x v="1"/>
    <x v="7"/>
    <x v="7"/>
    <x v="0"/>
    <n v="3992"/>
    <n v="775.06119711958706"/>
    <n v="5759.6196755768515"/>
    <n v="131959845.53000005"/>
    <n v="653"/>
    <n v="20819372.649999976"/>
  </r>
  <r>
    <x v="0"/>
    <x v="7"/>
    <x v="7"/>
    <x v="1"/>
    <x v="8"/>
    <x v="8"/>
    <x v="0"/>
    <n v="128"/>
    <n v="22.242442716455272"/>
    <n v="90.786055842667238"/>
    <n v="1512300.5899999996"/>
    <n v="28"/>
    <n v="373529.90000000008"/>
  </r>
  <r>
    <x v="0"/>
    <x v="7"/>
    <x v="7"/>
    <x v="1"/>
    <x v="9"/>
    <x v="9"/>
    <x v="0"/>
    <n v="1430"/>
    <n v="311.89334502401084"/>
    <n v="1384.1825443545631"/>
    <n v="19997860.529999997"/>
    <n v="311"/>
    <n v="4841721.3900000043"/>
  </r>
  <r>
    <x v="0"/>
    <x v="7"/>
    <x v="7"/>
    <x v="1"/>
    <x v="10"/>
    <x v="10"/>
    <x v="0"/>
    <n v="1551"/>
    <n v="275.06783149345949"/>
    <n v="1847.6095734468404"/>
    <n v="39208420.989999972"/>
    <n v="253"/>
    <n v="5912079.6400000025"/>
  </r>
  <r>
    <x v="0"/>
    <x v="2"/>
    <x v="2"/>
    <x v="1"/>
    <x v="11"/>
    <x v="11"/>
    <x v="0"/>
    <n v="386"/>
    <n v="84.464708923251223"/>
    <n v="333.14786275305909"/>
    <n v="5291210.8800000036"/>
    <n v="100"/>
    <n v="1433416.7000000007"/>
  </r>
  <r>
    <x v="0"/>
    <x v="7"/>
    <x v="7"/>
    <x v="1"/>
    <x v="12"/>
    <x v="12"/>
    <x v="0"/>
    <n v="2262"/>
    <n v="475.65752993635908"/>
    <n v="1944.0334642176269"/>
    <n v="27435370.369999941"/>
    <n v="539"/>
    <n v="6269897.6800000016"/>
  </r>
  <r>
    <x v="0"/>
    <x v="7"/>
    <x v="7"/>
    <x v="1"/>
    <x v="13"/>
    <x v="13"/>
    <x v="0"/>
    <n v="1261"/>
    <n v="220.89952618399209"/>
    <n v="1167.4233501177873"/>
    <n v="17929296.069999974"/>
    <n v="192"/>
    <n v="3538685.8600000008"/>
  </r>
  <r>
    <x v="0"/>
    <x v="7"/>
    <x v="7"/>
    <x v="1"/>
    <x v="14"/>
    <x v="14"/>
    <x v="0"/>
    <n v="185"/>
    <n v="21.630294724258878"/>
    <n v="148.51708310671737"/>
    <n v="1871838.7799999996"/>
    <n v="25"/>
    <n v="222159.75"/>
  </r>
  <r>
    <x v="0"/>
    <x v="7"/>
    <x v="7"/>
    <x v="1"/>
    <x v="15"/>
    <x v="15"/>
    <x v="0"/>
    <n v="628"/>
    <n v="116.0357985207857"/>
    <n v="560.41323985589986"/>
    <n v="7961252.1399999987"/>
    <n v="116"/>
    <n v="1567762.3900000004"/>
  </r>
  <r>
    <x v="0"/>
    <x v="7"/>
    <x v="7"/>
    <x v="1"/>
    <x v="16"/>
    <x v="16"/>
    <x v="0"/>
    <n v="1707"/>
    <n v="348.76594855396223"/>
    <n v="1798.1016010779606"/>
    <n v="22901656.409999929"/>
    <n v="329"/>
    <n v="4325314.870000001"/>
  </r>
  <r>
    <x v="0"/>
    <x v="7"/>
    <x v="7"/>
    <x v="1"/>
    <x v="17"/>
    <x v="17"/>
    <x v="0"/>
    <n v="1284"/>
    <n v="206.49765236758586"/>
    <n v="1461.5461213683359"/>
    <n v="19185659.760000024"/>
    <n v="213"/>
    <n v="2457339.4699999983"/>
  </r>
  <r>
    <x v="0"/>
    <x v="7"/>
    <x v="7"/>
    <x v="1"/>
    <x v="18"/>
    <x v="18"/>
    <x v="0"/>
    <n v="2866"/>
    <n v="432.81550448250584"/>
    <n v="2505.6437850582138"/>
    <n v="29027476.669999838"/>
    <n v="485"/>
    <n v="5531283.280000004"/>
  </r>
  <r>
    <x v="0"/>
    <x v="7"/>
    <x v="7"/>
    <x v="1"/>
    <x v="19"/>
    <x v="19"/>
    <x v="0"/>
    <n v="1031"/>
    <n v="215.26657325580047"/>
    <n v="1315.3155042324724"/>
    <n v="20993507.040000051"/>
    <n v="231"/>
    <n v="3403048.8099999987"/>
  </r>
  <r>
    <x v="0"/>
    <x v="7"/>
    <x v="7"/>
    <x v="1"/>
    <x v="20"/>
    <x v="20"/>
    <x v="0"/>
    <n v="1091"/>
    <n v="196.61890049351925"/>
    <n v="1073.6758533128752"/>
    <n v="14589993.570000004"/>
    <n v="202"/>
    <n v="2606166.4800000004"/>
  </r>
  <r>
    <x v="0"/>
    <x v="7"/>
    <x v="7"/>
    <x v="1"/>
    <x v="21"/>
    <x v="21"/>
    <x v="0"/>
    <n v="788"/>
    <n v="147.06462012523303"/>
    <n v="617.2954551307713"/>
    <n v="7872542.0199999949"/>
    <n v="159"/>
    <n v="1919053.0600000003"/>
  </r>
  <r>
    <x v="0"/>
    <x v="7"/>
    <x v="7"/>
    <x v="1"/>
    <x v="22"/>
    <x v="22"/>
    <x v="0"/>
    <n v="1865"/>
    <n v="311.52470402871006"/>
    <n v="1973.1997328458317"/>
    <n v="36564664.460000031"/>
    <n v="349"/>
    <n v="6077288.7100000018"/>
  </r>
  <r>
    <x v="0"/>
    <x v="7"/>
    <x v="7"/>
    <x v="1"/>
    <x v="23"/>
    <x v="23"/>
    <x v="0"/>
    <n v="55"/>
    <n v="11.680747851094837"/>
    <n v="44.842211428355384"/>
    <n v="574776.82999999996"/>
    <n v="17"/>
    <n v="158522.07000000004"/>
  </r>
  <r>
    <x v="0"/>
    <x v="7"/>
    <x v="7"/>
    <x v="1"/>
    <x v="24"/>
    <x v="24"/>
    <x v="0"/>
    <n v="482"/>
    <n v="91.28116383635566"/>
    <n v="399.78212690361192"/>
    <n v="5872075.4500000132"/>
    <n v="90"/>
    <n v="1403387.8499999994"/>
  </r>
  <r>
    <x v="0"/>
    <x v="7"/>
    <x v="7"/>
    <x v="1"/>
    <x v="25"/>
    <x v="25"/>
    <x v="0"/>
    <n v="1003"/>
    <n v="220.2192051926647"/>
    <n v="879.28763279091436"/>
    <n v="12783448.600000003"/>
    <n v="246"/>
    <n v="3152777.9700000011"/>
  </r>
  <r>
    <x v="0"/>
    <x v="7"/>
    <x v="7"/>
    <x v="1"/>
    <x v="26"/>
    <x v="26"/>
    <x v="0"/>
    <n v="768"/>
    <n v="147.81162511571029"/>
    <n v="585.2454375393396"/>
    <n v="10190627.619999981"/>
    <n v="176"/>
    <n v="2939319.8699999987"/>
  </r>
  <r>
    <x v="0"/>
    <x v="7"/>
    <x v="7"/>
    <x v="1"/>
    <x v="27"/>
    <x v="27"/>
    <x v="0"/>
    <n v="657"/>
    <n v="152.27082105886475"/>
    <n v="624.87340303416613"/>
    <n v="8311246.5900000073"/>
    <n v="151"/>
    <n v="1928059.0399999998"/>
  </r>
  <r>
    <x v="0"/>
    <x v="7"/>
    <x v="7"/>
    <x v="1"/>
    <x v="28"/>
    <x v="28"/>
    <x v="0"/>
    <n v="726"/>
    <n v="87.794883880798423"/>
    <n v="660.84799457556426"/>
    <n v="11401587.139999989"/>
    <n v="104"/>
    <n v="1647191.5300000005"/>
  </r>
  <r>
    <x v="0"/>
    <x v="7"/>
    <x v="7"/>
    <x v="1"/>
    <x v="29"/>
    <x v="29"/>
    <x v="0"/>
    <n v="557"/>
    <n v="123.03285743158773"/>
    <n v="486.45314779873723"/>
    <n v="9893210.3099999931"/>
    <n v="145"/>
    <n v="2360583.9800000004"/>
  </r>
  <r>
    <x v="0"/>
    <x v="7"/>
    <x v="7"/>
    <x v="1"/>
    <x v="30"/>
    <x v="30"/>
    <x v="0"/>
    <n v="663"/>
    <n v="119.04146348246968"/>
    <n v="542.72221908142274"/>
    <n v="7224861.620000002"/>
    <n v="123"/>
    <n v="1514396.38"/>
  </r>
  <r>
    <x v="0"/>
    <x v="7"/>
    <x v="7"/>
    <x v="1"/>
    <x v="31"/>
    <x v="31"/>
    <x v="0"/>
    <n v="875"/>
    <n v="241.16527792564631"/>
    <n v="850.38637315934807"/>
    <n v="11540105.079999993"/>
    <n v="255"/>
    <n v="3041383.9799999995"/>
  </r>
  <r>
    <x v="0"/>
    <x v="7"/>
    <x v="7"/>
    <x v="1"/>
    <x v="32"/>
    <x v="32"/>
    <x v="0"/>
    <n v="1833"/>
    <n v="360.35631940620925"/>
    <n v="1773.6794733892821"/>
    <n v="23815297.29000001"/>
    <n v="343"/>
    <n v="4657755.4700000035"/>
  </r>
  <r>
    <x v="0"/>
    <x v="7"/>
    <x v="7"/>
    <x v="1"/>
    <x v="33"/>
    <x v="33"/>
    <x v="0"/>
    <n v="2071"/>
    <n v="287.51243233481671"/>
    <n v="1666.6214687540642"/>
    <n v="21692655.2900001"/>
    <n v="297"/>
    <n v="4051800.9900000012"/>
  </r>
  <r>
    <x v="0"/>
    <x v="7"/>
    <x v="7"/>
    <x v="1"/>
    <x v="34"/>
    <x v="34"/>
    <x v="0"/>
    <n v="13"/>
    <n v="3.4536559559730926"/>
    <n v="7.5314109039902268"/>
    <n v="127954.53000000003"/>
    <n v="6"/>
    <n v="77488.399999999994"/>
  </r>
  <r>
    <x v="0"/>
    <x v="7"/>
    <x v="7"/>
    <x v="1"/>
    <x v="35"/>
    <x v="35"/>
    <x v="0"/>
    <n v="1785"/>
    <n v="264.91112362293592"/>
    <n v="1430.3425957661282"/>
    <n v="17541345.779999983"/>
    <n v="271"/>
    <n v="2900965.0400000019"/>
  </r>
  <r>
    <x v="0"/>
    <x v="7"/>
    <x v="7"/>
    <x v="1"/>
    <x v="36"/>
    <x v="36"/>
    <x v="0"/>
    <n v="1400"/>
    <n v="271.40991554008997"/>
    <n v="1226.2335693680845"/>
    <n v="15655617.300000021"/>
    <n v="272"/>
    <n v="3585687.4199999995"/>
  </r>
  <r>
    <x v="0"/>
    <x v="7"/>
    <x v="7"/>
    <x v="1"/>
    <x v="37"/>
    <x v="37"/>
    <x v="0"/>
    <n v="1184"/>
    <n v="304.78177411466828"/>
    <n v="1147.5446123712013"/>
    <n v="14529847.23000001"/>
    <n v="331"/>
    <n v="3619134.1699999976"/>
  </r>
  <r>
    <x v="0"/>
    <x v="7"/>
    <x v="7"/>
    <x v="1"/>
    <x v="38"/>
    <x v="38"/>
    <x v="0"/>
    <n v="36"/>
    <n v="9.9632128729898231"/>
    <n v="20.375765740251499"/>
    <n v="198035.22"/>
    <n v="16"/>
    <n v="94271.11"/>
  </r>
  <r>
    <x v="0"/>
    <x v="7"/>
    <x v="7"/>
    <x v="1"/>
    <x v="39"/>
    <x v="39"/>
    <x v="0"/>
    <n v="799"/>
    <n v="234.23158101403629"/>
    <n v="805.48716173171863"/>
    <n v="12745095.969999986"/>
    <n v="241"/>
    <n v="3743065.9699999983"/>
  </r>
  <r>
    <x v="0"/>
    <x v="7"/>
    <x v="7"/>
    <x v="1"/>
    <x v="40"/>
    <x v="40"/>
    <x v="0"/>
    <n v="2252"/>
    <n v="228.80451108322006"/>
    <n v="1812.287176897137"/>
    <n v="26464643.629999883"/>
    <n v="238"/>
    <n v="3424656.0400000024"/>
  </r>
  <r>
    <x v="0"/>
    <x v="7"/>
    <x v="7"/>
    <x v="1"/>
    <x v="41"/>
    <x v="41"/>
    <x v="0"/>
    <n v="162"/>
    <n v="0"/>
    <n v="311.13795003364004"/>
    <n v="4996683.3699999982"/>
    <n v="0"/>
    <n v="0"/>
  </r>
  <r>
    <x v="0"/>
    <x v="7"/>
    <x v="7"/>
    <x v="1"/>
    <x v="42"/>
    <x v="42"/>
    <x v="0"/>
    <n v="197"/>
    <n v="39.752748493235416"/>
    <n v="154.49957203045284"/>
    <n v="1958481.2300000009"/>
    <n v="56"/>
    <n v="499200.6700000001"/>
  </r>
  <r>
    <x v="0"/>
    <x v="7"/>
    <x v="7"/>
    <x v="1"/>
    <x v="43"/>
    <x v="43"/>
    <x v="0"/>
    <n v="350"/>
    <n v="73.837019058732082"/>
    <n v="348.17166856153801"/>
    <n v="3996426.5400000019"/>
    <n v="78"/>
    <n v="742246.64999999991"/>
  </r>
  <r>
    <x v="0"/>
    <x v="7"/>
    <x v="7"/>
    <x v="1"/>
    <x v="44"/>
    <x v="44"/>
    <x v="0"/>
    <n v="1195"/>
    <n v="226.71417910986756"/>
    <n v="1029.4749568763411"/>
    <n v="16400467.870000003"/>
    <n v="237"/>
    <n v="3442875.5400000014"/>
  </r>
  <r>
    <x v="0"/>
    <x v="7"/>
    <x v="7"/>
    <x v="1"/>
    <x v="45"/>
    <x v="45"/>
    <x v="0"/>
    <n v="1452"/>
    <n v="201.58766443017808"/>
    <n v="1521.0421346098904"/>
    <n v="19991135.650000013"/>
    <n v="214"/>
    <n v="2484571.7399999998"/>
  </r>
  <r>
    <x v="0"/>
    <x v="7"/>
    <x v="7"/>
    <x v="1"/>
    <x v="46"/>
    <x v="46"/>
    <x v="0"/>
    <n v="111"/>
    <n v="9.4784448791696043"/>
    <n v="127.18462237866132"/>
    <n v="4383272.2399999993"/>
    <n v="11"/>
    <n v="375598.91000000003"/>
  </r>
  <r>
    <x v="0"/>
    <x v="7"/>
    <x v="7"/>
    <x v="1"/>
    <x v="47"/>
    <x v="47"/>
    <x v="0"/>
    <n v="604"/>
    <n v="99.212796735243856"/>
    <n v="515.01435243464164"/>
    <n v="7211492.5400000056"/>
    <n v="105"/>
    <n v="1422651.2799999998"/>
  </r>
  <r>
    <x v="0"/>
    <x v="7"/>
    <x v="7"/>
    <x v="3"/>
    <x v="0"/>
    <x v="0"/>
    <x v="0"/>
    <n v="1530"/>
    <n v="272.53737352571733"/>
    <n v="1398.3895811734576"/>
    <n v="18300490.309999991"/>
    <n v="270"/>
    <n v="3537657.9300000016"/>
  </r>
  <r>
    <x v="0"/>
    <x v="7"/>
    <x v="7"/>
    <x v="3"/>
    <x v="1"/>
    <x v="1"/>
    <x v="0"/>
    <n v="2610"/>
    <n v="494.13065070086543"/>
    <n v="4496.3051396814762"/>
    <n v="108333543.07999994"/>
    <n v="361"/>
    <n v="11763678.340000002"/>
  </r>
  <r>
    <x v="0"/>
    <x v="7"/>
    <x v="7"/>
    <x v="3"/>
    <x v="2"/>
    <x v="2"/>
    <x v="0"/>
    <n v="1187"/>
    <n v="231.22976305230293"/>
    <n v="1200.4630826966002"/>
    <n v="21671962.400000021"/>
    <n v="202"/>
    <n v="3936483.8899999987"/>
  </r>
  <r>
    <x v="0"/>
    <x v="7"/>
    <x v="7"/>
    <x v="3"/>
    <x v="3"/>
    <x v="3"/>
    <x v="0"/>
    <n v="3275"/>
    <n v="339.77819666853753"/>
    <n v="2587.9956260083836"/>
    <n v="33288558.140000131"/>
    <n v="332"/>
    <n v="4558653.4899999984"/>
  </r>
  <r>
    <x v="0"/>
    <x v="7"/>
    <x v="7"/>
    <x v="3"/>
    <x v="4"/>
    <x v="4"/>
    <x v="0"/>
    <n v="1657"/>
    <n v="239.27061094979911"/>
    <n v="1509.5291567566558"/>
    <n v="20926357.860000003"/>
    <n v="242"/>
    <n v="3109161.680000002"/>
  </r>
  <r>
    <x v="0"/>
    <x v="7"/>
    <x v="7"/>
    <x v="3"/>
    <x v="5"/>
    <x v="5"/>
    <x v="0"/>
    <n v="462"/>
    <n v="98.458801744855705"/>
    <n v="371.95889025830047"/>
    <n v="6289637.9099999964"/>
    <n v="113"/>
    <n v="1772421.6700000009"/>
  </r>
  <r>
    <x v="0"/>
    <x v="7"/>
    <x v="7"/>
    <x v="3"/>
    <x v="6"/>
    <x v="6"/>
    <x v="0"/>
    <n v="1503"/>
    <n v="171.8621378091164"/>
    <n v="1596.0999676530589"/>
    <n v="22530152.489999976"/>
    <n v="178"/>
    <n v="2434628.5699999994"/>
  </r>
  <r>
    <x v="0"/>
    <x v="7"/>
    <x v="7"/>
    <x v="3"/>
    <x v="7"/>
    <x v="7"/>
    <x v="0"/>
    <n v="3954"/>
    <n v="836.4166073374339"/>
    <n v="5666.1221067687447"/>
    <n v="134712499.02999991"/>
    <n v="713"/>
    <n v="20265322.750000004"/>
  </r>
  <r>
    <x v="0"/>
    <x v="7"/>
    <x v="7"/>
    <x v="3"/>
    <x v="8"/>
    <x v="8"/>
    <x v="0"/>
    <n v="137"/>
    <n v="24.788213684001999"/>
    <n v="95.379360784112166"/>
    <n v="1648771.9800000009"/>
    <n v="33"/>
    <n v="372841.1100000001"/>
  </r>
  <r>
    <x v="0"/>
    <x v="7"/>
    <x v="7"/>
    <x v="3"/>
    <x v="9"/>
    <x v="9"/>
    <x v="0"/>
    <n v="1412"/>
    <n v="309.46244105499972"/>
    <n v="1337.874446944895"/>
    <n v="20881079.250000015"/>
    <n v="313"/>
    <n v="5191745.120000002"/>
  </r>
  <r>
    <x v="0"/>
    <x v="7"/>
    <x v="7"/>
    <x v="3"/>
    <x v="10"/>
    <x v="10"/>
    <x v="0"/>
    <n v="1648"/>
    <n v="282.02047040482773"/>
    <n v="1951.4607471229583"/>
    <n v="35886732.690000057"/>
    <n v="263"/>
    <n v="5467852.7000000011"/>
  </r>
  <r>
    <x v="0"/>
    <x v="2"/>
    <x v="2"/>
    <x v="3"/>
    <x v="11"/>
    <x v="11"/>
    <x v="0"/>
    <n v="369"/>
    <n v="86.856402892762048"/>
    <n v="335.43967572384361"/>
    <n v="5416779.580000001"/>
    <n v="92"/>
    <n v="1503324.2900000003"/>
  </r>
  <r>
    <x v="0"/>
    <x v="7"/>
    <x v="7"/>
    <x v="3"/>
    <x v="12"/>
    <x v="12"/>
    <x v="0"/>
    <n v="2261"/>
    <n v="443.32701434850583"/>
    <n v="1977.5926037898171"/>
    <n v="28105275.199999984"/>
    <n v="478"/>
    <n v="5842887.4800000004"/>
  </r>
  <r>
    <x v="0"/>
    <x v="7"/>
    <x v="7"/>
    <x v="3"/>
    <x v="13"/>
    <x v="13"/>
    <x v="0"/>
    <n v="1108"/>
    <n v="200.96640543809781"/>
    <n v="1002.2328952236153"/>
    <n v="17026286.779999994"/>
    <n v="195"/>
    <n v="3529303.5000000005"/>
  </r>
  <r>
    <x v="0"/>
    <x v="7"/>
    <x v="7"/>
    <x v="3"/>
    <x v="14"/>
    <x v="14"/>
    <x v="0"/>
    <n v="178"/>
    <n v="36.57099053379617"/>
    <n v="141.64419319433227"/>
    <n v="1721069.2999999996"/>
    <n v="33"/>
    <n v="315265.08"/>
  </r>
  <r>
    <x v="0"/>
    <x v="7"/>
    <x v="7"/>
    <x v="3"/>
    <x v="15"/>
    <x v="15"/>
    <x v="0"/>
    <n v="652"/>
    <n v="125.61370539868739"/>
    <n v="565.81622678702274"/>
    <n v="8428097.8200000003"/>
    <n v="129"/>
    <n v="1770527.0599999991"/>
  </r>
  <r>
    <x v="0"/>
    <x v="7"/>
    <x v="7"/>
    <x v="3"/>
    <x v="16"/>
    <x v="16"/>
    <x v="0"/>
    <n v="1780"/>
    <n v="308.82331206314717"/>
    <n v="1774.8744273740604"/>
    <n v="22613876.170000125"/>
    <n v="320"/>
    <n v="3747431.1599999988"/>
  </r>
  <r>
    <x v="0"/>
    <x v="7"/>
    <x v="7"/>
    <x v="3"/>
    <x v="17"/>
    <x v="17"/>
    <x v="0"/>
    <n v="1241"/>
    <n v="218.74663121143689"/>
    <n v="1387.470549312646"/>
    <n v="17538188.820000004"/>
    <n v="225"/>
    <n v="2586166.71"/>
  </r>
  <r>
    <x v="0"/>
    <x v="7"/>
    <x v="7"/>
    <x v="3"/>
    <x v="18"/>
    <x v="18"/>
    <x v="0"/>
    <n v="2988"/>
    <n v="425.46928157615491"/>
    <n v="2532.5563727151289"/>
    <n v="30249447.429999907"/>
    <n v="472"/>
    <n v="5444700.669999999"/>
  </r>
  <r>
    <x v="0"/>
    <x v="7"/>
    <x v="7"/>
    <x v="3"/>
    <x v="19"/>
    <x v="19"/>
    <x v="0"/>
    <n v="929"/>
    <n v="219.25898820490562"/>
    <n v="1248.5078310841318"/>
    <n v="20647537.650000021"/>
    <n v="206"/>
    <n v="3829513.8900000011"/>
  </r>
  <r>
    <x v="0"/>
    <x v="7"/>
    <x v="7"/>
    <x v="3"/>
    <x v="20"/>
    <x v="20"/>
    <x v="0"/>
    <n v="1145"/>
    <n v="220.834974184815"/>
    <n v="1136.08661551727"/>
    <n v="16221289.439999973"/>
    <n v="222"/>
    <n v="2747685.8099999996"/>
  </r>
  <r>
    <x v="0"/>
    <x v="7"/>
    <x v="7"/>
    <x v="3"/>
    <x v="21"/>
    <x v="21"/>
    <x v="0"/>
    <n v="829"/>
    <n v="103.93880367499709"/>
    <n v="606.0656302739277"/>
    <n v="7663438.3699999908"/>
    <n v="130"/>
    <n v="1379764.2700000003"/>
  </r>
  <r>
    <x v="0"/>
    <x v="7"/>
    <x v="7"/>
    <x v="3"/>
    <x v="22"/>
    <x v="22"/>
    <x v="0"/>
    <n v="1833"/>
    <n v="387.84515505578344"/>
    <n v="1869.3504031696907"/>
    <n v="30926524.800000045"/>
    <n v="387"/>
    <n v="6480763.1800000034"/>
  </r>
  <r>
    <x v="0"/>
    <x v="7"/>
    <x v="7"/>
    <x v="3"/>
    <x v="23"/>
    <x v="23"/>
    <x v="0"/>
    <n v="70"/>
    <n v="22.50900871305711"/>
    <n v="70.974859095218662"/>
    <n v="1134929.24"/>
    <n v="23"/>
    <n v="280000.05"/>
  </r>
  <r>
    <x v="0"/>
    <x v="7"/>
    <x v="7"/>
    <x v="3"/>
    <x v="24"/>
    <x v="24"/>
    <x v="0"/>
    <n v="444"/>
    <n v="73.816699058991105"/>
    <n v="370.26559427988667"/>
    <n v="5612546.2000000048"/>
    <n v="87"/>
    <n v="1137925.8900000004"/>
  </r>
  <r>
    <x v="0"/>
    <x v="7"/>
    <x v="7"/>
    <x v="3"/>
    <x v="25"/>
    <x v="25"/>
    <x v="0"/>
    <n v="958"/>
    <n v="175.15918276708595"/>
    <n v="843.18411625115857"/>
    <n v="11642403.089999998"/>
    <n v="206"/>
    <n v="2196248.62"/>
  </r>
  <r>
    <x v="0"/>
    <x v="7"/>
    <x v="7"/>
    <x v="3"/>
    <x v="26"/>
    <x v="26"/>
    <x v="0"/>
    <n v="812"/>
    <n v="142.40351118465239"/>
    <n v="594.06741242687679"/>
    <n v="10373738.009999976"/>
    <n v="152"/>
    <n v="2535875.2300000009"/>
  </r>
  <r>
    <x v="0"/>
    <x v="7"/>
    <x v="7"/>
    <x v="3"/>
    <x v="27"/>
    <x v="27"/>
    <x v="0"/>
    <n v="690"/>
    <n v="163.50389091566666"/>
    <n v="678.24757035375785"/>
    <n v="8834227.3099999968"/>
    <n v="147"/>
    <n v="2193694.1900000009"/>
  </r>
  <r>
    <x v="0"/>
    <x v="7"/>
    <x v="7"/>
    <x v="3"/>
    <x v="28"/>
    <x v="28"/>
    <x v="0"/>
    <n v="720"/>
    <n v="109.29200560675491"/>
    <n v="646.36165176023371"/>
    <n v="10066136.610000003"/>
    <n v="104"/>
    <n v="1784853.35"/>
  </r>
  <r>
    <x v="0"/>
    <x v="7"/>
    <x v="7"/>
    <x v="3"/>
    <x v="29"/>
    <x v="29"/>
    <x v="0"/>
    <n v="489"/>
    <n v="115.06511353315987"/>
    <n v="465.38115306736137"/>
    <n v="11104833.469999997"/>
    <n v="141"/>
    <n v="2356008.8699999992"/>
  </r>
  <r>
    <x v="0"/>
    <x v="7"/>
    <x v="7"/>
    <x v="3"/>
    <x v="30"/>
    <x v="30"/>
    <x v="0"/>
    <n v="651"/>
    <n v="124.26877841583236"/>
    <n v="547.36150402228168"/>
    <n v="7259848.6399999922"/>
    <n v="129"/>
    <n v="1601943.1200000003"/>
  </r>
  <r>
    <x v="0"/>
    <x v="7"/>
    <x v="7"/>
    <x v="3"/>
    <x v="31"/>
    <x v="31"/>
    <x v="0"/>
    <n v="840"/>
    <n v="195.11901851263971"/>
    <n v="774.69262112428669"/>
    <n v="11395624.600000001"/>
    <n v="227"/>
    <n v="2552793.4500000007"/>
  </r>
  <r>
    <x v="0"/>
    <x v="7"/>
    <x v="7"/>
    <x v="3"/>
    <x v="32"/>
    <x v="32"/>
    <x v="0"/>
    <n v="1959"/>
    <n v="399.59956290593976"/>
    <n v="1848.2131724391372"/>
    <n v="25075354.770000033"/>
    <n v="411"/>
    <n v="5297322.4499999993"/>
  </r>
  <r>
    <x v="0"/>
    <x v="7"/>
    <x v="7"/>
    <x v="3"/>
    <x v="33"/>
    <x v="33"/>
    <x v="0"/>
    <n v="2079"/>
    <n v="248.16221283644984"/>
    <n v="1671.2045836956393"/>
    <n v="21382704.290000029"/>
    <n v="276"/>
    <n v="3363315.100000001"/>
  </r>
  <r>
    <x v="0"/>
    <x v="7"/>
    <x v="7"/>
    <x v="3"/>
    <x v="34"/>
    <x v="34"/>
    <x v="0"/>
    <n v="13"/>
    <n v="3.5333329549573769"/>
    <n v="7.1304529091016038"/>
    <n v="145950.31"/>
    <n v="6"/>
    <n v="70424.01999999999"/>
  </r>
  <r>
    <x v="0"/>
    <x v="7"/>
    <x v="7"/>
    <x v="3"/>
    <x v="35"/>
    <x v="35"/>
    <x v="0"/>
    <n v="1653"/>
    <n v="229.61853107284301"/>
    <n v="1321.6602801515944"/>
    <n v="16193597.400000013"/>
    <n v="243"/>
    <n v="2436416.06"/>
  </r>
  <r>
    <x v="0"/>
    <x v="7"/>
    <x v="7"/>
    <x v="3"/>
    <x v="36"/>
    <x v="36"/>
    <x v="0"/>
    <n v="1364"/>
    <n v="251.99263478761975"/>
    <n v="1198.8657747169636"/>
    <n v="15622283.65999998"/>
    <n v="266"/>
    <n v="3325159.6300000018"/>
  </r>
  <r>
    <x v="0"/>
    <x v="7"/>
    <x v="7"/>
    <x v="3"/>
    <x v="37"/>
    <x v="37"/>
    <x v="0"/>
    <n v="1238"/>
    <n v="334.98403772965275"/>
    <n v="1228.2308263426175"/>
    <n v="14889776.43999997"/>
    <n v="361"/>
    <n v="4140015.879999999"/>
  </r>
  <r>
    <x v="0"/>
    <x v="7"/>
    <x v="7"/>
    <x v="3"/>
    <x v="38"/>
    <x v="38"/>
    <x v="0"/>
    <n v="40"/>
    <n v="7.2824729071636645"/>
    <n v="22.341282715195263"/>
    <n v="304569.7"/>
    <n v="12"/>
    <n v="88196.409999999989"/>
  </r>
  <r>
    <x v="0"/>
    <x v="7"/>
    <x v="7"/>
    <x v="3"/>
    <x v="39"/>
    <x v="39"/>
    <x v="0"/>
    <n v="873"/>
    <n v="239.1771269509909"/>
    <n v="896.69272156903889"/>
    <n v="14122380.19999999"/>
    <n v="258"/>
    <n v="3956831.7300000004"/>
  </r>
  <r>
    <x v="0"/>
    <x v="7"/>
    <x v="7"/>
    <x v="3"/>
    <x v="40"/>
    <x v="40"/>
    <x v="0"/>
    <n v="2209"/>
    <n v="262.04705965944686"/>
    <n v="1762.9410745261905"/>
    <n v="28070715.210000005"/>
    <n v="272"/>
    <n v="4190642.3499999992"/>
  </r>
  <r>
    <x v="0"/>
    <x v="7"/>
    <x v="7"/>
    <x v="3"/>
    <x v="41"/>
    <x v="41"/>
    <x v="0"/>
    <n v="216"/>
    <n v="0"/>
    <n v="410.56659776613185"/>
    <n v="7087607.75"/>
    <n v="0"/>
    <n v="0"/>
  </r>
  <r>
    <x v="0"/>
    <x v="7"/>
    <x v="7"/>
    <x v="3"/>
    <x v="42"/>
    <x v="42"/>
    <x v="0"/>
    <n v="208"/>
    <n v="46.851359402742951"/>
    <n v="157.74330598910188"/>
    <n v="2234507.13"/>
    <n v="73"/>
    <n v="553169.12"/>
  </r>
  <r>
    <x v="0"/>
    <x v="7"/>
    <x v="7"/>
    <x v="3"/>
    <x v="43"/>
    <x v="43"/>
    <x v="0"/>
    <n v="328"/>
    <n v="70.539790100764847"/>
    <n v="326.70285183522037"/>
    <n v="4230229.4099999992"/>
    <n v="76"/>
    <n v="774700.55999999994"/>
  </r>
  <r>
    <x v="0"/>
    <x v="7"/>
    <x v="7"/>
    <x v="3"/>
    <x v="44"/>
    <x v="44"/>
    <x v="0"/>
    <n v="1114"/>
    <n v="204.27746439588881"/>
    <n v="915.40294933052155"/>
    <n v="14637732.360000007"/>
    <n v="221"/>
    <n v="3169418.060000001"/>
  </r>
  <r>
    <x v="0"/>
    <x v="7"/>
    <x v="7"/>
    <x v="3"/>
    <x v="45"/>
    <x v="45"/>
    <x v="0"/>
    <n v="1438"/>
    <n v="183.15882966510713"/>
    <n v="1512.1659957230434"/>
    <n v="20945620.699999966"/>
    <n v="193"/>
    <n v="2770023.5300000017"/>
  </r>
  <r>
    <x v="0"/>
    <x v="7"/>
    <x v="7"/>
    <x v="3"/>
    <x v="46"/>
    <x v="46"/>
    <x v="0"/>
    <n v="118"/>
    <n v="9.7381798758585241"/>
    <n v="148.94418110127245"/>
    <n v="6280726.4700000016"/>
    <n v="10"/>
    <n v="281432.84000000008"/>
  </r>
  <r>
    <x v="0"/>
    <x v="7"/>
    <x v="7"/>
    <x v="3"/>
    <x v="47"/>
    <x v="47"/>
    <x v="0"/>
    <n v="607"/>
    <n v="92.638567819051516"/>
    <n v="485.69595480838973"/>
    <n v="6388626.5199999986"/>
    <n v="98"/>
    <n v="1112086.3000000005"/>
  </r>
  <r>
    <x v="0"/>
    <x v="7"/>
    <x v="7"/>
    <x v="5"/>
    <x v="0"/>
    <x v="0"/>
    <x v="0"/>
    <n v="1437"/>
    <n v="271.75697353566596"/>
    <n v="1330.3435810409037"/>
    <n v="17102478.100000013"/>
    <n v="283"/>
    <n v="3485753.3800000008"/>
  </r>
  <r>
    <x v="0"/>
    <x v="7"/>
    <x v="7"/>
    <x v="5"/>
    <x v="1"/>
    <x v="1"/>
    <x v="0"/>
    <n v="2439"/>
    <n v="419.31123365465669"/>
    <n v="4110.1616616040092"/>
    <n v="102714676.32999988"/>
    <n v="330"/>
    <n v="10953231.899999999"/>
  </r>
  <r>
    <x v="0"/>
    <x v="7"/>
    <x v="7"/>
    <x v="5"/>
    <x v="2"/>
    <x v="2"/>
    <x v="0"/>
    <n v="1143"/>
    <n v="183.31974566305584"/>
    <n v="1169.5927130901305"/>
    <n v="20522604.020000014"/>
    <n v="184"/>
    <n v="2879157.6000000006"/>
  </r>
  <r>
    <x v="0"/>
    <x v="7"/>
    <x v="7"/>
    <x v="5"/>
    <x v="3"/>
    <x v="3"/>
    <x v="0"/>
    <n v="3222"/>
    <n v="314.92455598536901"/>
    <n v="2489.8010262601774"/>
    <n v="33976613.300000042"/>
    <n v="331"/>
    <n v="4715378.83"/>
  </r>
  <r>
    <x v="0"/>
    <x v="7"/>
    <x v="7"/>
    <x v="5"/>
    <x v="4"/>
    <x v="4"/>
    <x v="0"/>
    <n v="1606"/>
    <n v="251.80041579007042"/>
    <n v="1422.2348788694751"/>
    <n v="20090540.489999998"/>
    <n v="267"/>
    <n v="3658528.8200000003"/>
  </r>
  <r>
    <x v="0"/>
    <x v="7"/>
    <x v="7"/>
    <x v="5"/>
    <x v="5"/>
    <x v="5"/>
    <x v="0"/>
    <n v="405"/>
    <n v="87.801248880717282"/>
    <n v="316.79245296155722"/>
    <n v="5098356.5599999987"/>
    <n v="105"/>
    <n v="1494450.02"/>
  </r>
  <r>
    <x v="0"/>
    <x v="7"/>
    <x v="7"/>
    <x v="5"/>
    <x v="6"/>
    <x v="6"/>
    <x v="0"/>
    <n v="1392"/>
    <n v="139.34552122363536"/>
    <n v="1372.7801094999174"/>
    <n v="19485057.020000033"/>
    <n v="157"/>
    <n v="2026982.9500000004"/>
  </r>
  <r>
    <x v="0"/>
    <x v="7"/>
    <x v="7"/>
    <x v="5"/>
    <x v="7"/>
    <x v="7"/>
    <x v="0"/>
    <n v="3815"/>
    <n v="832.32399838960544"/>
    <n v="5422.8570468698699"/>
    <n v="125651048.59000029"/>
    <n v="691"/>
    <n v="19200501.160000004"/>
  </r>
  <r>
    <x v="0"/>
    <x v="7"/>
    <x v="7"/>
    <x v="5"/>
    <x v="8"/>
    <x v="8"/>
    <x v="0"/>
    <n v="127"/>
    <n v="29.551413623281142"/>
    <n v="93.3142668104378"/>
    <n v="1531165.1099999996"/>
    <n v="37"/>
    <n v="471702.93"/>
  </r>
  <r>
    <x v="0"/>
    <x v="7"/>
    <x v="7"/>
    <x v="5"/>
    <x v="9"/>
    <x v="9"/>
    <x v="0"/>
    <n v="1311"/>
    <n v="291.56463028315966"/>
    <n v="1217.6384904776512"/>
    <n v="20082904.290000007"/>
    <n v="291"/>
    <n v="4649769.59"/>
  </r>
  <r>
    <x v="0"/>
    <x v="7"/>
    <x v="7"/>
    <x v="5"/>
    <x v="10"/>
    <x v="10"/>
    <x v="0"/>
    <n v="1477"/>
    <n v="217.8110472233638"/>
    <n v="1799.1494720646051"/>
    <n v="35585126.719999999"/>
    <n v="208"/>
    <n v="3981578.4700000011"/>
  </r>
  <r>
    <x v="0"/>
    <x v="2"/>
    <x v="2"/>
    <x v="5"/>
    <x v="11"/>
    <x v="11"/>
    <x v="0"/>
    <n v="378"/>
    <n v="85.096476915197513"/>
    <n v="326.17562584194087"/>
    <n v="5316847.0600000042"/>
    <n v="105"/>
    <n v="1480089.8199999994"/>
  </r>
  <r>
    <x v="0"/>
    <x v="7"/>
    <x v="7"/>
    <x v="5"/>
    <x v="12"/>
    <x v="12"/>
    <x v="0"/>
    <n v="2139"/>
    <n v="437.51502942259646"/>
    <n v="1817.8354148263873"/>
    <n v="26278790.820000023"/>
    <n v="492"/>
    <n v="5865413.0399999991"/>
  </r>
  <r>
    <x v="0"/>
    <x v="7"/>
    <x v="7"/>
    <x v="5"/>
    <x v="13"/>
    <x v="13"/>
    <x v="0"/>
    <n v="1129"/>
    <n v="223.53342315041536"/>
    <n v="1040.2209457393478"/>
    <n v="17169132.770000041"/>
    <n v="220"/>
    <n v="3558498.6699999981"/>
  </r>
  <r>
    <x v="0"/>
    <x v="7"/>
    <x v="7"/>
    <x v="5"/>
    <x v="14"/>
    <x v="14"/>
    <x v="0"/>
    <n v="159"/>
    <n v="30.035311617112448"/>
    <n v="126.00226039373426"/>
    <n v="1528770.330000001"/>
    <n v="31"/>
    <n v="322572.63000000006"/>
  </r>
  <r>
    <x v="0"/>
    <x v="7"/>
    <x v="7"/>
    <x v="5"/>
    <x v="15"/>
    <x v="15"/>
    <x v="0"/>
    <n v="586"/>
    <n v="128.91233935663669"/>
    <n v="512.31175046909436"/>
    <n v="7229870.1499999966"/>
    <n v="131"/>
    <n v="1882265.5600000003"/>
  </r>
  <r>
    <x v="0"/>
    <x v="7"/>
    <x v="7"/>
    <x v="5"/>
    <x v="16"/>
    <x v="16"/>
    <x v="0"/>
    <n v="1733"/>
    <n v="284.38463637468971"/>
    <n v="1708.3972162215025"/>
    <n v="22287095.790000003"/>
    <n v="280"/>
    <n v="3346583.8199999989"/>
  </r>
  <r>
    <x v="0"/>
    <x v="7"/>
    <x v="7"/>
    <x v="5"/>
    <x v="17"/>
    <x v="17"/>
    <x v="0"/>
    <n v="1227"/>
    <n v="200.26641844702121"/>
    <n v="1361.639641641935"/>
    <n v="17998256.229999989"/>
    <n v="216"/>
    <n v="2379595.9699999988"/>
  </r>
  <r>
    <x v="0"/>
    <x v="7"/>
    <x v="7"/>
    <x v="5"/>
    <x v="18"/>
    <x v="18"/>
    <x v="0"/>
    <n v="2730"/>
    <n v="359.92809141166765"/>
    <n v="2316.562200468617"/>
    <n v="26558116.019999932"/>
    <n v="433"/>
    <n v="4309609.12"/>
  </r>
  <r>
    <x v="0"/>
    <x v="7"/>
    <x v="7"/>
    <x v="5"/>
    <x v="19"/>
    <x v="19"/>
    <x v="0"/>
    <n v="906"/>
    <n v="184.10269965307492"/>
    <n v="1239.1025442040275"/>
    <n v="20505848.099999998"/>
    <n v="200"/>
    <n v="3216864.8500000034"/>
  </r>
  <r>
    <x v="0"/>
    <x v="7"/>
    <x v="7"/>
    <x v="5"/>
    <x v="20"/>
    <x v="20"/>
    <x v="0"/>
    <n v="1113"/>
    <n v="219.50018620183084"/>
    <n v="1130.9109665832443"/>
    <n v="15620259.22000001"/>
    <n v="221"/>
    <n v="2709694.3200000003"/>
  </r>
  <r>
    <x v="0"/>
    <x v="7"/>
    <x v="7"/>
    <x v="5"/>
    <x v="21"/>
    <x v="21"/>
    <x v="0"/>
    <n v="767"/>
    <n v="115.88844852266412"/>
    <n v="567.9572867597293"/>
    <n v="7279801.5100000016"/>
    <n v="127"/>
    <n v="1591115.1699999995"/>
  </r>
  <r>
    <x v="0"/>
    <x v="7"/>
    <x v="7"/>
    <x v="5"/>
    <x v="22"/>
    <x v="22"/>
    <x v="0"/>
    <n v="1756"/>
    <n v="360.19693240824085"/>
    <n v="1789.0854711928998"/>
    <n v="29447814.789999984"/>
    <n v="373"/>
    <n v="6103515.8799999962"/>
  </r>
  <r>
    <x v="0"/>
    <x v="7"/>
    <x v="7"/>
    <x v="5"/>
    <x v="23"/>
    <x v="23"/>
    <x v="0"/>
    <n v="68"/>
    <n v="17.549849776276034"/>
    <n v="66.468990152659089"/>
    <n v="1110984.07"/>
    <n v="20"/>
    <n v="260642.51000000004"/>
  </r>
  <r>
    <x v="0"/>
    <x v="7"/>
    <x v="7"/>
    <x v="5"/>
    <x v="24"/>
    <x v="24"/>
    <x v="0"/>
    <n v="436"/>
    <n v="93.605454806725788"/>
    <n v="353.20480249737602"/>
    <n v="6083641.6499999929"/>
    <n v="102"/>
    <n v="1441908.1199999999"/>
  </r>
  <r>
    <x v="0"/>
    <x v="7"/>
    <x v="7"/>
    <x v="5"/>
    <x v="25"/>
    <x v="25"/>
    <x v="0"/>
    <n v="954"/>
    <n v="207.36202935656675"/>
    <n v="847.86548619148289"/>
    <n v="12157868.860000025"/>
    <n v="225"/>
    <n v="2864490.5999999996"/>
  </r>
  <r>
    <x v="0"/>
    <x v="7"/>
    <x v="7"/>
    <x v="5"/>
    <x v="26"/>
    <x v="26"/>
    <x v="0"/>
    <n v="748"/>
    <n v="127.33697637671926"/>
    <n v="553.22202794757254"/>
    <n v="10523104.160000011"/>
    <n v="159"/>
    <n v="3007228.6900000013"/>
  </r>
  <r>
    <x v="0"/>
    <x v="7"/>
    <x v="7"/>
    <x v="5"/>
    <x v="27"/>
    <x v="27"/>
    <x v="0"/>
    <n v="676"/>
    <n v="145.36331114692112"/>
    <n v="632.07594194234866"/>
    <n v="8104333.0600000015"/>
    <n v="148"/>
    <n v="1939666.2400000009"/>
  </r>
  <r>
    <x v="0"/>
    <x v="7"/>
    <x v="7"/>
    <x v="5"/>
    <x v="28"/>
    <x v="28"/>
    <x v="0"/>
    <n v="633"/>
    <n v="93.6553798060893"/>
    <n v="589.33481748720794"/>
    <n v="9511653.5"/>
    <n v="97"/>
    <n v="1423675.1000000003"/>
  </r>
  <r>
    <x v="0"/>
    <x v="7"/>
    <x v="7"/>
    <x v="5"/>
    <x v="29"/>
    <x v="29"/>
    <x v="0"/>
    <n v="482"/>
    <n v="123.54292542508547"/>
    <n v="437.83335641853756"/>
    <n v="10607341.309999989"/>
    <n v="148"/>
    <n v="2785072.8900000006"/>
  </r>
  <r>
    <x v="0"/>
    <x v="7"/>
    <x v="7"/>
    <x v="5"/>
    <x v="30"/>
    <x v="30"/>
    <x v="0"/>
    <n v="606"/>
    <n v="110.99052158510236"/>
    <n v="485.85277680639041"/>
    <n v="6522254.1100000152"/>
    <n v="124"/>
    <n v="1530651.419999999"/>
  </r>
  <r>
    <x v="0"/>
    <x v="7"/>
    <x v="7"/>
    <x v="5"/>
    <x v="31"/>
    <x v="31"/>
    <x v="0"/>
    <n v="853"/>
    <n v="204.61455139159145"/>
    <n v="797.9497638278051"/>
    <n v="11715673.649999993"/>
    <n v="223"/>
    <n v="2868321.8000000003"/>
  </r>
  <r>
    <x v="0"/>
    <x v="7"/>
    <x v="7"/>
    <x v="5"/>
    <x v="32"/>
    <x v="32"/>
    <x v="0"/>
    <n v="1803"/>
    <n v="362.90650037369983"/>
    <n v="1683.1682815431161"/>
    <n v="23974345.200000014"/>
    <n v="376"/>
    <n v="5118611.809999994"/>
  </r>
  <r>
    <x v="0"/>
    <x v="7"/>
    <x v="7"/>
    <x v="5"/>
    <x v="33"/>
    <x v="33"/>
    <x v="0"/>
    <n v="1958"/>
    <n v="224.25496714121715"/>
    <n v="1549.4871292472824"/>
    <n v="20810295.340000048"/>
    <n v="269"/>
    <n v="3510251.3500000015"/>
  </r>
  <r>
    <x v="0"/>
    <x v="7"/>
    <x v="7"/>
    <x v="5"/>
    <x v="34"/>
    <x v="34"/>
    <x v="0"/>
    <n v="8"/>
    <n v="1.6865609784998665"/>
    <n v="3.8902079504079659"/>
    <n v="62667.11"/>
    <n v="2"/>
    <n v="20788.72"/>
  </r>
  <r>
    <x v="0"/>
    <x v="7"/>
    <x v="7"/>
    <x v="5"/>
    <x v="35"/>
    <x v="35"/>
    <x v="0"/>
    <n v="1600"/>
    <n v="237.21267897603349"/>
    <n v="1230.3672743153936"/>
    <n v="15764939.250000017"/>
    <n v="259"/>
    <n v="2867626.5199999991"/>
  </r>
  <r>
    <x v="0"/>
    <x v="7"/>
    <x v="7"/>
    <x v="5"/>
    <x v="36"/>
    <x v="36"/>
    <x v="0"/>
    <n v="1285"/>
    <n v="259.06953169740405"/>
    <n v="1094.3083030498558"/>
    <n v="14230025.819999991"/>
    <n v="273"/>
    <n v="3041812.4500000007"/>
  </r>
  <r>
    <x v="0"/>
    <x v="7"/>
    <x v="7"/>
    <x v="5"/>
    <x v="37"/>
    <x v="37"/>
    <x v="0"/>
    <n v="1150"/>
    <n v="302.59708014251885"/>
    <n v="1145.7942763935123"/>
    <n v="14338380.280000012"/>
    <n v="333"/>
    <n v="3855538.2699999991"/>
  </r>
  <r>
    <x v="0"/>
    <x v="7"/>
    <x v="7"/>
    <x v="5"/>
    <x v="38"/>
    <x v="38"/>
    <x v="0"/>
    <n v="39"/>
    <n v="8.4383568924285566"/>
    <n v="20.578964737661149"/>
    <n v="273303.48000000004"/>
    <n v="17"/>
    <n v="117219.94"/>
  </r>
  <r>
    <x v="0"/>
    <x v="7"/>
    <x v="7"/>
    <x v="5"/>
    <x v="39"/>
    <x v="39"/>
    <x v="0"/>
    <n v="843"/>
    <n v="228.07926109246554"/>
    <n v="850.1084041628917"/>
    <n v="13813015.329999996"/>
    <n v="249"/>
    <n v="3560402.3099999991"/>
  </r>
  <r>
    <x v="0"/>
    <x v="7"/>
    <x v="7"/>
    <x v="5"/>
    <x v="40"/>
    <x v="40"/>
    <x v="0"/>
    <n v="2267"/>
    <n v="266.4176926037303"/>
    <n v="1754.1754566379354"/>
    <n v="27235806.51999997"/>
    <n v="264"/>
    <n v="4228543.8500000015"/>
  </r>
  <r>
    <x v="0"/>
    <x v="7"/>
    <x v="7"/>
    <x v="5"/>
    <x v="41"/>
    <x v="41"/>
    <x v="0"/>
    <n v="166"/>
    <n v="0.90456198846872204"/>
    <n v="317.25492495566164"/>
    <n v="6132611.3299999945"/>
    <n v="1"/>
    <n v="59147.98"/>
  </r>
  <r>
    <x v="0"/>
    <x v="7"/>
    <x v="7"/>
    <x v="5"/>
    <x v="42"/>
    <x v="42"/>
    <x v="0"/>
    <n v="194"/>
    <n v="42.583657457147218"/>
    <n v="144.44013815868973"/>
    <n v="1844130.4000000001"/>
    <n v="65"/>
    <n v="527777.56999999995"/>
  </r>
  <r>
    <x v="0"/>
    <x v="7"/>
    <x v="7"/>
    <x v="5"/>
    <x v="43"/>
    <x v="43"/>
    <x v="0"/>
    <n v="308"/>
    <n v="60.39883723004084"/>
    <n v="293.71790125570976"/>
    <n v="3439480.4600000018"/>
    <n v="63"/>
    <n v="670767.67000000016"/>
  </r>
  <r>
    <x v="0"/>
    <x v="7"/>
    <x v="7"/>
    <x v="5"/>
    <x v="44"/>
    <x v="44"/>
    <x v="0"/>
    <n v="1090"/>
    <n v="208.51941234181291"/>
    <n v="914.75421733878909"/>
    <n v="15048932.13000001"/>
    <n v="215"/>
    <n v="3113400.5699999984"/>
  </r>
  <r>
    <x v="0"/>
    <x v="7"/>
    <x v="7"/>
    <x v="5"/>
    <x v="45"/>
    <x v="45"/>
    <x v="0"/>
    <n v="1404"/>
    <n v="185.32509763749178"/>
    <n v="1568.3008670074412"/>
    <n v="22657301.920000013"/>
    <n v="191"/>
    <n v="2712905.120000001"/>
  </r>
  <r>
    <x v="0"/>
    <x v="7"/>
    <x v="7"/>
    <x v="5"/>
    <x v="46"/>
    <x v="46"/>
    <x v="0"/>
    <n v="89"/>
    <n v="8.0650938971868822"/>
    <n v="104.74599066470715"/>
    <n v="4447146.0899999989"/>
    <n v="9"/>
    <n v="294208.45999999996"/>
  </r>
  <r>
    <x v="0"/>
    <x v="7"/>
    <x v="7"/>
    <x v="5"/>
    <x v="47"/>
    <x v="47"/>
    <x v="0"/>
    <n v="565"/>
    <n v="109.91486759881475"/>
    <n v="484.30351682614065"/>
    <n v="5971494.8800000036"/>
    <n v="111"/>
    <n v="1308479.2199999995"/>
  </r>
  <r>
    <x v="0"/>
    <x v="7"/>
    <x v="7"/>
    <x v="0"/>
    <x v="0"/>
    <x v="0"/>
    <x v="0"/>
    <n v="1578"/>
    <n v="282.3423014007252"/>
    <n v="1479.1588741438168"/>
    <n v="19112275.429999977"/>
    <n v="287"/>
    <n v="3731606.1700000004"/>
  </r>
  <r>
    <x v="0"/>
    <x v="7"/>
    <x v="7"/>
    <x v="0"/>
    <x v="1"/>
    <x v="1"/>
    <x v="0"/>
    <n v="2569"/>
    <n v="407.28987280790426"/>
    <n v="4396.65350295184"/>
    <n v="117900701.56000011"/>
    <n v="328"/>
    <n v="11337563.549999999"/>
  </r>
  <r>
    <x v="0"/>
    <x v="7"/>
    <x v="7"/>
    <x v="0"/>
    <x v="2"/>
    <x v="2"/>
    <x v="0"/>
    <n v="1150"/>
    <n v="167.71396886199682"/>
    <n v="1228.2466163424153"/>
    <n v="22145166.180000003"/>
    <n v="164"/>
    <n v="2624747.4500000007"/>
  </r>
  <r>
    <x v="0"/>
    <x v="7"/>
    <x v="7"/>
    <x v="0"/>
    <x v="3"/>
    <x v="3"/>
    <x v="0"/>
    <n v="3169"/>
    <n v="364.50891935327201"/>
    <n v="2583.9996790593241"/>
    <n v="33500150.829999983"/>
    <n v="371"/>
    <n v="5032654.1400000034"/>
  </r>
  <r>
    <x v="0"/>
    <x v="7"/>
    <x v="7"/>
    <x v="0"/>
    <x v="4"/>
    <x v="4"/>
    <x v="0"/>
    <n v="1685"/>
    <n v="274.17351950485994"/>
    <n v="1525.2141165567079"/>
    <n v="23199203.630000047"/>
    <n v="290"/>
    <n v="4253397.8499999996"/>
  </r>
  <r>
    <x v="0"/>
    <x v="7"/>
    <x v="7"/>
    <x v="0"/>
    <x v="5"/>
    <x v="5"/>
    <x v="0"/>
    <n v="460"/>
    <n v="88.782755868205143"/>
    <n v="351.2430645223838"/>
    <n v="5746760.6000000015"/>
    <n v="117"/>
    <n v="1302876.0299999996"/>
  </r>
  <r>
    <x v="0"/>
    <x v="7"/>
    <x v="7"/>
    <x v="0"/>
    <x v="6"/>
    <x v="6"/>
    <x v="0"/>
    <n v="1424"/>
    <n v="149.83731408988683"/>
    <n v="1537.170123404291"/>
    <n v="20614825.940000039"/>
    <n v="174"/>
    <n v="1989022.5200000007"/>
  </r>
  <r>
    <x v="0"/>
    <x v="7"/>
    <x v="7"/>
    <x v="0"/>
    <x v="7"/>
    <x v="7"/>
    <x v="0"/>
    <n v="4056"/>
    <n v="806.05760172444707"/>
    <n v="5855.9309123490812"/>
    <n v="139754324.99000013"/>
    <n v="705"/>
    <n v="21045868.840000007"/>
  </r>
  <r>
    <x v="0"/>
    <x v="7"/>
    <x v="7"/>
    <x v="0"/>
    <x v="8"/>
    <x v="8"/>
    <x v="0"/>
    <n v="144"/>
    <n v="26.634166660469951"/>
    <n v="110.86246658673493"/>
    <n v="1962572.61"/>
    <n v="34"/>
    <n v="425128.57000000007"/>
  </r>
  <r>
    <x v="0"/>
    <x v="7"/>
    <x v="7"/>
    <x v="0"/>
    <x v="9"/>
    <x v="9"/>
    <x v="0"/>
    <n v="1372"/>
    <n v="344.82917060414775"/>
    <n v="1354.7477537297946"/>
    <n v="20343736.570000038"/>
    <n v="331"/>
    <n v="5561112.6099999975"/>
  </r>
  <r>
    <x v="0"/>
    <x v="7"/>
    <x v="7"/>
    <x v="0"/>
    <x v="10"/>
    <x v="10"/>
    <x v="0"/>
    <n v="1601"/>
    <n v="274.30658850316382"/>
    <n v="1935.8802993215736"/>
    <n v="37406262.319999889"/>
    <n v="256"/>
    <n v="5121835.4499999965"/>
  </r>
  <r>
    <x v="0"/>
    <x v="2"/>
    <x v="2"/>
    <x v="0"/>
    <x v="11"/>
    <x v="11"/>
    <x v="0"/>
    <n v="353"/>
    <n v="94.623922793742366"/>
    <n v="294.59305324455323"/>
    <n v="5486341.6699999962"/>
    <n v="117"/>
    <n v="2070062.6699999995"/>
  </r>
  <r>
    <x v="0"/>
    <x v="7"/>
    <x v="7"/>
    <x v="0"/>
    <x v="12"/>
    <x v="12"/>
    <x v="0"/>
    <n v="2114"/>
    <n v="429.17414252892513"/>
    <n v="1870.4190961560546"/>
    <n v="27613141.660000097"/>
    <n v="464"/>
    <n v="5954731.6700000037"/>
  </r>
  <r>
    <x v="0"/>
    <x v="7"/>
    <x v="7"/>
    <x v="0"/>
    <x v="13"/>
    <x v="13"/>
    <x v="0"/>
    <n v="1242"/>
    <n v="190.11204657646809"/>
    <n v="1106.8889638894707"/>
    <n v="19233965.750000007"/>
    <n v="189"/>
    <n v="3163599.7200000007"/>
  </r>
  <r>
    <x v="0"/>
    <x v="7"/>
    <x v="7"/>
    <x v="0"/>
    <x v="14"/>
    <x v="14"/>
    <x v="0"/>
    <n v="167"/>
    <n v="33.984114566773442"/>
    <n v="134.94023527979365"/>
    <n v="1529758.9000000004"/>
    <n v="36"/>
    <n v="361166.29999999993"/>
  </r>
  <r>
    <x v="0"/>
    <x v="7"/>
    <x v="7"/>
    <x v="0"/>
    <x v="15"/>
    <x v="15"/>
    <x v="0"/>
    <n v="673"/>
    <n v="122.21639844199592"/>
    <n v="575.47080166394653"/>
    <n v="8827090.5099999998"/>
    <n v="134"/>
    <n v="1836762.48"/>
  </r>
  <r>
    <x v="0"/>
    <x v="7"/>
    <x v="7"/>
    <x v="0"/>
    <x v="16"/>
    <x v="16"/>
    <x v="0"/>
    <n v="1634"/>
    <n v="274.89913249561005"/>
    <n v="1726.0150419969107"/>
    <n v="23206938.039999887"/>
    <n v="267"/>
    <n v="3468460.8900000011"/>
  </r>
  <r>
    <x v="0"/>
    <x v="7"/>
    <x v="7"/>
    <x v="0"/>
    <x v="17"/>
    <x v="17"/>
    <x v="0"/>
    <n v="1313"/>
    <n v="233.94299601771502"/>
    <n v="1506.6762637930224"/>
    <n v="19795153.600000016"/>
    <n v="218"/>
    <n v="3208978.3599999989"/>
  </r>
  <r>
    <x v="0"/>
    <x v="7"/>
    <x v="7"/>
    <x v="0"/>
    <x v="18"/>
    <x v="18"/>
    <x v="0"/>
    <n v="2861"/>
    <n v="434.8114704570616"/>
    <n v="2458.0859926644866"/>
    <n v="28446412.390000023"/>
    <n v="497"/>
    <n v="5230886.1099999994"/>
  </r>
  <r>
    <x v="0"/>
    <x v="7"/>
    <x v="7"/>
    <x v="0"/>
    <x v="19"/>
    <x v="19"/>
    <x v="0"/>
    <n v="979"/>
    <n v="243.77066289243305"/>
    <n v="1345.2272758511599"/>
    <n v="23544634.699999996"/>
    <n v="248"/>
    <n v="4376432.6800000016"/>
  </r>
  <r>
    <x v="0"/>
    <x v="7"/>
    <x v="7"/>
    <x v="0"/>
    <x v="20"/>
    <x v="20"/>
    <x v="0"/>
    <n v="1107"/>
    <n v="233.48176902359475"/>
    <n v="1188.0013908554631"/>
    <n v="17031469.699999955"/>
    <n v="230"/>
    <n v="3177168.2700000019"/>
  </r>
  <r>
    <x v="0"/>
    <x v="7"/>
    <x v="7"/>
    <x v="0"/>
    <x v="21"/>
    <x v="21"/>
    <x v="0"/>
    <n v="748"/>
    <n v="125.64082639834162"/>
    <n v="567.42582276650501"/>
    <n v="7150556.7900000019"/>
    <n v="153"/>
    <n v="1632813.6400000001"/>
  </r>
  <r>
    <x v="0"/>
    <x v="7"/>
    <x v="7"/>
    <x v="0"/>
    <x v="22"/>
    <x v="22"/>
    <x v="0"/>
    <n v="1892"/>
    <n v="425.48847657591"/>
    <n v="2071.9413215870795"/>
    <n v="34276508.579999961"/>
    <n v="409"/>
    <n v="6645538.9200000037"/>
  </r>
  <r>
    <x v="0"/>
    <x v="7"/>
    <x v="7"/>
    <x v="0"/>
    <x v="23"/>
    <x v="23"/>
    <x v="0"/>
    <n v="66"/>
    <n v="18.13863776877022"/>
    <n v="60.143768233292434"/>
    <n v="1052277.0300000003"/>
    <n v="25"/>
    <n v="264262.5"/>
  </r>
  <r>
    <x v="0"/>
    <x v="7"/>
    <x v="7"/>
    <x v="0"/>
    <x v="24"/>
    <x v="24"/>
    <x v="0"/>
    <n v="495"/>
    <n v="78.524259998979545"/>
    <n v="429.77358852128316"/>
    <n v="7008457.0299999928"/>
    <n v="95"/>
    <n v="1295573.6900000006"/>
  </r>
  <r>
    <x v="0"/>
    <x v="7"/>
    <x v="7"/>
    <x v="0"/>
    <x v="25"/>
    <x v="25"/>
    <x v="0"/>
    <n v="977"/>
    <n v="213.07186128377862"/>
    <n v="866.56059095315879"/>
    <n v="13098884.089999998"/>
    <n v="229"/>
    <n v="3291507.42"/>
  </r>
  <r>
    <x v="0"/>
    <x v="7"/>
    <x v="7"/>
    <x v="0"/>
    <x v="26"/>
    <x v="26"/>
    <x v="0"/>
    <n v="777"/>
    <n v="141.40929019732661"/>
    <n v="565.73906878800574"/>
    <n v="10225363.030000011"/>
    <n v="174"/>
    <n v="2494925.8799999985"/>
  </r>
  <r>
    <x v="0"/>
    <x v="7"/>
    <x v="7"/>
    <x v="0"/>
    <x v="27"/>
    <x v="27"/>
    <x v="0"/>
    <n v="645"/>
    <n v="158.40448098067344"/>
    <n v="615.10110515874305"/>
    <n v="8179788.1199999955"/>
    <n v="161"/>
    <n v="2306060.0200000014"/>
  </r>
  <r>
    <x v="0"/>
    <x v="7"/>
    <x v="7"/>
    <x v="0"/>
    <x v="28"/>
    <x v="28"/>
    <x v="0"/>
    <n v="682"/>
    <n v="78.757991995999959"/>
    <n v="650.51609270727431"/>
    <n v="11044446.400000002"/>
    <n v="92"/>
    <n v="1203857.1399999999"/>
  </r>
  <r>
    <x v="0"/>
    <x v="7"/>
    <x v="7"/>
    <x v="0"/>
    <x v="29"/>
    <x v="29"/>
    <x v="0"/>
    <n v="534"/>
    <n v="138.49611123446346"/>
    <n v="506.09545654833909"/>
    <n v="11540741.079999994"/>
    <n v="165"/>
    <n v="2763007.56"/>
  </r>
  <r>
    <x v="0"/>
    <x v="7"/>
    <x v="7"/>
    <x v="0"/>
    <x v="30"/>
    <x v="30"/>
    <x v="0"/>
    <n v="620"/>
    <n v="89.243739862328539"/>
    <n v="511.74865047627242"/>
    <n v="7052260.4000000004"/>
    <n v="106"/>
    <n v="1285012.3200000008"/>
  </r>
  <r>
    <x v="0"/>
    <x v="7"/>
    <x v="7"/>
    <x v="0"/>
    <x v="31"/>
    <x v="31"/>
    <x v="0"/>
    <n v="894"/>
    <n v="237.84833696793018"/>
    <n v="868.07143893390094"/>
    <n v="13684240.020000009"/>
    <n v="259"/>
    <n v="3534755.39"/>
  </r>
  <r>
    <x v="0"/>
    <x v="7"/>
    <x v="7"/>
    <x v="0"/>
    <x v="32"/>
    <x v="32"/>
    <x v="0"/>
    <n v="1994"/>
    <n v="445.50682432071773"/>
    <n v="1889.9205909074578"/>
    <n v="26331674.02"/>
    <n v="431"/>
    <n v="5684650.9900000039"/>
  </r>
  <r>
    <x v="0"/>
    <x v="7"/>
    <x v="7"/>
    <x v="0"/>
    <x v="33"/>
    <x v="33"/>
    <x v="0"/>
    <n v="1972"/>
    <n v="261.06702667194065"/>
    <n v="1594.3662616751674"/>
    <n v="21500217.820000023"/>
    <n v="289"/>
    <n v="3552175.370000002"/>
  </r>
  <r>
    <x v="0"/>
    <x v="7"/>
    <x v="7"/>
    <x v="0"/>
    <x v="34"/>
    <x v="34"/>
    <x v="0"/>
    <n v="13"/>
    <n v="3.8905219504039628"/>
    <n v="5.9295629244104449"/>
    <n v="137535.73000000001"/>
    <n v="8"/>
    <n v="95127.21"/>
  </r>
  <r>
    <x v="0"/>
    <x v="7"/>
    <x v="7"/>
    <x v="0"/>
    <x v="35"/>
    <x v="35"/>
    <x v="0"/>
    <n v="1755"/>
    <n v="267.26118159297795"/>
    <n v="1413.7368679778099"/>
    <n v="19382558.739999972"/>
    <n v="295"/>
    <n v="3484955.6300000022"/>
  </r>
  <r>
    <x v="0"/>
    <x v="7"/>
    <x v="7"/>
    <x v="0"/>
    <x v="36"/>
    <x v="36"/>
    <x v="0"/>
    <n v="1442"/>
    <n v="281.62276240989769"/>
    <n v="1200.4332596969825"/>
    <n v="15960457.110000037"/>
    <n v="324"/>
    <n v="3688773.3399999989"/>
  </r>
  <r>
    <x v="0"/>
    <x v="7"/>
    <x v="7"/>
    <x v="0"/>
    <x v="37"/>
    <x v="37"/>
    <x v="0"/>
    <n v="1235"/>
    <n v="318.30983294221397"/>
    <n v="1211.1302105606155"/>
    <n v="14372523.08999997"/>
    <n v="363"/>
    <n v="3928515.5999999987"/>
  </r>
  <r>
    <x v="0"/>
    <x v="7"/>
    <x v="7"/>
    <x v="0"/>
    <x v="38"/>
    <x v="38"/>
    <x v="0"/>
    <n v="27"/>
    <n v="5.4444079305951592"/>
    <n v="14.957302809325595"/>
    <n v="187668.37000000002"/>
    <n v="9"/>
    <n v="56564.83"/>
  </r>
  <r>
    <x v="0"/>
    <x v="7"/>
    <x v="7"/>
    <x v="0"/>
    <x v="39"/>
    <x v="39"/>
    <x v="0"/>
    <n v="892"/>
    <n v="241.2593809244463"/>
    <n v="921.44047025355746"/>
    <n v="15083663.169999994"/>
    <n v="258"/>
    <n v="4587098.07"/>
  </r>
  <r>
    <x v="0"/>
    <x v="7"/>
    <x v="7"/>
    <x v="0"/>
    <x v="40"/>
    <x v="40"/>
    <x v="0"/>
    <n v="2330"/>
    <n v="256.81072872619927"/>
    <n v="1839.5439075496665"/>
    <n v="28567886.400000032"/>
    <n v="255"/>
    <n v="4008033.0300000003"/>
  </r>
  <r>
    <x v="0"/>
    <x v="7"/>
    <x v="7"/>
    <x v="0"/>
    <x v="41"/>
    <x v="41"/>
    <x v="0"/>
    <n v="202"/>
    <n v="0"/>
    <n v="384.06539610396737"/>
    <n v="6792314.2199999951"/>
    <n v="0"/>
    <n v="0"/>
  </r>
  <r>
    <x v="0"/>
    <x v="7"/>
    <x v="7"/>
    <x v="0"/>
    <x v="42"/>
    <x v="42"/>
    <x v="0"/>
    <n v="192"/>
    <n v="36.772330531229514"/>
    <n v="152.75902805264124"/>
    <n v="2206720.5100000012"/>
    <n v="58"/>
    <n v="423260.92999999988"/>
  </r>
  <r>
    <x v="0"/>
    <x v="7"/>
    <x v="7"/>
    <x v="0"/>
    <x v="43"/>
    <x v="43"/>
    <x v="0"/>
    <n v="288"/>
    <n v="47.42639539541242"/>
    <n v="287.32556533719844"/>
    <n v="3977117.9199999985"/>
    <n v="59"/>
    <n v="667291.99"/>
  </r>
  <r>
    <x v="0"/>
    <x v="7"/>
    <x v="7"/>
    <x v="0"/>
    <x v="44"/>
    <x v="44"/>
    <x v="0"/>
    <n v="1131"/>
    <n v="237.62352197079628"/>
    <n v="964.32444770687255"/>
    <n v="16909940.33999997"/>
    <n v="254"/>
    <n v="3848795.8499999982"/>
  </r>
  <r>
    <x v="0"/>
    <x v="7"/>
    <x v="7"/>
    <x v="0"/>
    <x v="45"/>
    <x v="45"/>
    <x v="0"/>
    <n v="1551"/>
    <n v="254.10550376068525"/>
    <n v="1681.7272225614927"/>
    <n v="26441786.770000026"/>
    <n v="252"/>
    <n v="3797863.7799999993"/>
  </r>
  <r>
    <x v="0"/>
    <x v="7"/>
    <x v="7"/>
    <x v="0"/>
    <x v="46"/>
    <x v="46"/>
    <x v="0"/>
    <n v="95"/>
    <n v="8.4278938925619382"/>
    <n v="113.10311255817119"/>
    <n v="4180648.459999999"/>
    <n v="10"/>
    <n v="431888.11000000004"/>
  </r>
  <r>
    <x v="0"/>
    <x v="7"/>
    <x v="7"/>
    <x v="0"/>
    <x v="47"/>
    <x v="47"/>
    <x v="0"/>
    <n v="537"/>
    <n v="96.886071764904713"/>
    <n v="474.09903595622615"/>
    <n v="6277517.7900000028"/>
    <n v="101"/>
    <n v="1107035.9799999997"/>
  </r>
  <r>
    <x v="0"/>
    <x v="7"/>
    <x v="7"/>
    <x v="2"/>
    <x v="0"/>
    <x v="0"/>
    <x v="0"/>
    <n v="1466"/>
    <n v="297.23313621089807"/>
    <n v="1374.299465480555"/>
    <n v="17830815.010000002"/>
    <n v="310"/>
    <n v="3973598.1100000036"/>
  </r>
  <r>
    <x v="0"/>
    <x v="7"/>
    <x v="7"/>
    <x v="2"/>
    <x v="1"/>
    <x v="1"/>
    <x v="0"/>
    <n v="2521"/>
    <n v="510.14914549666327"/>
    <n v="4360.4073204138995"/>
    <n v="111953942.98000012"/>
    <n v="381"/>
    <n v="11778747.190000009"/>
  </r>
  <r>
    <x v="0"/>
    <x v="7"/>
    <x v="7"/>
    <x v="2"/>
    <x v="2"/>
    <x v="2"/>
    <x v="0"/>
    <n v="1087"/>
    <n v="202.98170441240677"/>
    <n v="1068.9192063735072"/>
    <n v="21777856.37999998"/>
    <n v="198"/>
    <n v="3960591.9399999981"/>
  </r>
  <r>
    <x v="0"/>
    <x v="7"/>
    <x v="7"/>
    <x v="2"/>
    <x v="3"/>
    <x v="3"/>
    <x v="0"/>
    <n v="3065"/>
    <n v="356.65751345336076"/>
    <n v="2415.3386502094195"/>
    <n v="29888184.179999877"/>
    <n v="377"/>
    <n v="4136811.450000002"/>
  </r>
  <r>
    <x v="0"/>
    <x v="7"/>
    <x v="7"/>
    <x v="2"/>
    <x v="4"/>
    <x v="4"/>
    <x v="0"/>
    <n v="1622"/>
    <n v="256.79379972641522"/>
    <n v="1441.6998636213391"/>
    <n v="20359110.320000004"/>
    <n v="278"/>
    <n v="3664317.92"/>
  </r>
  <r>
    <x v="0"/>
    <x v="7"/>
    <x v="7"/>
    <x v="2"/>
    <x v="5"/>
    <x v="5"/>
    <x v="0"/>
    <n v="432"/>
    <n v="97.292418759724697"/>
    <n v="360.70998440170052"/>
    <n v="5184207.0400000038"/>
    <n v="114"/>
    <n v="1271877.9400000002"/>
  </r>
  <r>
    <x v="0"/>
    <x v="7"/>
    <x v="7"/>
    <x v="2"/>
    <x v="6"/>
    <x v="6"/>
    <x v="0"/>
    <n v="1424"/>
    <n v="161.11696194609493"/>
    <n v="1495.7665299320993"/>
    <n v="21635971.210000031"/>
    <n v="172"/>
    <n v="2587559.1100000017"/>
  </r>
  <r>
    <x v="0"/>
    <x v="7"/>
    <x v="7"/>
    <x v="2"/>
    <x v="7"/>
    <x v="7"/>
    <x v="0"/>
    <n v="3907"/>
    <n v="706.68255299127145"/>
    <n v="5596.6025966549923"/>
    <n v="129673986.42000024"/>
    <n v="641"/>
    <n v="17129153.349999987"/>
  </r>
  <r>
    <x v="0"/>
    <x v="7"/>
    <x v="7"/>
    <x v="2"/>
    <x v="8"/>
    <x v="8"/>
    <x v="0"/>
    <n v="113"/>
    <n v="22.252442716327792"/>
    <n v="85.621129908509232"/>
    <n v="1756475.0200000003"/>
    <n v="29"/>
    <n v="536752.61999999988"/>
  </r>
  <r>
    <x v="0"/>
    <x v="7"/>
    <x v="7"/>
    <x v="2"/>
    <x v="9"/>
    <x v="9"/>
    <x v="0"/>
    <n v="1295"/>
    <n v="323.01450088223953"/>
    <n v="1323.4431781288638"/>
    <n v="21809618.839999992"/>
    <n v="311"/>
    <n v="5006991.75"/>
  </r>
  <r>
    <x v="0"/>
    <x v="7"/>
    <x v="7"/>
    <x v="2"/>
    <x v="10"/>
    <x v="10"/>
    <x v="0"/>
    <n v="1549"/>
    <n v="236.00501599142868"/>
    <n v="1895.7623558329919"/>
    <n v="37763692.539999932"/>
    <n v="231"/>
    <n v="5561148.6200000038"/>
  </r>
  <r>
    <x v="0"/>
    <x v="2"/>
    <x v="2"/>
    <x v="2"/>
    <x v="11"/>
    <x v="11"/>
    <x v="0"/>
    <n v="328"/>
    <n v="80.77973097022695"/>
    <n v="286.09195935292428"/>
    <n v="4759426.0299999975"/>
    <n v="97"/>
    <n v="1208552.8600000001"/>
  </r>
  <r>
    <x v="0"/>
    <x v="7"/>
    <x v="7"/>
    <x v="2"/>
    <x v="12"/>
    <x v="12"/>
    <x v="0"/>
    <n v="1912"/>
    <n v="424.06429459406479"/>
    <n v="1730.3214359420072"/>
    <n v="26207507.750000015"/>
    <n v="457"/>
    <n v="6390789.1100000041"/>
  </r>
  <r>
    <x v="0"/>
    <x v="7"/>
    <x v="7"/>
    <x v="2"/>
    <x v="13"/>
    <x v="13"/>
    <x v="0"/>
    <n v="1075"/>
    <n v="181.6912216838162"/>
    <n v="1041.0580347286761"/>
    <n v="19411049.159999963"/>
    <n v="184"/>
    <n v="3558697.2699999996"/>
  </r>
  <r>
    <x v="0"/>
    <x v="7"/>
    <x v="7"/>
    <x v="2"/>
    <x v="14"/>
    <x v="14"/>
    <x v="0"/>
    <n v="192"/>
    <n v="23.351894702312066"/>
    <n v="167.39371886607952"/>
    <n v="2311436.1599999983"/>
    <n v="26"/>
    <n v="267933.63"/>
  </r>
  <r>
    <x v="0"/>
    <x v="7"/>
    <x v="7"/>
    <x v="2"/>
    <x v="15"/>
    <x v="15"/>
    <x v="0"/>
    <n v="667"/>
    <n v="135.69699827014634"/>
    <n v="577.98692263187138"/>
    <n v="8850282.9300000109"/>
    <n v="146"/>
    <n v="2136248.4099999997"/>
  </r>
  <r>
    <x v="0"/>
    <x v="7"/>
    <x v="7"/>
    <x v="2"/>
    <x v="16"/>
    <x v="16"/>
    <x v="0"/>
    <n v="1662"/>
    <n v="326.32701384001177"/>
    <n v="1711.9821371758042"/>
    <n v="22679856.449999958"/>
    <n v="316"/>
    <n v="3815556.6699999976"/>
  </r>
  <r>
    <x v="0"/>
    <x v="7"/>
    <x v="7"/>
    <x v="2"/>
    <x v="17"/>
    <x v="17"/>
    <x v="0"/>
    <n v="1245"/>
    <n v="191.97158255276301"/>
    <n v="1432.830919734397"/>
    <n v="17932998.149999976"/>
    <n v="199"/>
    <n v="2179815.9500000011"/>
  </r>
  <r>
    <x v="0"/>
    <x v="7"/>
    <x v="7"/>
    <x v="2"/>
    <x v="18"/>
    <x v="18"/>
    <x v="0"/>
    <n v="2560"/>
    <n v="414.16783772022421"/>
    <n v="2223.301349657519"/>
    <n v="25299538.409999963"/>
    <n v="468"/>
    <n v="4893245.0799999991"/>
  </r>
  <r>
    <x v="0"/>
    <x v="7"/>
    <x v="7"/>
    <x v="2"/>
    <x v="19"/>
    <x v="19"/>
    <x v="0"/>
    <n v="945"/>
    <n v="252.37985778268387"/>
    <n v="1322.9149431355975"/>
    <n v="23610442.370000005"/>
    <n v="240"/>
    <n v="4870094.5199999986"/>
  </r>
  <r>
    <x v="0"/>
    <x v="7"/>
    <x v="7"/>
    <x v="2"/>
    <x v="20"/>
    <x v="20"/>
    <x v="0"/>
    <n v="1093"/>
    <n v="215.58513825173966"/>
    <n v="1110.518070843214"/>
    <n v="14545435.410000002"/>
    <n v="219"/>
    <n v="2793567.0000000005"/>
  </r>
  <r>
    <x v="0"/>
    <x v="7"/>
    <x v="7"/>
    <x v="2"/>
    <x v="21"/>
    <x v="21"/>
    <x v="0"/>
    <n v="805"/>
    <n v="131.64941032174474"/>
    <n v="640.49143583507077"/>
    <n v="8140237.0600000108"/>
    <n v="148"/>
    <n v="1716417.86"/>
  </r>
  <r>
    <x v="0"/>
    <x v="7"/>
    <x v="7"/>
    <x v="2"/>
    <x v="22"/>
    <x v="22"/>
    <x v="0"/>
    <n v="1787"/>
    <n v="332.72047275850832"/>
    <n v="1880.7164790247978"/>
    <n v="31185302.979999937"/>
    <n v="349"/>
    <n v="4953307.46"/>
  </r>
  <r>
    <x v="0"/>
    <x v="7"/>
    <x v="7"/>
    <x v="2"/>
    <x v="23"/>
    <x v="23"/>
    <x v="0"/>
    <n v="66"/>
    <n v="21.218483729508609"/>
    <n v="63.663242188426516"/>
    <n v="1028293.3799999999"/>
    <n v="25"/>
    <n v="356998.12"/>
  </r>
  <r>
    <x v="0"/>
    <x v="7"/>
    <x v="7"/>
    <x v="2"/>
    <x v="24"/>
    <x v="24"/>
    <x v="0"/>
    <n v="429"/>
    <n v="75.096257042679454"/>
    <n v="359.85604841258595"/>
    <n v="5997945.7299999986"/>
    <n v="90"/>
    <n v="1133215.1500000001"/>
  </r>
  <r>
    <x v="0"/>
    <x v="7"/>
    <x v="7"/>
    <x v="2"/>
    <x v="25"/>
    <x v="25"/>
    <x v="0"/>
    <n v="939"/>
    <n v="186.88587761759516"/>
    <n v="849.75606816738059"/>
    <n v="12177867.569999991"/>
    <n v="197"/>
    <n v="2528923.8999999994"/>
  </r>
  <r>
    <x v="0"/>
    <x v="7"/>
    <x v="7"/>
    <x v="2"/>
    <x v="26"/>
    <x v="26"/>
    <x v="0"/>
    <n v="703"/>
    <n v="130.74670533325227"/>
    <n v="542.5875210831399"/>
    <n v="10977172.389999989"/>
    <n v="166"/>
    <n v="2617838.5900000008"/>
  </r>
  <r>
    <x v="0"/>
    <x v="7"/>
    <x v="7"/>
    <x v="2"/>
    <x v="27"/>
    <x v="27"/>
    <x v="0"/>
    <n v="601"/>
    <n v="143.53970617016836"/>
    <n v="562.98264782314391"/>
    <n v="6591747.1200000066"/>
    <n v="148"/>
    <n v="1790830.969999999"/>
  </r>
  <r>
    <x v="0"/>
    <x v="7"/>
    <x v="7"/>
    <x v="2"/>
    <x v="28"/>
    <x v="28"/>
    <x v="0"/>
    <n v="664"/>
    <n v="90.658506844293242"/>
    <n v="601.30927933455746"/>
    <n v="10018160.769999998"/>
    <n v="98"/>
    <n v="1385583.74"/>
  </r>
  <r>
    <x v="0"/>
    <x v="7"/>
    <x v="7"/>
    <x v="2"/>
    <x v="29"/>
    <x v="29"/>
    <x v="0"/>
    <n v="501"/>
    <n v="140.46412420937551"/>
    <n v="494.99441968985411"/>
    <n v="10211020.949999996"/>
    <n v="164"/>
    <n v="2846840.68"/>
  </r>
  <r>
    <x v="0"/>
    <x v="7"/>
    <x v="7"/>
    <x v="2"/>
    <x v="30"/>
    <x v="30"/>
    <x v="0"/>
    <n v="641"/>
    <n v="113.07205555856721"/>
    <n v="518.49063639032636"/>
    <n v="6678453.8599999975"/>
    <n v="123"/>
    <n v="1481680.0100000002"/>
  </r>
  <r>
    <x v="0"/>
    <x v="7"/>
    <x v="7"/>
    <x v="2"/>
    <x v="31"/>
    <x v="31"/>
    <x v="0"/>
    <n v="839"/>
    <n v="186.29324962514988"/>
    <n v="816.82394158719887"/>
    <n v="12599487.819999991"/>
    <n v="209"/>
    <n v="2922894.4499999979"/>
  </r>
  <r>
    <x v="0"/>
    <x v="7"/>
    <x v="7"/>
    <x v="2"/>
    <x v="32"/>
    <x v="32"/>
    <x v="0"/>
    <n v="1890"/>
    <n v="412.22829074494985"/>
    <n v="1781.5351012891419"/>
    <n v="23680498.740000039"/>
    <n v="416"/>
    <n v="5011375.8400000008"/>
  </r>
  <r>
    <x v="0"/>
    <x v="7"/>
    <x v="7"/>
    <x v="2"/>
    <x v="33"/>
    <x v="33"/>
    <x v="0"/>
    <n v="1910"/>
    <n v="215.72731324992722"/>
    <n v="1492.15379697816"/>
    <n v="20911491.290000025"/>
    <n v="260"/>
    <n v="3318026.0099999979"/>
  </r>
  <r>
    <x v="0"/>
    <x v="7"/>
    <x v="7"/>
    <x v="2"/>
    <x v="34"/>
    <x v="34"/>
    <x v="0"/>
    <n v="16"/>
    <n v="4.6102709412286647"/>
    <n v="9.5932968777054821"/>
    <n v="199151.99000000005"/>
    <n v="8"/>
    <n v="111453.55"/>
  </r>
  <r>
    <x v="0"/>
    <x v="7"/>
    <x v="7"/>
    <x v="2"/>
    <x v="35"/>
    <x v="35"/>
    <x v="0"/>
    <n v="1657"/>
    <n v="235.84666599344735"/>
    <n v="1318.2679271948446"/>
    <n v="17815371.65000001"/>
    <n v="252"/>
    <n v="3021767.7799999993"/>
  </r>
  <r>
    <x v="0"/>
    <x v="7"/>
    <x v="7"/>
    <x v="2"/>
    <x v="36"/>
    <x v="36"/>
    <x v="0"/>
    <n v="1337"/>
    <n v="244.42670388406984"/>
    <n v="1173.5188430400867"/>
    <n v="15683783.900000004"/>
    <n v="275"/>
    <n v="3257652.3499999992"/>
  </r>
  <r>
    <x v="0"/>
    <x v="7"/>
    <x v="7"/>
    <x v="2"/>
    <x v="37"/>
    <x v="37"/>
    <x v="0"/>
    <n v="1189"/>
    <n v="300.76571616586494"/>
    <n v="1183.5226159125546"/>
    <n v="13887622.599999979"/>
    <n v="338"/>
    <n v="3594925.05"/>
  </r>
  <r>
    <x v="0"/>
    <x v="7"/>
    <x v="7"/>
    <x v="2"/>
    <x v="38"/>
    <x v="38"/>
    <x v="0"/>
    <n v="27"/>
    <n v="9.7133918761745193"/>
    <n v="16.072122795113966"/>
    <n v="163601.22"/>
    <n v="16"/>
    <n v="106905.33000000003"/>
  </r>
  <r>
    <x v="0"/>
    <x v="7"/>
    <x v="7"/>
    <x v="2"/>
    <x v="39"/>
    <x v="39"/>
    <x v="0"/>
    <n v="899"/>
    <n v="252.67866977887448"/>
    <n v="963.48689371755154"/>
    <n v="15500814.159999987"/>
    <n v="263"/>
    <n v="4339063.7600000007"/>
  </r>
  <r>
    <x v="0"/>
    <x v="7"/>
    <x v="7"/>
    <x v="2"/>
    <x v="40"/>
    <x v="40"/>
    <x v="0"/>
    <n v="2166"/>
    <n v="242.21391791227811"/>
    <n v="1687.7830934842971"/>
    <n v="24658332.159999982"/>
    <n v="249"/>
    <n v="3217090.5500000012"/>
  </r>
  <r>
    <x v="0"/>
    <x v="7"/>
    <x v="7"/>
    <x v="2"/>
    <x v="41"/>
    <x v="41"/>
    <x v="0"/>
    <n v="171"/>
    <n v="0"/>
    <n v="333.36706075026524"/>
    <n v="5839499.2900000047"/>
    <n v="0"/>
    <n v="0"/>
  </r>
  <r>
    <x v="0"/>
    <x v="7"/>
    <x v="7"/>
    <x v="2"/>
    <x v="42"/>
    <x v="42"/>
    <x v="0"/>
    <n v="178"/>
    <n v="47.037952400364269"/>
    <n v="147.70227811710421"/>
    <n v="2088090.0200000005"/>
    <n v="61"/>
    <n v="702461.09999999963"/>
  </r>
  <r>
    <x v="0"/>
    <x v="7"/>
    <x v="7"/>
    <x v="2"/>
    <x v="43"/>
    <x v="43"/>
    <x v="0"/>
    <n v="266"/>
    <n v="56.111700284692901"/>
    <n v="283.49343438605041"/>
    <n v="3376285.9199999981"/>
    <n v="62"/>
    <n v="611502.62999999977"/>
  </r>
  <r>
    <x v="0"/>
    <x v="7"/>
    <x v="7"/>
    <x v="2"/>
    <x v="44"/>
    <x v="44"/>
    <x v="0"/>
    <n v="1052"/>
    <n v="217.6191282258103"/>
    <n v="894.7335965940124"/>
    <n v="15543104.950000016"/>
    <n v="232"/>
    <n v="3531466.7999999989"/>
  </r>
  <r>
    <x v="0"/>
    <x v="7"/>
    <x v="7"/>
    <x v="2"/>
    <x v="45"/>
    <x v="45"/>
    <x v="0"/>
    <n v="1462"/>
    <n v="203.6659184036846"/>
    <n v="1531.1133384815055"/>
    <n v="22054331.769999973"/>
    <n v="216"/>
    <n v="3038516.1999999988"/>
  </r>
  <r>
    <x v="0"/>
    <x v="7"/>
    <x v="7"/>
    <x v="2"/>
    <x v="46"/>
    <x v="46"/>
    <x v="0"/>
    <n v="80"/>
    <n v="9.20197088269407"/>
    <n v="98.374496745930372"/>
    <n v="4399591.8599999994"/>
    <n v="8"/>
    <n v="339799.16"/>
  </r>
  <r>
    <x v="0"/>
    <x v="7"/>
    <x v="7"/>
    <x v="2"/>
    <x v="47"/>
    <x v="47"/>
    <x v="0"/>
    <n v="573"/>
    <n v="79.700255983988029"/>
    <n v="470.66301900002878"/>
    <n v="6141615.3900000062"/>
    <n v="97"/>
    <n v="930624.10000000009"/>
  </r>
  <r>
    <x v="0"/>
    <x v="7"/>
    <x v="7"/>
    <x v="4"/>
    <x v="0"/>
    <x v="0"/>
    <x v="0"/>
    <n v="1546"/>
    <n v="312.36109501804793"/>
    <n v="1438.054975667807"/>
    <n v="17942156.769999981"/>
    <n v="322"/>
    <n v="3794661.3600000017"/>
  </r>
  <r>
    <x v="0"/>
    <x v="7"/>
    <x v="7"/>
    <x v="4"/>
    <x v="1"/>
    <x v="1"/>
    <x v="0"/>
    <n v="2486"/>
    <n v="499.27936563522991"/>
    <n v="4243.1873009081983"/>
    <n v="108553142.36999986"/>
    <n v="374"/>
    <n v="12510290.449999997"/>
  </r>
  <r>
    <x v="0"/>
    <x v="7"/>
    <x v="7"/>
    <x v="4"/>
    <x v="2"/>
    <x v="2"/>
    <x v="0"/>
    <n v="1180"/>
    <n v="251.0494487996435"/>
    <n v="1163.6704621656286"/>
    <n v="26018268.909999993"/>
    <n v="230"/>
    <n v="5320669.4500000048"/>
  </r>
  <r>
    <x v="0"/>
    <x v="7"/>
    <x v="7"/>
    <x v="4"/>
    <x v="3"/>
    <x v="3"/>
    <x v="0"/>
    <n v="3153"/>
    <n v="334.94703273012442"/>
    <n v="2380.3812336550577"/>
    <n v="32065609.629999839"/>
    <n v="352"/>
    <n v="4849658.0000000009"/>
  </r>
  <r>
    <x v="0"/>
    <x v="7"/>
    <x v="7"/>
    <x v="4"/>
    <x v="4"/>
    <x v="4"/>
    <x v="0"/>
    <n v="1732"/>
    <n v="318.78358093617499"/>
    <n v="1620.486268342185"/>
    <n v="22659910.619999979"/>
    <n v="328"/>
    <n v="4462199.3699999964"/>
  </r>
  <r>
    <x v="0"/>
    <x v="7"/>
    <x v="7"/>
    <x v="4"/>
    <x v="5"/>
    <x v="5"/>
    <x v="0"/>
    <n v="434"/>
    <n v="113.41097855424663"/>
    <n v="337.56003569681383"/>
    <n v="5228064.4900000012"/>
    <n v="138"/>
    <n v="1799554.6999999997"/>
  </r>
  <r>
    <x v="0"/>
    <x v="7"/>
    <x v="7"/>
    <x v="4"/>
    <x v="6"/>
    <x v="6"/>
    <x v="0"/>
    <n v="1352"/>
    <n v="153.38295204468741"/>
    <n v="1365.9018045876032"/>
    <n v="21704600.350000031"/>
    <n v="179"/>
    <n v="2828746.5999999987"/>
  </r>
  <r>
    <x v="0"/>
    <x v="7"/>
    <x v="7"/>
    <x v="4"/>
    <x v="7"/>
    <x v="7"/>
    <x v="0"/>
    <n v="3887"/>
    <n v="762.37752028127852"/>
    <n v="5569.9062609953007"/>
    <n v="133135664.73000032"/>
    <n v="645"/>
    <n v="18702775.89999998"/>
  </r>
  <r>
    <x v="0"/>
    <x v="7"/>
    <x v="7"/>
    <x v="4"/>
    <x v="8"/>
    <x v="8"/>
    <x v="0"/>
    <n v="117"/>
    <n v="32.736182582681991"/>
    <n v="85.625289908456196"/>
    <n v="1589428.3600000008"/>
    <n v="39"/>
    <n v="691268.31"/>
  </r>
  <r>
    <x v="0"/>
    <x v="7"/>
    <x v="7"/>
    <x v="4"/>
    <x v="9"/>
    <x v="9"/>
    <x v="0"/>
    <n v="1294"/>
    <n v="285.41927136150002"/>
    <n v="1243.7849471443392"/>
    <n v="19724859.740000036"/>
    <n v="299"/>
    <n v="4847197.6500000004"/>
  </r>
  <r>
    <x v="0"/>
    <x v="7"/>
    <x v="7"/>
    <x v="4"/>
    <x v="10"/>
    <x v="10"/>
    <x v="0"/>
    <n v="1587"/>
    <n v="309.02287606060327"/>
    <n v="1949.8246151438088"/>
    <n v="40796148.270000011"/>
    <n v="265"/>
    <n v="7284973.5599999987"/>
  </r>
  <r>
    <x v="0"/>
    <x v="2"/>
    <x v="2"/>
    <x v="4"/>
    <x v="11"/>
    <x v="11"/>
    <x v="0"/>
    <n v="348"/>
    <n v="94.255591798437834"/>
    <n v="308.78455006364123"/>
    <n v="5629439.6199999936"/>
    <n v="107"/>
    <n v="1686965.6899999997"/>
  </r>
  <r>
    <x v="0"/>
    <x v="7"/>
    <x v="7"/>
    <x v="4"/>
    <x v="12"/>
    <x v="12"/>
    <x v="0"/>
    <n v="2213"/>
    <n v="446.98439630188165"/>
    <n v="1962.6411119804191"/>
    <n v="31946327.049999963"/>
    <n v="487"/>
    <n v="7284610.8200000012"/>
  </r>
  <r>
    <x v="0"/>
    <x v="7"/>
    <x v="7"/>
    <x v="4"/>
    <x v="13"/>
    <x v="13"/>
    <x v="0"/>
    <n v="1126"/>
    <n v="183.23659166411591"/>
    <n v="1023.4593069530222"/>
    <n v="16151798.629999984"/>
    <n v="204"/>
    <n v="3115445.4400000013"/>
  </r>
  <r>
    <x v="0"/>
    <x v="7"/>
    <x v="7"/>
    <x v="4"/>
    <x v="14"/>
    <x v="14"/>
    <x v="0"/>
    <n v="184"/>
    <n v="29.63235762224927"/>
    <n v="149.34643809614465"/>
    <n v="2201743.0599999991"/>
    <n v="34"/>
    <n v="384741.66000000009"/>
  </r>
  <r>
    <x v="0"/>
    <x v="7"/>
    <x v="7"/>
    <x v="4"/>
    <x v="15"/>
    <x v="15"/>
    <x v="0"/>
    <n v="669"/>
    <n v="108.36021761863331"/>
    <n v="561.28200384482477"/>
    <n v="9526342.3000000026"/>
    <n v="133"/>
    <n v="1846351.49"/>
  </r>
  <r>
    <x v="0"/>
    <x v="7"/>
    <x v="7"/>
    <x v="4"/>
    <x v="16"/>
    <x v="16"/>
    <x v="0"/>
    <n v="1727"/>
    <n v="323.55196287538786"/>
    <n v="1698.5224143473865"/>
    <n v="23142688.420000091"/>
    <n v="339"/>
    <n v="4137940.3100000019"/>
  </r>
  <r>
    <x v="0"/>
    <x v="7"/>
    <x v="7"/>
    <x v="4"/>
    <x v="17"/>
    <x v="17"/>
    <x v="0"/>
    <n v="1212"/>
    <n v="194.01622152669827"/>
    <n v="1345.2825468504534"/>
    <n v="18131695.79999999"/>
    <n v="204"/>
    <n v="2112205.540000001"/>
  </r>
  <r>
    <x v="0"/>
    <x v="7"/>
    <x v="7"/>
    <x v="4"/>
    <x v="18"/>
    <x v="18"/>
    <x v="0"/>
    <n v="2647"/>
    <n v="399.70509690459403"/>
    <n v="2273.5738460166453"/>
    <n v="27000064.160000108"/>
    <n v="483"/>
    <n v="5152271.8099999968"/>
  </r>
  <r>
    <x v="0"/>
    <x v="7"/>
    <x v="7"/>
    <x v="4"/>
    <x v="19"/>
    <x v="19"/>
    <x v="0"/>
    <n v="959"/>
    <n v="242.2687059115797"/>
    <n v="1296.3638614740673"/>
    <n v="28800616.030000027"/>
    <n v="251"/>
    <n v="5745188.9799999986"/>
  </r>
  <r>
    <x v="0"/>
    <x v="7"/>
    <x v="7"/>
    <x v="4"/>
    <x v="20"/>
    <x v="20"/>
    <x v="0"/>
    <n v="1022"/>
    <n v="194.13181352522474"/>
    <n v="979.60885751202818"/>
    <n v="11867435.769999985"/>
    <n v="214"/>
    <n v="2140864.36"/>
  </r>
  <r>
    <x v="0"/>
    <x v="7"/>
    <x v="7"/>
    <x v="4"/>
    <x v="21"/>
    <x v="21"/>
    <x v="0"/>
    <n v="755"/>
    <n v="135.78722726899613"/>
    <n v="582.65911857231288"/>
    <n v="7895273.5799999963"/>
    <n v="166"/>
    <n v="1810468.31"/>
  </r>
  <r>
    <x v="0"/>
    <x v="7"/>
    <x v="7"/>
    <x v="4"/>
    <x v="22"/>
    <x v="22"/>
    <x v="0"/>
    <n v="1673"/>
    <n v="365.54279434009209"/>
    <n v="1813.5373858811947"/>
    <n v="29643881.709999997"/>
    <n v="342"/>
    <n v="6327449.8600000003"/>
  </r>
  <r>
    <x v="0"/>
    <x v="7"/>
    <x v="7"/>
    <x v="4"/>
    <x v="23"/>
    <x v="23"/>
    <x v="0"/>
    <n v="71"/>
    <n v="19.972863745387667"/>
    <n v="71.429541089422401"/>
    <n v="1357131.4299999995"/>
    <n v="24"/>
    <n v="378546.44000000006"/>
  </r>
  <r>
    <x v="0"/>
    <x v="7"/>
    <x v="7"/>
    <x v="4"/>
    <x v="24"/>
    <x v="24"/>
    <x v="0"/>
    <n v="510"/>
    <n v="104.47622266814615"/>
    <n v="427.45460355084538"/>
    <n v="7881952.1700000037"/>
    <n v="108"/>
    <n v="1928128.5899999999"/>
  </r>
  <r>
    <x v="0"/>
    <x v="7"/>
    <x v="7"/>
    <x v="4"/>
    <x v="25"/>
    <x v="25"/>
    <x v="0"/>
    <n v="999"/>
    <n v="200.33583944613625"/>
    <n v="899.24844153645552"/>
    <n v="12622117.989999987"/>
    <n v="227"/>
    <n v="2640696.2300000014"/>
  </r>
  <r>
    <x v="0"/>
    <x v="7"/>
    <x v="7"/>
    <x v="4"/>
    <x v="26"/>
    <x v="26"/>
    <x v="0"/>
    <n v="801"/>
    <n v="170.04346383230077"/>
    <n v="607.94097125001861"/>
    <n v="12209579.20000001"/>
    <n v="200"/>
    <n v="3488077.4600000014"/>
  </r>
  <r>
    <x v="0"/>
    <x v="7"/>
    <x v="7"/>
    <x v="4"/>
    <x v="27"/>
    <x v="27"/>
    <x v="0"/>
    <n v="642"/>
    <n v="134.9254952799815"/>
    <n v="598.07394337580388"/>
    <n v="6771023.290000001"/>
    <n v="139"/>
    <n v="1499783.9500000009"/>
  </r>
  <r>
    <x v="0"/>
    <x v="7"/>
    <x v="7"/>
    <x v="4"/>
    <x v="28"/>
    <x v="28"/>
    <x v="0"/>
    <n v="669"/>
    <n v="104.51079666770539"/>
    <n v="631.87994794484553"/>
    <n v="10934468.450000016"/>
    <n v="111"/>
    <n v="1643054.68"/>
  </r>
  <r>
    <x v="0"/>
    <x v="7"/>
    <x v="7"/>
    <x v="4"/>
    <x v="29"/>
    <x v="29"/>
    <x v="0"/>
    <n v="520"/>
    <n v="144.67785915565912"/>
    <n v="459.54377414177554"/>
    <n v="11181096.459999999"/>
    <n v="170"/>
    <n v="3085669.4000000013"/>
  </r>
  <r>
    <x v="0"/>
    <x v="7"/>
    <x v="7"/>
    <x v="4"/>
    <x v="30"/>
    <x v="30"/>
    <x v="0"/>
    <n v="637"/>
    <n v="126.71999538458441"/>
    <n v="512.69533846420416"/>
    <n v="7131077.9800000014"/>
    <n v="128"/>
    <n v="1688109.9599999995"/>
  </r>
  <r>
    <x v="0"/>
    <x v="7"/>
    <x v="7"/>
    <x v="4"/>
    <x v="31"/>
    <x v="31"/>
    <x v="0"/>
    <n v="837"/>
    <n v="216.65652723808174"/>
    <n v="822.53092051444821"/>
    <n v="12713524.670000028"/>
    <n v="246"/>
    <n v="3111717.4299999997"/>
  </r>
  <r>
    <x v="0"/>
    <x v="7"/>
    <x v="7"/>
    <x v="4"/>
    <x v="32"/>
    <x v="32"/>
    <x v="0"/>
    <n v="2035"/>
    <n v="458.31765315740745"/>
    <n v="1913.7087896042074"/>
    <n v="25173295.749999929"/>
    <n v="471"/>
    <n v="6179222.0500000045"/>
  </r>
  <r>
    <x v="0"/>
    <x v="7"/>
    <x v="7"/>
    <x v="4"/>
    <x v="33"/>
    <x v="33"/>
    <x v="0"/>
    <n v="1944"/>
    <n v="258.28309970742976"/>
    <n v="1524.6382955640534"/>
    <n v="21054925.849999987"/>
    <n v="308"/>
    <n v="3737827.6099999989"/>
  </r>
  <r>
    <x v="0"/>
    <x v="7"/>
    <x v="7"/>
    <x v="4"/>
    <x v="34"/>
    <x v="34"/>
    <x v="0"/>
    <n v="12"/>
    <n v="1.749195977701401"/>
    <n v="5.9952039235736594"/>
    <n v="144975.62999999998"/>
    <n v="3"/>
    <n v="38344.020000000004"/>
  </r>
  <r>
    <x v="0"/>
    <x v="7"/>
    <x v="7"/>
    <x v="4"/>
    <x v="35"/>
    <x v="35"/>
    <x v="0"/>
    <n v="1696"/>
    <n v="278.27244045260721"/>
    <n v="1348.1688418136691"/>
    <n v="16599864.139999991"/>
    <n v="294"/>
    <n v="3272262.4500000007"/>
  </r>
  <r>
    <x v="0"/>
    <x v="7"/>
    <x v="7"/>
    <x v="4"/>
    <x v="36"/>
    <x v="36"/>
    <x v="0"/>
    <n v="1236"/>
    <n v="253.12788877314773"/>
    <n v="1049.2325766244728"/>
    <n v="13127526.329999991"/>
    <n v="274"/>
    <n v="2950227.6800000006"/>
  </r>
  <r>
    <x v="0"/>
    <x v="7"/>
    <x v="7"/>
    <x v="4"/>
    <x v="37"/>
    <x v="37"/>
    <x v="0"/>
    <n v="1241"/>
    <n v="311.93184202351995"/>
    <n v="1195.7548967566192"/>
    <n v="14080376.079999993"/>
    <n v="358"/>
    <n v="3803415.0700000008"/>
  </r>
  <r>
    <x v="0"/>
    <x v="7"/>
    <x v="7"/>
    <x v="4"/>
    <x v="38"/>
    <x v="38"/>
    <x v="0"/>
    <n v="35"/>
    <n v="5.9763739238137026"/>
    <n v="16.280067792463107"/>
    <n v="136097.12000000002"/>
    <n v="11"/>
    <n v="41536.47"/>
  </r>
  <r>
    <x v="0"/>
    <x v="7"/>
    <x v="7"/>
    <x v="4"/>
    <x v="39"/>
    <x v="39"/>
    <x v="0"/>
    <n v="898"/>
    <n v="255.78618573926011"/>
    <n v="942.50859098498142"/>
    <n v="15699130.609999996"/>
    <n v="272"/>
    <n v="4649816.3800000008"/>
  </r>
  <r>
    <x v="0"/>
    <x v="7"/>
    <x v="7"/>
    <x v="4"/>
    <x v="40"/>
    <x v="40"/>
    <x v="0"/>
    <n v="2157"/>
    <n v="262.94207764803758"/>
    <n v="1712.6123771677749"/>
    <n v="25834585.540000021"/>
    <n v="277"/>
    <n v="3742605.24"/>
  </r>
  <r>
    <x v="0"/>
    <x v="7"/>
    <x v="7"/>
    <x v="4"/>
    <x v="41"/>
    <x v="41"/>
    <x v="0"/>
    <n v="161"/>
    <n v="0"/>
    <n v="315.88930797307023"/>
    <n v="6168484.9499999965"/>
    <n v="0"/>
    <n v="0"/>
  </r>
  <r>
    <x v="0"/>
    <x v="7"/>
    <x v="7"/>
    <x v="4"/>
    <x v="42"/>
    <x v="42"/>
    <x v="0"/>
    <n v="229"/>
    <n v="53.318268320303332"/>
    <n v="180.44645169968425"/>
    <n v="2249844.8699999982"/>
    <n v="72"/>
    <n v="551419.28000000014"/>
  </r>
  <r>
    <x v="0"/>
    <x v="7"/>
    <x v="7"/>
    <x v="4"/>
    <x v="43"/>
    <x v="43"/>
    <x v="0"/>
    <n v="280"/>
    <n v="77.555884011324324"/>
    <n v="269.20493856819866"/>
    <n v="3475734.6100000003"/>
    <n v="85"/>
    <n v="963922.08"/>
  </r>
  <r>
    <x v="0"/>
    <x v="7"/>
    <x v="7"/>
    <x v="4"/>
    <x v="44"/>
    <x v="44"/>
    <x v="0"/>
    <n v="1083"/>
    <n v="181.56486168542693"/>
    <n v="882.06668075548794"/>
    <n v="16797751.560000017"/>
    <n v="208"/>
    <n v="3155394.7000000007"/>
  </r>
  <r>
    <x v="0"/>
    <x v="7"/>
    <x v="7"/>
    <x v="4"/>
    <x v="45"/>
    <x v="45"/>
    <x v="0"/>
    <n v="1452"/>
    <n v="222.5503831629471"/>
    <n v="1547.6659562704924"/>
    <n v="22866814.519999985"/>
    <n v="246"/>
    <n v="3205358.0099999979"/>
  </r>
  <r>
    <x v="0"/>
    <x v="7"/>
    <x v="7"/>
    <x v="4"/>
    <x v="46"/>
    <x v="46"/>
    <x v="0"/>
    <n v="77"/>
    <n v="3.402221956628769"/>
    <n v="91.666788831439661"/>
    <n v="4053573.5400000005"/>
    <n v="4"/>
    <n v="131439.46000000002"/>
  </r>
  <r>
    <x v="0"/>
    <x v="7"/>
    <x v="7"/>
    <x v="4"/>
    <x v="47"/>
    <x v="47"/>
    <x v="0"/>
    <n v="600"/>
    <n v="102.39799469463928"/>
    <n v="513.81795244989337"/>
    <n v="6951481.1400000034"/>
    <n v="108"/>
    <n v="1226595.7000000002"/>
  </r>
  <r>
    <x v="1"/>
    <x v="1"/>
    <x v="1"/>
    <x v="1"/>
    <x v="0"/>
    <x v="0"/>
    <x v="0"/>
    <n v="1529"/>
    <n v="257.52253899999994"/>
    <n v="1456.050775000004"/>
    <n v="13603834.929999983"/>
    <n v="253"/>
    <n v="2479048.3899999992"/>
  </r>
  <r>
    <x v="1"/>
    <x v="1"/>
    <x v="1"/>
    <x v="1"/>
    <x v="1"/>
    <x v="1"/>
    <x v="0"/>
    <n v="3290"/>
    <n v="560.98511599999983"/>
    <n v="5263.6648010000217"/>
    <n v="89179230.180000037"/>
    <n v="469"/>
    <n v="9164414.8300000057"/>
  </r>
  <r>
    <x v="1"/>
    <x v="1"/>
    <x v="1"/>
    <x v="1"/>
    <x v="2"/>
    <x v="2"/>
    <x v="0"/>
    <n v="1328"/>
    <n v="221.83595999999989"/>
    <n v="1277.2198030000034"/>
    <n v="17673361.129999995"/>
    <n v="218"/>
    <n v="3085905.4700000011"/>
  </r>
  <r>
    <x v="1"/>
    <x v="1"/>
    <x v="1"/>
    <x v="1"/>
    <x v="3"/>
    <x v="3"/>
    <x v="0"/>
    <n v="3290"/>
    <n v="385.65473199999985"/>
    <n v="2846.4758149999957"/>
    <n v="31698925.550000254"/>
    <n v="383"/>
    <n v="4057342.0799999968"/>
  </r>
  <r>
    <x v="1"/>
    <x v="1"/>
    <x v="1"/>
    <x v="1"/>
    <x v="4"/>
    <x v="4"/>
    <x v="0"/>
    <n v="1812"/>
    <n v="389.10764399999971"/>
    <n v="1814.4841750000091"/>
    <n v="17918894.81000001"/>
    <n v="349"/>
    <n v="3953966.6000000015"/>
  </r>
  <r>
    <x v="1"/>
    <x v="1"/>
    <x v="1"/>
    <x v="1"/>
    <x v="5"/>
    <x v="5"/>
    <x v="0"/>
    <n v="532"/>
    <n v="128.15210800000003"/>
    <n v="474.74003100000004"/>
    <n v="4917542.2300000004"/>
    <n v="143"/>
    <n v="1172282.22"/>
  </r>
  <r>
    <x v="1"/>
    <x v="1"/>
    <x v="1"/>
    <x v="1"/>
    <x v="6"/>
    <x v="6"/>
    <x v="0"/>
    <n v="1671"/>
    <n v="258.27803000000011"/>
    <n v="1722.5293540000084"/>
    <n v="21146479.709999964"/>
    <n v="254"/>
    <n v="3366514.9000000018"/>
  </r>
  <r>
    <x v="1"/>
    <x v="1"/>
    <x v="1"/>
    <x v="1"/>
    <x v="7"/>
    <x v="7"/>
    <x v="0"/>
    <n v="3987"/>
    <n v="806.54911300000128"/>
    <n v="5901.3662909999875"/>
    <n v="102502873.49000004"/>
    <n v="661"/>
    <n v="14897902.090000009"/>
  </r>
  <r>
    <x v="1"/>
    <x v="1"/>
    <x v="1"/>
    <x v="1"/>
    <x v="8"/>
    <x v="8"/>
    <x v="0"/>
    <n v="252"/>
    <n v="50.181011999999996"/>
    <n v="208.96196600000002"/>
    <n v="2172709.2900000005"/>
    <n v="63"/>
    <n v="638287.93000000017"/>
  </r>
  <r>
    <x v="1"/>
    <x v="1"/>
    <x v="1"/>
    <x v="1"/>
    <x v="9"/>
    <x v="9"/>
    <x v="0"/>
    <n v="1769"/>
    <n v="396.4577299999998"/>
    <n v="1773.5450850000057"/>
    <n v="20557978.030000027"/>
    <n v="369"/>
    <n v="4739129.4900000021"/>
  </r>
  <r>
    <x v="1"/>
    <x v="1"/>
    <x v="1"/>
    <x v="1"/>
    <x v="10"/>
    <x v="10"/>
    <x v="0"/>
    <n v="2438"/>
    <n v="468.77446999999933"/>
    <n v="2870.6696700000143"/>
    <n v="29570830.269999959"/>
    <n v="410"/>
    <n v="4471850.049999997"/>
  </r>
  <r>
    <x v="0"/>
    <x v="2"/>
    <x v="4"/>
    <x v="6"/>
    <x v="11"/>
    <x v="11"/>
    <x v="0"/>
    <n v="396"/>
    <n v="115.34175252963328"/>
    <n v="325.09735885568676"/>
    <n v="5918339.1599999974"/>
    <n v="133"/>
    <n v="2106277.1799999997"/>
  </r>
  <r>
    <x v="1"/>
    <x v="1"/>
    <x v="1"/>
    <x v="1"/>
    <x v="12"/>
    <x v="12"/>
    <x v="0"/>
    <n v="2340"/>
    <n v="511.02556599999963"/>
    <n v="2241.3992920000023"/>
    <n v="25376762.340000004"/>
    <n v="509"/>
    <n v="5747234.6399999969"/>
  </r>
  <r>
    <x v="1"/>
    <x v="1"/>
    <x v="1"/>
    <x v="1"/>
    <x v="13"/>
    <x v="13"/>
    <x v="0"/>
    <n v="1327"/>
    <n v="245.11981299999985"/>
    <n v="1336.5916040000077"/>
    <n v="15244097.929999979"/>
    <n v="225"/>
    <n v="3082845.9899999979"/>
  </r>
  <r>
    <x v="1"/>
    <x v="1"/>
    <x v="1"/>
    <x v="1"/>
    <x v="14"/>
    <x v="14"/>
    <x v="0"/>
    <n v="240"/>
    <n v="37.327767000000001"/>
    <n v="180.7346830000001"/>
    <n v="1609984.4700000002"/>
    <n v="48"/>
    <n v="397819.64999999985"/>
  </r>
  <r>
    <x v="1"/>
    <x v="1"/>
    <x v="1"/>
    <x v="1"/>
    <x v="15"/>
    <x v="15"/>
    <x v="0"/>
    <n v="891"/>
    <n v="162.98976200000004"/>
    <n v="784.84720899999593"/>
    <n v="7571562.8000000026"/>
    <n v="188"/>
    <n v="1427051.03"/>
  </r>
  <r>
    <x v="1"/>
    <x v="1"/>
    <x v="1"/>
    <x v="1"/>
    <x v="16"/>
    <x v="16"/>
    <x v="0"/>
    <n v="1772"/>
    <n v="369.10738799999962"/>
    <n v="2054.5364570000047"/>
    <n v="21763024.790000066"/>
    <n v="346"/>
    <n v="3899598.7600000002"/>
  </r>
  <r>
    <x v="1"/>
    <x v="1"/>
    <x v="1"/>
    <x v="1"/>
    <x v="17"/>
    <x v="17"/>
    <x v="0"/>
    <n v="1153"/>
    <n v="217.60996700000007"/>
    <n v="1553.8899990000025"/>
    <n v="16771357.650000028"/>
    <n v="192"/>
    <n v="2597081.0999999982"/>
  </r>
  <r>
    <x v="1"/>
    <x v="1"/>
    <x v="1"/>
    <x v="1"/>
    <x v="18"/>
    <x v="18"/>
    <x v="0"/>
    <n v="2805"/>
    <n v="447.01573399999995"/>
    <n v="2619.6122769999943"/>
    <n v="25452283.950000115"/>
    <n v="418"/>
    <n v="4359807.0299999947"/>
  </r>
  <r>
    <x v="1"/>
    <x v="1"/>
    <x v="1"/>
    <x v="1"/>
    <x v="19"/>
    <x v="19"/>
    <x v="0"/>
    <n v="1323"/>
    <n v="329.56390299999993"/>
    <n v="1867.2587230000008"/>
    <n v="27793512.309999984"/>
    <n v="313"/>
    <n v="5338520.9799999995"/>
  </r>
  <r>
    <x v="1"/>
    <x v="1"/>
    <x v="1"/>
    <x v="1"/>
    <x v="20"/>
    <x v="20"/>
    <x v="0"/>
    <n v="1341"/>
    <n v="235.73004899999984"/>
    <n v="1255.383341000007"/>
    <n v="13474063.559999993"/>
    <n v="267"/>
    <n v="2445830.870000001"/>
  </r>
  <r>
    <x v="1"/>
    <x v="1"/>
    <x v="1"/>
    <x v="1"/>
    <x v="21"/>
    <x v="21"/>
    <x v="0"/>
    <n v="783"/>
    <n v="136.25765800000005"/>
    <n v="598.89343899999483"/>
    <n v="6249083.9999999963"/>
    <n v="149"/>
    <n v="1290876.6400000001"/>
  </r>
  <r>
    <x v="1"/>
    <x v="1"/>
    <x v="1"/>
    <x v="1"/>
    <x v="22"/>
    <x v="22"/>
    <x v="0"/>
    <n v="2046"/>
    <n v="446.00961699999993"/>
    <n v="2101.8805230000044"/>
    <n v="30344514.370000016"/>
    <n v="468"/>
    <n v="5514804.7200000025"/>
  </r>
  <r>
    <x v="1"/>
    <x v="1"/>
    <x v="1"/>
    <x v="1"/>
    <x v="23"/>
    <x v="23"/>
    <x v="0"/>
    <n v="220"/>
    <n v="50.87932"/>
    <n v="214.35709799999995"/>
    <n v="2375371.1199999996"/>
    <n v="62"/>
    <n v="613173.14"/>
  </r>
  <r>
    <x v="1"/>
    <x v="1"/>
    <x v="1"/>
    <x v="1"/>
    <x v="24"/>
    <x v="24"/>
    <x v="0"/>
    <n v="606"/>
    <n v="103.92328000000002"/>
    <n v="570.2707939999998"/>
    <n v="6098641.9899999984"/>
    <n v="111"/>
    <n v="1042662.9199999999"/>
  </r>
  <r>
    <x v="1"/>
    <x v="1"/>
    <x v="1"/>
    <x v="1"/>
    <x v="25"/>
    <x v="25"/>
    <x v="0"/>
    <n v="1181"/>
    <n v="210.36586899999995"/>
    <n v="1071.8296759999994"/>
    <n v="10940173.759999979"/>
    <n v="216"/>
    <n v="2016905.5699999998"/>
  </r>
  <r>
    <x v="1"/>
    <x v="1"/>
    <x v="1"/>
    <x v="1"/>
    <x v="26"/>
    <x v="26"/>
    <x v="0"/>
    <n v="1135"/>
    <n v="255.32422299999979"/>
    <n v="1046.2775179999962"/>
    <n v="14347365.759999983"/>
    <n v="269"/>
    <n v="3631864.4499999983"/>
  </r>
  <r>
    <x v="1"/>
    <x v="1"/>
    <x v="1"/>
    <x v="1"/>
    <x v="27"/>
    <x v="27"/>
    <x v="0"/>
    <n v="775"/>
    <n v="192.54942799999992"/>
    <n v="687.9153059999976"/>
    <n v="7202518.6199999945"/>
    <n v="182"/>
    <n v="2035771.28"/>
  </r>
  <r>
    <x v="1"/>
    <x v="1"/>
    <x v="1"/>
    <x v="1"/>
    <x v="28"/>
    <x v="28"/>
    <x v="0"/>
    <n v="905"/>
    <n v="142.09599100000005"/>
    <n v="806.94705299999669"/>
    <n v="9696034.1199999992"/>
    <n v="154"/>
    <n v="1800732.9199999997"/>
  </r>
  <r>
    <x v="1"/>
    <x v="1"/>
    <x v="1"/>
    <x v="1"/>
    <x v="29"/>
    <x v="29"/>
    <x v="0"/>
    <n v="888"/>
    <n v="246.97363400000006"/>
    <n v="928.80518499999846"/>
    <n v="15785969.219999991"/>
    <n v="231"/>
    <n v="2898737.2400000007"/>
  </r>
  <r>
    <x v="1"/>
    <x v="1"/>
    <x v="1"/>
    <x v="1"/>
    <x v="30"/>
    <x v="30"/>
    <x v="0"/>
    <n v="748"/>
    <n v="122.51709800000003"/>
    <n v="586.58078999999748"/>
    <n v="5777619.200000003"/>
    <n v="126"/>
    <n v="1148084.49"/>
  </r>
  <r>
    <x v="1"/>
    <x v="1"/>
    <x v="1"/>
    <x v="1"/>
    <x v="31"/>
    <x v="31"/>
    <x v="0"/>
    <n v="1201"/>
    <n v="310.65278099999989"/>
    <n v="1135.5853970000014"/>
    <n v="10287510.390000004"/>
    <n v="336"/>
    <n v="2969560.3399999947"/>
  </r>
  <r>
    <x v="1"/>
    <x v="1"/>
    <x v="1"/>
    <x v="1"/>
    <x v="32"/>
    <x v="32"/>
    <x v="0"/>
    <n v="1810"/>
    <n v="433.15384599999982"/>
    <n v="1868.2415570000039"/>
    <n v="19788372.460000012"/>
    <n v="427"/>
    <n v="4513231.5099999988"/>
  </r>
  <r>
    <x v="1"/>
    <x v="1"/>
    <x v="1"/>
    <x v="1"/>
    <x v="33"/>
    <x v="33"/>
    <x v="0"/>
    <n v="2035"/>
    <n v="296.67358099999967"/>
    <n v="1851.9597650000089"/>
    <n v="20322803.889999896"/>
    <n v="281"/>
    <n v="3379576.4700000016"/>
  </r>
  <r>
    <x v="1"/>
    <x v="1"/>
    <x v="1"/>
    <x v="1"/>
    <x v="34"/>
    <x v="34"/>
    <x v="0"/>
    <n v="40"/>
    <n v="8.6060979999999994"/>
    <n v="32.576465999999989"/>
    <n v="440333.34"/>
    <n v="11"/>
    <n v="152025.34999999998"/>
  </r>
  <r>
    <x v="1"/>
    <x v="1"/>
    <x v="1"/>
    <x v="1"/>
    <x v="35"/>
    <x v="35"/>
    <x v="0"/>
    <n v="1838"/>
    <n v="300.88234699999987"/>
    <n v="1524.4789230000156"/>
    <n v="15489965.650000039"/>
    <n v="284"/>
    <n v="3080589.7499999991"/>
  </r>
  <r>
    <x v="1"/>
    <x v="1"/>
    <x v="1"/>
    <x v="1"/>
    <x v="36"/>
    <x v="36"/>
    <x v="0"/>
    <n v="1430"/>
    <n v="252.45666399999993"/>
    <n v="1357.8064210000018"/>
    <n v="12209522.260000011"/>
    <n v="261"/>
    <n v="2123702.9099999992"/>
  </r>
  <r>
    <x v="1"/>
    <x v="1"/>
    <x v="1"/>
    <x v="1"/>
    <x v="37"/>
    <x v="37"/>
    <x v="0"/>
    <n v="1040"/>
    <n v="259.38095599999974"/>
    <n v="1190.6276119999993"/>
    <n v="12449267.260000005"/>
    <n v="265"/>
    <n v="2857071.2"/>
  </r>
  <r>
    <x v="1"/>
    <x v="1"/>
    <x v="1"/>
    <x v="1"/>
    <x v="38"/>
    <x v="38"/>
    <x v="0"/>
    <n v="586"/>
    <n v="85.142179000000013"/>
    <n v="580.89822899999876"/>
    <n v="6316547.1400000034"/>
    <n v="78"/>
    <n v="963554.4"/>
  </r>
  <r>
    <x v="1"/>
    <x v="1"/>
    <x v="1"/>
    <x v="1"/>
    <x v="39"/>
    <x v="39"/>
    <x v="0"/>
    <n v="1374"/>
    <n v="405.76559499999962"/>
    <n v="1627.3971890000007"/>
    <n v="20135326.200000025"/>
    <n v="381"/>
    <n v="4810779.1799999988"/>
  </r>
  <r>
    <x v="1"/>
    <x v="1"/>
    <x v="1"/>
    <x v="1"/>
    <x v="40"/>
    <x v="40"/>
    <x v="0"/>
    <n v="2385"/>
    <n v="232.22053199999999"/>
    <n v="2018.726078000014"/>
    <n v="19779746.229999967"/>
    <n v="207"/>
    <n v="2411682.1100000003"/>
  </r>
  <r>
    <x v="1"/>
    <x v="1"/>
    <x v="1"/>
    <x v="1"/>
    <x v="41"/>
    <x v="41"/>
    <x v="0"/>
    <n v="311"/>
    <n v="0"/>
    <n v="518.5819780000013"/>
    <n v="5315574.7399999965"/>
    <n v="0"/>
    <n v="0"/>
  </r>
  <r>
    <x v="1"/>
    <x v="1"/>
    <x v="1"/>
    <x v="1"/>
    <x v="42"/>
    <x v="42"/>
    <x v="0"/>
    <n v="237"/>
    <n v="61.084542000000013"/>
    <n v="188.1592709999999"/>
    <n v="1892492.4399999985"/>
    <n v="77"/>
    <n v="561250.60000000009"/>
  </r>
  <r>
    <x v="1"/>
    <x v="1"/>
    <x v="1"/>
    <x v="1"/>
    <x v="43"/>
    <x v="43"/>
    <x v="0"/>
    <n v="366"/>
    <n v="90.716501000000051"/>
    <n v="447.18284700000009"/>
    <n v="4423321.5500000026"/>
    <n v="82"/>
    <n v="831435.06999999972"/>
  </r>
  <r>
    <x v="1"/>
    <x v="1"/>
    <x v="1"/>
    <x v="1"/>
    <x v="44"/>
    <x v="44"/>
    <x v="0"/>
    <n v="1693"/>
    <n v="374.31527299999971"/>
    <n v="1496.9993690000065"/>
    <n v="15258837.689999998"/>
    <n v="361"/>
    <n v="3450449.7200000025"/>
  </r>
  <r>
    <x v="1"/>
    <x v="1"/>
    <x v="1"/>
    <x v="1"/>
    <x v="45"/>
    <x v="45"/>
    <x v="0"/>
    <n v="1478"/>
    <n v="265.46912599999973"/>
    <n v="1714.1996789999914"/>
    <n v="18999332.859999985"/>
    <n v="231"/>
    <n v="3027000.8300000015"/>
  </r>
  <r>
    <x v="1"/>
    <x v="1"/>
    <x v="1"/>
    <x v="1"/>
    <x v="46"/>
    <x v="46"/>
    <x v="0"/>
    <n v="107"/>
    <n v="6.1705040000000002"/>
    <n v="98.527887000000035"/>
    <n v="3764545.4300000006"/>
    <n v="9"/>
    <n v="271783.39999999997"/>
  </r>
  <r>
    <x v="1"/>
    <x v="1"/>
    <x v="1"/>
    <x v="3"/>
    <x v="0"/>
    <x v="0"/>
    <x v="0"/>
    <n v="1695"/>
    <n v="321.52607099999983"/>
    <n v="1672.3519830000089"/>
    <n v="15504682.689999986"/>
    <n v="299"/>
    <n v="3236177.1200000015"/>
  </r>
  <r>
    <x v="1"/>
    <x v="1"/>
    <x v="1"/>
    <x v="3"/>
    <x v="1"/>
    <x v="1"/>
    <x v="0"/>
    <n v="3246"/>
    <n v="597.93144799999993"/>
    <n v="5364.5386639999933"/>
    <n v="91022704.239999682"/>
    <n v="466"/>
    <n v="10162781.999999996"/>
  </r>
  <r>
    <x v="1"/>
    <x v="1"/>
    <x v="1"/>
    <x v="3"/>
    <x v="2"/>
    <x v="2"/>
    <x v="0"/>
    <n v="1359"/>
    <n v="255.64894999999973"/>
    <n v="1274.5218980000013"/>
    <n v="20005902.110000033"/>
    <n v="227"/>
    <n v="4274571.9699999979"/>
  </r>
  <r>
    <x v="1"/>
    <x v="1"/>
    <x v="1"/>
    <x v="3"/>
    <x v="3"/>
    <x v="3"/>
    <x v="0"/>
    <n v="3250"/>
    <n v="439.42811899999964"/>
    <n v="2797.8586559999981"/>
    <n v="27582722.460000377"/>
    <n v="418"/>
    <n v="4552755.57"/>
  </r>
  <r>
    <x v="1"/>
    <x v="1"/>
    <x v="1"/>
    <x v="3"/>
    <x v="4"/>
    <x v="4"/>
    <x v="0"/>
    <n v="1909"/>
    <n v="375.70187599999991"/>
    <n v="1858.1145570000087"/>
    <n v="16762195.130000005"/>
    <n v="346"/>
    <n v="3257810.28"/>
  </r>
  <r>
    <x v="1"/>
    <x v="1"/>
    <x v="1"/>
    <x v="3"/>
    <x v="5"/>
    <x v="5"/>
    <x v="0"/>
    <n v="545"/>
    <n v="128.44550600000005"/>
    <n v="470.80277399999989"/>
    <n v="4722073.29"/>
    <n v="131"/>
    <n v="1263294.6200000003"/>
  </r>
  <r>
    <x v="1"/>
    <x v="1"/>
    <x v="1"/>
    <x v="3"/>
    <x v="6"/>
    <x v="6"/>
    <x v="0"/>
    <n v="1708"/>
    <n v="256.79546599999992"/>
    <n v="1786.8044600000101"/>
    <n v="20016953.149999958"/>
    <n v="258"/>
    <n v="2917474.6600000015"/>
  </r>
  <r>
    <x v="1"/>
    <x v="1"/>
    <x v="1"/>
    <x v="3"/>
    <x v="7"/>
    <x v="7"/>
    <x v="0"/>
    <n v="4275"/>
    <n v="758.18270800000084"/>
    <n v="6115.9369769999566"/>
    <n v="114109293.76999964"/>
    <n v="671"/>
    <n v="14352163.110000009"/>
  </r>
  <r>
    <x v="1"/>
    <x v="1"/>
    <x v="1"/>
    <x v="3"/>
    <x v="8"/>
    <x v="8"/>
    <x v="0"/>
    <n v="246"/>
    <n v="45.675847000000005"/>
    <n v="188.80813400000017"/>
    <n v="2046997.6999999995"/>
    <n v="60"/>
    <n v="492827.04999999993"/>
  </r>
  <r>
    <x v="1"/>
    <x v="1"/>
    <x v="1"/>
    <x v="3"/>
    <x v="9"/>
    <x v="9"/>
    <x v="0"/>
    <n v="1956"/>
    <n v="444.87244999999962"/>
    <n v="2012.2191200000061"/>
    <n v="22997443.499999948"/>
    <n v="429"/>
    <n v="5066429.179999995"/>
  </r>
  <r>
    <x v="1"/>
    <x v="1"/>
    <x v="1"/>
    <x v="3"/>
    <x v="10"/>
    <x v="10"/>
    <x v="0"/>
    <n v="2525"/>
    <n v="495.84179499999954"/>
    <n v="3181.179081000008"/>
    <n v="36036485.01000011"/>
    <n v="440"/>
    <n v="5536609.5599999977"/>
  </r>
  <r>
    <x v="0"/>
    <x v="2"/>
    <x v="4"/>
    <x v="7"/>
    <x v="11"/>
    <x v="11"/>
    <x v="0"/>
    <n v="340"/>
    <n v="88.354642873662655"/>
    <n v="295.20470923675595"/>
    <n v="4929747.2799999984"/>
    <n v="106"/>
    <n v="1469268.5199999998"/>
  </r>
  <r>
    <x v="1"/>
    <x v="1"/>
    <x v="1"/>
    <x v="3"/>
    <x v="12"/>
    <x v="12"/>
    <x v="0"/>
    <n v="2533"/>
    <n v="526.40510099999995"/>
    <n v="2347.5307479999951"/>
    <n v="26353942.820000008"/>
    <n v="540"/>
    <n v="5371985.6499999966"/>
  </r>
  <r>
    <x v="1"/>
    <x v="1"/>
    <x v="1"/>
    <x v="3"/>
    <x v="13"/>
    <x v="13"/>
    <x v="0"/>
    <n v="1361"/>
    <n v="258.00781099999983"/>
    <n v="1382.2146670000088"/>
    <n v="15073520.319999993"/>
    <n v="248"/>
    <n v="2941624.1400000025"/>
  </r>
  <r>
    <x v="1"/>
    <x v="1"/>
    <x v="1"/>
    <x v="3"/>
    <x v="14"/>
    <x v="14"/>
    <x v="0"/>
    <n v="229"/>
    <n v="25.765147000000006"/>
    <n v="200.75148500000006"/>
    <n v="1765476.5799999996"/>
    <n v="31"/>
    <n v="264078.46000000002"/>
  </r>
  <r>
    <x v="1"/>
    <x v="1"/>
    <x v="1"/>
    <x v="3"/>
    <x v="15"/>
    <x v="15"/>
    <x v="0"/>
    <n v="899"/>
    <n v="144.43115799999995"/>
    <n v="815.44761199999732"/>
    <n v="8331828.5800000075"/>
    <n v="151"/>
    <n v="1455856.5899999999"/>
  </r>
  <r>
    <x v="1"/>
    <x v="1"/>
    <x v="1"/>
    <x v="3"/>
    <x v="16"/>
    <x v="16"/>
    <x v="0"/>
    <n v="1816"/>
    <n v="333.2742659999999"/>
    <n v="2103.9816510000041"/>
    <n v="21457711.430000126"/>
    <n v="296"/>
    <n v="3312261.24"/>
  </r>
  <r>
    <x v="1"/>
    <x v="1"/>
    <x v="1"/>
    <x v="3"/>
    <x v="17"/>
    <x v="17"/>
    <x v="0"/>
    <n v="1171"/>
    <n v="223.22178999999988"/>
    <n v="1587.4298390000013"/>
    <n v="16325911.370000023"/>
    <n v="199"/>
    <n v="2169037.8300000005"/>
  </r>
  <r>
    <x v="1"/>
    <x v="1"/>
    <x v="1"/>
    <x v="3"/>
    <x v="18"/>
    <x v="18"/>
    <x v="0"/>
    <n v="2869"/>
    <n v="348.97292299999987"/>
    <n v="2641.7146069999953"/>
    <n v="25110651.030000146"/>
    <n v="374"/>
    <n v="3548280.3899999992"/>
  </r>
  <r>
    <x v="1"/>
    <x v="1"/>
    <x v="1"/>
    <x v="3"/>
    <x v="19"/>
    <x v="19"/>
    <x v="0"/>
    <n v="1353"/>
    <n v="345.92557599999986"/>
    <n v="1817.8256500000036"/>
    <n v="19325016.73999998"/>
    <n v="333"/>
    <n v="3520916.5100000002"/>
  </r>
  <r>
    <x v="1"/>
    <x v="1"/>
    <x v="1"/>
    <x v="3"/>
    <x v="20"/>
    <x v="20"/>
    <x v="0"/>
    <n v="1279"/>
    <n v="220.84747699999991"/>
    <n v="1303.1052600000057"/>
    <n v="13938704.499999994"/>
    <n v="233"/>
    <n v="2302432.649999998"/>
  </r>
  <r>
    <x v="1"/>
    <x v="1"/>
    <x v="1"/>
    <x v="3"/>
    <x v="21"/>
    <x v="21"/>
    <x v="0"/>
    <n v="799"/>
    <n v="149.01442800000004"/>
    <n v="619.06208999999626"/>
    <n v="6516171.0900000064"/>
    <n v="166"/>
    <n v="1512640.8399999999"/>
  </r>
  <r>
    <x v="1"/>
    <x v="1"/>
    <x v="1"/>
    <x v="3"/>
    <x v="22"/>
    <x v="22"/>
    <x v="0"/>
    <n v="2148"/>
    <n v="443.94710799999967"/>
    <n v="2136.731016000002"/>
    <n v="29802293.969999984"/>
    <n v="466"/>
    <n v="6328279.8800000036"/>
  </r>
  <r>
    <x v="1"/>
    <x v="1"/>
    <x v="1"/>
    <x v="3"/>
    <x v="23"/>
    <x v="23"/>
    <x v="0"/>
    <n v="204"/>
    <n v="64.675924999999992"/>
    <n v="216.78009599999999"/>
    <n v="2251922.5000000005"/>
    <n v="60"/>
    <n v="696506.02000000014"/>
  </r>
  <r>
    <x v="1"/>
    <x v="1"/>
    <x v="1"/>
    <x v="3"/>
    <x v="24"/>
    <x v="24"/>
    <x v="0"/>
    <n v="633"/>
    <n v="111.44454600000002"/>
    <n v="574.6869259999994"/>
    <n v="6376781.8999999966"/>
    <n v="109"/>
    <n v="1147307.7899999996"/>
  </r>
  <r>
    <x v="1"/>
    <x v="1"/>
    <x v="1"/>
    <x v="3"/>
    <x v="25"/>
    <x v="25"/>
    <x v="0"/>
    <n v="1280"/>
    <n v="214.93907300000004"/>
    <n v="1149.5990280000044"/>
    <n v="12554459.069999989"/>
    <n v="246"/>
    <n v="2339515.6000000006"/>
  </r>
  <r>
    <x v="1"/>
    <x v="1"/>
    <x v="1"/>
    <x v="3"/>
    <x v="26"/>
    <x v="26"/>
    <x v="0"/>
    <n v="1075"/>
    <n v="219.31511999999989"/>
    <n v="1007.6355759999943"/>
    <n v="11276478.54999998"/>
    <n v="230"/>
    <n v="2375722.1300000004"/>
  </r>
  <r>
    <x v="1"/>
    <x v="1"/>
    <x v="1"/>
    <x v="3"/>
    <x v="27"/>
    <x v="27"/>
    <x v="0"/>
    <n v="741"/>
    <n v="180.89178199999981"/>
    <n v="650.46506099999772"/>
    <n v="6564989.6499999957"/>
    <n v="187"/>
    <n v="1780072.4400000009"/>
  </r>
  <r>
    <x v="1"/>
    <x v="1"/>
    <x v="1"/>
    <x v="3"/>
    <x v="28"/>
    <x v="28"/>
    <x v="0"/>
    <n v="853"/>
    <n v="139.98065199999994"/>
    <n v="765.13847499999565"/>
    <n v="9810898.6000000052"/>
    <n v="152"/>
    <n v="1575892.2699999998"/>
  </r>
  <r>
    <x v="1"/>
    <x v="1"/>
    <x v="1"/>
    <x v="3"/>
    <x v="29"/>
    <x v="29"/>
    <x v="0"/>
    <n v="863"/>
    <n v="202.51922899999983"/>
    <n v="844.80218699999728"/>
    <n v="10238616.379999978"/>
    <n v="196"/>
    <n v="2268319.1799999992"/>
  </r>
  <r>
    <x v="1"/>
    <x v="1"/>
    <x v="1"/>
    <x v="3"/>
    <x v="30"/>
    <x v="30"/>
    <x v="0"/>
    <n v="725"/>
    <n v="126.363423"/>
    <n v="572.09530199999745"/>
    <n v="5781414.0099999988"/>
    <n v="136"/>
    <n v="1254728.9700000004"/>
  </r>
  <r>
    <x v="1"/>
    <x v="1"/>
    <x v="1"/>
    <x v="3"/>
    <x v="31"/>
    <x v="31"/>
    <x v="0"/>
    <n v="1185"/>
    <n v="353.12964899999946"/>
    <n v="1195.134411"/>
    <n v="13240772.679999977"/>
    <n v="344"/>
    <n v="4022857.6499999994"/>
  </r>
  <r>
    <x v="1"/>
    <x v="1"/>
    <x v="1"/>
    <x v="3"/>
    <x v="32"/>
    <x v="32"/>
    <x v="0"/>
    <n v="1887"/>
    <n v="445.09844499999957"/>
    <n v="1939.5536770000056"/>
    <n v="20438439.780000072"/>
    <n v="464"/>
    <n v="4541043.3099999987"/>
  </r>
  <r>
    <x v="1"/>
    <x v="1"/>
    <x v="1"/>
    <x v="3"/>
    <x v="33"/>
    <x v="33"/>
    <x v="0"/>
    <n v="2069"/>
    <n v="296.15365399999996"/>
    <n v="1837.7333020000133"/>
    <n v="19067808.599999901"/>
    <n v="304"/>
    <n v="3170782.8499999996"/>
  </r>
  <r>
    <x v="1"/>
    <x v="1"/>
    <x v="1"/>
    <x v="3"/>
    <x v="34"/>
    <x v="34"/>
    <x v="0"/>
    <n v="31"/>
    <n v="10.873987"/>
    <n v="28.770614999999999"/>
    <n v="398874.68"/>
    <n v="11"/>
    <n v="142291.77000000002"/>
  </r>
  <r>
    <x v="1"/>
    <x v="1"/>
    <x v="1"/>
    <x v="3"/>
    <x v="35"/>
    <x v="35"/>
    <x v="0"/>
    <n v="1776"/>
    <n v="275.54827699999976"/>
    <n v="1433.3034690000129"/>
    <n v="14136462.660000017"/>
    <n v="287"/>
    <n v="2544539.5199999977"/>
  </r>
  <r>
    <x v="1"/>
    <x v="1"/>
    <x v="1"/>
    <x v="3"/>
    <x v="36"/>
    <x v="36"/>
    <x v="0"/>
    <n v="1430"/>
    <n v="262.63128499999999"/>
    <n v="1372.5013250000052"/>
    <n v="12888783.150000013"/>
    <n v="260"/>
    <n v="2225350.9800000014"/>
  </r>
  <r>
    <x v="1"/>
    <x v="1"/>
    <x v="1"/>
    <x v="3"/>
    <x v="37"/>
    <x v="37"/>
    <x v="0"/>
    <n v="1070"/>
    <n v="305.66291599999994"/>
    <n v="1136.4624050000029"/>
    <n v="11591100.119999997"/>
    <n v="321"/>
    <n v="2974757.0699999984"/>
  </r>
  <r>
    <x v="1"/>
    <x v="1"/>
    <x v="1"/>
    <x v="3"/>
    <x v="38"/>
    <x v="38"/>
    <x v="0"/>
    <n v="627"/>
    <n v="77.672034000000025"/>
    <n v="535.22426999999914"/>
    <n v="6215522.6199999973"/>
    <n v="83"/>
    <n v="812345.17"/>
  </r>
  <r>
    <x v="1"/>
    <x v="1"/>
    <x v="1"/>
    <x v="3"/>
    <x v="39"/>
    <x v="39"/>
    <x v="0"/>
    <n v="1288"/>
    <n v="454.43782700000014"/>
    <n v="1542.2643879999991"/>
    <n v="15285470.649999971"/>
    <n v="411"/>
    <n v="4108388.2500000028"/>
  </r>
  <r>
    <x v="1"/>
    <x v="1"/>
    <x v="1"/>
    <x v="3"/>
    <x v="40"/>
    <x v="40"/>
    <x v="0"/>
    <n v="2384"/>
    <n v="196.11567000000002"/>
    <n v="2014.9220120000132"/>
    <n v="19932537.519999884"/>
    <n v="169"/>
    <n v="2215990.1300000008"/>
  </r>
  <r>
    <x v="1"/>
    <x v="1"/>
    <x v="1"/>
    <x v="3"/>
    <x v="41"/>
    <x v="41"/>
    <x v="0"/>
    <n v="310"/>
    <n v="3.1256470000000003"/>
    <n v="516.35184200000094"/>
    <n v="5095433.8299999982"/>
    <n v="2"/>
    <n v="56798.400000000001"/>
  </r>
  <r>
    <x v="1"/>
    <x v="1"/>
    <x v="1"/>
    <x v="3"/>
    <x v="42"/>
    <x v="42"/>
    <x v="0"/>
    <n v="237"/>
    <n v="52.370136999999986"/>
    <n v="167.51896199999999"/>
    <n v="1656918.939999999"/>
    <n v="73"/>
    <n v="473304.68000000011"/>
  </r>
  <r>
    <x v="1"/>
    <x v="1"/>
    <x v="1"/>
    <x v="3"/>
    <x v="43"/>
    <x v="43"/>
    <x v="0"/>
    <n v="345"/>
    <n v="95.024749999999983"/>
    <n v="402.80186899999984"/>
    <n v="3777255.27"/>
    <n v="91"/>
    <n v="746140.29999999993"/>
  </r>
  <r>
    <x v="1"/>
    <x v="1"/>
    <x v="1"/>
    <x v="3"/>
    <x v="44"/>
    <x v="44"/>
    <x v="0"/>
    <n v="1781"/>
    <n v="354.60957999999971"/>
    <n v="1532.9356650000075"/>
    <n v="14519351.830000045"/>
    <n v="371"/>
    <n v="3092137.0700000003"/>
  </r>
  <r>
    <x v="1"/>
    <x v="1"/>
    <x v="1"/>
    <x v="3"/>
    <x v="45"/>
    <x v="45"/>
    <x v="0"/>
    <n v="1539"/>
    <n v="299.08744499999978"/>
    <n v="1918.3169099999891"/>
    <n v="18447385.90000001"/>
    <n v="246"/>
    <n v="2562776.4299999992"/>
  </r>
  <r>
    <x v="1"/>
    <x v="1"/>
    <x v="1"/>
    <x v="3"/>
    <x v="46"/>
    <x v="46"/>
    <x v="0"/>
    <n v="138"/>
    <n v="8.4006249999999998"/>
    <n v="135.40535799999992"/>
    <n v="4922009.8299999982"/>
    <n v="10"/>
    <n v="268281.37000000005"/>
  </r>
  <r>
    <x v="1"/>
    <x v="1"/>
    <x v="1"/>
    <x v="5"/>
    <x v="0"/>
    <x v="0"/>
    <x v="0"/>
    <n v="1633"/>
    <n v="276.37853999999982"/>
    <n v="1626.6884190000053"/>
    <n v="15567506.940000018"/>
    <n v="286"/>
    <n v="2762909.2999999993"/>
  </r>
  <r>
    <x v="1"/>
    <x v="1"/>
    <x v="1"/>
    <x v="5"/>
    <x v="1"/>
    <x v="1"/>
    <x v="0"/>
    <n v="3188"/>
    <n v="583.58491399999946"/>
    <n v="4860.573932000023"/>
    <n v="82695345.130000159"/>
    <n v="465"/>
    <n v="9126263.5199999996"/>
  </r>
  <r>
    <x v="1"/>
    <x v="1"/>
    <x v="1"/>
    <x v="5"/>
    <x v="2"/>
    <x v="2"/>
    <x v="0"/>
    <n v="1215"/>
    <n v="175.55944099999974"/>
    <n v="1136.7414809999975"/>
    <n v="14890295.909999987"/>
    <n v="185"/>
    <n v="2377194.0499999998"/>
  </r>
  <r>
    <x v="1"/>
    <x v="1"/>
    <x v="1"/>
    <x v="5"/>
    <x v="3"/>
    <x v="3"/>
    <x v="0"/>
    <n v="3184"/>
    <n v="393.17834599999998"/>
    <n v="2723.3850479999955"/>
    <n v="26564595.910000078"/>
    <n v="370"/>
    <n v="4202189.3200000012"/>
  </r>
  <r>
    <x v="1"/>
    <x v="1"/>
    <x v="1"/>
    <x v="5"/>
    <x v="4"/>
    <x v="4"/>
    <x v="0"/>
    <n v="1724"/>
    <n v="326.91746799999953"/>
    <n v="1662.5592830000055"/>
    <n v="14793175.960000018"/>
    <n v="334"/>
    <n v="2914607.680000002"/>
  </r>
  <r>
    <x v="1"/>
    <x v="1"/>
    <x v="1"/>
    <x v="5"/>
    <x v="5"/>
    <x v="5"/>
    <x v="0"/>
    <n v="504"/>
    <n v="103.73985199999996"/>
    <n v="434.57623400000006"/>
    <n v="4660234.1600000011"/>
    <n v="123"/>
    <n v="1220822.5600000003"/>
  </r>
  <r>
    <x v="1"/>
    <x v="1"/>
    <x v="1"/>
    <x v="5"/>
    <x v="6"/>
    <x v="6"/>
    <x v="0"/>
    <n v="1622"/>
    <n v="215.56194399999998"/>
    <n v="1653.7828070000107"/>
    <n v="18628022.319999967"/>
    <n v="223"/>
    <n v="2496377.5199999996"/>
  </r>
  <r>
    <x v="1"/>
    <x v="1"/>
    <x v="1"/>
    <x v="5"/>
    <x v="7"/>
    <x v="7"/>
    <x v="0"/>
    <n v="4009"/>
    <n v="721.76916599999993"/>
    <n v="5811.0124509999969"/>
    <n v="105706750.20000024"/>
    <n v="657"/>
    <n v="13946623.409999983"/>
  </r>
  <r>
    <x v="1"/>
    <x v="1"/>
    <x v="1"/>
    <x v="5"/>
    <x v="8"/>
    <x v="8"/>
    <x v="0"/>
    <n v="236"/>
    <n v="64.296961999999994"/>
    <n v="202.08215500000014"/>
    <n v="2251399.19"/>
    <n v="69"/>
    <n v="657832.15"/>
  </r>
  <r>
    <x v="1"/>
    <x v="1"/>
    <x v="1"/>
    <x v="5"/>
    <x v="9"/>
    <x v="9"/>
    <x v="0"/>
    <n v="1855"/>
    <n v="459.89820199999986"/>
    <n v="1872.0487480000043"/>
    <n v="22219575.550000042"/>
    <n v="454"/>
    <n v="5561835.879999998"/>
  </r>
  <r>
    <x v="1"/>
    <x v="1"/>
    <x v="1"/>
    <x v="5"/>
    <x v="10"/>
    <x v="10"/>
    <x v="0"/>
    <n v="2357"/>
    <n v="475.95969199999979"/>
    <n v="2872.6328820000008"/>
    <n v="36363635.109999955"/>
    <n v="433"/>
    <n v="5505569.6199999964"/>
  </r>
  <r>
    <x v="0"/>
    <x v="2"/>
    <x v="4"/>
    <x v="8"/>
    <x v="11"/>
    <x v="11"/>
    <x v="0"/>
    <n v="378"/>
    <n v="97.197246760937887"/>
    <n v="331.93295876854688"/>
    <n v="7150858.9900000002"/>
    <n v="119"/>
    <n v="2268345.2199999983"/>
  </r>
  <r>
    <x v="1"/>
    <x v="1"/>
    <x v="1"/>
    <x v="5"/>
    <x v="12"/>
    <x v="12"/>
    <x v="0"/>
    <n v="2471"/>
    <n v="459.74469399999924"/>
    <n v="2232.4579280000044"/>
    <n v="24064004.680000033"/>
    <n v="504"/>
    <n v="4930782.6899999995"/>
  </r>
  <r>
    <x v="1"/>
    <x v="1"/>
    <x v="1"/>
    <x v="5"/>
    <x v="13"/>
    <x v="13"/>
    <x v="0"/>
    <n v="1288"/>
    <n v="212.23941099999985"/>
    <n v="1298.1903720000075"/>
    <n v="13748145.139999993"/>
    <n v="227"/>
    <n v="2429665.6799999997"/>
  </r>
  <r>
    <x v="1"/>
    <x v="1"/>
    <x v="1"/>
    <x v="5"/>
    <x v="14"/>
    <x v="14"/>
    <x v="0"/>
    <n v="214"/>
    <n v="33.760868000000002"/>
    <n v="178.02290099999988"/>
    <n v="1633508.7600000007"/>
    <n v="41"/>
    <n v="293837.46999999997"/>
  </r>
  <r>
    <x v="1"/>
    <x v="1"/>
    <x v="1"/>
    <x v="5"/>
    <x v="15"/>
    <x v="15"/>
    <x v="0"/>
    <n v="828"/>
    <n v="133.33282299999999"/>
    <n v="779.58244999999852"/>
    <n v="7951448.3500000006"/>
    <n v="160"/>
    <n v="1258943.7100000007"/>
  </r>
  <r>
    <x v="1"/>
    <x v="1"/>
    <x v="1"/>
    <x v="5"/>
    <x v="16"/>
    <x v="16"/>
    <x v="0"/>
    <n v="1702"/>
    <n v="330.69282699999957"/>
    <n v="1905.0056700000055"/>
    <n v="20131733.829999991"/>
    <n v="304"/>
    <n v="3241600.69"/>
  </r>
  <r>
    <x v="1"/>
    <x v="1"/>
    <x v="1"/>
    <x v="5"/>
    <x v="17"/>
    <x v="17"/>
    <x v="0"/>
    <n v="1097"/>
    <n v="183.17071899999996"/>
    <n v="1446.6434600000034"/>
    <n v="13693937.619999992"/>
    <n v="176"/>
    <n v="1741453.1200000006"/>
  </r>
  <r>
    <x v="1"/>
    <x v="1"/>
    <x v="1"/>
    <x v="5"/>
    <x v="18"/>
    <x v="18"/>
    <x v="0"/>
    <n v="2782"/>
    <n v="379.96000699999979"/>
    <n v="2570.424950999995"/>
    <n v="25127995.040000167"/>
    <n v="387"/>
    <n v="3809081.4399999995"/>
  </r>
  <r>
    <x v="1"/>
    <x v="1"/>
    <x v="1"/>
    <x v="5"/>
    <x v="19"/>
    <x v="19"/>
    <x v="0"/>
    <n v="1299"/>
    <n v="287.11896600000006"/>
    <n v="1804.6609800000037"/>
    <n v="18953665.650000006"/>
    <n v="292"/>
    <n v="2534906.8500000006"/>
  </r>
  <r>
    <x v="1"/>
    <x v="1"/>
    <x v="1"/>
    <x v="5"/>
    <x v="20"/>
    <x v="20"/>
    <x v="0"/>
    <n v="1138"/>
    <n v="218.76413899999994"/>
    <n v="1132.6274910000041"/>
    <n v="12202178.920000009"/>
    <n v="220"/>
    <n v="2358648.6399999992"/>
  </r>
  <r>
    <x v="1"/>
    <x v="1"/>
    <x v="1"/>
    <x v="5"/>
    <x v="21"/>
    <x v="21"/>
    <x v="0"/>
    <n v="815"/>
    <n v="122.53538500000003"/>
    <n v="598.67249099999492"/>
    <n v="6262644.299999998"/>
    <n v="152"/>
    <n v="1271934.0099999998"/>
  </r>
  <r>
    <x v="1"/>
    <x v="1"/>
    <x v="1"/>
    <x v="5"/>
    <x v="22"/>
    <x v="22"/>
    <x v="0"/>
    <n v="2027"/>
    <n v="422.08952399999964"/>
    <n v="2069.763841000004"/>
    <n v="30958444.130000029"/>
    <n v="448"/>
    <n v="5782960.0199999996"/>
  </r>
  <r>
    <x v="1"/>
    <x v="1"/>
    <x v="1"/>
    <x v="5"/>
    <x v="23"/>
    <x v="23"/>
    <x v="0"/>
    <n v="219"/>
    <n v="57.610946000000013"/>
    <n v="200.01099800000011"/>
    <n v="2142313.0599999987"/>
    <n v="72"/>
    <n v="708789.30000000016"/>
  </r>
  <r>
    <x v="1"/>
    <x v="1"/>
    <x v="1"/>
    <x v="5"/>
    <x v="24"/>
    <x v="24"/>
    <x v="0"/>
    <n v="593"/>
    <n v="111.21112900000003"/>
    <n v="538.85992900000053"/>
    <n v="5943966.6499999994"/>
    <n v="114"/>
    <n v="1051751.1899999995"/>
  </r>
  <r>
    <x v="1"/>
    <x v="1"/>
    <x v="1"/>
    <x v="5"/>
    <x v="25"/>
    <x v="25"/>
    <x v="0"/>
    <n v="1152"/>
    <n v="201.73307999999997"/>
    <n v="1015.5418889999958"/>
    <n v="11340612.080000013"/>
    <n v="220"/>
    <n v="2118463.0899999994"/>
  </r>
  <r>
    <x v="1"/>
    <x v="1"/>
    <x v="1"/>
    <x v="5"/>
    <x v="26"/>
    <x v="26"/>
    <x v="0"/>
    <n v="1120"/>
    <n v="249.26640299999974"/>
    <n v="1039.2099729999957"/>
    <n v="10967978.429999998"/>
    <n v="261"/>
    <n v="2448707.5099999988"/>
  </r>
  <r>
    <x v="1"/>
    <x v="1"/>
    <x v="1"/>
    <x v="5"/>
    <x v="27"/>
    <x v="27"/>
    <x v="0"/>
    <n v="795"/>
    <n v="177.77494399999998"/>
    <n v="665.00503599999763"/>
    <n v="5813076.5800000047"/>
    <n v="187"/>
    <n v="1441752.2799999993"/>
  </r>
  <r>
    <x v="1"/>
    <x v="1"/>
    <x v="1"/>
    <x v="5"/>
    <x v="28"/>
    <x v="28"/>
    <x v="0"/>
    <n v="852"/>
    <n v="137.59428800000001"/>
    <n v="721.37650999999698"/>
    <n v="9115050.2100000083"/>
    <n v="150"/>
    <n v="1732969.7500000007"/>
  </r>
  <r>
    <x v="1"/>
    <x v="1"/>
    <x v="1"/>
    <x v="5"/>
    <x v="29"/>
    <x v="29"/>
    <x v="0"/>
    <n v="793"/>
    <n v="198.408387"/>
    <n v="846.14410799999928"/>
    <n v="10448360.600000011"/>
    <n v="197"/>
    <n v="2184644.5099999974"/>
  </r>
  <r>
    <x v="1"/>
    <x v="1"/>
    <x v="1"/>
    <x v="5"/>
    <x v="30"/>
    <x v="30"/>
    <x v="0"/>
    <n v="615"/>
    <n v="93.709232000000043"/>
    <n v="487.46139799999924"/>
    <n v="4713292.620000002"/>
    <n v="114"/>
    <n v="883980.89000000013"/>
  </r>
  <r>
    <x v="1"/>
    <x v="1"/>
    <x v="1"/>
    <x v="5"/>
    <x v="31"/>
    <x v="31"/>
    <x v="0"/>
    <n v="1083"/>
    <n v="312.47637999999978"/>
    <n v="1036.2116950000013"/>
    <n v="11442616.720000004"/>
    <n v="334"/>
    <n v="3677574.62"/>
  </r>
  <r>
    <x v="1"/>
    <x v="1"/>
    <x v="1"/>
    <x v="5"/>
    <x v="32"/>
    <x v="32"/>
    <x v="0"/>
    <n v="1773"/>
    <n v="450.40898799999979"/>
    <n v="1852.0655260000015"/>
    <n v="19481948.520000037"/>
    <n v="463"/>
    <n v="4632848.33"/>
  </r>
  <r>
    <x v="1"/>
    <x v="1"/>
    <x v="1"/>
    <x v="5"/>
    <x v="33"/>
    <x v="33"/>
    <x v="0"/>
    <n v="1990"/>
    <n v="267.98277199999973"/>
    <n v="1796.8074390000133"/>
    <n v="18950047.519999903"/>
    <n v="267"/>
    <n v="2934072.7700000009"/>
  </r>
  <r>
    <x v="1"/>
    <x v="1"/>
    <x v="1"/>
    <x v="5"/>
    <x v="34"/>
    <x v="34"/>
    <x v="0"/>
    <n v="24"/>
    <n v="9.9632830000000006"/>
    <n v="21.242989000000001"/>
    <n v="322768.18"/>
    <n v="11"/>
    <n v="197227.39"/>
  </r>
  <r>
    <x v="1"/>
    <x v="1"/>
    <x v="1"/>
    <x v="5"/>
    <x v="35"/>
    <x v="35"/>
    <x v="0"/>
    <n v="1823"/>
    <n v="275.98379599999987"/>
    <n v="1532.2475250000123"/>
    <n v="15145868.410000019"/>
    <n v="258"/>
    <n v="2653456.94"/>
  </r>
  <r>
    <x v="1"/>
    <x v="1"/>
    <x v="1"/>
    <x v="5"/>
    <x v="36"/>
    <x v="36"/>
    <x v="0"/>
    <n v="1481"/>
    <n v="257.97730799999982"/>
    <n v="1424.222025000003"/>
    <n v="14445687.159999995"/>
    <n v="265"/>
    <n v="2322445.5100000012"/>
  </r>
  <r>
    <x v="1"/>
    <x v="1"/>
    <x v="1"/>
    <x v="5"/>
    <x v="37"/>
    <x v="37"/>
    <x v="0"/>
    <n v="900"/>
    <n v="240.19070699999995"/>
    <n v="1034.2880140000004"/>
    <n v="11047891.849999996"/>
    <n v="248"/>
    <n v="2490753.6400000015"/>
  </r>
  <r>
    <x v="1"/>
    <x v="1"/>
    <x v="1"/>
    <x v="5"/>
    <x v="38"/>
    <x v="38"/>
    <x v="0"/>
    <n v="626"/>
    <n v="83.812165999999976"/>
    <n v="550.16354399999943"/>
    <n v="5713589.1899999948"/>
    <n v="92"/>
    <n v="727167.03000000014"/>
  </r>
  <r>
    <x v="1"/>
    <x v="1"/>
    <x v="1"/>
    <x v="5"/>
    <x v="39"/>
    <x v="39"/>
    <x v="0"/>
    <n v="1260"/>
    <n v="395.81588099999982"/>
    <n v="1527.8489080000015"/>
    <n v="15343078.549999999"/>
    <n v="367"/>
    <n v="3421444.0000000023"/>
  </r>
  <r>
    <x v="1"/>
    <x v="1"/>
    <x v="1"/>
    <x v="5"/>
    <x v="40"/>
    <x v="40"/>
    <x v="0"/>
    <n v="2285"/>
    <n v="175.06030600000003"/>
    <n v="1890.1457560000124"/>
    <n v="17920080.839999981"/>
    <n v="163"/>
    <n v="1823180.0199999998"/>
  </r>
  <r>
    <x v="1"/>
    <x v="1"/>
    <x v="1"/>
    <x v="5"/>
    <x v="41"/>
    <x v="41"/>
    <x v="0"/>
    <n v="284"/>
    <n v="1.2454190000000001"/>
    <n v="479.01814900000102"/>
    <n v="4901064.4099999983"/>
    <n v="1"/>
    <n v="15450.27"/>
  </r>
  <r>
    <x v="1"/>
    <x v="1"/>
    <x v="1"/>
    <x v="5"/>
    <x v="42"/>
    <x v="42"/>
    <x v="0"/>
    <n v="240"/>
    <n v="47.249256000000003"/>
    <n v="180.50732700000003"/>
    <n v="1733613.6699999992"/>
    <n v="67"/>
    <n v="467867.04000000015"/>
  </r>
  <r>
    <x v="1"/>
    <x v="1"/>
    <x v="1"/>
    <x v="5"/>
    <x v="43"/>
    <x v="43"/>
    <x v="0"/>
    <n v="279"/>
    <n v="93.646686000000003"/>
    <n v="345.18428700000015"/>
    <n v="3200301.7099999981"/>
    <n v="81"/>
    <n v="841648.52999999956"/>
  </r>
  <r>
    <x v="1"/>
    <x v="1"/>
    <x v="1"/>
    <x v="5"/>
    <x v="44"/>
    <x v="44"/>
    <x v="0"/>
    <n v="1604"/>
    <n v="320.07846299999949"/>
    <n v="1335.5489890000094"/>
    <n v="12872930.259999977"/>
    <n v="360"/>
    <n v="2909500.5500000003"/>
  </r>
  <r>
    <x v="1"/>
    <x v="1"/>
    <x v="1"/>
    <x v="5"/>
    <x v="45"/>
    <x v="45"/>
    <x v="0"/>
    <n v="1527"/>
    <n v="236.8302819999999"/>
    <n v="1868.8878739999916"/>
    <n v="17499278.82000003"/>
    <n v="209"/>
    <n v="2039125.5899999999"/>
  </r>
  <r>
    <x v="1"/>
    <x v="1"/>
    <x v="1"/>
    <x v="5"/>
    <x v="46"/>
    <x v="46"/>
    <x v="0"/>
    <n v="95"/>
    <n v="2.1427199999999997"/>
    <n v="82.627690999999999"/>
    <n v="3501161.6099999989"/>
    <n v="3"/>
    <n v="67190.679999999993"/>
  </r>
  <r>
    <x v="1"/>
    <x v="1"/>
    <x v="1"/>
    <x v="0"/>
    <x v="0"/>
    <x v="0"/>
    <x v="0"/>
    <n v="1659"/>
    <n v="328.50122899999985"/>
    <n v="1705.3221000000055"/>
    <n v="15683418.990000034"/>
    <n v="317"/>
    <n v="3016141.5299999993"/>
  </r>
  <r>
    <x v="1"/>
    <x v="1"/>
    <x v="1"/>
    <x v="0"/>
    <x v="1"/>
    <x v="1"/>
    <x v="0"/>
    <n v="3204"/>
    <n v="627.17239800000016"/>
    <n v="5149.1706059999988"/>
    <n v="84004192.350000083"/>
    <n v="486"/>
    <n v="9894013.4299999941"/>
  </r>
  <r>
    <x v="1"/>
    <x v="1"/>
    <x v="1"/>
    <x v="0"/>
    <x v="2"/>
    <x v="2"/>
    <x v="0"/>
    <n v="1318"/>
    <n v="195.74623099999991"/>
    <n v="1268.5708880000022"/>
    <n v="15210536.880000014"/>
    <n v="214"/>
    <n v="2500175.6999999983"/>
  </r>
  <r>
    <x v="1"/>
    <x v="1"/>
    <x v="1"/>
    <x v="0"/>
    <x v="3"/>
    <x v="3"/>
    <x v="0"/>
    <n v="3245"/>
    <n v="371.36922699999974"/>
    <n v="2812.294503999989"/>
    <n v="29753800.760000013"/>
    <n v="354"/>
    <n v="3973865.759999997"/>
  </r>
  <r>
    <x v="1"/>
    <x v="1"/>
    <x v="1"/>
    <x v="0"/>
    <x v="4"/>
    <x v="4"/>
    <x v="0"/>
    <n v="1844"/>
    <n v="338.87546300000014"/>
    <n v="1840.8944000000038"/>
    <n v="17365006.329999972"/>
    <n v="324"/>
    <n v="3431280.5200000009"/>
  </r>
  <r>
    <x v="1"/>
    <x v="1"/>
    <x v="1"/>
    <x v="0"/>
    <x v="5"/>
    <x v="5"/>
    <x v="0"/>
    <n v="580"/>
    <n v="118.19246400000006"/>
    <n v="515.69017500000029"/>
    <n v="5382809.2300000079"/>
    <n v="132"/>
    <n v="1220903.5700000008"/>
  </r>
  <r>
    <x v="1"/>
    <x v="1"/>
    <x v="1"/>
    <x v="0"/>
    <x v="6"/>
    <x v="6"/>
    <x v="0"/>
    <n v="1751"/>
    <n v="223.24574100000001"/>
    <n v="1792.9578370000124"/>
    <n v="18959433.430000026"/>
    <n v="256"/>
    <n v="2349408.6300000013"/>
  </r>
  <r>
    <x v="1"/>
    <x v="1"/>
    <x v="1"/>
    <x v="0"/>
    <x v="7"/>
    <x v="7"/>
    <x v="0"/>
    <n v="4145"/>
    <n v="820.11557400000117"/>
    <n v="6099.048614999967"/>
    <n v="108080513.66999991"/>
    <n v="695"/>
    <n v="15675739.979999995"/>
  </r>
  <r>
    <x v="1"/>
    <x v="1"/>
    <x v="1"/>
    <x v="0"/>
    <x v="8"/>
    <x v="8"/>
    <x v="0"/>
    <n v="274"/>
    <n v="78.237724999999998"/>
    <n v="235.40306900000013"/>
    <n v="2821880.1399999969"/>
    <n v="93"/>
    <n v="1000022.7699999997"/>
  </r>
  <r>
    <x v="1"/>
    <x v="1"/>
    <x v="1"/>
    <x v="0"/>
    <x v="9"/>
    <x v="9"/>
    <x v="0"/>
    <n v="1793"/>
    <n v="410.62753799999956"/>
    <n v="1835.7955160000004"/>
    <n v="21307433.209999938"/>
    <n v="407"/>
    <n v="4776042.7199999988"/>
  </r>
  <r>
    <x v="1"/>
    <x v="1"/>
    <x v="1"/>
    <x v="0"/>
    <x v="10"/>
    <x v="10"/>
    <x v="0"/>
    <n v="2444"/>
    <n v="480.03261699999933"/>
    <n v="3128.871468000008"/>
    <n v="43416913.250000067"/>
    <n v="437"/>
    <n v="5546224.8499999987"/>
  </r>
  <r>
    <x v="0"/>
    <x v="2"/>
    <x v="4"/>
    <x v="9"/>
    <x v="11"/>
    <x v="11"/>
    <x v="0"/>
    <n v="318"/>
    <n v="88.738365868770984"/>
    <n v="275.47647648824983"/>
    <n v="5295246.3999999994"/>
    <n v="95"/>
    <n v="1571423.4500000002"/>
  </r>
  <r>
    <x v="1"/>
    <x v="1"/>
    <x v="1"/>
    <x v="0"/>
    <x v="12"/>
    <x v="12"/>
    <x v="0"/>
    <n v="2496"/>
    <n v="484.53670299999965"/>
    <n v="2256.1896260000058"/>
    <n v="24893635.999999937"/>
    <n v="548"/>
    <n v="5400749.4100000011"/>
  </r>
  <r>
    <x v="1"/>
    <x v="1"/>
    <x v="1"/>
    <x v="0"/>
    <x v="13"/>
    <x v="13"/>
    <x v="0"/>
    <n v="1274"/>
    <n v="239.75504199999992"/>
    <n v="1331.246945000009"/>
    <n v="14774195.209999967"/>
    <n v="221"/>
    <n v="2699748.1200000024"/>
  </r>
  <r>
    <x v="1"/>
    <x v="1"/>
    <x v="1"/>
    <x v="0"/>
    <x v="14"/>
    <x v="14"/>
    <x v="0"/>
    <n v="206"/>
    <n v="36.930410999999999"/>
    <n v="179.14313399999998"/>
    <n v="1729462.7100000004"/>
    <n v="36"/>
    <n v="310849.69"/>
  </r>
  <r>
    <x v="1"/>
    <x v="1"/>
    <x v="1"/>
    <x v="0"/>
    <x v="15"/>
    <x v="15"/>
    <x v="0"/>
    <n v="883"/>
    <n v="170.17175399999994"/>
    <n v="846.31220999999823"/>
    <n v="8839253.8800000101"/>
    <n v="186"/>
    <n v="1856078.3599999989"/>
  </r>
  <r>
    <x v="1"/>
    <x v="1"/>
    <x v="1"/>
    <x v="0"/>
    <x v="16"/>
    <x v="16"/>
    <x v="0"/>
    <n v="1711"/>
    <n v="324.40427499999953"/>
    <n v="1939.6146770000075"/>
    <n v="19953663.469999999"/>
    <n v="292"/>
    <n v="3410714.8800000008"/>
  </r>
  <r>
    <x v="1"/>
    <x v="1"/>
    <x v="1"/>
    <x v="0"/>
    <x v="17"/>
    <x v="17"/>
    <x v="0"/>
    <n v="1203"/>
    <n v="187.12771499999991"/>
    <n v="1623.8199060000011"/>
    <n v="15065095.470000001"/>
    <n v="186"/>
    <n v="1653765.2200000002"/>
  </r>
  <r>
    <x v="1"/>
    <x v="1"/>
    <x v="1"/>
    <x v="0"/>
    <x v="18"/>
    <x v="18"/>
    <x v="0"/>
    <n v="2878"/>
    <n v="378.70349299999981"/>
    <n v="2657.3251779999969"/>
    <n v="26879758.649999924"/>
    <n v="389"/>
    <n v="3958231.37"/>
  </r>
  <r>
    <x v="1"/>
    <x v="1"/>
    <x v="1"/>
    <x v="0"/>
    <x v="19"/>
    <x v="19"/>
    <x v="0"/>
    <n v="1393"/>
    <n v="336.83211999999986"/>
    <n v="1849.9640389999993"/>
    <n v="19138498.880000014"/>
    <n v="324"/>
    <n v="3429523.4900000007"/>
  </r>
  <r>
    <x v="1"/>
    <x v="1"/>
    <x v="1"/>
    <x v="0"/>
    <x v="20"/>
    <x v="20"/>
    <x v="0"/>
    <n v="1253"/>
    <n v="241.63083699999981"/>
    <n v="1349.9033720000009"/>
    <n v="16312571.729999971"/>
    <n v="262"/>
    <n v="2882781.1699999995"/>
  </r>
  <r>
    <x v="1"/>
    <x v="1"/>
    <x v="1"/>
    <x v="0"/>
    <x v="21"/>
    <x v="21"/>
    <x v="0"/>
    <n v="813"/>
    <n v="148.04081099999999"/>
    <n v="608.24345699999549"/>
    <n v="5687958.9900000002"/>
    <n v="168"/>
    <n v="1282186.4500000004"/>
  </r>
  <r>
    <x v="1"/>
    <x v="1"/>
    <x v="1"/>
    <x v="0"/>
    <x v="22"/>
    <x v="22"/>
    <x v="0"/>
    <n v="2157"/>
    <n v="492.92846899999989"/>
    <n v="2224.5887830000056"/>
    <n v="31386230.63000004"/>
    <n v="473"/>
    <n v="5742417.6700000009"/>
  </r>
  <r>
    <x v="1"/>
    <x v="1"/>
    <x v="1"/>
    <x v="0"/>
    <x v="23"/>
    <x v="23"/>
    <x v="0"/>
    <n v="210"/>
    <n v="58.580264"/>
    <n v="202.79088999999993"/>
    <n v="2494661.3000000003"/>
    <n v="64"/>
    <n v="765339.22000000009"/>
  </r>
  <r>
    <x v="1"/>
    <x v="1"/>
    <x v="1"/>
    <x v="0"/>
    <x v="24"/>
    <x v="24"/>
    <x v="0"/>
    <n v="643"/>
    <n v="144.65506900000005"/>
    <n v="567.18668600000001"/>
    <n v="6565420.4899999993"/>
    <n v="150"/>
    <n v="1585605.5"/>
  </r>
  <r>
    <x v="1"/>
    <x v="1"/>
    <x v="1"/>
    <x v="0"/>
    <x v="25"/>
    <x v="25"/>
    <x v="0"/>
    <n v="1153"/>
    <n v="190.76598899999985"/>
    <n v="1086.9723720000052"/>
    <n v="12168587.610000005"/>
    <n v="205"/>
    <n v="1996839.4399999988"/>
  </r>
  <r>
    <x v="1"/>
    <x v="1"/>
    <x v="1"/>
    <x v="0"/>
    <x v="26"/>
    <x v="26"/>
    <x v="0"/>
    <n v="1101"/>
    <n v="236.57629499999987"/>
    <n v="1073.7632259999982"/>
    <n v="11547096.869999979"/>
    <n v="255"/>
    <n v="2406014.2800000007"/>
  </r>
  <r>
    <x v="1"/>
    <x v="1"/>
    <x v="1"/>
    <x v="0"/>
    <x v="27"/>
    <x v="27"/>
    <x v="0"/>
    <n v="836"/>
    <n v="167.44027499999987"/>
    <n v="708.78264299999762"/>
    <n v="6779145.7600000007"/>
    <n v="194"/>
    <n v="1759499.6799999997"/>
  </r>
  <r>
    <x v="1"/>
    <x v="1"/>
    <x v="1"/>
    <x v="0"/>
    <x v="28"/>
    <x v="28"/>
    <x v="0"/>
    <n v="791"/>
    <n v="129.1805050000001"/>
    <n v="658.2338439999977"/>
    <n v="7619930.8599999985"/>
    <n v="159"/>
    <n v="1678303.1099999999"/>
  </r>
  <r>
    <x v="1"/>
    <x v="1"/>
    <x v="1"/>
    <x v="0"/>
    <x v="29"/>
    <x v="29"/>
    <x v="0"/>
    <n v="785"/>
    <n v="241.81627700000013"/>
    <n v="810.58155599999805"/>
    <n v="11507417.290000003"/>
    <n v="215"/>
    <n v="2919749.8000000017"/>
  </r>
  <r>
    <x v="1"/>
    <x v="1"/>
    <x v="1"/>
    <x v="0"/>
    <x v="30"/>
    <x v="30"/>
    <x v="0"/>
    <n v="705"/>
    <n v="116.20785700000006"/>
    <n v="563.35951899999623"/>
    <n v="6376554.9699999867"/>
    <n v="135"/>
    <n v="1208753.2799999998"/>
  </r>
  <r>
    <x v="1"/>
    <x v="1"/>
    <x v="1"/>
    <x v="0"/>
    <x v="31"/>
    <x v="31"/>
    <x v="0"/>
    <n v="1191"/>
    <n v="332.76176899999945"/>
    <n v="1169.2919030000048"/>
    <n v="12050388.330000006"/>
    <n v="349"/>
    <n v="3507187.8400000003"/>
  </r>
  <r>
    <x v="1"/>
    <x v="1"/>
    <x v="1"/>
    <x v="0"/>
    <x v="32"/>
    <x v="32"/>
    <x v="0"/>
    <n v="1874"/>
    <n v="532.67210899999986"/>
    <n v="2020.2483080000036"/>
    <n v="19896924.279999983"/>
    <n v="507"/>
    <n v="5026317.7699999996"/>
  </r>
  <r>
    <x v="1"/>
    <x v="1"/>
    <x v="1"/>
    <x v="0"/>
    <x v="33"/>
    <x v="33"/>
    <x v="0"/>
    <n v="2031"/>
    <n v="306.20132499999983"/>
    <n v="1863.2449620000091"/>
    <n v="19162177.039999921"/>
    <n v="285"/>
    <n v="3277681.75"/>
  </r>
  <r>
    <x v="1"/>
    <x v="1"/>
    <x v="1"/>
    <x v="0"/>
    <x v="34"/>
    <x v="34"/>
    <x v="0"/>
    <n v="27"/>
    <n v="13.852735999999998"/>
    <n v="21.642880999999999"/>
    <n v="427474.32"/>
    <n v="17"/>
    <n v="321972.46999999997"/>
  </r>
  <r>
    <x v="1"/>
    <x v="1"/>
    <x v="1"/>
    <x v="0"/>
    <x v="35"/>
    <x v="35"/>
    <x v="0"/>
    <n v="1800"/>
    <n v="290.54258399999981"/>
    <n v="1497.7337430000143"/>
    <n v="15114107.160000015"/>
    <n v="294"/>
    <n v="2574145.19"/>
  </r>
  <r>
    <x v="1"/>
    <x v="1"/>
    <x v="1"/>
    <x v="0"/>
    <x v="36"/>
    <x v="36"/>
    <x v="0"/>
    <n v="1414"/>
    <n v="256.68448900000004"/>
    <n v="1468.5009950000058"/>
    <n v="14489516.080000006"/>
    <n v="263"/>
    <n v="2480481.6099999985"/>
  </r>
  <r>
    <x v="1"/>
    <x v="1"/>
    <x v="1"/>
    <x v="0"/>
    <x v="37"/>
    <x v="37"/>
    <x v="0"/>
    <n v="1018"/>
    <n v="261.47965599999964"/>
    <n v="1179.3761119999997"/>
    <n v="12462062.659999995"/>
    <n v="268"/>
    <n v="2684266.2000000007"/>
  </r>
  <r>
    <x v="1"/>
    <x v="1"/>
    <x v="1"/>
    <x v="0"/>
    <x v="38"/>
    <x v="38"/>
    <x v="0"/>
    <n v="628"/>
    <n v="100.61374100000002"/>
    <n v="593.18981999999835"/>
    <n v="7316280.4600000056"/>
    <n v="106"/>
    <n v="1049317.4099999999"/>
  </r>
  <r>
    <x v="1"/>
    <x v="1"/>
    <x v="1"/>
    <x v="0"/>
    <x v="39"/>
    <x v="39"/>
    <x v="0"/>
    <n v="1384"/>
    <n v="436.02444099999997"/>
    <n v="1724.4500710000004"/>
    <n v="17646785.55999998"/>
    <n v="408"/>
    <n v="4218916.2899999991"/>
  </r>
  <r>
    <x v="1"/>
    <x v="1"/>
    <x v="1"/>
    <x v="0"/>
    <x v="40"/>
    <x v="40"/>
    <x v="0"/>
    <n v="2281"/>
    <n v="202.97348700000001"/>
    <n v="2010.7374220000117"/>
    <n v="19823268.189999934"/>
    <n v="186"/>
    <n v="2097295.0299999998"/>
  </r>
  <r>
    <x v="1"/>
    <x v="1"/>
    <x v="1"/>
    <x v="0"/>
    <x v="41"/>
    <x v="41"/>
    <x v="0"/>
    <n v="330"/>
    <n v="0"/>
    <n v="551.10139100000094"/>
    <n v="6073190.9400000023"/>
    <n v="0"/>
    <n v="0"/>
  </r>
  <r>
    <x v="1"/>
    <x v="1"/>
    <x v="1"/>
    <x v="0"/>
    <x v="42"/>
    <x v="42"/>
    <x v="0"/>
    <n v="230"/>
    <n v="50.748115999999982"/>
    <n v="165.60214199999987"/>
    <n v="1858651.4800000007"/>
    <n v="79"/>
    <n v="626334.88999999978"/>
  </r>
  <r>
    <x v="1"/>
    <x v="1"/>
    <x v="1"/>
    <x v="0"/>
    <x v="43"/>
    <x v="43"/>
    <x v="0"/>
    <n v="261"/>
    <n v="72.380236999999994"/>
    <n v="330.83590899999973"/>
    <n v="3081929.080000001"/>
    <n v="69"/>
    <n v="558703.54999999981"/>
  </r>
  <r>
    <x v="1"/>
    <x v="1"/>
    <x v="1"/>
    <x v="0"/>
    <x v="44"/>
    <x v="44"/>
    <x v="0"/>
    <n v="1608"/>
    <n v="350.57072699999958"/>
    <n v="1432.7363320000047"/>
    <n v="15415942.139999988"/>
    <n v="353"/>
    <n v="3791527.6600000029"/>
  </r>
  <r>
    <x v="1"/>
    <x v="1"/>
    <x v="1"/>
    <x v="0"/>
    <x v="45"/>
    <x v="45"/>
    <x v="0"/>
    <n v="1542"/>
    <n v="264.25879999999972"/>
    <n v="1857.8705599999967"/>
    <n v="17819909.139999997"/>
    <n v="236"/>
    <n v="2607416.4200000009"/>
  </r>
  <r>
    <x v="1"/>
    <x v="1"/>
    <x v="1"/>
    <x v="0"/>
    <x v="46"/>
    <x v="46"/>
    <x v="0"/>
    <n v="114"/>
    <n v="8.2404580000000003"/>
    <n v="101.30106799999994"/>
    <n v="4553489.3200000012"/>
    <n v="13"/>
    <n v="345756.36"/>
  </r>
  <r>
    <x v="1"/>
    <x v="1"/>
    <x v="1"/>
    <x v="2"/>
    <x v="0"/>
    <x v="0"/>
    <x v="0"/>
    <n v="1635"/>
    <n v="313.00799800000004"/>
    <n v="1594.1783180000059"/>
    <n v="15228287.949999982"/>
    <n v="314"/>
    <n v="3031340.3200000008"/>
  </r>
  <r>
    <x v="1"/>
    <x v="1"/>
    <x v="1"/>
    <x v="2"/>
    <x v="1"/>
    <x v="1"/>
    <x v="0"/>
    <n v="3026"/>
    <n v="503.21607999999998"/>
    <n v="4999.257118000015"/>
    <n v="77632066.769999921"/>
    <n v="394"/>
    <n v="7399917.0899999971"/>
  </r>
  <r>
    <x v="1"/>
    <x v="1"/>
    <x v="1"/>
    <x v="2"/>
    <x v="2"/>
    <x v="2"/>
    <x v="0"/>
    <n v="1286"/>
    <n v="194.92898499999998"/>
    <n v="1185.3439319999984"/>
    <n v="14419955.669999996"/>
    <n v="182"/>
    <n v="2520095.0200000019"/>
  </r>
  <r>
    <x v="1"/>
    <x v="1"/>
    <x v="1"/>
    <x v="2"/>
    <x v="3"/>
    <x v="3"/>
    <x v="0"/>
    <n v="3019"/>
    <n v="397.26891299999954"/>
    <n v="2621.2392889999915"/>
    <n v="27591593.200000044"/>
    <n v="369"/>
    <n v="4176405.3400000008"/>
  </r>
  <r>
    <x v="1"/>
    <x v="1"/>
    <x v="1"/>
    <x v="2"/>
    <x v="4"/>
    <x v="4"/>
    <x v="0"/>
    <n v="1720"/>
    <n v="296.33387799999974"/>
    <n v="1731.4777690000099"/>
    <n v="16734002.520000014"/>
    <n v="275"/>
    <n v="2938033.5200000019"/>
  </r>
  <r>
    <x v="1"/>
    <x v="1"/>
    <x v="1"/>
    <x v="2"/>
    <x v="5"/>
    <x v="5"/>
    <x v="0"/>
    <n v="512"/>
    <n v="104.25713800000003"/>
    <n v="471.9993120000002"/>
    <n v="5264180.3499999978"/>
    <n v="118"/>
    <n v="1136469.6100000001"/>
  </r>
  <r>
    <x v="1"/>
    <x v="1"/>
    <x v="1"/>
    <x v="2"/>
    <x v="6"/>
    <x v="6"/>
    <x v="0"/>
    <n v="1625"/>
    <n v="232.69582099999985"/>
    <n v="1733.7728990000105"/>
    <n v="18945250.169999994"/>
    <n v="237"/>
    <n v="2448462.5099999988"/>
  </r>
  <r>
    <x v="1"/>
    <x v="1"/>
    <x v="1"/>
    <x v="2"/>
    <x v="7"/>
    <x v="7"/>
    <x v="0"/>
    <n v="3977"/>
    <n v="817.95468800000094"/>
    <n v="6085.6319149999999"/>
    <n v="114532578.21000004"/>
    <n v="683"/>
    <n v="17146270.57999998"/>
  </r>
  <r>
    <x v="1"/>
    <x v="1"/>
    <x v="1"/>
    <x v="2"/>
    <x v="8"/>
    <x v="8"/>
    <x v="0"/>
    <n v="225"/>
    <n v="55.17467300000002"/>
    <n v="188.57188200000019"/>
    <n v="2083662.5300000021"/>
    <n v="73"/>
    <n v="640766.55000000028"/>
  </r>
  <r>
    <x v="1"/>
    <x v="1"/>
    <x v="1"/>
    <x v="2"/>
    <x v="9"/>
    <x v="9"/>
    <x v="0"/>
    <n v="1810"/>
    <n v="416.72084499999966"/>
    <n v="1872.8713730000009"/>
    <n v="21375261.260000069"/>
    <n v="440"/>
    <n v="4450985.0499999961"/>
  </r>
  <r>
    <x v="1"/>
    <x v="1"/>
    <x v="1"/>
    <x v="2"/>
    <x v="10"/>
    <x v="10"/>
    <x v="0"/>
    <n v="2364"/>
    <n v="562.57352499999979"/>
    <n v="2996.6986490000104"/>
    <n v="35194256.990000069"/>
    <n v="456"/>
    <n v="5407006.29"/>
  </r>
  <r>
    <x v="0"/>
    <x v="2"/>
    <x v="4"/>
    <x v="10"/>
    <x v="11"/>
    <x v="11"/>
    <x v="0"/>
    <n v="383"/>
    <n v="100.29631472143123"/>
    <n v="317.6998829499895"/>
    <n v="6384499.5700000022"/>
    <n v="113"/>
    <n v="2064678.6900000004"/>
  </r>
  <r>
    <x v="1"/>
    <x v="1"/>
    <x v="1"/>
    <x v="2"/>
    <x v="12"/>
    <x v="12"/>
    <x v="0"/>
    <n v="2324"/>
    <n v="506.76220199999977"/>
    <n v="2180.5940650000016"/>
    <n v="24227830.409999985"/>
    <n v="524"/>
    <n v="5752820.2299999939"/>
  </r>
  <r>
    <x v="1"/>
    <x v="1"/>
    <x v="1"/>
    <x v="2"/>
    <x v="13"/>
    <x v="13"/>
    <x v="0"/>
    <n v="1245"/>
    <n v="241.13694700000002"/>
    <n v="1278.436699000004"/>
    <n v="13823510.759999983"/>
    <n v="225"/>
    <n v="2780039.7099999995"/>
  </r>
  <r>
    <x v="1"/>
    <x v="1"/>
    <x v="1"/>
    <x v="2"/>
    <x v="14"/>
    <x v="14"/>
    <x v="0"/>
    <n v="220"/>
    <n v="44.960105000000013"/>
    <n v="183.65377000000007"/>
    <n v="1787664.9100000004"/>
    <n v="57"/>
    <n v="371571.91000000015"/>
  </r>
  <r>
    <x v="1"/>
    <x v="1"/>
    <x v="1"/>
    <x v="2"/>
    <x v="15"/>
    <x v="15"/>
    <x v="0"/>
    <n v="841"/>
    <n v="164.18143100000003"/>
    <n v="776.12658299999657"/>
    <n v="7424263.0099999988"/>
    <n v="175"/>
    <n v="1655196.4600000004"/>
  </r>
  <r>
    <x v="1"/>
    <x v="1"/>
    <x v="1"/>
    <x v="2"/>
    <x v="16"/>
    <x v="16"/>
    <x v="0"/>
    <n v="1695"/>
    <n v="339.62957599999953"/>
    <n v="2073.5878250000046"/>
    <n v="19746786.509999979"/>
    <n v="308"/>
    <n v="3126869.7299999995"/>
  </r>
  <r>
    <x v="1"/>
    <x v="1"/>
    <x v="1"/>
    <x v="2"/>
    <x v="17"/>
    <x v="17"/>
    <x v="0"/>
    <n v="1135"/>
    <n v="225.02841999999987"/>
    <n v="1555.1853840000024"/>
    <n v="14700376.599999968"/>
    <n v="193"/>
    <n v="2085472.2299999997"/>
  </r>
  <r>
    <x v="1"/>
    <x v="1"/>
    <x v="1"/>
    <x v="2"/>
    <x v="18"/>
    <x v="18"/>
    <x v="0"/>
    <n v="2679"/>
    <n v="323.72144199999997"/>
    <n v="2477.7397130000008"/>
    <n v="25783413.570000056"/>
    <n v="352"/>
    <n v="3439143.1800000011"/>
  </r>
  <r>
    <x v="1"/>
    <x v="1"/>
    <x v="1"/>
    <x v="2"/>
    <x v="19"/>
    <x v="19"/>
    <x v="0"/>
    <n v="1249"/>
    <n v="279.04752499999978"/>
    <n v="1711.7163830000038"/>
    <n v="18731241.110000014"/>
    <n v="293"/>
    <n v="2808451.9700000007"/>
  </r>
  <r>
    <x v="1"/>
    <x v="1"/>
    <x v="1"/>
    <x v="2"/>
    <x v="20"/>
    <x v="20"/>
    <x v="0"/>
    <n v="1213"/>
    <n v="218.32394099999988"/>
    <n v="1252.234814000004"/>
    <n v="15953304.510000007"/>
    <n v="236"/>
    <n v="2696617.59"/>
  </r>
  <r>
    <x v="1"/>
    <x v="1"/>
    <x v="1"/>
    <x v="2"/>
    <x v="21"/>
    <x v="21"/>
    <x v="0"/>
    <n v="784"/>
    <n v="165.94395599999999"/>
    <n v="596.71956499999692"/>
    <n v="5757873.6100000059"/>
    <n v="200"/>
    <n v="1482671.2799999998"/>
  </r>
  <r>
    <x v="1"/>
    <x v="1"/>
    <x v="1"/>
    <x v="2"/>
    <x v="22"/>
    <x v="22"/>
    <x v="0"/>
    <n v="2022"/>
    <n v="450.69082699999962"/>
    <n v="2198.9854000000037"/>
    <n v="30530694.27"/>
    <n v="437"/>
    <n v="5808971.8300000029"/>
  </r>
  <r>
    <x v="1"/>
    <x v="1"/>
    <x v="1"/>
    <x v="2"/>
    <x v="23"/>
    <x v="23"/>
    <x v="0"/>
    <n v="197"/>
    <n v="46.942069000000004"/>
    <n v="208.85153700000001"/>
    <n v="2601640.1500000018"/>
    <n v="60"/>
    <n v="655707.96999999974"/>
  </r>
  <r>
    <x v="1"/>
    <x v="1"/>
    <x v="1"/>
    <x v="2"/>
    <x v="24"/>
    <x v="24"/>
    <x v="0"/>
    <n v="558"/>
    <n v="133.40895099999994"/>
    <n v="524.37773300000038"/>
    <n v="5383866.3100000005"/>
    <n v="111"/>
    <n v="1388596.9900000002"/>
  </r>
  <r>
    <x v="1"/>
    <x v="1"/>
    <x v="1"/>
    <x v="2"/>
    <x v="25"/>
    <x v="25"/>
    <x v="0"/>
    <n v="1146"/>
    <n v="229.5186230000001"/>
    <n v="1098.3505530000032"/>
    <n v="12791121.299999977"/>
    <n v="240"/>
    <n v="2457512.6399999983"/>
  </r>
  <r>
    <x v="1"/>
    <x v="1"/>
    <x v="1"/>
    <x v="2"/>
    <x v="26"/>
    <x v="26"/>
    <x v="0"/>
    <n v="968"/>
    <n v="220.648956"/>
    <n v="942.01567199999386"/>
    <n v="9903314.7399999779"/>
    <n v="234"/>
    <n v="2244785.0199999996"/>
  </r>
  <r>
    <x v="1"/>
    <x v="1"/>
    <x v="1"/>
    <x v="2"/>
    <x v="27"/>
    <x v="27"/>
    <x v="0"/>
    <n v="761"/>
    <n v="181.18978999999979"/>
    <n v="740.82898699999805"/>
    <n v="7259459.4399999967"/>
    <n v="168"/>
    <n v="1721146.7799999998"/>
  </r>
  <r>
    <x v="1"/>
    <x v="1"/>
    <x v="1"/>
    <x v="2"/>
    <x v="28"/>
    <x v="28"/>
    <x v="0"/>
    <n v="784"/>
    <n v="121.14954199999998"/>
    <n v="691.03306399999633"/>
    <n v="7664185.0299999984"/>
    <n v="130"/>
    <n v="1459559.8199999998"/>
  </r>
  <r>
    <x v="1"/>
    <x v="1"/>
    <x v="1"/>
    <x v="2"/>
    <x v="29"/>
    <x v="29"/>
    <x v="0"/>
    <n v="783"/>
    <n v="222.79110099999983"/>
    <n v="804.20105099999751"/>
    <n v="12826607.950000007"/>
    <n v="224"/>
    <n v="2949790.4900000012"/>
  </r>
  <r>
    <x v="1"/>
    <x v="1"/>
    <x v="1"/>
    <x v="2"/>
    <x v="30"/>
    <x v="30"/>
    <x v="0"/>
    <n v="718"/>
    <n v="129.376938"/>
    <n v="573.30898999999727"/>
    <n v="6213792.9699999923"/>
    <n v="146"/>
    <n v="1340305.7100000004"/>
  </r>
  <r>
    <x v="1"/>
    <x v="1"/>
    <x v="1"/>
    <x v="2"/>
    <x v="31"/>
    <x v="31"/>
    <x v="0"/>
    <n v="1141"/>
    <n v="351.70065599999987"/>
    <n v="1143.1243200000019"/>
    <n v="12069215.23999998"/>
    <n v="346"/>
    <n v="3843484.3600000041"/>
  </r>
  <r>
    <x v="1"/>
    <x v="1"/>
    <x v="1"/>
    <x v="2"/>
    <x v="32"/>
    <x v="32"/>
    <x v="0"/>
    <n v="1757"/>
    <n v="460.40254099999964"/>
    <n v="1851.8235250000039"/>
    <n v="16965283.970000014"/>
    <n v="451"/>
    <n v="4043178.9599999958"/>
  </r>
  <r>
    <x v="1"/>
    <x v="1"/>
    <x v="1"/>
    <x v="2"/>
    <x v="33"/>
    <x v="33"/>
    <x v="0"/>
    <n v="1796"/>
    <n v="248.47315499999991"/>
    <n v="1614.5526410000118"/>
    <n v="16219280.11000007"/>
    <n v="252"/>
    <n v="2654421.7000000002"/>
  </r>
  <r>
    <x v="1"/>
    <x v="1"/>
    <x v="1"/>
    <x v="2"/>
    <x v="34"/>
    <x v="34"/>
    <x v="0"/>
    <n v="29"/>
    <n v="8.5750019999999996"/>
    <n v="21.003642999999997"/>
    <n v="311196.08"/>
    <n v="12"/>
    <n v="121923.01"/>
  </r>
  <r>
    <x v="1"/>
    <x v="1"/>
    <x v="1"/>
    <x v="2"/>
    <x v="35"/>
    <x v="35"/>
    <x v="0"/>
    <n v="1708"/>
    <n v="310.41906999999975"/>
    <n v="1534.1086510000102"/>
    <n v="14352672.060000088"/>
    <n v="296"/>
    <n v="2663007.7599999993"/>
  </r>
  <r>
    <x v="1"/>
    <x v="1"/>
    <x v="1"/>
    <x v="2"/>
    <x v="36"/>
    <x v="36"/>
    <x v="0"/>
    <n v="1455"/>
    <n v="318.72748199999978"/>
    <n v="1454.3625260000024"/>
    <n v="14107845.439999983"/>
    <n v="299"/>
    <n v="2809612.899999999"/>
  </r>
  <r>
    <x v="1"/>
    <x v="1"/>
    <x v="1"/>
    <x v="2"/>
    <x v="37"/>
    <x v="37"/>
    <x v="0"/>
    <n v="931"/>
    <n v="287.4264799999998"/>
    <n v="1084.9142959999999"/>
    <n v="11605547.040000014"/>
    <n v="279"/>
    <n v="2953121.7400000012"/>
  </r>
  <r>
    <x v="1"/>
    <x v="1"/>
    <x v="1"/>
    <x v="2"/>
    <x v="38"/>
    <x v="38"/>
    <x v="0"/>
    <n v="588"/>
    <n v="96.445059000000001"/>
    <n v="496.95055399999984"/>
    <n v="5722194.8000000026"/>
    <n v="102"/>
    <n v="1114663.4099999997"/>
  </r>
  <r>
    <x v="1"/>
    <x v="1"/>
    <x v="1"/>
    <x v="2"/>
    <x v="39"/>
    <x v="39"/>
    <x v="0"/>
    <n v="1231"/>
    <n v="398.86757299999942"/>
    <n v="1562.2533510000028"/>
    <n v="16318910.159999993"/>
    <n v="383"/>
    <n v="4095091.8200000022"/>
  </r>
  <r>
    <x v="1"/>
    <x v="1"/>
    <x v="1"/>
    <x v="2"/>
    <x v="40"/>
    <x v="40"/>
    <x v="0"/>
    <n v="2221"/>
    <n v="206.80200200000016"/>
    <n v="1839.7635530000127"/>
    <n v="17819610.659999944"/>
    <n v="209"/>
    <n v="2023203.2199999993"/>
  </r>
  <r>
    <x v="1"/>
    <x v="1"/>
    <x v="1"/>
    <x v="2"/>
    <x v="41"/>
    <x v="41"/>
    <x v="0"/>
    <n v="303"/>
    <n v="0"/>
    <n v="509.57159600000131"/>
    <n v="5981015.6700000064"/>
    <n v="0"/>
    <n v="0"/>
  </r>
  <r>
    <x v="1"/>
    <x v="1"/>
    <x v="1"/>
    <x v="2"/>
    <x v="42"/>
    <x v="42"/>
    <x v="0"/>
    <n v="217"/>
    <n v="48.852412999999999"/>
    <n v="156.92954300000005"/>
    <n v="1739703.3799999997"/>
    <n v="71"/>
    <n v="551329.35"/>
  </r>
  <r>
    <x v="1"/>
    <x v="1"/>
    <x v="1"/>
    <x v="2"/>
    <x v="43"/>
    <x v="43"/>
    <x v="0"/>
    <n v="234"/>
    <n v="69.55700400000002"/>
    <n v="318.55579000000006"/>
    <n v="3140200.6200000015"/>
    <n v="62"/>
    <n v="629946.66999999993"/>
  </r>
  <r>
    <x v="1"/>
    <x v="1"/>
    <x v="1"/>
    <x v="2"/>
    <x v="44"/>
    <x v="44"/>
    <x v="0"/>
    <n v="1468"/>
    <n v="292.61751699999974"/>
    <n v="1314.5937220000108"/>
    <n v="13091061.309999986"/>
    <n v="308"/>
    <n v="2896667.9600000009"/>
  </r>
  <r>
    <x v="1"/>
    <x v="1"/>
    <x v="1"/>
    <x v="2"/>
    <x v="45"/>
    <x v="45"/>
    <x v="0"/>
    <n v="1390"/>
    <n v="209.7363039999999"/>
    <n v="1699.0255899999941"/>
    <n v="16385241.740000021"/>
    <n v="194"/>
    <n v="2006711.6999999993"/>
  </r>
  <r>
    <x v="1"/>
    <x v="1"/>
    <x v="1"/>
    <x v="2"/>
    <x v="46"/>
    <x v="46"/>
    <x v="0"/>
    <n v="94"/>
    <n v="8.6783289999999997"/>
    <n v="77.580451000000025"/>
    <n v="3138135.9400000004"/>
    <n v="13"/>
    <n v="473998.8"/>
  </r>
  <r>
    <x v="1"/>
    <x v="1"/>
    <x v="1"/>
    <x v="4"/>
    <x v="0"/>
    <x v="0"/>
    <x v="0"/>
    <n v="1684"/>
    <n v="311.61357099999987"/>
    <n v="1656.9630980000068"/>
    <n v="16457461.470000001"/>
    <n v="330"/>
    <n v="3302828.1499999994"/>
  </r>
  <r>
    <x v="1"/>
    <x v="1"/>
    <x v="1"/>
    <x v="4"/>
    <x v="1"/>
    <x v="1"/>
    <x v="0"/>
    <n v="3177"/>
    <n v="660.73261700000069"/>
    <n v="5157.7876990000095"/>
    <n v="94752737.020000085"/>
    <n v="458"/>
    <n v="13781398.38000001"/>
  </r>
  <r>
    <x v="1"/>
    <x v="1"/>
    <x v="1"/>
    <x v="4"/>
    <x v="2"/>
    <x v="2"/>
    <x v="0"/>
    <n v="1258"/>
    <n v="218.59472799999975"/>
    <n v="1134.2043159999973"/>
    <n v="15386594.899999995"/>
    <n v="218"/>
    <n v="2849430.67"/>
  </r>
  <r>
    <x v="1"/>
    <x v="1"/>
    <x v="1"/>
    <x v="4"/>
    <x v="3"/>
    <x v="3"/>
    <x v="0"/>
    <n v="3296"/>
    <n v="408.60973399999978"/>
    <n v="2743.6758759999807"/>
    <n v="25411067.629999988"/>
    <n v="414"/>
    <n v="3733063.1000000006"/>
  </r>
  <r>
    <x v="1"/>
    <x v="1"/>
    <x v="1"/>
    <x v="4"/>
    <x v="4"/>
    <x v="4"/>
    <x v="0"/>
    <n v="1793"/>
    <n v="343.81056799999931"/>
    <n v="1756.7801830000092"/>
    <n v="16829455.609999955"/>
    <n v="325"/>
    <n v="3645568.1099999985"/>
  </r>
  <r>
    <x v="1"/>
    <x v="1"/>
    <x v="1"/>
    <x v="4"/>
    <x v="5"/>
    <x v="5"/>
    <x v="0"/>
    <n v="558"/>
    <n v="120.25950499999999"/>
    <n v="499.11613200000045"/>
    <n v="5438110.6299999971"/>
    <n v="139"/>
    <n v="1269988.0199999998"/>
  </r>
  <r>
    <x v="1"/>
    <x v="1"/>
    <x v="1"/>
    <x v="4"/>
    <x v="6"/>
    <x v="6"/>
    <x v="0"/>
    <n v="1599"/>
    <n v="236.4611789999999"/>
    <n v="1674.275144000012"/>
    <n v="19057136.410000023"/>
    <n v="245"/>
    <n v="2775970.5799999991"/>
  </r>
  <r>
    <x v="1"/>
    <x v="1"/>
    <x v="1"/>
    <x v="4"/>
    <x v="7"/>
    <x v="7"/>
    <x v="0"/>
    <n v="4171"/>
    <n v="744.01812100000063"/>
    <n v="5895.4738839999964"/>
    <n v="105266981.56000003"/>
    <n v="699"/>
    <n v="14143026.499999998"/>
  </r>
  <r>
    <x v="1"/>
    <x v="1"/>
    <x v="1"/>
    <x v="4"/>
    <x v="8"/>
    <x v="8"/>
    <x v="0"/>
    <n v="213"/>
    <n v="61.540376000000002"/>
    <n v="169.11089200000004"/>
    <n v="2073059.29"/>
    <n v="77"/>
    <n v="711064.51000000013"/>
  </r>
  <r>
    <x v="1"/>
    <x v="1"/>
    <x v="1"/>
    <x v="4"/>
    <x v="9"/>
    <x v="9"/>
    <x v="0"/>
    <n v="1789"/>
    <n v="422.18007699999947"/>
    <n v="1807.8915969999987"/>
    <n v="20370092.679999929"/>
    <n v="436"/>
    <n v="4488247.7300000004"/>
  </r>
  <r>
    <x v="1"/>
    <x v="1"/>
    <x v="1"/>
    <x v="4"/>
    <x v="10"/>
    <x v="10"/>
    <x v="0"/>
    <n v="2303"/>
    <n v="504.98742199999953"/>
    <n v="2923.4976720000059"/>
    <n v="34488519.859999977"/>
    <n v="430"/>
    <n v="5168452.4700000007"/>
  </r>
  <r>
    <x v="0"/>
    <x v="2"/>
    <x v="4"/>
    <x v="11"/>
    <x v="11"/>
    <x v="11"/>
    <x v="0"/>
    <n v="338"/>
    <n v="68.568016125900826"/>
    <n v="293.60370025716549"/>
    <n v="5613868.3399999971"/>
    <n v="86"/>
    <n v="1195389.21"/>
  </r>
  <r>
    <x v="1"/>
    <x v="1"/>
    <x v="1"/>
    <x v="4"/>
    <x v="12"/>
    <x v="12"/>
    <x v="0"/>
    <n v="2526"/>
    <n v="581.94667500000048"/>
    <n v="2349.5043629999959"/>
    <n v="25891093.620000038"/>
    <n v="609"/>
    <n v="6366528.4200000009"/>
  </r>
  <r>
    <x v="1"/>
    <x v="1"/>
    <x v="1"/>
    <x v="4"/>
    <x v="13"/>
    <x v="13"/>
    <x v="0"/>
    <n v="1334"/>
    <n v="246.91463099999982"/>
    <n v="1321.737437000008"/>
    <n v="15278213.349999987"/>
    <n v="255"/>
    <n v="3150349.5700000008"/>
  </r>
  <r>
    <x v="1"/>
    <x v="1"/>
    <x v="1"/>
    <x v="4"/>
    <x v="14"/>
    <x v="14"/>
    <x v="0"/>
    <n v="202"/>
    <n v="48.536232000000005"/>
    <n v="173.35718499999984"/>
    <n v="1680860.550000001"/>
    <n v="46"/>
    <n v="435551.58"/>
  </r>
  <r>
    <x v="1"/>
    <x v="1"/>
    <x v="1"/>
    <x v="4"/>
    <x v="15"/>
    <x v="15"/>
    <x v="0"/>
    <n v="945"/>
    <n v="186.69874700000005"/>
    <n v="889.31056499999659"/>
    <n v="8300276.5600000033"/>
    <n v="208"/>
    <n v="1640348.58"/>
  </r>
  <r>
    <x v="1"/>
    <x v="1"/>
    <x v="1"/>
    <x v="4"/>
    <x v="16"/>
    <x v="16"/>
    <x v="0"/>
    <n v="1650"/>
    <n v="346.17787499999997"/>
    <n v="1929.4987890000027"/>
    <n v="18448573.080000028"/>
    <n v="317"/>
    <n v="3142981.6699999957"/>
  </r>
  <r>
    <x v="1"/>
    <x v="1"/>
    <x v="1"/>
    <x v="4"/>
    <x v="17"/>
    <x v="17"/>
    <x v="0"/>
    <n v="1205"/>
    <n v="236.97499899999985"/>
    <n v="1522.6992160000007"/>
    <n v="14313854.730000013"/>
    <n v="224"/>
    <n v="2200999.94"/>
  </r>
  <r>
    <x v="1"/>
    <x v="1"/>
    <x v="1"/>
    <x v="4"/>
    <x v="18"/>
    <x v="18"/>
    <x v="0"/>
    <n v="2813"/>
    <n v="401.03743399999985"/>
    <n v="2603.6175869999956"/>
    <n v="27037533.109999951"/>
    <n v="431"/>
    <n v="4641702.6400000006"/>
  </r>
  <r>
    <x v="1"/>
    <x v="1"/>
    <x v="1"/>
    <x v="4"/>
    <x v="19"/>
    <x v="19"/>
    <x v="0"/>
    <n v="1304"/>
    <n v="341.17991300000011"/>
    <n v="1731.1525550000022"/>
    <n v="18658035.199999992"/>
    <n v="348"/>
    <n v="3581152.38"/>
  </r>
  <r>
    <x v="1"/>
    <x v="1"/>
    <x v="1"/>
    <x v="4"/>
    <x v="20"/>
    <x v="20"/>
    <x v="0"/>
    <n v="1161"/>
    <n v="230.11138799999995"/>
    <n v="1195.6856780000051"/>
    <n v="17133351.59000003"/>
    <n v="241"/>
    <n v="3239695.8899999978"/>
  </r>
  <r>
    <x v="1"/>
    <x v="1"/>
    <x v="1"/>
    <x v="4"/>
    <x v="21"/>
    <x v="21"/>
    <x v="0"/>
    <n v="839"/>
    <n v="165.74375599999985"/>
    <n v="615.91743599999575"/>
    <n v="5883819.0900000017"/>
    <n v="202"/>
    <n v="1686031.4500000014"/>
  </r>
  <r>
    <x v="1"/>
    <x v="1"/>
    <x v="1"/>
    <x v="4"/>
    <x v="22"/>
    <x v="22"/>
    <x v="0"/>
    <n v="2073"/>
    <n v="425.30262099999953"/>
    <n v="2145.557985000004"/>
    <n v="28777256.800000057"/>
    <n v="450"/>
    <n v="5074312.6499999994"/>
  </r>
  <r>
    <x v="1"/>
    <x v="1"/>
    <x v="1"/>
    <x v="4"/>
    <x v="23"/>
    <x v="23"/>
    <x v="0"/>
    <n v="160"/>
    <n v="68.814034000000007"/>
    <n v="161.89758800000004"/>
    <n v="2092089.01"/>
    <n v="65"/>
    <n v="993788.26999999979"/>
  </r>
  <r>
    <x v="1"/>
    <x v="1"/>
    <x v="1"/>
    <x v="4"/>
    <x v="24"/>
    <x v="24"/>
    <x v="0"/>
    <n v="567"/>
    <n v="110.859458"/>
    <n v="500.38651900000048"/>
    <n v="5465119.2600000026"/>
    <n v="105"/>
    <n v="1203240.1400000001"/>
  </r>
  <r>
    <x v="1"/>
    <x v="1"/>
    <x v="1"/>
    <x v="4"/>
    <x v="25"/>
    <x v="25"/>
    <x v="0"/>
    <n v="1146"/>
    <n v="261.36905899999977"/>
    <n v="1101.5428940000038"/>
    <n v="13067890.130000003"/>
    <n v="271"/>
    <n v="2891384.4799999986"/>
  </r>
  <r>
    <x v="1"/>
    <x v="1"/>
    <x v="1"/>
    <x v="4"/>
    <x v="26"/>
    <x v="26"/>
    <x v="0"/>
    <n v="954"/>
    <n v="197.81176399999976"/>
    <n v="899.32260299999575"/>
    <n v="9268093.4899999909"/>
    <n v="232"/>
    <n v="1920640.7300000018"/>
  </r>
  <r>
    <x v="1"/>
    <x v="1"/>
    <x v="1"/>
    <x v="4"/>
    <x v="27"/>
    <x v="27"/>
    <x v="0"/>
    <n v="834"/>
    <n v="212.76518199999978"/>
    <n v="759.41933499999845"/>
    <n v="7703395.769999994"/>
    <n v="206"/>
    <n v="2251949.85"/>
  </r>
  <r>
    <x v="1"/>
    <x v="1"/>
    <x v="1"/>
    <x v="4"/>
    <x v="28"/>
    <x v="28"/>
    <x v="0"/>
    <n v="758"/>
    <n v="140.20363899999995"/>
    <n v="650.39267699999709"/>
    <n v="6964550.4199999999"/>
    <n v="150"/>
    <n v="1447004.1500000004"/>
  </r>
  <r>
    <x v="1"/>
    <x v="1"/>
    <x v="1"/>
    <x v="4"/>
    <x v="29"/>
    <x v="29"/>
    <x v="0"/>
    <n v="810"/>
    <n v="224.40316499999992"/>
    <n v="843.81802899999821"/>
    <n v="12642471.499999994"/>
    <n v="224"/>
    <n v="2823654.12"/>
  </r>
  <r>
    <x v="1"/>
    <x v="1"/>
    <x v="1"/>
    <x v="4"/>
    <x v="30"/>
    <x v="30"/>
    <x v="0"/>
    <n v="744"/>
    <n v="128.02103699999998"/>
    <n v="597.93136199999776"/>
    <n v="6496537.0600000089"/>
    <n v="158"/>
    <n v="1355696.7599999998"/>
  </r>
  <r>
    <x v="1"/>
    <x v="1"/>
    <x v="1"/>
    <x v="4"/>
    <x v="31"/>
    <x v="31"/>
    <x v="0"/>
    <n v="1166"/>
    <n v="356.43265499999967"/>
    <n v="1158.4115580000043"/>
    <n v="12367365.63999998"/>
    <n v="380"/>
    <n v="3945171.0500000003"/>
  </r>
  <r>
    <x v="1"/>
    <x v="1"/>
    <x v="1"/>
    <x v="4"/>
    <x v="32"/>
    <x v="32"/>
    <x v="0"/>
    <n v="1897"/>
    <n v="536.86635699999999"/>
    <n v="1982.3551400000006"/>
    <n v="17798137.529999997"/>
    <n v="542"/>
    <n v="4765506.8800000018"/>
  </r>
  <r>
    <x v="1"/>
    <x v="1"/>
    <x v="1"/>
    <x v="4"/>
    <x v="33"/>
    <x v="33"/>
    <x v="0"/>
    <n v="2066"/>
    <n v="314.94722599999983"/>
    <n v="1867.3556270000111"/>
    <n v="18468802.780000102"/>
    <n v="311"/>
    <n v="3119230.31"/>
  </r>
  <r>
    <x v="1"/>
    <x v="1"/>
    <x v="1"/>
    <x v="4"/>
    <x v="34"/>
    <x v="34"/>
    <x v="0"/>
    <n v="25"/>
    <n v="6.9524090000000003"/>
    <n v="19.751323999999997"/>
    <n v="318168.68"/>
    <n v="9"/>
    <n v="114984.23000000001"/>
  </r>
  <r>
    <x v="1"/>
    <x v="1"/>
    <x v="1"/>
    <x v="4"/>
    <x v="35"/>
    <x v="35"/>
    <x v="0"/>
    <n v="1794"/>
    <n v="329.55561399999976"/>
    <n v="1501.6468310000091"/>
    <n v="14461158.109999971"/>
    <n v="338"/>
    <n v="3095818.1799999992"/>
  </r>
  <r>
    <x v="1"/>
    <x v="1"/>
    <x v="1"/>
    <x v="4"/>
    <x v="36"/>
    <x v="36"/>
    <x v="0"/>
    <n v="1485"/>
    <n v="315.81470499999966"/>
    <n v="1456.2071800000001"/>
    <n v="15158094.480000019"/>
    <n v="312"/>
    <n v="2736490.2999999984"/>
  </r>
  <r>
    <x v="1"/>
    <x v="1"/>
    <x v="1"/>
    <x v="4"/>
    <x v="37"/>
    <x v="37"/>
    <x v="0"/>
    <n v="969"/>
    <n v="279.77587299999976"/>
    <n v="1086.9754809999993"/>
    <n v="10485880.499999994"/>
    <n v="269"/>
    <n v="2730591.0299999979"/>
  </r>
  <r>
    <x v="1"/>
    <x v="1"/>
    <x v="1"/>
    <x v="4"/>
    <x v="38"/>
    <x v="38"/>
    <x v="0"/>
    <n v="631"/>
    <n v="115.75448900000002"/>
    <n v="606.32311799999854"/>
    <n v="7781336.0099999998"/>
    <n v="115"/>
    <n v="1113659.1499999999"/>
  </r>
  <r>
    <x v="1"/>
    <x v="1"/>
    <x v="1"/>
    <x v="4"/>
    <x v="39"/>
    <x v="39"/>
    <x v="0"/>
    <n v="1205"/>
    <n v="391.91371899999984"/>
    <n v="1517.9385860000014"/>
    <n v="14745911.890000017"/>
    <n v="353"/>
    <n v="3723472.65"/>
  </r>
  <r>
    <x v="1"/>
    <x v="1"/>
    <x v="1"/>
    <x v="4"/>
    <x v="40"/>
    <x v="40"/>
    <x v="0"/>
    <n v="2335"/>
    <n v="195.25534100000004"/>
    <n v="1985.0732200000066"/>
    <n v="19067895.359999869"/>
    <n v="185"/>
    <n v="1779259.19"/>
  </r>
  <r>
    <x v="1"/>
    <x v="1"/>
    <x v="1"/>
    <x v="4"/>
    <x v="41"/>
    <x v="41"/>
    <x v="0"/>
    <n v="313"/>
    <n v="1.6944710000000001"/>
    <n v="527.29104300000108"/>
    <n v="6022276.9499999946"/>
    <n v="1"/>
    <n v="5778.74"/>
  </r>
  <r>
    <x v="1"/>
    <x v="1"/>
    <x v="1"/>
    <x v="4"/>
    <x v="42"/>
    <x v="42"/>
    <x v="0"/>
    <n v="257"/>
    <n v="73.705455999999984"/>
    <n v="189.25929600000018"/>
    <n v="1952268.7200000007"/>
    <n v="102"/>
    <n v="752147.58999999985"/>
  </r>
  <r>
    <x v="1"/>
    <x v="1"/>
    <x v="1"/>
    <x v="4"/>
    <x v="43"/>
    <x v="43"/>
    <x v="0"/>
    <n v="242"/>
    <n v="79.036639000000008"/>
    <n v="281.20285199999984"/>
    <n v="2624750.4499999969"/>
    <n v="75"/>
    <n v="654615.8899999999"/>
  </r>
  <r>
    <x v="1"/>
    <x v="1"/>
    <x v="1"/>
    <x v="4"/>
    <x v="44"/>
    <x v="44"/>
    <x v="0"/>
    <n v="1582"/>
    <n v="344.62155799999948"/>
    <n v="1412.3921860000059"/>
    <n v="13140348.030000025"/>
    <n v="367"/>
    <n v="3077792.39"/>
  </r>
  <r>
    <x v="1"/>
    <x v="1"/>
    <x v="1"/>
    <x v="4"/>
    <x v="45"/>
    <x v="45"/>
    <x v="0"/>
    <n v="1461"/>
    <n v="260.57336299999969"/>
    <n v="1700.8857089999919"/>
    <n v="15899395.839999991"/>
    <n v="232"/>
    <n v="2046422.4400000004"/>
  </r>
  <r>
    <x v="1"/>
    <x v="1"/>
    <x v="1"/>
    <x v="4"/>
    <x v="46"/>
    <x v="46"/>
    <x v="0"/>
    <n v="105"/>
    <n v="4.5678840000000003"/>
    <n v="95.964205999999962"/>
    <n v="4479089.2900000019"/>
    <n v="6"/>
    <n v="201871.08"/>
  </r>
  <r>
    <x v="1"/>
    <x v="1"/>
    <x v="3"/>
    <x v="6"/>
    <x v="0"/>
    <x v="0"/>
    <x v="0"/>
    <n v="1804"/>
    <n v="324.78901999999982"/>
    <n v="1699.1027070000055"/>
    <n v="18066190.809999976"/>
    <n v="369"/>
    <n v="3924125.129999998"/>
  </r>
  <r>
    <x v="1"/>
    <x v="1"/>
    <x v="3"/>
    <x v="6"/>
    <x v="1"/>
    <x v="1"/>
    <x v="0"/>
    <n v="3166"/>
    <n v="553.30343399999958"/>
    <n v="4889.7751809999963"/>
    <n v="97010933.51000008"/>
    <n v="485"/>
    <n v="11058790.42"/>
  </r>
  <r>
    <x v="1"/>
    <x v="1"/>
    <x v="3"/>
    <x v="6"/>
    <x v="2"/>
    <x v="2"/>
    <x v="0"/>
    <n v="1348"/>
    <n v="245.74523499999989"/>
    <n v="1210.5430629999996"/>
    <n v="17461798.780000001"/>
    <n v="260"/>
    <n v="3628393.8099999982"/>
  </r>
  <r>
    <x v="1"/>
    <x v="1"/>
    <x v="3"/>
    <x v="6"/>
    <x v="3"/>
    <x v="3"/>
    <x v="0"/>
    <n v="3292"/>
    <n v="376.28181599999954"/>
    <n v="2674.0498349999784"/>
    <n v="27351939.459999923"/>
    <n v="419"/>
    <n v="3959820.6099999994"/>
  </r>
  <r>
    <x v="1"/>
    <x v="1"/>
    <x v="3"/>
    <x v="6"/>
    <x v="4"/>
    <x v="4"/>
    <x v="0"/>
    <n v="1859"/>
    <n v="325.06711599999954"/>
    <n v="1789.0085600000029"/>
    <n v="18919140.870000068"/>
    <n v="383"/>
    <n v="3947012.9999999977"/>
  </r>
  <r>
    <x v="1"/>
    <x v="1"/>
    <x v="3"/>
    <x v="6"/>
    <x v="5"/>
    <x v="5"/>
    <x v="0"/>
    <n v="598"/>
    <n v="132.97308100000001"/>
    <n v="514.8783999999996"/>
    <n v="6098968.610000005"/>
    <n v="156"/>
    <n v="1640199.7100000004"/>
  </r>
  <r>
    <x v="1"/>
    <x v="1"/>
    <x v="3"/>
    <x v="6"/>
    <x v="6"/>
    <x v="6"/>
    <x v="0"/>
    <n v="1659"/>
    <n v="231.96700800000005"/>
    <n v="1672.0969290000126"/>
    <n v="20490475.729999956"/>
    <n v="265"/>
    <n v="2998068.9799999995"/>
  </r>
  <r>
    <x v="1"/>
    <x v="1"/>
    <x v="3"/>
    <x v="6"/>
    <x v="7"/>
    <x v="7"/>
    <x v="0"/>
    <n v="4090"/>
    <n v="750.75636000000065"/>
    <n v="5618.041132999997"/>
    <n v="111798124.48999977"/>
    <n v="734"/>
    <n v="17589675.84"/>
  </r>
  <r>
    <x v="1"/>
    <x v="1"/>
    <x v="3"/>
    <x v="6"/>
    <x v="8"/>
    <x v="8"/>
    <x v="0"/>
    <n v="277"/>
    <n v="69.363764000000032"/>
    <n v="206.89087800000021"/>
    <n v="2921662.2299999991"/>
    <n v="92"/>
    <n v="1080361.9100000001"/>
  </r>
  <r>
    <x v="1"/>
    <x v="1"/>
    <x v="3"/>
    <x v="6"/>
    <x v="9"/>
    <x v="9"/>
    <x v="0"/>
    <n v="1940"/>
    <n v="468.93788700000016"/>
    <n v="1897.1612160000029"/>
    <n v="22769759.74000001"/>
    <n v="497"/>
    <n v="5913320.3500000043"/>
  </r>
  <r>
    <x v="1"/>
    <x v="1"/>
    <x v="3"/>
    <x v="6"/>
    <x v="10"/>
    <x v="10"/>
    <x v="0"/>
    <n v="2398"/>
    <n v="485.81429899999989"/>
    <n v="2813.2227080000139"/>
    <n v="38440116.179999955"/>
    <n v="454"/>
    <n v="6517800.3100000033"/>
  </r>
  <r>
    <x v="0"/>
    <x v="4"/>
    <x v="4"/>
    <x v="1"/>
    <x v="11"/>
    <x v="11"/>
    <x v="0"/>
    <n v="332"/>
    <n v="75.948668031812915"/>
    <n v="268.95681157136175"/>
    <n v="4471534.1199999992"/>
    <n v="97"/>
    <n v="1166420.72"/>
  </r>
  <r>
    <x v="1"/>
    <x v="1"/>
    <x v="3"/>
    <x v="6"/>
    <x v="12"/>
    <x v="12"/>
    <x v="0"/>
    <n v="2650"/>
    <n v="588.10731799999985"/>
    <n v="2359.8664359999875"/>
    <n v="27838371.570000056"/>
    <n v="636"/>
    <n v="6784571.859999992"/>
  </r>
  <r>
    <x v="1"/>
    <x v="1"/>
    <x v="3"/>
    <x v="6"/>
    <x v="13"/>
    <x v="13"/>
    <x v="0"/>
    <n v="1331"/>
    <n v="280.67448899999982"/>
    <n v="1247.5553880000043"/>
    <n v="14439129.19000002"/>
    <n v="279"/>
    <n v="3609662.14"/>
  </r>
  <r>
    <x v="1"/>
    <x v="1"/>
    <x v="3"/>
    <x v="6"/>
    <x v="14"/>
    <x v="14"/>
    <x v="0"/>
    <n v="244"/>
    <n v="38.899239000000016"/>
    <n v="186.83513199999993"/>
    <n v="1788910.6600000004"/>
    <n v="52"/>
    <n v="415468.07999999996"/>
  </r>
  <r>
    <x v="1"/>
    <x v="1"/>
    <x v="3"/>
    <x v="6"/>
    <x v="15"/>
    <x v="15"/>
    <x v="0"/>
    <n v="897"/>
    <n v="186.4011189999998"/>
    <n v="790.84074899999666"/>
    <n v="8647516.0099999942"/>
    <n v="214"/>
    <n v="2120540.7699999991"/>
  </r>
  <r>
    <x v="1"/>
    <x v="1"/>
    <x v="3"/>
    <x v="6"/>
    <x v="16"/>
    <x v="16"/>
    <x v="0"/>
    <n v="1847"/>
    <n v="380.51312599999966"/>
    <n v="2025.9427040000066"/>
    <n v="22241598.760000009"/>
    <n v="391"/>
    <n v="4318750.6399999987"/>
  </r>
  <r>
    <x v="1"/>
    <x v="1"/>
    <x v="3"/>
    <x v="6"/>
    <x v="17"/>
    <x v="17"/>
    <x v="0"/>
    <n v="1276"/>
    <n v="297.59910200000002"/>
    <n v="1555.8560239999988"/>
    <n v="17313062.520000018"/>
    <n v="276"/>
    <n v="3306001.3199999994"/>
  </r>
  <r>
    <x v="1"/>
    <x v="1"/>
    <x v="3"/>
    <x v="6"/>
    <x v="18"/>
    <x v="18"/>
    <x v="0"/>
    <n v="2804"/>
    <n v="374.45991599999968"/>
    <n v="2567.2157579999994"/>
    <n v="27700556.030000094"/>
    <n v="413"/>
    <n v="4776865.2700000014"/>
  </r>
  <r>
    <x v="1"/>
    <x v="1"/>
    <x v="3"/>
    <x v="6"/>
    <x v="19"/>
    <x v="19"/>
    <x v="0"/>
    <n v="1397"/>
    <n v="346.90483399999988"/>
    <n v="1794.8218400000037"/>
    <n v="19376093.099999975"/>
    <n v="398"/>
    <n v="3665597.4099999974"/>
  </r>
  <r>
    <x v="1"/>
    <x v="1"/>
    <x v="3"/>
    <x v="6"/>
    <x v="20"/>
    <x v="20"/>
    <x v="0"/>
    <n v="1346"/>
    <n v="244.30644499999966"/>
    <n v="1297.3927260000028"/>
    <n v="22904814.330000032"/>
    <n v="274"/>
    <n v="4395734.6000000015"/>
  </r>
  <r>
    <x v="1"/>
    <x v="1"/>
    <x v="3"/>
    <x v="6"/>
    <x v="21"/>
    <x v="21"/>
    <x v="0"/>
    <n v="898"/>
    <n v="165.0940649999998"/>
    <n v="639.05888999999479"/>
    <n v="6372342.719999996"/>
    <n v="212"/>
    <n v="1888604.04"/>
  </r>
  <r>
    <x v="1"/>
    <x v="1"/>
    <x v="3"/>
    <x v="6"/>
    <x v="22"/>
    <x v="22"/>
    <x v="0"/>
    <n v="2106"/>
    <n v="421.10669899999971"/>
    <n v="1951.9324990000039"/>
    <n v="34713652.030000016"/>
    <n v="489"/>
    <n v="7868356.3199999975"/>
  </r>
  <r>
    <x v="1"/>
    <x v="1"/>
    <x v="3"/>
    <x v="6"/>
    <x v="23"/>
    <x v="23"/>
    <x v="0"/>
    <n v="208"/>
    <n v="68.372267999999991"/>
    <n v="179.28406999999996"/>
    <n v="2737544.4699999993"/>
    <n v="83"/>
    <n v="1126199.92"/>
  </r>
  <r>
    <x v="1"/>
    <x v="1"/>
    <x v="3"/>
    <x v="6"/>
    <x v="24"/>
    <x v="24"/>
    <x v="0"/>
    <n v="636"/>
    <n v="156.01836499999976"/>
    <n v="561.63489500000026"/>
    <n v="6132963.9499999993"/>
    <n v="158"/>
    <n v="1589500.0699999998"/>
  </r>
  <r>
    <x v="1"/>
    <x v="1"/>
    <x v="3"/>
    <x v="6"/>
    <x v="25"/>
    <x v="25"/>
    <x v="0"/>
    <n v="1302"/>
    <n v="271.55149799999975"/>
    <n v="1131.4361660000043"/>
    <n v="14415113.220000003"/>
    <n v="316"/>
    <n v="3586186.5199999972"/>
  </r>
  <r>
    <x v="1"/>
    <x v="1"/>
    <x v="3"/>
    <x v="6"/>
    <x v="26"/>
    <x v="26"/>
    <x v="0"/>
    <n v="1081"/>
    <n v="248.95710499999979"/>
    <n v="1018.4398249999941"/>
    <n v="11343496.529999997"/>
    <n v="277"/>
    <n v="2702595.6800000011"/>
  </r>
  <r>
    <x v="1"/>
    <x v="1"/>
    <x v="3"/>
    <x v="6"/>
    <x v="27"/>
    <x v="27"/>
    <x v="0"/>
    <n v="838"/>
    <n v="198.15065799999977"/>
    <n v="740.16801499999838"/>
    <n v="8359084.2000000058"/>
    <n v="224"/>
    <n v="2359190.9900000002"/>
  </r>
  <r>
    <x v="1"/>
    <x v="1"/>
    <x v="3"/>
    <x v="6"/>
    <x v="28"/>
    <x v="28"/>
    <x v="0"/>
    <n v="861"/>
    <n v="130.31442799999996"/>
    <n v="755.16463999999758"/>
    <n v="9803065.7400000058"/>
    <n v="165"/>
    <n v="1889365.6400000013"/>
  </r>
  <r>
    <x v="1"/>
    <x v="1"/>
    <x v="3"/>
    <x v="6"/>
    <x v="29"/>
    <x v="29"/>
    <x v="0"/>
    <n v="853"/>
    <n v="262.51184799999987"/>
    <n v="837.76276799999971"/>
    <n v="11976576.740000004"/>
    <n v="251"/>
    <n v="3285523.299999998"/>
  </r>
  <r>
    <x v="1"/>
    <x v="1"/>
    <x v="3"/>
    <x v="6"/>
    <x v="30"/>
    <x v="30"/>
    <x v="0"/>
    <n v="740"/>
    <n v="145.97157399999986"/>
    <n v="566.27111499999785"/>
    <n v="6831437.9100000029"/>
    <n v="185"/>
    <n v="1712281.5200000012"/>
  </r>
  <r>
    <x v="1"/>
    <x v="1"/>
    <x v="3"/>
    <x v="6"/>
    <x v="31"/>
    <x v="31"/>
    <x v="0"/>
    <n v="1269"/>
    <n v="356.6166849999999"/>
    <n v="1136.9062550000003"/>
    <n v="13071835.479999997"/>
    <n v="397"/>
    <n v="4360160.2500000009"/>
  </r>
  <r>
    <x v="1"/>
    <x v="1"/>
    <x v="3"/>
    <x v="6"/>
    <x v="32"/>
    <x v="32"/>
    <x v="0"/>
    <n v="2013"/>
    <n v="496.96619599999997"/>
    <n v="1992.0799090000012"/>
    <n v="19830527.140000049"/>
    <n v="587"/>
    <n v="5318804.3899999997"/>
  </r>
  <r>
    <x v="1"/>
    <x v="1"/>
    <x v="3"/>
    <x v="6"/>
    <x v="33"/>
    <x v="33"/>
    <x v="0"/>
    <n v="2019"/>
    <n v="274.38984399999987"/>
    <n v="1762.6040350000092"/>
    <n v="18629942.269999892"/>
    <n v="305"/>
    <n v="3231260.9799999972"/>
  </r>
  <r>
    <x v="1"/>
    <x v="1"/>
    <x v="3"/>
    <x v="6"/>
    <x v="34"/>
    <x v="34"/>
    <x v="0"/>
    <n v="38"/>
    <n v="12.843603999999999"/>
    <n v="28.389195000000001"/>
    <n v="577748.50999999989"/>
    <n v="18"/>
    <n v="280842.65999999997"/>
  </r>
  <r>
    <x v="1"/>
    <x v="1"/>
    <x v="3"/>
    <x v="6"/>
    <x v="35"/>
    <x v="35"/>
    <x v="0"/>
    <n v="1834"/>
    <n v="348.06984899999958"/>
    <n v="1521.286318000009"/>
    <n v="16481478.03000002"/>
    <n v="380"/>
    <n v="3958102.3699999969"/>
  </r>
  <r>
    <x v="1"/>
    <x v="1"/>
    <x v="3"/>
    <x v="6"/>
    <x v="36"/>
    <x v="36"/>
    <x v="0"/>
    <n v="1541"/>
    <n v="316.06419799999981"/>
    <n v="1468.7670880000023"/>
    <n v="15226588.67"/>
    <n v="346"/>
    <n v="3120954.1500000004"/>
  </r>
  <r>
    <x v="1"/>
    <x v="1"/>
    <x v="3"/>
    <x v="6"/>
    <x v="37"/>
    <x v="37"/>
    <x v="0"/>
    <n v="1059"/>
    <n v="279.21474599999988"/>
    <n v="1069.3438690000019"/>
    <n v="12185744.700000022"/>
    <n v="314"/>
    <n v="3429953.5200000019"/>
  </r>
  <r>
    <x v="1"/>
    <x v="1"/>
    <x v="3"/>
    <x v="6"/>
    <x v="38"/>
    <x v="38"/>
    <x v="0"/>
    <n v="750"/>
    <n v="136.46097500000005"/>
    <n v="671.03389699999627"/>
    <n v="8982563.1400000099"/>
    <n v="126"/>
    <n v="1535057.7700000005"/>
  </r>
  <r>
    <x v="1"/>
    <x v="1"/>
    <x v="3"/>
    <x v="6"/>
    <x v="39"/>
    <x v="39"/>
    <x v="0"/>
    <n v="1341"/>
    <n v="431.20011599999975"/>
    <n v="1568.4231459999978"/>
    <n v="16122201.699999979"/>
    <n v="438"/>
    <n v="4634834.9900000021"/>
  </r>
  <r>
    <x v="1"/>
    <x v="1"/>
    <x v="3"/>
    <x v="6"/>
    <x v="40"/>
    <x v="40"/>
    <x v="0"/>
    <n v="2425"/>
    <n v="377.23090700000006"/>
    <n v="1962.7138100000082"/>
    <n v="21460706.630000029"/>
    <n v="398"/>
    <n v="4491485.929999996"/>
  </r>
  <r>
    <x v="1"/>
    <x v="1"/>
    <x v="3"/>
    <x v="6"/>
    <x v="41"/>
    <x v="41"/>
    <x v="0"/>
    <n v="303"/>
    <n v="0"/>
    <n v="508.44771000000088"/>
    <n v="6001063.2400000058"/>
    <n v="0"/>
    <n v="0"/>
  </r>
  <r>
    <x v="1"/>
    <x v="1"/>
    <x v="3"/>
    <x v="6"/>
    <x v="42"/>
    <x v="42"/>
    <x v="0"/>
    <n v="266"/>
    <n v="66.881700000000009"/>
    <n v="194.34934800000008"/>
    <n v="2131998.6500000008"/>
    <n v="100"/>
    <n v="713200.93999999983"/>
  </r>
  <r>
    <x v="1"/>
    <x v="1"/>
    <x v="3"/>
    <x v="6"/>
    <x v="43"/>
    <x v="43"/>
    <x v="0"/>
    <n v="315"/>
    <n v="74.614319000000009"/>
    <n v="352.15394100000003"/>
    <n v="3837143.3900000006"/>
    <n v="87"/>
    <n v="717535.33000000007"/>
  </r>
  <r>
    <x v="1"/>
    <x v="1"/>
    <x v="3"/>
    <x v="6"/>
    <x v="44"/>
    <x v="44"/>
    <x v="0"/>
    <n v="1561"/>
    <n v="345.19128499999982"/>
    <n v="1395.3167920000064"/>
    <n v="15076720.419999996"/>
    <n v="381"/>
    <n v="3898693.8999999976"/>
  </r>
  <r>
    <x v="1"/>
    <x v="1"/>
    <x v="3"/>
    <x v="6"/>
    <x v="45"/>
    <x v="45"/>
    <x v="0"/>
    <n v="1523"/>
    <n v="259.73409999999984"/>
    <n v="1727.047872999995"/>
    <n v="18712346.740000036"/>
    <n v="257"/>
    <n v="3201066.5100000007"/>
  </r>
  <r>
    <x v="1"/>
    <x v="1"/>
    <x v="3"/>
    <x v="6"/>
    <x v="46"/>
    <x v="46"/>
    <x v="0"/>
    <n v="109"/>
    <n v="4.5176489999999996"/>
    <n v="104.92075099999997"/>
    <n v="4315014.6500000013"/>
    <n v="7"/>
    <n v="189385.16"/>
  </r>
  <r>
    <x v="1"/>
    <x v="1"/>
    <x v="3"/>
    <x v="7"/>
    <x v="0"/>
    <x v="0"/>
    <x v="0"/>
    <n v="1565"/>
    <n v="310.50729399999989"/>
    <n v="1512.8454580000036"/>
    <n v="16862972.449999984"/>
    <n v="330"/>
    <n v="4036315.9200000009"/>
  </r>
  <r>
    <x v="1"/>
    <x v="1"/>
    <x v="3"/>
    <x v="7"/>
    <x v="1"/>
    <x v="1"/>
    <x v="0"/>
    <n v="2863"/>
    <n v="572.86998199999994"/>
    <n v="4489.781310999997"/>
    <n v="81837872.419999987"/>
    <n v="431"/>
    <n v="9598490.0700000003"/>
  </r>
  <r>
    <x v="1"/>
    <x v="1"/>
    <x v="3"/>
    <x v="7"/>
    <x v="2"/>
    <x v="2"/>
    <x v="0"/>
    <n v="1135"/>
    <n v="160.78723199999985"/>
    <n v="1061.6560859999947"/>
    <n v="15816799.219999993"/>
    <n v="191"/>
    <n v="2474015.8499999996"/>
  </r>
  <r>
    <x v="1"/>
    <x v="1"/>
    <x v="3"/>
    <x v="7"/>
    <x v="3"/>
    <x v="3"/>
    <x v="0"/>
    <n v="2907"/>
    <n v="314.48202900000013"/>
    <n v="2399.163855999996"/>
    <n v="25788270.649999905"/>
    <n v="337"/>
    <n v="3451885.8200000003"/>
  </r>
  <r>
    <x v="1"/>
    <x v="1"/>
    <x v="3"/>
    <x v="7"/>
    <x v="4"/>
    <x v="4"/>
    <x v="0"/>
    <n v="1629"/>
    <n v="291.80584899999985"/>
    <n v="1538.7978190000053"/>
    <n v="16241222.08"/>
    <n v="303"/>
    <n v="3149828.7599999988"/>
  </r>
  <r>
    <x v="1"/>
    <x v="1"/>
    <x v="3"/>
    <x v="7"/>
    <x v="5"/>
    <x v="5"/>
    <x v="0"/>
    <n v="513"/>
    <n v="110.28338700000005"/>
    <n v="382.54442599999942"/>
    <n v="4308940.3600000013"/>
    <n v="142"/>
    <n v="1397690.2899999996"/>
  </r>
  <r>
    <x v="1"/>
    <x v="1"/>
    <x v="3"/>
    <x v="7"/>
    <x v="6"/>
    <x v="6"/>
    <x v="0"/>
    <n v="1603"/>
    <n v="186.98495700000007"/>
    <n v="1596.3029580000127"/>
    <n v="17937257.060000017"/>
    <n v="208"/>
    <n v="2182548.3699999992"/>
  </r>
  <r>
    <x v="1"/>
    <x v="1"/>
    <x v="3"/>
    <x v="7"/>
    <x v="7"/>
    <x v="7"/>
    <x v="0"/>
    <n v="3910"/>
    <n v="736.95370199999991"/>
    <n v="5553.0320929999943"/>
    <n v="105582563.37999989"/>
    <n v="668"/>
    <n v="15686720.730000004"/>
  </r>
  <r>
    <x v="1"/>
    <x v="1"/>
    <x v="3"/>
    <x v="7"/>
    <x v="8"/>
    <x v="8"/>
    <x v="0"/>
    <n v="221"/>
    <n v="58.066640000000014"/>
    <n v="171.04174800000007"/>
    <n v="2531403.89"/>
    <n v="68"/>
    <n v="885431.96"/>
  </r>
  <r>
    <x v="1"/>
    <x v="1"/>
    <x v="3"/>
    <x v="7"/>
    <x v="9"/>
    <x v="9"/>
    <x v="0"/>
    <n v="1672"/>
    <n v="405.70497000000012"/>
    <n v="1647.821679000002"/>
    <n v="19633104.300000031"/>
    <n v="408"/>
    <n v="4758537.1300000018"/>
  </r>
  <r>
    <x v="1"/>
    <x v="1"/>
    <x v="3"/>
    <x v="7"/>
    <x v="10"/>
    <x v="10"/>
    <x v="0"/>
    <n v="2086"/>
    <n v="360.11832899999979"/>
    <n v="2513.1492610000087"/>
    <n v="35341745.679999918"/>
    <n v="351"/>
    <n v="4721759.8900000015"/>
  </r>
  <r>
    <x v="0"/>
    <x v="4"/>
    <x v="4"/>
    <x v="3"/>
    <x v="11"/>
    <x v="11"/>
    <x v="0"/>
    <n v="329"/>
    <n v="91.074503838990083"/>
    <n v="293.67245725628874"/>
    <n v="5487257.2000000002"/>
    <n v="98"/>
    <n v="1812958.5600000003"/>
  </r>
  <r>
    <x v="1"/>
    <x v="1"/>
    <x v="3"/>
    <x v="7"/>
    <x v="12"/>
    <x v="12"/>
    <x v="0"/>
    <n v="2229"/>
    <n v="467.394811"/>
    <n v="2047.9836200000072"/>
    <n v="27307465.900000051"/>
    <n v="522"/>
    <n v="6770534.6100000022"/>
  </r>
  <r>
    <x v="1"/>
    <x v="1"/>
    <x v="3"/>
    <x v="7"/>
    <x v="13"/>
    <x v="13"/>
    <x v="0"/>
    <n v="1189"/>
    <n v="231.13978699999998"/>
    <n v="1200.535574000002"/>
    <n v="13715691.139999995"/>
    <n v="224"/>
    <n v="2767171.649999998"/>
  </r>
  <r>
    <x v="1"/>
    <x v="1"/>
    <x v="3"/>
    <x v="7"/>
    <x v="14"/>
    <x v="14"/>
    <x v="0"/>
    <n v="181"/>
    <n v="29.276734000000012"/>
    <n v="143.94841200000002"/>
    <n v="1427615.3700000008"/>
    <n v="38"/>
    <n v="304139.02999999997"/>
  </r>
  <r>
    <x v="1"/>
    <x v="1"/>
    <x v="3"/>
    <x v="7"/>
    <x v="15"/>
    <x v="15"/>
    <x v="0"/>
    <n v="752"/>
    <n v="111.99118499999997"/>
    <n v="673.35567599999831"/>
    <n v="7547748.5900000026"/>
    <n v="139"/>
    <n v="1284947.2"/>
  </r>
  <r>
    <x v="1"/>
    <x v="1"/>
    <x v="3"/>
    <x v="7"/>
    <x v="16"/>
    <x v="16"/>
    <x v="0"/>
    <n v="1732"/>
    <n v="412.88238900000016"/>
    <n v="1891.1316900000049"/>
    <n v="20717991.489999957"/>
    <n v="384"/>
    <n v="4928761.3600000031"/>
  </r>
  <r>
    <x v="1"/>
    <x v="1"/>
    <x v="3"/>
    <x v="7"/>
    <x v="17"/>
    <x v="17"/>
    <x v="0"/>
    <n v="1088"/>
    <n v="204.24908900000003"/>
    <n v="1322.1557959999996"/>
    <n v="15220844.269999998"/>
    <n v="189"/>
    <n v="2302156.9099999992"/>
  </r>
  <r>
    <x v="1"/>
    <x v="1"/>
    <x v="3"/>
    <x v="7"/>
    <x v="18"/>
    <x v="18"/>
    <x v="0"/>
    <n v="2599"/>
    <n v="353.13145099999986"/>
    <n v="2460.3040119999951"/>
    <n v="26811944.230000064"/>
    <n v="389"/>
    <n v="4345435.3900000043"/>
  </r>
  <r>
    <x v="1"/>
    <x v="1"/>
    <x v="3"/>
    <x v="7"/>
    <x v="19"/>
    <x v="19"/>
    <x v="0"/>
    <n v="1190"/>
    <n v="308.99083100000007"/>
    <n v="1637.9901820000016"/>
    <n v="18305967.630000006"/>
    <n v="301"/>
    <n v="3277948.6100000017"/>
  </r>
  <r>
    <x v="1"/>
    <x v="1"/>
    <x v="3"/>
    <x v="7"/>
    <x v="20"/>
    <x v="20"/>
    <x v="0"/>
    <n v="1180"/>
    <n v="253.51845199999994"/>
    <n v="1172.5914200000025"/>
    <n v="16606840.299999984"/>
    <n v="265"/>
    <n v="4071585.1299999994"/>
  </r>
  <r>
    <x v="1"/>
    <x v="1"/>
    <x v="3"/>
    <x v="7"/>
    <x v="21"/>
    <x v="21"/>
    <x v="0"/>
    <n v="810"/>
    <n v="140.465191"/>
    <n v="594.97309999999618"/>
    <n v="6349232.1499999929"/>
    <n v="185"/>
    <n v="1601994.6099999996"/>
  </r>
  <r>
    <x v="1"/>
    <x v="1"/>
    <x v="3"/>
    <x v="7"/>
    <x v="22"/>
    <x v="22"/>
    <x v="0"/>
    <n v="1877"/>
    <n v="336.2968259999999"/>
    <n v="1863.7342090000059"/>
    <n v="31719365.409999955"/>
    <n v="383"/>
    <n v="4996304.1900000013"/>
  </r>
  <r>
    <x v="1"/>
    <x v="1"/>
    <x v="3"/>
    <x v="7"/>
    <x v="23"/>
    <x v="23"/>
    <x v="0"/>
    <n v="192"/>
    <n v="57.311882000000018"/>
    <n v="177.139723"/>
    <n v="3183925.6399999997"/>
    <n v="72"/>
    <n v="1188678.3399999999"/>
  </r>
  <r>
    <x v="1"/>
    <x v="1"/>
    <x v="3"/>
    <x v="7"/>
    <x v="24"/>
    <x v="24"/>
    <x v="0"/>
    <n v="510"/>
    <n v="95.699446999999978"/>
    <n v="484.19490900000034"/>
    <n v="5849898.4700000053"/>
    <n v="107"/>
    <n v="1120261.6100000001"/>
  </r>
  <r>
    <x v="1"/>
    <x v="1"/>
    <x v="3"/>
    <x v="7"/>
    <x v="25"/>
    <x v="25"/>
    <x v="0"/>
    <n v="1124"/>
    <n v="214.27997799999997"/>
    <n v="972.49769599999661"/>
    <n v="12535911.809999987"/>
    <n v="235"/>
    <n v="2717175.61"/>
  </r>
  <r>
    <x v="1"/>
    <x v="1"/>
    <x v="3"/>
    <x v="7"/>
    <x v="26"/>
    <x v="26"/>
    <x v="0"/>
    <n v="874"/>
    <n v="182.43412799999993"/>
    <n v="853.84106799999438"/>
    <n v="8903849.950000003"/>
    <n v="203"/>
    <n v="1688384.1300000004"/>
  </r>
  <r>
    <x v="1"/>
    <x v="1"/>
    <x v="3"/>
    <x v="7"/>
    <x v="27"/>
    <x v="27"/>
    <x v="0"/>
    <n v="721"/>
    <n v="151.26857999999999"/>
    <n v="621.61628899999891"/>
    <n v="6037751.4499999993"/>
    <n v="170"/>
    <n v="1562314.0900000003"/>
  </r>
  <r>
    <x v="1"/>
    <x v="1"/>
    <x v="3"/>
    <x v="7"/>
    <x v="28"/>
    <x v="28"/>
    <x v="0"/>
    <n v="773"/>
    <n v="129.29635500000001"/>
    <n v="647.55711899999744"/>
    <n v="8131379.4100000076"/>
    <n v="160"/>
    <n v="1845543.129999999"/>
  </r>
  <r>
    <x v="1"/>
    <x v="1"/>
    <x v="3"/>
    <x v="7"/>
    <x v="29"/>
    <x v="29"/>
    <x v="0"/>
    <n v="784"/>
    <n v="221.00121099999996"/>
    <n v="768.01029799999776"/>
    <n v="12178558.35"/>
    <n v="223"/>
    <n v="2976540.1800000006"/>
  </r>
  <r>
    <x v="1"/>
    <x v="1"/>
    <x v="3"/>
    <x v="7"/>
    <x v="30"/>
    <x v="30"/>
    <x v="0"/>
    <n v="643"/>
    <n v="109.21506999999998"/>
    <n v="493.7979449999998"/>
    <n v="5784379.0800000001"/>
    <n v="136"/>
    <n v="1207488.6000000006"/>
  </r>
  <r>
    <x v="1"/>
    <x v="1"/>
    <x v="3"/>
    <x v="7"/>
    <x v="31"/>
    <x v="31"/>
    <x v="0"/>
    <n v="1140"/>
    <n v="277.33172399999989"/>
    <n v="973.24729300000104"/>
    <n v="11187010.969999997"/>
    <n v="335"/>
    <n v="3375470.4999999977"/>
  </r>
  <r>
    <x v="1"/>
    <x v="1"/>
    <x v="3"/>
    <x v="7"/>
    <x v="32"/>
    <x v="32"/>
    <x v="0"/>
    <n v="1786"/>
    <n v="427.71252699999974"/>
    <n v="1790.9505110000018"/>
    <n v="18385778.530000016"/>
    <n v="456"/>
    <n v="4514012.04"/>
  </r>
  <r>
    <x v="1"/>
    <x v="1"/>
    <x v="3"/>
    <x v="7"/>
    <x v="33"/>
    <x v="33"/>
    <x v="0"/>
    <n v="1874"/>
    <n v="251.1335689999998"/>
    <n v="1614.4696970000132"/>
    <n v="16686937.019999996"/>
    <n v="292"/>
    <n v="2865603.04"/>
  </r>
  <r>
    <x v="1"/>
    <x v="1"/>
    <x v="3"/>
    <x v="7"/>
    <x v="34"/>
    <x v="34"/>
    <x v="0"/>
    <n v="25"/>
    <n v="10.105489"/>
    <n v="17.805797000000002"/>
    <n v="385978.75999999989"/>
    <n v="14"/>
    <n v="216112.95"/>
  </r>
  <r>
    <x v="1"/>
    <x v="1"/>
    <x v="3"/>
    <x v="7"/>
    <x v="35"/>
    <x v="35"/>
    <x v="0"/>
    <n v="1654"/>
    <n v="231.41594199999989"/>
    <n v="1341.9443320000121"/>
    <n v="14554595.670000026"/>
    <n v="248"/>
    <n v="2713175.5"/>
  </r>
  <r>
    <x v="1"/>
    <x v="1"/>
    <x v="3"/>
    <x v="7"/>
    <x v="36"/>
    <x v="36"/>
    <x v="0"/>
    <n v="1281"/>
    <n v="263.11658100000005"/>
    <n v="1234.0799260000038"/>
    <n v="13784703.12000001"/>
    <n v="278"/>
    <n v="2800098.669999999"/>
  </r>
  <r>
    <x v="1"/>
    <x v="1"/>
    <x v="3"/>
    <x v="7"/>
    <x v="37"/>
    <x v="37"/>
    <x v="0"/>
    <n v="942"/>
    <n v="275.22945899999979"/>
    <n v="999.52797900000132"/>
    <n v="11356821.760000009"/>
    <n v="279"/>
    <n v="3354461.3400000008"/>
  </r>
  <r>
    <x v="1"/>
    <x v="1"/>
    <x v="3"/>
    <x v="7"/>
    <x v="38"/>
    <x v="38"/>
    <x v="0"/>
    <n v="602"/>
    <n v="91.270474000000036"/>
    <n v="536.78863199999898"/>
    <n v="6851202.2599999998"/>
    <n v="102"/>
    <n v="971495.6999999996"/>
  </r>
  <r>
    <x v="1"/>
    <x v="1"/>
    <x v="3"/>
    <x v="7"/>
    <x v="39"/>
    <x v="39"/>
    <x v="0"/>
    <n v="1172"/>
    <n v="373.84167800000012"/>
    <n v="1445.7597919999987"/>
    <n v="13968088.860000011"/>
    <n v="339"/>
    <n v="3379071.2700000019"/>
  </r>
  <r>
    <x v="1"/>
    <x v="1"/>
    <x v="3"/>
    <x v="7"/>
    <x v="40"/>
    <x v="40"/>
    <x v="0"/>
    <n v="2084"/>
    <n v="290.2035790000001"/>
    <n v="1696.6046270000102"/>
    <n v="18920382.330000017"/>
    <n v="321"/>
    <n v="3264101.3499999982"/>
  </r>
  <r>
    <x v="1"/>
    <x v="1"/>
    <x v="3"/>
    <x v="7"/>
    <x v="41"/>
    <x v="41"/>
    <x v="0"/>
    <n v="290"/>
    <n v="0.87072099999999997"/>
    <n v="488.1390250000008"/>
    <n v="6073430.049999998"/>
    <n v="1"/>
    <n v="25376.14"/>
  </r>
  <r>
    <x v="1"/>
    <x v="1"/>
    <x v="3"/>
    <x v="7"/>
    <x v="42"/>
    <x v="42"/>
    <x v="0"/>
    <n v="250"/>
    <n v="43.802427000000009"/>
    <n v="174.59167900000014"/>
    <n v="1949223.5500000005"/>
    <n v="66"/>
    <n v="498761.75000000006"/>
  </r>
  <r>
    <x v="1"/>
    <x v="1"/>
    <x v="3"/>
    <x v="7"/>
    <x v="43"/>
    <x v="43"/>
    <x v="0"/>
    <n v="263"/>
    <n v="75.458648999999994"/>
    <n v="293.31104400000004"/>
    <n v="3312892.73"/>
    <n v="88"/>
    <n v="781987.52000000025"/>
  </r>
  <r>
    <x v="1"/>
    <x v="1"/>
    <x v="3"/>
    <x v="7"/>
    <x v="44"/>
    <x v="44"/>
    <x v="0"/>
    <n v="1414"/>
    <n v="273.05897899999985"/>
    <n v="1191.6383770000086"/>
    <n v="12593339.229999987"/>
    <n v="307"/>
    <n v="3056282.0400000005"/>
  </r>
  <r>
    <x v="1"/>
    <x v="1"/>
    <x v="3"/>
    <x v="7"/>
    <x v="45"/>
    <x v="45"/>
    <x v="0"/>
    <n v="1346"/>
    <n v="253.85563499999986"/>
    <n v="1640.0412379999937"/>
    <n v="18457284.780000005"/>
    <n v="227"/>
    <n v="3235639.57"/>
  </r>
  <r>
    <x v="1"/>
    <x v="1"/>
    <x v="3"/>
    <x v="7"/>
    <x v="46"/>
    <x v="46"/>
    <x v="0"/>
    <n v="105"/>
    <n v="6.3960269999999992"/>
    <n v="88.129868999999985"/>
    <n v="3873519.819999998"/>
    <n v="9"/>
    <n v="255559.41"/>
  </r>
  <r>
    <x v="1"/>
    <x v="1"/>
    <x v="3"/>
    <x v="8"/>
    <x v="0"/>
    <x v="0"/>
    <x v="0"/>
    <n v="1731"/>
    <n v="359.60114099999993"/>
    <n v="1702.894735000003"/>
    <n v="18712291.220000017"/>
    <n v="366"/>
    <n v="4224904.5999999987"/>
  </r>
  <r>
    <x v="1"/>
    <x v="1"/>
    <x v="3"/>
    <x v="8"/>
    <x v="1"/>
    <x v="1"/>
    <x v="0"/>
    <n v="3144"/>
    <n v="503.9532699999998"/>
    <n v="4870.057022"/>
    <n v="86838023.27000019"/>
    <n v="473"/>
    <n v="8316437.1100000069"/>
  </r>
  <r>
    <x v="1"/>
    <x v="1"/>
    <x v="3"/>
    <x v="8"/>
    <x v="2"/>
    <x v="2"/>
    <x v="0"/>
    <n v="1266"/>
    <n v="257.17031899999989"/>
    <n v="1210.3338740000002"/>
    <n v="17201881.910000004"/>
    <n v="219"/>
    <n v="3458386.4699999997"/>
  </r>
  <r>
    <x v="1"/>
    <x v="1"/>
    <x v="3"/>
    <x v="8"/>
    <x v="3"/>
    <x v="3"/>
    <x v="0"/>
    <n v="3235"/>
    <n v="355.12193400000001"/>
    <n v="2629.0884509999837"/>
    <n v="28394317.67999984"/>
    <n v="359"/>
    <n v="3924717.2800000007"/>
  </r>
  <r>
    <x v="1"/>
    <x v="1"/>
    <x v="3"/>
    <x v="8"/>
    <x v="4"/>
    <x v="4"/>
    <x v="0"/>
    <n v="1861"/>
    <n v="327.89006600000016"/>
    <n v="1755.3768480000044"/>
    <n v="18859538.43"/>
    <n v="374"/>
    <n v="3899877.1799999988"/>
  </r>
  <r>
    <x v="1"/>
    <x v="1"/>
    <x v="3"/>
    <x v="8"/>
    <x v="5"/>
    <x v="5"/>
    <x v="0"/>
    <n v="577"/>
    <n v="138.59731599999998"/>
    <n v="472.73716200000013"/>
    <n v="5055391.959999999"/>
    <n v="169"/>
    <n v="1430069.5600000003"/>
  </r>
  <r>
    <x v="1"/>
    <x v="1"/>
    <x v="3"/>
    <x v="8"/>
    <x v="6"/>
    <x v="6"/>
    <x v="0"/>
    <n v="1714"/>
    <n v="198.35930799999986"/>
    <n v="1732.8570450000111"/>
    <n v="20414262.80999998"/>
    <n v="240"/>
    <n v="2286028.71"/>
  </r>
  <r>
    <x v="1"/>
    <x v="1"/>
    <x v="3"/>
    <x v="8"/>
    <x v="7"/>
    <x v="7"/>
    <x v="0"/>
    <n v="4313"/>
    <n v="821.10144200000161"/>
    <n v="6003.2476309999793"/>
    <n v="109198271.19999978"/>
    <n v="760"/>
    <n v="16686333.989999995"/>
  </r>
  <r>
    <x v="1"/>
    <x v="1"/>
    <x v="3"/>
    <x v="8"/>
    <x v="8"/>
    <x v="8"/>
    <x v="0"/>
    <n v="237"/>
    <n v="61.092116999999995"/>
    <n v="183.4115930000001"/>
    <n v="2776239.2800000012"/>
    <n v="73"/>
    <n v="925330.78"/>
  </r>
  <r>
    <x v="1"/>
    <x v="1"/>
    <x v="3"/>
    <x v="8"/>
    <x v="9"/>
    <x v="9"/>
    <x v="0"/>
    <n v="1901"/>
    <n v="386.79760699999991"/>
    <n v="1857.6586020000057"/>
    <n v="22293226.350000005"/>
    <n v="428"/>
    <n v="4436377.1400000015"/>
  </r>
  <r>
    <x v="1"/>
    <x v="1"/>
    <x v="3"/>
    <x v="8"/>
    <x v="10"/>
    <x v="10"/>
    <x v="0"/>
    <n v="2255"/>
    <n v="394.01353099999994"/>
    <n v="2810.0434410000084"/>
    <n v="37065606.019999966"/>
    <n v="377"/>
    <n v="4551079.5400000047"/>
  </r>
  <r>
    <x v="0"/>
    <x v="4"/>
    <x v="4"/>
    <x v="5"/>
    <x v="11"/>
    <x v="11"/>
    <x v="0"/>
    <n v="340"/>
    <n v="98.928111738872943"/>
    <n v="289.94083330385934"/>
    <n v="4958213.2299999977"/>
    <n v="112"/>
    <n v="1734433.4200000002"/>
  </r>
  <r>
    <x v="1"/>
    <x v="1"/>
    <x v="3"/>
    <x v="8"/>
    <x v="12"/>
    <x v="12"/>
    <x v="0"/>
    <n v="2634"/>
    <n v="524.69339500000012"/>
    <n v="2358.8971069999925"/>
    <n v="29899275.560000062"/>
    <n v="600"/>
    <n v="7016984.4900000002"/>
  </r>
  <r>
    <x v="1"/>
    <x v="1"/>
    <x v="3"/>
    <x v="8"/>
    <x v="13"/>
    <x v="13"/>
    <x v="0"/>
    <n v="1247"/>
    <n v="238.3543929999999"/>
    <n v="1194.8051370000017"/>
    <n v="13952536.170000022"/>
    <n v="240"/>
    <n v="3205983.19"/>
  </r>
  <r>
    <x v="1"/>
    <x v="1"/>
    <x v="3"/>
    <x v="8"/>
    <x v="14"/>
    <x v="14"/>
    <x v="0"/>
    <n v="217"/>
    <n v="27.022051999999999"/>
    <n v="171.66073899999998"/>
    <n v="1725510.4599999995"/>
    <n v="37"/>
    <n v="250066.29"/>
  </r>
  <r>
    <x v="1"/>
    <x v="1"/>
    <x v="3"/>
    <x v="8"/>
    <x v="15"/>
    <x v="15"/>
    <x v="0"/>
    <n v="832"/>
    <n v="157.43917199999993"/>
    <n v="735.33136099999751"/>
    <n v="8049022.5099999998"/>
    <n v="187"/>
    <n v="1706084.1800000002"/>
  </r>
  <r>
    <x v="1"/>
    <x v="1"/>
    <x v="3"/>
    <x v="8"/>
    <x v="16"/>
    <x v="16"/>
    <x v="0"/>
    <n v="1797"/>
    <n v="335.18188600000002"/>
    <n v="1959.1875109999964"/>
    <n v="20831962.769999962"/>
    <n v="347"/>
    <n v="3891787.9000000022"/>
  </r>
  <r>
    <x v="1"/>
    <x v="1"/>
    <x v="3"/>
    <x v="8"/>
    <x v="17"/>
    <x v="17"/>
    <x v="0"/>
    <n v="1158"/>
    <n v="219.85736899999989"/>
    <n v="1457.7556629999997"/>
    <n v="17108800.269999973"/>
    <n v="216"/>
    <n v="2721614.8000000007"/>
  </r>
  <r>
    <x v="1"/>
    <x v="1"/>
    <x v="3"/>
    <x v="8"/>
    <x v="18"/>
    <x v="18"/>
    <x v="0"/>
    <n v="2798"/>
    <n v="385.41408299999989"/>
    <n v="2573.4087709999944"/>
    <n v="25171974.530000001"/>
    <n v="458"/>
    <n v="3902507.8200000008"/>
  </r>
  <r>
    <x v="1"/>
    <x v="1"/>
    <x v="3"/>
    <x v="8"/>
    <x v="19"/>
    <x v="19"/>
    <x v="0"/>
    <n v="1335"/>
    <n v="329.77687100000003"/>
    <n v="1789.8839570000018"/>
    <n v="23894924.729999986"/>
    <n v="321"/>
    <n v="4155419.7299999981"/>
  </r>
  <r>
    <x v="1"/>
    <x v="1"/>
    <x v="3"/>
    <x v="8"/>
    <x v="20"/>
    <x v="20"/>
    <x v="0"/>
    <n v="1250"/>
    <n v="250.14737999999986"/>
    <n v="1306.4241300000031"/>
    <n v="16375055.629999999"/>
    <n v="262"/>
    <n v="3160252.350000001"/>
  </r>
  <r>
    <x v="1"/>
    <x v="1"/>
    <x v="3"/>
    <x v="8"/>
    <x v="21"/>
    <x v="21"/>
    <x v="0"/>
    <n v="868"/>
    <n v="154.387835"/>
    <n v="620.15345199999524"/>
    <n v="6911196.1599999936"/>
    <n v="192"/>
    <n v="1727977.9500000007"/>
  </r>
  <r>
    <x v="1"/>
    <x v="1"/>
    <x v="3"/>
    <x v="8"/>
    <x v="22"/>
    <x v="22"/>
    <x v="0"/>
    <n v="2066"/>
    <n v="449.88826099999977"/>
    <n v="2103.348886000002"/>
    <n v="33149200.40999997"/>
    <n v="491"/>
    <n v="6790359.9199999999"/>
  </r>
  <r>
    <x v="1"/>
    <x v="1"/>
    <x v="3"/>
    <x v="8"/>
    <x v="23"/>
    <x v="23"/>
    <x v="0"/>
    <n v="201"/>
    <n v="49.128305999999995"/>
    <n v="183.02339500000002"/>
    <n v="3546471.36"/>
    <n v="65"/>
    <n v="1227531.83"/>
  </r>
  <r>
    <x v="1"/>
    <x v="1"/>
    <x v="3"/>
    <x v="8"/>
    <x v="24"/>
    <x v="24"/>
    <x v="0"/>
    <n v="608"/>
    <n v="126.97726599999999"/>
    <n v="532.68677200000047"/>
    <n v="6433000.1499999994"/>
    <n v="128"/>
    <n v="1416141.7500000002"/>
  </r>
  <r>
    <x v="1"/>
    <x v="1"/>
    <x v="3"/>
    <x v="8"/>
    <x v="25"/>
    <x v="25"/>
    <x v="0"/>
    <n v="1265"/>
    <n v="222.34526999999986"/>
    <n v="1075.2948950000009"/>
    <n v="13026930.449999973"/>
    <n v="265"/>
    <n v="2737238.35"/>
  </r>
  <r>
    <x v="1"/>
    <x v="1"/>
    <x v="3"/>
    <x v="8"/>
    <x v="26"/>
    <x v="26"/>
    <x v="0"/>
    <n v="1017"/>
    <n v="203.63741699999977"/>
    <n v="964.63827899999433"/>
    <n v="10413944.569999978"/>
    <n v="228"/>
    <n v="1917381.2600000007"/>
  </r>
  <r>
    <x v="1"/>
    <x v="1"/>
    <x v="3"/>
    <x v="8"/>
    <x v="27"/>
    <x v="27"/>
    <x v="0"/>
    <n v="867"/>
    <n v="160.06423499999991"/>
    <n v="711.12081399999943"/>
    <n v="6585575.1499999873"/>
    <n v="191"/>
    <n v="1613256.8800000013"/>
  </r>
  <r>
    <x v="1"/>
    <x v="1"/>
    <x v="3"/>
    <x v="8"/>
    <x v="28"/>
    <x v="28"/>
    <x v="0"/>
    <n v="798"/>
    <n v="112.44010299999998"/>
    <n v="696.09198899999694"/>
    <n v="7748120.5400000075"/>
    <n v="137"/>
    <n v="1308392.780000001"/>
  </r>
  <r>
    <x v="1"/>
    <x v="1"/>
    <x v="3"/>
    <x v="8"/>
    <x v="29"/>
    <x v="29"/>
    <x v="0"/>
    <n v="819"/>
    <n v="198.66118699999998"/>
    <n v="768.69850899999699"/>
    <n v="13343468.530000001"/>
    <n v="221"/>
    <n v="2748059.8099999991"/>
  </r>
  <r>
    <x v="1"/>
    <x v="1"/>
    <x v="3"/>
    <x v="8"/>
    <x v="30"/>
    <x v="30"/>
    <x v="0"/>
    <n v="725"/>
    <n v="114.06529199999997"/>
    <n v="546.83298799999704"/>
    <n v="6209011.8999999966"/>
    <n v="148"/>
    <n v="1259134.2699999996"/>
  </r>
  <r>
    <x v="1"/>
    <x v="1"/>
    <x v="3"/>
    <x v="8"/>
    <x v="31"/>
    <x v="31"/>
    <x v="0"/>
    <n v="1207"/>
    <n v="298.664244"/>
    <n v="1058.2338220000008"/>
    <n v="11425668.119999986"/>
    <n v="357"/>
    <n v="3290131.35"/>
  </r>
  <r>
    <x v="1"/>
    <x v="1"/>
    <x v="3"/>
    <x v="8"/>
    <x v="32"/>
    <x v="32"/>
    <x v="0"/>
    <n v="1921"/>
    <n v="492.95237899999989"/>
    <n v="2028.8488650000013"/>
    <n v="21045336.350000009"/>
    <n v="465"/>
    <n v="5034514.0599999996"/>
  </r>
  <r>
    <x v="1"/>
    <x v="1"/>
    <x v="3"/>
    <x v="8"/>
    <x v="33"/>
    <x v="33"/>
    <x v="0"/>
    <n v="1986"/>
    <n v="309.65487599999977"/>
    <n v="1723.2251560000129"/>
    <n v="18513380.549999963"/>
    <n v="337"/>
    <n v="3328274.9000000013"/>
  </r>
  <r>
    <x v="1"/>
    <x v="1"/>
    <x v="3"/>
    <x v="8"/>
    <x v="34"/>
    <x v="34"/>
    <x v="0"/>
    <n v="33"/>
    <n v="8.1240600000000001"/>
    <n v="24.189403000000002"/>
    <n v="537322.45000000007"/>
    <n v="12"/>
    <n v="183645.84999999998"/>
  </r>
  <r>
    <x v="1"/>
    <x v="1"/>
    <x v="3"/>
    <x v="8"/>
    <x v="35"/>
    <x v="35"/>
    <x v="0"/>
    <n v="1768"/>
    <n v="252.36106699999982"/>
    <n v="1397.0532510000101"/>
    <n v="15884623.150000017"/>
    <n v="285"/>
    <n v="2953953.4899999993"/>
  </r>
  <r>
    <x v="1"/>
    <x v="1"/>
    <x v="3"/>
    <x v="8"/>
    <x v="36"/>
    <x v="36"/>
    <x v="0"/>
    <n v="1535"/>
    <n v="287.77301800000004"/>
    <n v="1465.020319000002"/>
    <n v="14881909.769999994"/>
    <n v="313"/>
    <n v="2608176.4100000011"/>
  </r>
  <r>
    <x v="1"/>
    <x v="1"/>
    <x v="3"/>
    <x v="8"/>
    <x v="37"/>
    <x v="37"/>
    <x v="0"/>
    <n v="967"/>
    <n v="255.22845199999981"/>
    <n v="1041.7292790000008"/>
    <n v="11640226.360000012"/>
    <n v="281"/>
    <n v="2784050.0200000005"/>
  </r>
  <r>
    <x v="1"/>
    <x v="1"/>
    <x v="3"/>
    <x v="8"/>
    <x v="38"/>
    <x v="38"/>
    <x v="0"/>
    <n v="612"/>
    <n v="74.615987000000032"/>
    <n v="530.32057099999963"/>
    <n v="6684763.7699999996"/>
    <n v="91"/>
    <n v="867372.41000000027"/>
  </r>
  <r>
    <x v="1"/>
    <x v="1"/>
    <x v="3"/>
    <x v="8"/>
    <x v="39"/>
    <x v="39"/>
    <x v="0"/>
    <n v="1197"/>
    <n v="412.3480229999999"/>
    <n v="1467.9779480000002"/>
    <n v="14055655.470000032"/>
    <n v="376"/>
    <n v="4197108.4600000018"/>
  </r>
  <r>
    <x v="1"/>
    <x v="1"/>
    <x v="3"/>
    <x v="8"/>
    <x v="40"/>
    <x v="40"/>
    <x v="0"/>
    <n v="2283"/>
    <n v="330.99350699999985"/>
    <n v="1824.499725000014"/>
    <n v="20331308.660000011"/>
    <n v="348"/>
    <n v="3730179.79"/>
  </r>
  <r>
    <x v="1"/>
    <x v="1"/>
    <x v="3"/>
    <x v="8"/>
    <x v="41"/>
    <x v="41"/>
    <x v="0"/>
    <n v="319"/>
    <n v="1.2454190000000001"/>
    <n v="531.53617600000132"/>
    <n v="6457331.6000000024"/>
    <n v="1"/>
    <n v="29605.58"/>
  </r>
  <r>
    <x v="1"/>
    <x v="1"/>
    <x v="3"/>
    <x v="8"/>
    <x v="42"/>
    <x v="42"/>
    <x v="0"/>
    <n v="233"/>
    <n v="37.069539999999989"/>
    <n v="173.41986800000015"/>
    <n v="1923031.6600000001"/>
    <n v="57"/>
    <n v="370901.48999999993"/>
  </r>
  <r>
    <x v="1"/>
    <x v="1"/>
    <x v="3"/>
    <x v="8"/>
    <x v="43"/>
    <x v="43"/>
    <x v="0"/>
    <n v="298"/>
    <n v="108.34040499999999"/>
    <n v="315.12041600000009"/>
    <n v="3400736.029999997"/>
    <n v="103"/>
    <n v="1267815.2000000004"/>
  </r>
  <r>
    <x v="1"/>
    <x v="1"/>
    <x v="3"/>
    <x v="8"/>
    <x v="44"/>
    <x v="44"/>
    <x v="0"/>
    <n v="1617"/>
    <n v="292.12023099999976"/>
    <n v="1353.7533190000097"/>
    <n v="16435237.830000015"/>
    <n v="333"/>
    <n v="3646166.7700000005"/>
  </r>
  <r>
    <x v="1"/>
    <x v="1"/>
    <x v="3"/>
    <x v="8"/>
    <x v="45"/>
    <x v="45"/>
    <x v="0"/>
    <n v="1447"/>
    <n v="199.0668380000001"/>
    <n v="1642.7989709999913"/>
    <n v="16562017.090000009"/>
    <n v="209"/>
    <n v="2027729.8699999999"/>
  </r>
  <r>
    <x v="1"/>
    <x v="1"/>
    <x v="3"/>
    <x v="8"/>
    <x v="46"/>
    <x v="46"/>
    <x v="0"/>
    <n v="112"/>
    <n v="6.1599349999999999"/>
    <n v="101.26573299999997"/>
    <n v="3820341.8700000006"/>
    <n v="8"/>
    <n v="293761.67"/>
  </r>
  <r>
    <x v="1"/>
    <x v="1"/>
    <x v="3"/>
    <x v="9"/>
    <x v="0"/>
    <x v="0"/>
    <x v="0"/>
    <n v="1671"/>
    <n v="325.79574899999966"/>
    <n v="1590.5298510000036"/>
    <n v="18039482.859999985"/>
    <n v="339"/>
    <n v="4124164.209999999"/>
  </r>
  <r>
    <x v="1"/>
    <x v="1"/>
    <x v="3"/>
    <x v="9"/>
    <x v="1"/>
    <x v="1"/>
    <x v="0"/>
    <n v="3169"/>
    <n v="512.84239799999978"/>
    <n v="5090.4928930000096"/>
    <n v="92104387.409999907"/>
    <n v="464"/>
    <n v="8935522.9299999978"/>
  </r>
  <r>
    <x v="1"/>
    <x v="1"/>
    <x v="3"/>
    <x v="9"/>
    <x v="2"/>
    <x v="2"/>
    <x v="0"/>
    <n v="1182"/>
    <n v="180.49800400000001"/>
    <n v="1046.7383329999934"/>
    <n v="14811035.069999995"/>
    <n v="208"/>
    <n v="2572102.88"/>
  </r>
  <r>
    <x v="1"/>
    <x v="1"/>
    <x v="3"/>
    <x v="9"/>
    <x v="3"/>
    <x v="3"/>
    <x v="0"/>
    <n v="3000"/>
    <n v="367.23311800000027"/>
    <n v="2405.4050689999949"/>
    <n v="26109849.269999899"/>
    <n v="369"/>
    <n v="4270551.5399999982"/>
  </r>
  <r>
    <x v="1"/>
    <x v="1"/>
    <x v="3"/>
    <x v="9"/>
    <x v="4"/>
    <x v="4"/>
    <x v="0"/>
    <n v="1720"/>
    <n v="297.47768899999983"/>
    <n v="1612.7639460000055"/>
    <n v="16366151.44000005"/>
    <n v="320"/>
    <n v="3333732.0300000007"/>
  </r>
  <r>
    <x v="1"/>
    <x v="1"/>
    <x v="3"/>
    <x v="9"/>
    <x v="5"/>
    <x v="5"/>
    <x v="0"/>
    <n v="579"/>
    <n v="146.23582599999995"/>
    <n v="467.63416099999989"/>
    <n v="5373883.7400000012"/>
    <n v="168"/>
    <n v="1740908.2500000007"/>
  </r>
  <r>
    <x v="1"/>
    <x v="1"/>
    <x v="3"/>
    <x v="9"/>
    <x v="6"/>
    <x v="6"/>
    <x v="0"/>
    <n v="1600"/>
    <n v="220.98181300000002"/>
    <n v="1623.0248140000115"/>
    <n v="18823309.379999992"/>
    <n v="240"/>
    <n v="2625949.8000000003"/>
  </r>
  <r>
    <x v="1"/>
    <x v="1"/>
    <x v="3"/>
    <x v="9"/>
    <x v="7"/>
    <x v="7"/>
    <x v="0"/>
    <n v="4201"/>
    <n v="830.3684240000008"/>
    <n v="5989.1896609999758"/>
    <n v="112359707.01000018"/>
    <n v="752"/>
    <n v="17563573.750000007"/>
  </r>
  <r>
    <x v="1"/>
    <x v="1"/>
    <x v="3"/>
    <x v="9"/>
    <x v="8"/>
    <x v="8"/>
    <x v="0"/>
    <n v="222"/>
    <n v="61.338481999999992"/>
    <n v="159.89749500000013"/>
    <n v="2181919.5600000019"/>
    <n v="83"/>
    <n v="903912.28"/>
  </r>
  <r>
    <x v="1"/>
    <x v="1"/>
    <x v="3"/>
    <x v="9"/>
    <x v="9"/>
    <x v="9"/>
    <x v="0"/>
    <n v="1836"/>
    <n v="392.16253599999988"/>
    <n v="1766.544497000001"/>
    <n v="20485132.84"/>
    <n v="443"/>
    <n v="4468952.6399999997"/>
  </r>
  <r>
    <x v="1"/>
    <x v="1"/>
    <x v="3"/>
    <x v="9"/>
    <x v="10"/>
    <x v="10"/>
    <x v="0"/>
    <n v="2452"/>
    <n v="512.78050100000019"/>
    <n v="2893.129666000013"/>
    <n v="35786494.639999963"/>
    <n v="484"/>
    <n v="5975144.8899999987"/>
  </r>
  <r>
    <x v="0"/>
    <x v="4"/>
    <x v="4"/>
    <x v="0"/>
    <x v="11"/>
    <x v="11"/>
    <x v="0"/>
    <n v="322"/>
    <n v="97.014606763266215"/>
    <n v="294.88831324078927"/>
    <n v="5208841.6900000051"/>
    <n v="99"/>
    <n v="1606057.68"/>
  </r>
  <r>
    <x v="1"/>
    <x v="1"/>
    <x v="3"/>
    <x v="9"/>
    <x v="12"/>
    <x v="12"/>
    <x v="0"/>
    <n v="2390"/>
    <n v="475.2007549999999"/>
    <n v="2136.7332089999968"/>
    <n v="24496572.270000003"/>
    <n v="560"/>
    <n v="5601884.8200000003"/>
  </r>
  <r>
    <x v="1"/>
    <x v="1"/>
    <x v="3"/>
    <x v="9"/>
    <x v="13"/>
    <x v="13"/>
    <x v="0"/>
    <n v="1124"/>
    <n v="244.33121599999993"/>
    <n v="1184.7834230000058"/>
    <n v="13435286.579999991"/>
    <n v="222"/>
    <n v="2740215.5200000019"/>
  </r>
  <r>
    <x v="1"/>
    <x v="1"/>
    <x v="3"/>
    <x v="9"/>
    <x v="14"/>
    <x v="14"/>
    <x v="0"/>
    <n v="222"/>
    <n v="35.499336000000007"/>
    <n v="184.39098199999995"/>
    <n v="1945790.7299999988"/>
    <n v="45"/>
    <n v="328512.92999999993"/>
  </r>
  <r>
    <x v="1"/>
    <x v="1"/>
    <x v="3"/>
    <x v="9"/>
    <x v="15"/>
    <x v="15"/>
    <x v="0"/>
    <n v="896"/>
    <n v="161.10235499999996"/>
    <n v="786.49520599999869"/>
    <n v="8169079.9199999981"/>
    <n v="191"/>
    <n v="1546355.7899999998"/>
  </r>
  <r>
    <x v="1"/>
    <x v="1"/>
    <x v="3"/>
    <x v="9"/>
    <x v="16"/>
    <x v="16"/>
    <x v="0"/>
    <n v="1747"/>
    <n v="360.6790519999999"/>
    <n v="1914.9944709999963"/>
    <n v="21068959.570000004"/>
    <n v="350"/>
    <n v="3947428.1300000008"/>
  </r>
  <r>
    <x v="1"/>
    <x v="1"/>
    <x v="3"/>
    <x v="9"/>
    <x v="17"/>
    <x v="17"/>
    <x v="0"/>
    <n v="1229"/>
    <n v="212.2448059999999"/>
    <n v="1534.4586400000035"/>
    <n v="17433627.399999999"/>
    <n v="209"/>
    <n v="2508741.6800000002"/>
  </r>
  <r>
    <x v="1"/>
    <x v="1"/>
    <x v="3"/>
    <x v="9"/>
    <x v="18"/>
    <x v="18"/>
    <x v="0"/>
    <n v="2804"/>
    <n v="374.81558500000017"/>
    <n v="2562.2102089999985"/>
    <n v="23717918.870000005"/>
    <n v="422"/>
    <n v="3605248.4499999983"/>
  </r>
  <r>
    <x v="1"/>
    <x v="1"/>
    <x v="3"/>
    <x v="9"/>
    <x v="19"/>
    <x v="19"/>
    <x v="0"/>
    <n v="1356"/>
    <n v="318.33475799999985"/>
    <n v="1807.9832950000005"/>
    <n v="23729914.780000035"/>
    <n v="337"/>
    <n v="4244358.4400000004"/>
  </r>
  <r>
    <x v="1"/>
    <x v="1"/>
    <x v="3"/>
    <x v="9"/>
    <x v="20"/>
    <x v="20"/>
    <x v="0"/>
    <n v="1242"/>
    <n v="241.11246900000003"/>
    <n v="1158.5430640000038"/>
    <n v="14914617.369999977"/>
    <n v="276"/>
    <n v="2860042.6799999988"/>
  </r>
  <r>
    <x v="1"/>
    <x v="1"/>
    <x v="3"/>
    <x v="9"/>
    <x v="21"/>
    <x v="21"/>
    <x v="0"/>
    <n v="806"/>
    <n v="136.6353739999999"/>
    <n v="585.11917999999639"/>
    <n v="5904265.6999999993"/>
    <n v="171"/>
    <n v="1436954.5"/>
  </r>
  <r>
    <x v="1"/>
    <x v="1"/>
    <x v="3"/>
    <x v="9"/>
    <x v="22"/>
    <x v="22"/>
    <x v="0"/>
    <n v="2081"/>
    <n v="424.46331699999985"/>
    <n v="2066.1390120000037"/>
    <n v="32468216.349999983"/>
    <n v="465"/>
    <n v="6295493.139999995"/>
  </r>
  <r>
    <x v="1"/>
    <x v="1"/>
    <x v="3"/>
    <x v="9"/>
    <x v="23"/>
    <x v="23"/>
    <x v="0"/>
    <n v="194"/>
    <n v="53.075210999999989"/>
    <n v="177.48074199999996"/>
    <n v="3018145.129999999"/>
    <n v="66"/>
    <n v="928885.77999999991"/>
  </r>
  <r>
    <x v="1"/>
    <x v="1"/>
    <x v="3"/>
    <x v="9"/>
    <x v="24"/>
    <x v="24"/>
    <x v="0"/>
    <n v="581"/>
    <n v="64.965127999999979"/>
    <n v="532.39899300000013"/>
    <n v="6620503.799999998"/>
    <n v="61"/>
    <n v="786125.53999999992"/>
  </r>
  <r>
    <x v="1"/>
    <x v="1"/>
    <x v="3"/>
    <x v="9"/>
    <x v="25"/>
    <x v="25"/>
    <x v="0"/>
    <n v="1116"/>
    <n v="191.1298649999998"/>
    <n v="929.36860199999626"/>
    <n v="11967551.039999997"/>
    <n v="230"/>
    <n v="2537164.2800000017"/>
  </r>
  <r>
    <x v="1"/>
    <x v="1"/>
    <x v="3"/>
    <x v="9"/>
    <x v="26"/>
    <x v="26"/>
    <x v="0"/>
    <n v="995"/>
    <n v="206.87248599999987"/>
    <n v="939.65357099999471"/>
    <n v="11264270.219999971"/>
    <n v="239"/>
    <n v="2284195.23"/>
  </r>
  <r>
    <x v="1"/>
    <x v="1"/>
    <x v="3"/>
    <x v="9"/>
    <x v="27"/>
    <x v="27"/>
    <x v="0"/>
    <n v="784"/>
    <n v="155.37297299999997"/>
    <n v="641.84323599999743"/>
    <n v="6071207.5299999975"/>
    <n v="182"/>
    <n v="1486705.0900000003"/>
  </r>
  <r>
    <x v="1"/>
    <x v="1"/>
    <x v="3"/>
    <x v="9"/>
    <x v="28"/>
    <x v="28"/>
    <x v="0"/>
    <n v="784"/>
    <n v="142.547011"/>
    <n v="677.73079899999732"/>
    <n v="7836608.4399999967"/>
    <n v="165"/>
    <n v="1990029.1400000006"/>
  </r>
  <r>
    <x v="1"/>
    <x v="1"/>
    <x v="3"/>
    <x v="9"/>
    <x v="29"/>
    <x v="29"/>
    <x v="0"/>
    <n v="778"/>
    <n v="201.79989699999976"/>
    <n v="757.23720099999946"/>
    <n v="13364745.18999999"/>
    <n v="224"/>
    <n v="3515829.6899999995"/>
  </r>
  <r>
    <x v="1"/>
    <x v="1"/>
    <x v="3"/>
    <x v="9"/>
    <x v="30"/>
    <x v="30"/>
    <x v="0"/>
    <n v="653"/>
    <n v="83.841632000000004"/>
    <n v="478.87303299999991"/>
    <n v="5703571.1399999922"/>
    <n v="112"/>
    <n v="958577.08"/>
  </r>
  <r>
    <x v="1"/>
    <x v="1"/>
    <x v="3"/>
    <x v="9"/>
    <x v="31"/>
    <x v="31"/>
    <x v="0"/>
    <n v="1173"/>
    <n v="301.97927199999964"/>
    <n v="1066.0924290000005"/>
    <n v="12346485.749999981"/>
    <n v="340"/>
    <n v="3806675.41"/>
  </r>
  <r>
    <x v="1"/>
    <x v="1"/>
    <x v="3"/>
    <x v="9"/>
    <x v="32"/>
    <x v="32"/>
    <x v="0"/>
    <n v="1880"/>
    <n v="425.40032199999996"/>
    <n v="1949.7430299999996"/>
    <n v="20787141.889999975"/>
    <n v="465"/>
    <n v="4373485.2199999951"/>
  </r>
  <r>
    <x v="1"/>
    <x v="1"/>
    <x v="3"/>
    <x v="9"/>
    <x v="33"/>
    <x v="33"/>
    <x v="0"/>
    <n v="1898"/>
    <n v="269.36181399999998"/>
    <n v="1720.1446060000089"/>
    <n v="18185106.830000009"/>
    <n v="283"/>
    <n v="2726054.930000002"/>
  </r>
  <r>
    <x v="1"/>
    <x v="1"/>
    <x v="3"/>
    <x v="9"/>
    <x v="34"/>
    <x v="34"/>
    <x v="0"/>
    <n v="23"/>
    <n v="8.1122139999999998"/>
    <n v="16.737831"/>
    <n v="302878.88"/>
    <n v="10"/>
    <n v="149961.66"/>
  </r>
  <r>
    <x v="1"/>
    <x v="1"/>
    <x v="3"/>
    <x v="9"/>
    <x v="35"/>
    <x v="35"/>
    <x v="0"/>
    <n v="1723"/>
    <n v="280.68248299999982"/>
    <n v="1375.1192680000147"/>
    <n v="15863452.140000002"/>
    <n v="287"/>
    <n v="3402823.6899999976"/>
  </r>
  <r>
    <x v="1"/>
    <x v="1"/>
    <x v="3"/>
    <x v="9"/>
    <x v="36"/>
    <x v="36"/>
    <x v="0"/>
    <n v="1475"/>
    <n v="307.35568899999993"/>
    <n v="1396.5373570000027"/>
    <n v="13978430.950000001"/>
    <n v="310"/>
    <n v="3072901.2400000026"/>
  </r>
  <r>
    <x v="1"/>
    <x v="1"/>
    <x v="3"/>
    <x v="9"/>
    <x v="37"/>
    <x v="37"/>
    <x v="0"/>
    <n v="943"/>
    <n v="243.26879099999991"/>
    <n v="946.35563499999887"/>
    <n v="11025389.950000003"/>
    <n v="293"/>
    <n v="2891706.6999999983"/>
  </r>
  <r>
    <x v="1"/>
    <x v="1"/>
    <x v="3"/>
    <x v="9"/>
    <x v="38"/>
    <x v="38"/>
    <x v="0"/>
    <n v="580"/>
    <n v="85.666397000000032"/>
    <n v="482.96220399999953"/>
    <n v="6021575.29"/>
    <n v="104"/>
    <n v="996472.92000000051"/>
  </r>
  <r>
    <x v="1"/>
    <x v="1"/>
    <x v="3"/>
    <x v="9"/>
    <x v="39"/>
    <x v="39"/>
    <x v="0"/>
    <n v="1145"/>
    <n v="340.35030499999982"/>
    <n v="1331.0438760000013"/>
    <n v="15462801.450000001"/>
    <n v="334"/>
    <n v="3673866.4399999967"/>
  </r>
  <r>
    <x v="1"/>
    <x v="1"/>
    <x v="3"/>
    <x v="9"/>
    <x v="40"/>
    <x v="40"/>
    <x v="0"/>
    <n v="2281"/>
    <n v="334.45472900000004"/>
    <n v="1927.9926190000087"/>
    <n v="22880116.190000042"/>
    <n v="360"/>
    <n v="4221200.2499999972"/>
  </r>
  <r>
    <x v="1"/>
    <x v="1"/>
    <x v="3"/>
    <x v="9"/>
    <x v="41"/>
    <x v="41"/>
    <x v="0"/>
    <n v="301"/>
    <n v="3.9101280000000003"/>
    <n v="504.76077800000098"/>
    <n v="6162472.9700000007"/>
    <n v="2"/>
    <n v="51718.39"/>
  </r>
  <r>
    <x v="1"/>
    <x v="1"/>
    <x v="3"/>
    <x v="9"/>
    <x v="42"/>
    <x v="42"/>
    <x v="0"/>
    <n v="266"/>
    <n v="61.110224000000017"/>
    <n v="203.37915600000022"/>
    <n v="2282533.9199999985"/>
    <n v="84"/>
    <n v="937295.38000000047"/>
  </r>
  <r>
    <x v="1"/>
    <x v="1"/>
    <x v="3"/>
    <x v="9"/>
    <x v="43"/>
    <x v="43"/>
    <x v="0"/>
    <n v="272"/>
    <n v="81.814990999999978"/>
    <n v="305.51165400000025"/>
    <n v="3762770.8600000027"/>
    <n v="87"/>
    <n v="1063909.9600000002"/>
  </r>
  <r>
    <x v="1"/>
    <x v="1"/>
    <x v="3"/>
    <x v="9"/>
    <x v="44"/>
    <x v="44"/>
    <x v="0"/>
    <n v="1540"/>
    <n v="339.93616699999984"/>
    <n v="1312.832604000009"/>
    <n v="16759000.659999998"/>
    <n v="365"/>
    <n v="4490456.6400000053"/>
  </r>
  <r>
    <x v="1"/>
    <x v="1"/>
    <x v="3"/>
    <x v="9"/>
    <x v="45"/>
    <x v="45"/>
    <x v="0"/>
    <n v="1488"/>
    <n v="241.75288499999991"/>
    <n v="1717.401950999993"/>
    <n v="17651119.760000005"/>
    <n v="248"/>
    <n v="2446625.04"/>
  </r>
  <r>
    <x v="1"/>
    <x v="1"/>
    <x v="3"/>
    <x v="9"/>
    <x v="46"/>
    <x v="46"/>
    <x v="0"/>
    <n v="128"/>
    <n v="5.9682050000000002"/>
    <n v="116.79412399999991"/>
    <n v="4973112.5900000008"/>
    <n v="8"/>
    <n v="174256.85000000003"/>
  </r>
  <r>
    <x v="1"/>
    <x v="1"/>
    <x v="3"/>
    <x v="10"/>
    <x v="0"/>
    <x v="0"/>
    <x v="0"/>
    <n v="1735"/>
    <n v="321.7783120000002"/>
    <n v="1605.8006090000054"/>
    <n v="20952713.649999972"/>
    <n v="342"/>
    <n v="4322221.8999999994"/>
  </r>
  <r>
    <x v="1"/>
    <x v="1"/>
    <x v="3"/>
    <x v="10"/>
    <x v="1"/>
    <x v="1"/>
    <x v="0"/>
    <n v="3215"/>
    <n v="579.42344599999979"/>
    <n v="4931.771726000019"/>
    <n v="86694223.390000328"/>
    <n v="479"/>
    <n v="9584394.3799999896"/>
  </r>
  <r>
    <x v="1"/>
    <x v="1"/>
    <x v="3"/>
    <x v="10"/>
    <x v="2"/>
    <x v="2"/>
    <x v="0"/>
    <n v="1215"/>
    <n v="182.71104699999995"/>
    <n v="1048.3621249999946"/>
    <n v="14360886.270000029"/>
    <n v="193"/>
    <n v="2429018.1599999992"/>
  </r>
  <r>
    <x v="1"/>
    <x v="1"/>
    <x v="3"/>
    <x v="10"/>
    <x v="3"/>
    <x v="3"/>
    <x v="0"/>
    <n v="3215"/>
    <n v="351.62373199999968"/>
    <n v="2620.4808639999892"/>
    <n v="27462167.329999827"/>
    <n v="354"/>
    <n v="4191135.1999999993"/>
  </r>
  <r>
    <x v="1"/>
    <x v="1"/>
    <x v="3"/>
    <x v="10"/>
    <x v="4"/>
    <x v="4"/>
    <x v="0"/>
    <n v="1782"/>
    <n v="273.75551999999988"/>
    <n v="1626.6548470000064"/>
    <n v="15488161.89000004"/>
    <n v="312"/>
    <n v="2664535.3600000008"/>
  </r>
  <r>
    <x v="1"/>
    <x v="1"/>
    <x v="3"/>
    <x v="10"/>
    <x v="5"/>
    <x v="5"/>
    <x v="0"/>
    <n v="560"/>
    <n v="127.94732400000007"/>
    <n v="425.55897899999974"/>
    <n v="5848994.3999999976"/>
    <n v="158"/>
    <n v="1479807.4500000004"/>
  </r>
  <r>
    <x v="1"/>
    <x v="1"/>
    <x v="3"/>
    <x v="10"/>
    <x v="6"/>
    <x v="6"/>
    <x v="0"/>
    <n v="1705"/>
    <n v="239.02404400000006"/>
    <n v="1752.1463390000117"/>
    <n v="20155901.980000082"/>
    <n v="249"/>
    <n v="2980085.82"/>
  </r>
  <r>
    <x v="1"/>
    <x v="1"/>
    <x v="3"/>
    <x v="10"/>
    <x v="7"/>
    <x v="7"/>
    <x v="0"/>
    <n v="4356"/>
    <n v="839.35579200000086"/>
    <n v="5959.5521980000021"/>
    <n v="113519824.69000001"/>
    <n v="772"/>
    <n v="17370777.800000008"/>
  </r>
  <r>
    <x v="1"/>
    <x v="1"/>
    <x v="3"/>
    <x v="10"/>
    <x v="8"/>
    <x v="8"/>
    <x v="0"/>
    <n v="216"/>
    <n v="50.217554000000021"/>
    <n v="167.94493"/>
    <n v="2237267.6099999989"/>
    <n v="67"/>
    <n v="756266.19000000006"/>
  </r>
  <r>
    <x v="1"/>
    <x v="1"/>
    <x v="3"/>
    <x v="10"/>
    <x v="9"/>
    <x v="9"/>
    <x v="0"/>
    <n v="1869"/>
    <n v="463.43182899999988"/>
    <n v="1881.4350440000014"/>
    <n v="21086082.070000023"/>
    <n v="489"/>
    <n v="5018363.1300000018"/>
  </r>
  <r>
    <x v="1"/>
    <x v="1"/>
    <x v="3"/>
    <x v="10"/>
    <x v="10"/>
    <x v="10"/>
    <x v="0"/>
    <n v="2537"/>
    <n v="494.77022399999976"/>
    <n v="2927.9854630000132"/>
    <n v="35237354.209999979"/>
    <n v="487"/>
    <n v="5538518.870000002"/>
  </r>
  <r>
    <x v="0"/>
    <x v="4"/>
    <x v="4"/>
    <x v="2"/>
    <x v="11"/>
    <x v="11"/>
    <x v="0"/>
    <n v="302"/>
    <n v="90.628568844674859"/>
    <n v="262.02532265972366"/>
    <n v="5132547.24"/>
    <n v="93"/>
    <n v="1712808.8600000006"/>
  </r>
  <r>
    <x v="1"/>
    <x v="1"/>
    <x v="3"/>
    <x v="10"/>
    <x v="12"/>
    <x v="12"/>
    <x v="0"/>
    <n v="2439"/>
    <n v="542.85025100000007"/>
    <n v="2217.0906059999993"/>
    <n v="24206449.31000004"/>
    <n v="582"/>
    <n v="6096202.580000001"/>
  </r>
  <r>
    <x v="1"/>
    <x v="1"/>
    <x v="3"/>
    <x v="10"/>
    <x v="13"/>
    <x v="13"/>
    <x v="0"/>
    <n v="1178"/>
    <n v="214.51545000000004"/>
    <n v="1152.9144770000021"/>
    <n v="14096584.280000001"/>
    <n v="228"/>
    <n v="2777722.1399999987"/>
  </r>
  <r>
    <x v="1"/>
    <x v="1"/>
    <x v="3"/>
    <x v="10"/>
    <x v="14"/>
    <x v="14"/>
    <x v="0"/>
    <n v="217"/>
    <n v="23.516522999999999"/>
    <n v="163.29475900000008"/>
    <n v="1798903.22"/>
    <n v="31"/>
    <n v="244133.16000000003"/>
  </r>
  <r>
    <x v="1"/>
    <x v="1"/>
    <x v="3"/>
    <x v="10"/>
    <x v="15"/>
    <x v="15"/>
    <x v="0"/>
    <n v="920"/>
    <n v="141.90799799999996"/>
    <n v="758.4719849999974"/>
    <n v="8317918.2600000044"/>
    <n v="185"/>
    <n v="1550719.6700000004"/>
  </r>
  <r>
    <x v="1"/>
    <x v="1"/>
    <x v="3"/>
    <x v="10"/>
    <x v="16"/>
    <x v="16"/>
    <x v="0"/>
    <n v="1809"/>
    <n v="344.7100499999998"/>
    <n v="1989.890315999995"/>
    <n v="20980453.950000059"/>
    <n v="337"/>
    <n v="3578647.399999999"/>
  </r>
  <r>
    <x v="1"/>
    <x v="1"/>
    <x v="3"/>
    <x v="10"/>
    <x v="17"/>
    <x v="17"/>
    <x v="0"/>
    <n v="1214"/>
    <n v="239.84543999999988"/>
    <n v="1520.2298090000015"/>
    <n v="16525841.290000003"/>
    <n v="225"/>
    <n v="2689783.63"/>
  </r>
  <r>
    <x v="1"/>
    <x v="1"/>
    <x v="3"/>
    <x v="10"/>
    <x v="18"/>
    <x v="18"/>
    <x v="0"/>
    <n v="2995"/>
    <n v="379.61558399999984"/>
    <n v="2745.3037040000013"/>
    <n v="26965121.109999999"/>
    <n v="430"/>
    <n v="3987690.1800000016"/>
  </r>
  <r>
    <x v="1"/>
    <x v="1"/>
    <x v="3"/>
    <x v="10"/>
    <x v="19"/>
    <x v="19"/>
    <x v="0"/>
    <n v="1289"/>
    <n v="295.86129399999993"/>
    <n v="1748.3099720000007"/>
    <n v="23182166.960000001"/>
    <n v="318"/>
    <n v="3830209.1999999974"/>
  </r>
  <r>
    <x v="1"/>
    <x v="1"/>
    <x v="3"/>
    <x v="10"/>
    <x v="20"/>
    <x v="20"/>
    <x v="0"/>
    <n v="1237"/>
    <n v="250.05240300000008"/>
    <n v="1219.4159470000045"/>
    <n v="17005810.239999972"/>
    <n v="252"/>
    <n v="3762402.1499999971"/>
  </r>
  <r>
    <x v="1"/>
    <x v="1"/>
    <x v="3"/>
    <x v="10"/>
    <x v="21"/>
    <x v="21"/>
    <x v="0"/>
    <n v="806"/>
    <n v="144.93434000000005"/>
    <n v="595.69392899999616"/>
    <n v="6425879.4999999916"/>
    <n v="182"/>
    <n v="1615867.3599999994"/>
  </r>
  <r>
    <x v="1"/>
    <x v="1"/>
    <x v="3"/>
    <x v="10"/>
    <x v="22"/>
    <x v="22"/>
    <x v="0"/>
    <n v="2060"/>
    <n v="428.5849300000001"/>
    <n v="1988.7894879999997"/>
    <n v="29804763.159999982"/>
    <n v="480"/>
    <n v="5989871.620000002"/>
  </r>
  <r>
    <x v="1"/>
    <x v="1"/>
    <x v="3"/>
    <x v="10"/>
    <x v="23"/>
    <x v="23"/>
    <x v="0"/>
    <n v="198"/>
    <n v="63.975897000000025"/>
    <n v="167.94756100000004"/>
    <n v="2135253.7899999996"/>
    <n v="76"/>
    <n v="825466.23999999953"/>
  </r>
  <r>
    <x v="1"/>
    <x v="1"/>
    <x v="3"/>
    <x v="10"/>
    <x v="24"/>
    <x v="24"/>
    <x v="0"/>
    <n v="583"/>
    <n v="68.764496999999977"/>
    <n v="541.06098400000008"/>
    <n v="6508767.9699999979"/>
    <n v="69"/>
    <n v="715181.04999999993"/>
  </r>
  <r>
    <x v="1"/>
    <x v="1"/>
    <x v="3"/>
    <x v="10"/>
    <x v="25"/>
    <x v="25"/>
    <x v="0"/>
    <n v="1147"/>
    <n v="196.31708199999994"/>
    <n v="996.8977969999969"/>
    <n v="11404861.239999995"/>
    <n v="237"/>
    <n v="2404362.2800000017"/>
  </r>
  <r>
    <x v="1"/>
    <x v="1"/>
    <x v="3"/>
    <x v="10"/>
    <x v="26"/>
    <x v="26"/>
    <x v="0"/>
    <n v="1016"/>
    <n v="190.98620499999984"/>
    <n v="1026.5619269999941"/>
    <n v="13944712.24999998"/>
    <n v="212"/>
    <n v="2092092.8700000006"/>
  </r>
  <r>
    <x v="1"/>
    <x v="1"/>
    <x v="3"/>
    <x v="10"/>
    <x v="27"/>
    <x v="27"/>
    <x v="0"/>
    <n v="882"/>
    <n v="188.30545799999985"/>
    <n v="696.69691499999817"/>
    <n v="6811388.9700000072"/>
    <n v="206"/>
    <n v="2061424.100000001"/>
  </r>
  <r>
    <x v="1"/>
    <x v="1"/>
    <x v="3"/>
    <x v="10"/>
    <x v="28"/>
    <x v="28"/>
    <x v="0"/>
    <n v="778"/>
    <n v="130.71689600000002"/>
    <n v="649.44896799999674"/>
    <n v="7932781.1499999901"/>
    <n v="161"/>
    <n v="1763063.0899999994"/>
  </r>
  <r>
    <x v="1"/>
    <x v="1"/>
    <x v="3"/>
    <x v="10"/>
    <x v="29"/>
    <x v="29"/>
    <x v="0"/>
    <n v="710"/>
    <n v="184.53174400000009"/>
    <n v="681.45021999999744"/>
    <n v="12170927.470000001"/>
    <n v="195"/>
    <n v="2645118.9499999983"/>
  </r>
  <r>
    <x v="1"/>
    <x v="1"/>
    <x v="3"/>
    <x v="10"/>
    <x v="30"/>
    <x v="30"/>
    <x v="0"/>
    <n v="676"/>
    <n v="112.14749800000003"/>
    <n v="521.10293199999887"/>
    <n v="5806825.3599999957"/>
    <n v="133"/>
    <n v="1386427.7899999998"/>
  </r>
  <r>
    <x v="1"/>
    <x v="1"/>
    <x v="3"/>
    <x v="10"/>
    <x v="31"/>
    <x v="31"/>
    <x v="0"/>
    <n v="1264"/>
    <n v="294.49111899999986"/>
    <n v="1071.9890510000021"/>
    <n v="12392391.690000007"/>
    <n v="360"/>
    <n v="3542006.3000000017"/>
  </r>
  <r>
    <x v="1"/>
    <x v="1"/>
    <x v="3"/>
    <x v="10"/>
    <x v="32"/>
    <x v="32"/>
    <x v="0"/>
    <n v="1901"/>
    <n v="450.44139699999988"/>
    <n v="1888.4640340000021"/>
    <n v="18279948.990000006"/>
    <n v="489"/>
    <n v="4314861.2399999993"/>
  </r>
  <r>
    <x v="1"/>
    <x v="1"/>
    <x v="3"/>
    <x v="10"/>
    <x v="33"/>
    <x v="33"/>
    <x v="0"/>
    <n v="1983"/>
    <n v="276.07103599999982"/>
    <n v="1806.771085000011"/>
    <n v="18918685.670000006"/>
    <n v="294"/>
    <n v="3054493.3999999994"/>
  </r>
  <r>
    <x v="1"/>
    <x v="1"/>
    <x v="3"/>
    <x v="10"/>
    <x v="34"/>
    <x v="34"/>
    <x v="0"/>
    <n v="42"/>
    <n v="14.708119999999999"/>
    <n v="29.981763000000004"/>
    <n v="529155.00000000012"/>
    <n v="20"/>
    <n v="261705.22"/>
  </r>
  <r>
    <x v="1"/>
    <x v="1"/>
    <x v="3"/>
    <x v="10"/>
    <x v="35"/>
    <x v="35"/>
    <x v="0"/>
    <n v="1868"/>
    <n v="298.87164799999954"/>
    <n v="1461.1241510000139"/>
    <n v="15586707.479999997"/>
    <n v="321"/>
    <n v="3154135.189999999"/>
  </r>
  <r>
    <x v="1"/>
    <x v="1"/>
    <x v="3"/>
    <x v="10"/>
    <x v="36"/>
    <x v="36"/>
    <x v="0"/>
    <n v="1450"/>
    <n v="260.58207499999986"/>
    <n v="1317.1544630000033"/>
    <n v="13185111.110000029"/>
    <n v="298"/>
    <n v="2546759.56"/>
  </r>
  <r>
    <x v="1"/>
    <x v="1"/>
    <x v="3"/>
    <x v="10"/>
    <x v="37"/>
    <x v="37"/>
    <x v="0"/>
    <n v="988"/>
    <n v="267.24522599999989"/>
    <n v="1022.8357939999997"/>
    <n v="12426878.750000002"/>
    <n v="300"/>
    <n v="3335674.4499999988"/>
  </r>
  <r>
    <x v="1"/>
    <x v="1"/>
    <x v="3"/>
    <x v="10"/>
    <x v="38"/>
    <x v="38"/>
    <x v="0"/>
    <n v="615"/>
    <n v="97.471261000000013"/>
    <n v="487.51324399999959"/>
    <n v="6475906.929999996"/>
    <n v="115"/>
    <n v="1154486.23"/>
  </r>
  <r>
    <x v="1"/>
    <x v="1"/>
    <x v="3"/>
    <x v="10"/>
    <x v="39"/>
    <x v="39"/>
    <x v="0"/>
    <n v="1232"/>
    <n v="377.31326399999966"/>
    <n v="1528.6604270000005"/>
    <n v="20165425.219999984"/>
    <n v="341"/>
    <n v="4987129.4400000023"/>
  </r>
  <r>
    <x v="1"/>
    <x v="1"/>
    <x v="3"/>
    <x v="10"/>
    <x v="40"/>
    <x v="40"/>
    <x v="0"/>
    <n v="2355"/>
    <n v="307.32202799999982"/>
    <n v="1975.3673610000105"/>
    <n v="20976329.299999934"/>
    <n v="305"/>
    <n v="3399571.7200000035"/>
  </r>
  <r>
    <x v="1"/>
    <x v="1"/>
    <x v="3"/>
    <x v="10"/>
    <x v="41"/>
    <x v="41"/>
    <x v="0"/>
    <n v="316"/>
    <n v="1.9787870000000001"/>
    <n v="523.54360900000108"/>
    <n v="5634157.3200000022"/>
    <n v="1"/>
    <n v="36274.15"/>
  </r>
  <r>
    <x v="1"/>
    <x v="1"/>
    <x v="3"/>
    <x v="10"/>
    <x v="42"/>
    <x v="42"/>
    <x v="0"/>
    <n v="294"/>
    <n v="62.395601000000006"/>
    <n v="214.1159200000001"/>
    <n v="2125947.3699999996"/>
    <n v="89"/>
    <n v="597901.32999999984"/>
  </r>
  <r>
    <x v="1"/>
    <x v="1"/>
    <x v="3"/>
    <x v="10"/>
    <x v="43"/>
    <x v="43"/>
    <x v="0"/>
    <n v="309"/>
    <n v="98.094622999999942"/>
    <n v="335.37419600000015"/>
    <n v="3976458.8099999977"/>
    <n v="99"/>
    <n v="1215965.5900000003"/>
  </r>
  <r>
    <x v="1"/>
    <x v="1"/>
    <x v="3"/>
    <x v="10"/>
    <x v="44"/>
    <x v="44"/>
    <x v="0"/>
    <n v="1600"/>
    <n v="356.68299300000001"/>
    <n v="1369.2927060000093"/>
    <n v="16580824.699999977"/>
    <n v="372"/>
    <n v="4361348.4499999983"/>
  </r>
  <r>
    <x v="1"/>
    <x v="1"/>
    <x v="3"/>
    <x v="10"/>
    <x v="45"/>
    <x v="45"/>
    <x v="0"/>
    <n v="1571"/>
    <n v="256.25432399999988"/>
    <n v="1763.4172699999949"/>
    <n v="18057195.929999996"/>
    <n v="258"/>
    <n v="2659964.850000001"/>
  </r>
  <r>
    <x v="1"/>
    <x v="1"/>
    <x v="3"/>
    <x v="10"/>
    <x v="46"/>
    <x v="46"/>
    <x v="0"/>
    <n v="112"/>
    <n v="7.2064750000000002"/>
    <n v="100.34452799999994"/>
    <n v="4194620"/>
    <n v="11"/>
    <n v="281304.04000000004"/>
  </r>
  <r>
    <x v="1"/>
    <x v="1"/>
    <x v="3"/>
    <x v="11"/>
    <x v="0"/>
    <x v="0"/>
    <x v="0"/>
    <n v="1651"/>
    <n v="287.86020099999968"/>
    <n v="1548.8071550000091"/>
    <n v="18917721.579999972"/>
    <n v="305"/>
    <n v="3756881.1600000015"/>
  </r>
  <r>
    <x v="1"/>
    <x v="1"/>
    <x v="3"/>
    <x v="11"/>
    <x v="1"/>
    <x v="1"/>
    <x v="0"/>
    <n v="3130"/>
    <n v="536.77977599999997"/>
    <n v="4796.2292319999924"/>
    <n v="85278740.209999695"/>
    <n v="441"/>
    <n v="9281204.0100000091"/>
  </r>
  <r>
    <x v="1"/>
    <x v="1"/>
    <x v="3"/>
    <x v="11"/>
    <x v="2"/>
    <x v="2"/>
    <x v="0"/>
    <n v="1172"/>
    <n v="163.53012900000002"/>
    <n v="1052.9884139999963"/>
    <n v="14872073.159999995"/>
    <n v="198"/>
    <n v="2366727.4799999986"/>
  </r>
  <r>
    <x v="1"/>
    <x v="1"/>
    <x v="3"/>
    <x v="11"/>
    <x v="3"/>
    <x v="3"/>
    <x v="0"/>
    <n v="3197"/>
    <n v="325.0282389999997"/>
    <n v="2611.1488709999908"/>
    <n v="28171843.930000257"/>
    <n v="370"/>
    <n v="3713835.7700000019"/>
  </r>
  <r>
    <x v="1"/>
    <x v="1"/>
    <x v="3"/>
    <x v="11"/>
    <x v="4"/>
    <x v="4"/>
    <x v="0"/>
    <n v="1623"/>
    <n v="258.11389199999991"/>
    <n v="1521.6383460000075"/>
    <n v="16005231.139999989"/>
    <n v="289"/>
    <n v="3198125.9000000004"/>
  </r>
  <r>
    <x v="1"/>
    <x v="1"/>
    <x v="3"/>
    <x v="11"/>
    <x v="5"/>
    <x v="5"/>
    <x v="0"/>
    <n v="485"/>
    <n v="95.764822000000038"/>
    <n v="371.44753099999986"/>
    <n v="4320327.5899999952"/>
    <n v="134"/>
    <n v="1160958.8499999999"/>
  </r>
  <r>
    <x v="1"/>
    <x v="1"/>
    <x v="3"/>
    <x v="11"/>
    <x v="6"/>
    <x v="6"/>
    <x v="0"/>
    <n v="1601"/>
    <n v="196.81035000000023"/>
    <n v="1633.823786000007"/>
    <n v="20652255.179999992"/>
    <n v="230"/>
    <n v="2611973.9600000009"/>
  </r>
  <r>
    <x v="1"/>
    <x v="1"/>
    <x v="3"/>
    <x v="11"/>
    <x v="7"/>
    <x v="7"/>
    <x v="0"/>
    <n v="4112"/>
    <n v="652.23884100000009"/>
    <n v="5643.0622419999954"/>
    <n v="117594248.59999955"/>
    <n v="623"/>
    <n v="15271404.559999993"/>
  </r>
  <r>
    <x v="1"/>
    <x v="1"/>
    <x v="3"/>
    <x v="11"/>
    <x v="8"/>
    <x v="8"/>
    <x v="0"/>
    <n v="210"/>
    <n v="46.165740000000014"/>
    <n v="169.6208790000002"/>
    <n v="2271202.4799999995"/>
    <n v="55"/>
    <n v="649722.96000000008"/>
  </r>
  <r>
    <x v="1"/>
    <x v="1"/>
    <x v="3"/>
    <x v="11"/>
    <x v="9"/>
    <x v="9"/>
    <x v="0"/>
    <n v="1680"/>
    <n v="338.67818800000015"/>
    <n v="1640.1102700000054"/>
    <n v="21475860.520000055"/>
    <n v="391"/>
    <n v="4155868.3899999992"/>
  </r>
  <r>
    <x v="1"/>
    <x v="1"/>
    <x v="3"/>
    <x v="11"/>
    <x v="10"/>
    <x v="10"/>
    <x v="0"/>
    <n v="2211"/>
    <n v="493.46834399999989"/>
    <n v="2664.4215440000075"/>
    <n v="33512585.320000015"/>
    <n v="396"/>
    <n v="5748128.8000000063"/>
  </r>
  <r>
    <x v="0"/>
    <x v="4"/>
    <x v="4"/>
    <x v="4"/>
    <x v="11"/>
    <x v="11"/>
    <x v="0"/>
    <n v="294"/>
    <n v="93.308595810510027"/>
    <n v="286.1587273520733"/>
    <n v="4966418.8699999982"/>
    <n v="99"/>
    <n v="1853825.14"/>
  </r>
  <r>
    <x v="1"/>
    <x v="1"/>
    <x v="3"/>
    <x v="11"/>
    <x v="12"/>
    <x v="12"/>
    <x v="0"/>
    <n v="2381"/>
    <n v="476.70061599999985"/>
    <n v="2112.4055120000057"/>
    <n v="24038297.589999981"/>
    <n v="547"/>
    <n v="5330617.0500000007"/>
  </r>
  <r>
    <x v="1"/>
    <x v="1"/>
    <x v="3"/>
    <x v="11"/>
    <x v="13"/>
    <x v="13"/>
    <x v="0"/>
    <n v="1146"/>
    <n v="171.98161500000001"/>
    <n v="1071.4567659999989"/>
    <n v="12485361.230000027"/>
    <n v="175"/>
    <n v="2152953.689999999"/>
  </r>
  <r>
    <x v="1"/>
    <x v="1"/>
    <x v="3"/>
    <x v="11"/>
    <x v="14"/>
    <x v="14"/>
    <x v="0"/>
    <n v="190"/>
    <n v="25.163934999999999"/>
    <n v="159.19060799999997"/>
    <n v="1642942.0399999996"/>
    <n v="29"/>
    <n v="296178.83"/>
  </r>
  <r>
    <x v="1"/>
    <x v="1"/>
    <x v="3"/>
    <x v="11"/>
    <x v="15"/>
    <x v="15"/>
    <x v="0"/>
    <n v="853"/>
    <n v="153.44042800000003"/>
    <n v="749.56071499999655"/>
    <n v="7359547.1099999947"/>
    <n v="174"/>
    <n v="1472023.4000000004"/>
  </r>
  <r>
    <x v="1"/>
    <x v="1"/>
    <x v="3"/>
    <x v="11"/>
    <x v="16"/>
    <x v="16"/>
    <x v="0"/>
    <n v="1736"/>
    <n v="291.02131800000001"/>
    <n v="1824.9063099999917"/>
    <n v="18735278.400000047"/>
    <n v="300"/>
    <n v="2997638.8699999996"/>
  </r>
  <r>
    <x v="1"/>
    <x v="1"/>
    <x v="3"/>
    <x v="11"/>
    <x v="17"/>
    <x v="17"/>
    <x v="0"/>
    <n v="1195"/>
    <n v="233.67003199999985"/>
    <n v="1476.9913740000006"/>
    <n v="16841582.61999999"/>
    <n v="232"/>
    <n v="2686695.8899999992"/>
  </r>
  <r>
    <x v="1"/>
    <x v="1"/>
    <x v="3"/>
    <x v="11"/>
    <x v="18"/>
    <x v="18"/>
    <x v="0"/>
    <n v="2710"/>
    <n v="390.90506999999968"/>
    <n v="2481.5438889999946"/>
    <n v="24268820.25999999"/>
    <n v="409"/>
    <n v="3970000.0900000012"/>
  </r>
  <r>
    <x v="1"/>
    <x v="1"/>
    <x v="3"/>
    <x v="11"/>
    <x v="19"/>
    <x v="19"/>
    <x v="0"/>
    <n v="1277"/>
    <n v="273.81112900000005"/>
    <n v="1659.0876430000003"/>
    <n v="20761513.770000037"/>
    <n v="289"/>
    <n v="3337025.810000001"/>
  </r>
  <r>
    <x v="1"/>
    <x v="1"/>
    <x v="3"/>
    <x v="11"/>
    <x v="20"/>
    <x v="20"/>
    <x v="0"/>
    <n v="1099"/>
    <n v="197.97043299999982"/>
    <n v="1092.6307610000038"/>
    <n v="13775926.140000019"/>
    <n v="216"/>
    <n v="2548501.5200000014"/>
  </r>
  <r>
    <x v="1"/>
    <x v="1"/>
    <x v="3"/>
    <x v="11"/>
    <x v="21"/>
    <x v="21"/>
    <x v="0"/>
    <n v="832"/>
    <n v="126.32127400000007"/>
    <n v="584.11887099999592"/>
    <n v="6484141.5699999938"/>
    <n v="169"/>
    <n v="1572827.6800000002"/>
  </r>
  <r>
    <x v="1"/>
    <x v="1"/>
    <x v="3"/>
    <x v="11"/>
    <x v="22"/>
    <x v="22"/>
    <x v="0"/>
    <n v="1970"/>
    <n v="366.21837199999999"/>
    <n v="1751.6963250000044"/>
    <n v="23388548.239999935"/>
    <n v="426"/>
    <n v="4632266.8600000059"/>
  </r>
  <r>
    <x v="1"/>
    <x v="1"/>
    <x v="3"/>
    <x v="11"/>
    <x v="23"/>
    <x v="23"/>
    <x v="0"/>
    <n v="182"/>
    <n v="39.19555600000001"/>
    <n v="165.94497699999999"/>
    <n v="1835087.7899999998"/>
    <n v="50"/>
    <n v="488959.93999999989"/>
  </r>
  <r>
    <x v="1"/>
    <x v="1"/>
    <x v="3"/>
    <x v="11"/>
    <x v="24"/>
    <x v="24"/>
    <x v="0"/>
    <n v="515"/>
    <n v="69.980451999999985"/>
    <n v="500.42103700000024"/>
    <n v="5431954.0600000033"/>
    <n v="63"/>
    <n v="743571.66000000015"/>
  </r>
  <r>
    <x v="1"/>
    <x v="1"/>
    <x v="3"/>
    <x v="11"/>
    <x v="25"/>
    <x v="25"/>
    <x v="0"/>
    <n v="1098"/>
    <n v="198.53951999999978"/>
    <n v="934.07174299999679"/>
    <n v="12704996.780000007"/>
    <n v="221"/>
    <n v="2803711.9599999995"/>
  </r>
  <r>
    <x v="1"/>
    <x v="1"/>
    <x v="3"/>
    <x v="11"/>
    <x v="26"/>
    <x v="26"/>
    <x v="0"/>
    <n v="940"/>
    <n v="153.63877399999996"/>
    <n v="824.70965799999283"/>
    <n v="12460342.260000007"/>
    <n v="185"/>
    <n v="1909720.9100000006"/>
  </r>
  <r>
    <x v="1"/>
    <x v="1"/>
    <x v="3"/>
    <x v="11"/>
    <x v="27"/>
    <x v="27"/>
    <x v="0"/>
    <n v="947"/>
    <n v="161.49213999999989"/>
    <n v="706.47682599999837"/>
    <n v="7442145.5900000036"/>
    <n v="221"/>
    <n v="1678308.3099999989"/>
  </r>
  <r>
    <x v="1"/>
    <x v="1"/>
    <x v="3"/>
    <x v="11"/>
    <x v="28"/>
    <x v="28"/>
    <x v="0"/>
    <n v="760"/>
    <n v="122.50080300000002"/>
    <n v="641.57935199999611"/>
    <n v="7922149.9399999948"/>
    <n v="141"/>
    <n v="1791872.2699999991"/>
  </r>
  <r>
    <x v="1"/>
    <x v="1"/>
    <x v="3"/>
    <x v="11"/>
    <x v="29"/>
    <x v="29"/>
    <x v="0"/>
    <n v="733"/>
    <n v="198.18325700000003"/>
    <n v="672.39879199999962"/>
    <n v="10698357.189999998"/>
    <n v="214"/>
    <n v="2790544.7800000026"/>
  </r>
  <r>
    <x v="1"/>
    <x v="1"/>
    <x v="3"/>
    <x v="11"/>
    <x v="30"/>
    <x v="30"/>
    <x v="0"/>
    <n v="621"/>
    <n v="102.05461399999999"/>
    <n v="494.39783399999976"/>
    <n v="5731140.2600000044"/>
    <n v="129"/>
    <n v="1164704.4300000002"/>
  </r>
  <r>
    <x v="1"/>
    <x v="1"/>
    <x v="3"/>
    <x v="11"/>
    <x v="31"/>
    <x v="31"/>
    <x v="0"/>
    <n v="1196"/>
    <n v="255.45324999999985"/>
    <n v="993.43121400000098"/>
    <n v="12541947.199999999"/>
    <n v="326"/>
    <n v="3314949.8400000012"/>
  </r>
  <r>
    <x v="1"/>
    <x v="1"/>
    <x v="3"/>
    <x v="11"/>
    <x v="32"/>
    <x v="32"/>
    <x v="0"/>
    <n v="1805"/>
    <n v="428.10328299999975"/>
    <n v="1739.4980730000011"/>
    <n v="17474195.440000001"/>
    <n v="451"/>
    <n v="4162089.279999997"/>
  </r>
  <r>
    <x v="1"/>
    <x v="1"/>
    <x v="3"/>
    <x v="11"/>
    <x v="33"/>
    <x v="33"/>
    <x v="0"/>
    <n v="1884"/>
    <n v="233.76444500000005"/>
    <n v="1605.6024320000129"/>
    <n v="16085259.609999929"/>
    <n v="239"/>
    <n v="2447470.5599999987"/>
  </r>
  <r>
    <x v="1"/>
    <x v="1"/>
    <x v="3"/>
    <x v="11"/>
    <x v="34"/>
    <x v="34"/>
    <x v="0"/>
    <n v="36"/>
    <n v="7.5454200000000009"/>
    <n v="27.859050999999997"/>
    <n v="472823.49999999994"/>
    <n v="11"/>
    <n v="160327.31"/>
  </r>
  <r>
    <x v="1"/>
    <x v="1"/>
    <x v="3"/>
    <x v="11"/>
    <x v="35"/>
    <x v="35"/>
    <x v="0"/>
    <n v="1705"/>
    <n v="234.04715699999991"/>
    <n v="1327.6930090000158"/>
    <n v="15290072.690000024"/>
    <n v="241"/>
    <n v="2873043.2700000019"/>
  </r>
  <r>
    <x v="1"/>
    <x v="1"/>
    <x v="3"/>
    <x v="11"/>
    <x v="36"/>
    <x v="36"/>
    <x v="0"/>
    <n v="1394"/>
    <n v="233.41970699999965"/>
    <n v="1308.4646730000063"/>
    <n v="12663723.550000021"/>
    <n v="260"/>
    <n v="2208334.5699999998"/>
  </r>
  <r>
    <x v="1"/>
    <x v="1"/>
    <x v="3"/>
    <x v="11"/>
    <x v="37"/>
    <x v="37"/>
    <x v="0"/>
    <n v="934"/>
    <n v="220.54329499999992"/>
    <n v="971.24020600000006"/>
    <n v="12998832.579999994"/>
    <n v="233"/>
    <n v="3169890.9300000006"/>
  </r>
  <r>
    <x v="1"/>
    <x v="1"/>
    <x v="3"/>
    <x v="11"/>
    <x v="38"/>
    <x v="38"/>
    <x v="0"/>
    <n v="565"/>
    <n v="93.687112999999997"/>
    <n v="458.37119299999989"/>
    <n v="5926271.1600000011"/>
    <n v="108"/>
    <n v="932719.32999999984"/>
  </r>
  <r>
    <x v="1"/>
    <x v="1"/>
    <x v="3"/>
    <x v="11"/>
    <x v="39"/>
    <x v="39"/>
    <x v="0"/>
    <n v="1088"/>
    <n v="314.33804199999975"/>
    <n v="1275.0343790000004"/>
    <n v="11159613.119999994"/>
    <n v="314"/>
    <n v="2672345.4100000006"/>
  </r>
  <r>
    <x v="1"/>
    <x v="1"/>
    <x v="3"/>
    <x v="11"/>
    <x v="40"/>
    <x v="40"/>
    <x v="0"/>
    <n v="2257"/>
    <n v="266.78404199999977"/>
    <n v="1835.6007160000133"/>
    <n v="17099285.590000026"/>
    <n v="287"/>
    <n v="2457789.2299999995"/>
  </r>
  <r>
    <x v="1"/>
    <x v="1"/>
    <x v="3"/>
    <x v="11"/>
    <x v="41"/>
    <x v="41"/>
    <x v="0"/>
    <n v="296"/>
    <n v="0"/>
    <n v="486.62402500000047"/>
    <n v="4959380.0199999996"/>
    <n v="0"/>
    <n v="0"/>
  </r>
  <r>
    <x v="1"/>
    <x v="1"/>
    <x v="3"/>
    <x v="11"/>
    <x v="42"/>
    <x v="42"/>
    <x v="0"/>
    <n v="280"/>
    <n v="54.555448000000034"/>
    <n v="190.30500400000025"/>
    <n v="1774164.04"/>
    <n v="89"/>
    <n v="496860.12"/>
  </r>
  <r>
    <x v="1"/>
    <x v="1"/>
    <x v="3"/>
    <x v="11"/>
    <x v="43"/>
    <x v="43"/>
    <x v="0"/>
    <n v="304"/>
    <n v="74.673244999999994"/>
    <n v="289.96183499999984"/>
    <n v="3377258.6"/>
    <n v="85"/>
    <n v="947230.5199999999"/>
  </r>
  <r>
    <x v="1"/>
    <x v="1"/>
    <x v="3"/>
    <x v="11"/>
    <x v="44"/>
    <x v="44"/>
    <x v="0"/>
    <n v="1509"/>
    <n v="273.68029499999977"/>
    <n v="1244.7569090000102"/>
    <n v="15379611.460000012"/>
    <n v="331"/>
    <n v="3538546.1200000006"/>
  </r>
  <r>
    <x v="1"/>
    <x v="1"/>
    <x v="3"/>
    <x v="11"/>
    <x v="45"/>
    <x v="45"/>
    <x v="0"/>
    <n v="1449"/>
    <n v="213.75133799999986"/>
    <n v="1641.3070319999888"/>
    <n v="17207639.329999991"/>
    <n v="217"/>
    <n v="2671840.9100000006"/>
  </r>
  <r>
    <x v="1"/>
    <x v="1"/>
    <x v="3"/>
    <x v="11"/>
    <x v="46"/>
    <x v="46"/>
    <x v="0"/>
    <n v="92"/>
    <n v="4.6664509999999995"/>
    <n v="84.20130300000001"/>
    <n v="3714665.4500000011"/>
    <n v="6"/>
    <n v="148649.65999999997"/>
  </r>
  <r>
    <x v="1"/>
    <x v="3"/>
    <x v="3"/>
    <x v="1"/>
    <x v="0"/>
    <x v="0"/>
    <x v="0"/>
    <n v="1673"/>
    <n v="285.51236699999987"/>
    <n v="1556.0102040000056"/>
    <n v="17151675.159999996"/>
    <n v="317"/>
    <n v="3330499.7899999982"/>
  </r>
  <r>
    <x v="1"/>
    <x v="3"/>
    <x v="3"/>
    <x v="1"/>
    <x v="1"/>
    <x v="1"/>
    <x v="0"/>
    <n v="3316"/>
    <n v="539.23147100000006"/>
    <n v="5015.544872999998"/>
    <n v="90945394.110000074"/>
    <n v="443"/>
    <n v="8988051.8399999999"/>
  </r>
  <r>
    <x v="1"/>
    <x v="3"/>
    <x v="3"/>
    <x v="1"/>
    <x v="2"/>
    <x v="2"/>
    <x v="0"/>
    <n v="1357"/>
    <n v="181.38737399999997"/>
    <n v="1218.702788000001"/>
    <n v="18129606.320000008"/>
    <n v="199"/>
    <n v="2540161.7199999979"/>
  </r>
  <r>
    <x v="1"/>
    <x v="3"/>
    <x v="3"/>
    <x v="1"/>
    <x v="3"/>
    <x v="3"/>
    <x v="0"/>
    <n v="3187"/>
    <n v="397.17899299999999"/>
    <n v="2581.1347349999819"/>
    <n v="27307179.520000611"/>
    <n v="390"/>
    <n v="4328742.1499999985"/>
  </r>
  <r>
    <x v="1"/>
    <x v="3"/>
    <x v="3"/>
    <x v="1"/>
    <x v="4"/>
    <x v="4"/>
    <x v="0"/>
    <n v="1657"/>
    <n v="253.14551499999982"/>
    <n v="1448.277063000007"/>
    <n v="17421369.580000002"/>
    <n v="276"/>
    <n v="3538123.7000000007"/>
  </r>
  <r>
    <x v="1"/>
    <x v="3"/>
    <x v="3"/>
    <x v="1"/>
    <x v="5"/>
    <x v="5"/>
    <x v="0"/>
    <n v="501"/>
    <n v="89.687610000000021"/>
    <n v="384.63872400000002"/>
    <n v="4659473.5799999973"/>
    <n v="105"/>
    <n v="1069313.1399999999"/>
  </r>
  <r>
    <x v="1"/>
    <x v="3"/>
    <x v="3"/>
    <x v="1"/>
    <x v="6"/>
    <x v="6"/>
    <x v="0"/>
    <n v="1742"/>
    <n v="198.80301599999996"/>
    <n v="1706.964933000012"/>
    <n v="20437062.069999997"/>
    <n v="241"/>
    <n v="2515180.2600000007"/>
  </r>
  <r>
    <x v="1"/>
    <x v="3"/>
    <x v="3"/>
    <x v="1"/>
    <x v="7"/>
    <x v="7"/>
    <x v="0"/>
    <n v="4313"/>
    <n v="794.55314300000077"/>
    <n v="6157.1055379999962"/>
    <n v="133328459.8800005"/>
    <n v="734"/>
    <n v="17723846.980000004"/>
  </r>
  <r>
    <x v="1"/>
    <x v="3"/>
    <x v="3"/>
    <x v="1"/>
    <x v="8"/>
    <x v="8"/>
    <x v="0"/>
    <n v="226"/>
    <n v="52.746302999999997"/>
    <n v="163.06383900000003"/>
    <n v="2211658.6699999985"/>
    <n v="69"/>
    <n v="875576.68000000028"/>
  </r>
  <r>
    <x v="1"/>
    <x v="3"/>
    <x v="3"/>
    <x v="1"/>
    <x v="9"/>
    <x v="9"/>
    <x v="0"/>
    <n v="1764"/>
    <n v="418.06619699999993"/>
    <n v="1708.6945800000044"/>
    <n v="20389154.11000004"/>
    <n v="418"/>
    <n v="5243404.6600000011"/>
  </r>
  <r>
    <x v="1"/>
    <x v="3"/>
    <x v="3"/>
    <x v="1"/>
    <x v="10"/>
    <x v="10"/>
    <x v="0"/>
    <n v="2379"/>
    <n v="456.02335199999987"/>
    <n v="2757.9133670000092"/>
    <n v="34809410.469999991"/>
    <n v="420"/>
    <n v="5599006.6400000025"/>
  </r>
  <r>
    <x v="0"/>
    <x v="4"/>
    <x v="6"/>
    <x v="6"/>
    <x v="11"/>
    <x v="11"/>
    <x v="0"/>
    <n v="324"/>
    <n v="73.428240063943164"/>
    <n v="288.60693832086389"/>
    <n v="5430456.740000003"/>
    <n v="88"/>
    <n v="1262519.0700000003"/>
  </r>
  <r>
    <x v="1"/>
    <x v="3"/>
    <x v="3"/>
    <x v="1"/>
    <x v="12"/>
    <x v="12"/>
    <x v="0"/>
    <n v="2426"/>
    <n v="454.59124999999955"/>
    <n v="1975.4652030000116"/>
    <n v="23993851.599999972"/>
    <n v="534"/>
    <n v="5826055.2299999958"/>
  </r>
  <r>
    <x v="1"/>
    <x v="3"/>
    <x v="3"/>
    <x v="1"/>
    <x v="13"/>
    <x v="13"/>
    <x v="0"/>
    <n v="1220"/>
    <n v="226.00576000000001"/>
    <n v="1141.3294410000021"/>
    <n v="13680309.750000015"/>
    <n v="229"/>
    <n v="2716276.7800000003"/>
  </r>
  <r>
    <x v="1"/>
    <x v="3"/>
    <x v="3"/>
    <x v="1"/>
    <x v="14"/>
    <x v="14"/>
    <x v="0"/>
    <n v="212"/>
    <n v="26.903462999999999"/>
    <n v="159.41105199999993"/>
    <n v="1626461.0599999994"/>
    <n v="33"/>
    <n v="280893.3299999999"/>
  </r>
  <r>
    <x v="1"/>
    <x v="3"/>
    <x v="3"/>
    <x v="1"/>
    <x v="15"/>
    <x v="15"/>
    <x v="0"/>
    <n v="872"/>
    <n v="139.68598300000005"/>
    <n v="733.18297999999766"/>
    <n v="8162734.2500000056"/>
    <n v="167"/>
    <n v="1659856.5099999991"/>
  </r>
  <r>
    <x v="1"/>
    <x v="3"/>
    <x v="3"/>
    <x v="1"/>
    <x v="16"/>
    <x v="16"/>
    <x v="0"/>
    <n v="1738"/>
    <n v="314.77133499999991"/>
    <n v="1896.3897499999923"/>
    <n v="19799360.260000028"/>
    <n v="308"/>
    <n v="3462840.5200000014"/>
  </r>
  <r>
    <x v="1"/>
    <x v="3"/>
    <x v="3"/>
    <x v="1"/>
    <x v="17"/>
    <x v="17"/>
    <x v="0"/>
    <n v="1151"/>
    <n v="205.4143839999999"/>
    <n v="1459.0746799999981"/>
    <n v="16441716.82000001"/>
    <n v="208"/>
    <n v="2073719.8700000003"/>
  </r>
  <r>
    <x v="1"/>
    <x v="3"/>
    <x v="3"/>
    <x v="1"/>
    <x v="18"/>
    <x v="18"/>
    <x v="0"/>
    <n v="2766"/>
    <n v="357.37812200000013"/>
    <n v="2468.5730569999942"/>
    <n v="24985967.700000126"/>
    <n v="395"/>
    <n v="3949055.66"/>
  </r>
  <r>
    <x v="1"/>
    <x v="3"/>
    <x v="3"/>
    <x v="1"/>
    <x v="19"/>
    <x v="19"/>
    <x v="0"/>
    <n v="1292"/>
    <n v="324.41893499999992"/>
    <n v="1636.5182040000002"/>
    <n v="19133795.579999991"/>
    <n v="339"/>
    <n v="4010381.8499999982"/>
  </r>
  <r>
    <x v="1"/>
    <x v="3"/>
    <x v="3"/>
    <x v="1"/>
    <x v="20"/>
    <x v="20"/>
    <x v="0"/>
    <n v="1141"/>
    <n v="189.80331999999999"/>
    <n v="1138.3000170000048"/>
    <n v="14819872.690000013"/>
    <n v="201"/>
    <n v="2444462.0900000017"/>
  </r>
  <r>
    <x v="1"/>
    <x v="3"/>
    <x v="3"/>
    <x v="1"/>
    <x v="21"/>
    <x v="21"/>
    <x v="0"/>
    <n v="800"/>
    <n v="149.97210599999991"/>
    <n v="591.89706299999591"/>
    <n v="6006778.3399999989"/>
    <n v="185"/>
    <n v="1567714.8"/>
  </r>
  <r>
    <x v="1"/>
    <x v="3"/>
    <x v="3"/>
    <x v="1"/>
    <x v="22"/>
    <x v="22"/>
    <x v="0"/>
    <n v="2038"/>
    <n v="441.72526599999981"/>
    <n v="1903.2459660000036"/>
    <n v="29596374.00999999"/>
    <n v="465"/>
    <n v="5652640.7599999979"/>
  </r>
  <r>
    <x v="1"/>
    <x v="3"/>
    <x v="3"/>
    <x v="1"/>
    <x v="23"/>
    <x v="23"/>
    <x v="0"/>
    <n v="174"/>
    <n v="43.994521000000006"/>
    <n v="145.64611200000002"/>
    <n v="2269396.8600000017"/>
    <n v="58"/>
    <n v="777721.76999999967"/>
  </r>
  <r>
    <x v="1"/>
    <x v="3"/>
    <x v="3"/>
    <x v="1"/>
    <x v="24"/>
    <x v="24"/>
    <x v="0"/>
    <n v="536"/>
    <n v="90.770918999999978"/>
    <n v="450.46748900000046"/>
    <n v="5159568.0200000033"/>
    <n v="96"/>
    <n v="1115528.5600000008"/>
  </r>
  <r>
    <x v="1"/>
    <x v="3"/>
    <x v="3"/>
    <x v="1"/>
    <x v="25"/>
    <x v="25"/>
    <x v="0"/>
    <n v="1111"/>
    <n v="198.51361600000007"/>
    <n v="1022.5542909999945"/>
    <n v="13149708.210000008"/>
    <n v="206"/>
    <n v="2625519.2199999988"/>
  </r>
  <r>
    <x v="1"/>
    <x v="3"/>
    <x v="3"/>
    <x v="1"/>
    <x v="26"/>
    <x v="26"/>
    <x v="0"/>
    <n v="957"/>
    <n v="153.12398699999997"/>
    <n v="865.19214199999635"/>
    <n v="10795064.490000019"/>
    <n v="181"/>
    <n v="1810766.0399999996"/>
  </r>
  <r>
    <x v="1"/>
    <x v="3"/>
    <x v="3"/>
    <x v="1"/>
    <x v="27"/>
    <x v="27"/>
    <x v="0"/>
    <n v="847"/>
    <n v="147.39173499999998"/>
    <n v="630.91416299999707"/>
    <n v="6907834.9400000004"/>
    <n v="194"/>
    <n v="1679112.6000000003"/>
  </r>
  <r>
    <x v="1"/>
    <x v="3"/>
    <x v="3"/>
    <x v="1"/>
    <x v="28"/>
    <x v="28"/>
    <x v="0"/>
    <n v="786"/>
    <n v="119.88984900000004"/>
    <n v="648.77524899999639"/>
    <n v="8533973.2500000037"/>
    <n v="140"/>
    <n v="1606454.1199999994"/>
  </r>
  <r>
    <x v="1"/>
    <x v="3"/>
    <x v="3"/>
    <x v="1"/>
    <x v="29"/>
    <x v="29"/>
    <x v="0"/>
    <n v="671"/>
    <n v="164.76107000000002"/>
    <n v="669.27262500000029"/>
    <n v="10610463.690000005"/>
    <n v="185"/>
    <n v="2291190.9999999995"/>
  </r>
  <r>
    <x v="1"/>
    <x v="3"/>
    <x v="3"/>
    <x v="1"/>
    <x v="30"/>
    <x v="30"/>
    <x v="0"/>
    <n v="602"/>
    <n v="78.388067000000021"/>
    <n v="455.78649999999971"/>
    <n v="5372162.400000006"/>
    <n v="107"/>
    <n v="933669.23"/>
  </r>
  <r>
    <x v="1"/>
    <x v="3"/>
    <x v="3"/>
    <x v="1"/>
    <x v="31"/>
    <x v="31"/>
    <x v="0"/>
    <n v="1255"/>
    <n v="291.80101000000002"/>
    <n v="1050.7870300000018"/>
    <n v="11944496.900000004"/>
    <n v="348"/>
    <n v="3796818.0499999993"/>
  </r>
  <r>
    <x v="1"/>
    <x v="3"/>
    <x v="3"/>
    <x v="1"/>
    <x v="32"/>
    <x v="32"/>
    <x v="0"/>
    <n v="1899"/>
    <n v="421.18329100000005"/>
    <n v="1887.0719030000039"/>
    <n v="20158779.650000028"/>
    <n v="460"/>
    <n v="4397577.4000000022"/>
  </r>
  <r>
    <x v="1"/>
    <x v="3"/>
    <x v="3"/>
    <x v="1"/>
    <x v="33"/>
    <x v="33"/>
    <x v="0"/>
    <n v="1900"/>
    <n v="265.52855799999986"/>
    <n v="1677.4508950000118"/>
    <n v="16576121.079999955"/>
    <n v="274"/>
    <n v="2590663.7700000033"/>
  </r>
  <r>
    <x v="1"/>
    <x v="3"/>
    <x v="3"/>
    <x v="1"/>
    <x v="34"/>
    <x v="34"/>
    <x v="0"/>
    <n v="42"/>
    <n v="12.197340000000001"/>
    <n v="30.223099999999999"/>
    <n v="408498.45999999996"/>
    <n v="17"/>
    <n v="186616.77000000002"/>
  </r>
  <r>
    <x v="1"/>
    <x v="3"/>
    <x v="3"/>
    <x v="1"/>
    <x v="35"/>
    <x v="35"/>
    <x v="0"/>
    <n v="1885"/>
    <n v="254.01282299999986"/>
    <n v="1434.3831600000162"/>
    <n v="16058810.090000004"/>
    <n v="291"/>
    <n v="3062968.1999999974"/>
  </r>
  <r>
    <x v="1"/>
    <x v="3"/>
    <x v="3"/>
    <x v="1"/>
    <x v="36"/>
    <x v="36"/>
    <x v="0"/>
    <n v="1417"/>
    <n v="250.23752699999994"/>
    <n v="1290.1512110000051"/>
    <n v="13326139.849999998"/>
    <n v="273"/>
    <n v="2351078.5699999989"/>
  </r>
  <r>
    <x v="1"/>
    <x v="3"/>
    <x v="3"/>
    <x v="1"/>
    <x v="37"/>
    <x v="37"/>
    <x v="0"/>
    <n v="1008"/>
    <n v="253.39796600000005"/>
    <n v="998.5870290000006"/>
    <n v="11990772.449999996"/>
    <n v="285"/>
    <n v="3293321.2800000007"/>
  </r>
  <r>
    <x v="1"/>
    <x v="3"/>
    <x v="3"/>
    <x v="1"/>
    <x v="38"/>
    <x v="38"/>
    <x v="0"/>
    <n v="630"/>
    <n v="88.084209000000001"/>
    <n v="507.73545199999973"/>
    <n v="6373999.8699999917"/>
    <n v="95"/>
    <n v="1108508.7700000003"/>
  </r>
  <r>
    <x v="1"/>
    <x v="3"/>
    <x v="3"/>
    <x v="1"/>
    <x v="39"/>
    <x v="39"/>
    <x v="0"/>
    <n v="1191"/>
    <n v="326.50644899999969"/>
    <n v="1374.0710779999993"/>
    <n v="13961308.91"/>
    <n v="320"/>
    <n v="3123085.6300000018"/>
  </r>
  <r>
    <x v="1"/>
    <x v="3"/>
    <x v="3"/>
    <x v="1"/>
    <x v="40"/>
    <x v="40"/>
    <x v="0"/>
    <n v="2326"/>
    <n v="293.69376499999981"/>
    <n v="1884.8133670000113"/>
    <n v="18246353.879999995"/>
    <n v="301"/>
    <n v="2922722.3699999992"/>
  </r>
  <r>
    <x v="1"/>
    <x v="3"/>
    <x v="3"/>
    <x v="1"/>
    <x v="41"/>
    <x v="41"/>
    <x v="0"/>
    <n v="297"/>
    <n v="4.1944440000000007"/>
    <n v="496.82990200000069"/>
    <n v="5607631.9199999999"/>
    <n v="2"/>
    <n v="82733.11"/>
  </r>
  <r>
    <x v="1"/>
    <x v="3"/>
    <x v="3"/>
    <x v="1"/>
    <x v="42"/>
    <x v="42"/>
    <x v="0"/>
    <n v="288"/>
    <n v="54.630073000000003"/>
    <n v="190.86276200000009"/>
    <n v="1995267.939999999"/>
    <n v="83"/>
    <n v="565060.7100000002"/>
  </r>
  <r>
    <x v="1"/>
    <x v="3"/>
    <x v="3"/>
    <x v="1"/>
    <x v="43"/>
    <x v="43"/>
    <x v="0"/>
    <n v="368"/>
    <n v="106.68484599999998"/>
    <n v="363.30703499999993"/>
    <n v="4032443.3599999994"/>
    <n v="121"/>
    <n v="1116056.6500000006"/>
  </r>
  <r>
    <x v="1"/>
    <x v="3"/>
    <x v="3"/>
    <x v="1"/>
    <x v="44"/>
    <x v="44"/>
    <x v="0"/>
    <n v="1589"/>
    <n v="297.86743300000001"/>
    <n v="1361.6002210000067"/>
    <n v="16569683.449999992"/>
    <n v="343"/>
    <n v="3698827.1099999985"/>
  </r>
  <r>
    <x v="1"/>
    <x v="3"/>
    <x v="3"/>
    <x v="1"/>
    <x v="45"/>
    <x v="45"/>
    <x v="0"/>
    <n v="1491"/>
    <n v="200.69057000000004"/>
    <n v="1680.7542429999971"/>
    <n v="18723128.61999999"/>
    <n v="216"/>
    <n v="2402862.1100000013"/>
  </r>
  <r>
    <x v="1"/>
    <x v="3"/>
    <x v="3"/>
    <x v="1"/>
    <x v="46"/>
    <x v="46"/>
    <x v="0"/>
    <n v="127"/>
    <n v="7.5291960000000007"/>
    <n v="113.82195999999998"/>
    <n v="4904101.8700000038"/>
    <n v="10"/>
    <n v="351048.18"/>
  </r>
  <r>
    <x v="1"/>
    <x v="3"/>
    <x v="3"/>
    <x v="3"/>
    <x v="0"/>
    <x v="0"/>
    <x v="0"/>
    <n v="1749"/>
    <n v="273.79333499999984"/>
    <n v="1606.0917500000066"/>
    <n v="17722900.150000017"/>
    <n v="312"/>
    <n v="2943743.5400000014"/>
  </r>
  <r>
    <x v="1"/>
    <x v="3"/>
    <x v="3"/>
    <x v="3"/>
    <x v="1"/>
    <x v="1"/>
    <x v="0"/>
    <n v="3334"/>
    <n v="545.69197499999996"/>
    <n v="5160.6337809999859"/>
    <n v="90720124.009999529"/>
    <n v="462"/>
    <n v="9157188.4100000001"/>
  </r>
  <r>
    <x v="1"/>
    <x v="3"/>
    <x v="3"/>
    <x v="3"/>
    <x v="2"/>
    <x v="2"/>
    <x v="0"/>
    <n v="1351"/>
    <n v="173.01938799999996"/>
    <n v="1150.4610899999955"/>
    <n v="16257181.300000044"/>
    <n v="206"/>
    <n v="2774847.9300000006"/>
  </r>
  <r>
    <x v="1"/>
    <x v="3"/>
    <x v="3"/>
    <x v="3"/>
    <x v="3"/>
    <x v="3"/>
    <x v="0"/>
    <n v="3203"/>
    <n v="347.31893099999985"/>
    <n v="2635.6890199999862"/>
    <n v="28379826.000000563"/>
    <n v="358"/>
    <n v="4007403.0599999987"/>
  </r>
  <r>
    <x v="1"/>
    <x v="3"/>
    <x v="3"/>
    <x v="3"/>
    <x v="4"/>
    <x v="4"/>
    <x v="0"/>
    <n v="1825"/>
    <n v="258.675543"/>
    <n v="1653.8466560000122"/>
    <n v="16395918.399999995"/>
    <n v="280"/>
    <n v="2598522.9700000002"/>
  </r>
  <r>
    <x v="1"/>
    <x v="3"/>
    <x v="3"/>
    <x v="3"/>
    <x v="5"/>
    <x v="5"/>
    <x v="0"/>
    <n v="517"/>
    <n v="88.797448000000003"/>
    <n v="379.62535400000013"/>
    <n v="4553105.089999998"/>
    <n v="125"/>
    <n v="1061224.0399999998"/>
  </r>
  <r>
    <x v="1"/>
    <x v="3"/>
    <x v="3"/>
    <x v="3"/>
    <x v="6"/>
    <x v="6"/>
    <x v="0"/>
    <n v="1720"/>
    <n v="204.52578999999997"/>
    <n v="1707.0033180000128"/>
    <n v="19392620.340000018"/>
    <n v="254"/>
    <n v="2599291.7800000003"/>
  </r>
  <r>
    <x v="1"/>
    <x v="3"/>
    <x v="3"/>
    <x v="3"/>
    <x v="7"/>
    <x v="7"/>
    <x v="0"/>
    <n v="4409"/>
    <n v="842.11671500000148"/>
    <n v="6213.7473230000023"/>
    <n v="127186029.1500003"/>
    <n v="810"/>
    <n v="16856325.999999993"/>
  </r>
  <r>
    <x v="1"/>
    <x v="3"/>
    <x v="3"/>
    <x v="3"/>
    <x v="8"/>
    <x v="8"/>
    <x v="0"/>
    <n v="200"/>
    <n v="45.062602999999989"/>
    <n v="163.22107100000008"/>
    <n v="2224113.3099999996"/>
    <n v="49"/>
    <n v="685094.70000000007"/>
  </r>
  <r>
    <x v="1"/>
    <x v="3"/>
    <x v="3"/>
    <x v="3"/>
    <x v="9"/>
    <x v="9"/>
    <x v="0"/>
    <n v="1946"/>
    <n v="406.50968299999977"/>
    <n v="1765.2934180000032"/>
    <n v="21023987.250000071"/>
    <n v="456"/>
    <n v="4738075.1800000025"/>
  </r>
  <r>
    <x v="1"/>
    <x v="3"/>
    <x v="3"/>
    <x v="3"/>
    <x v="10"/>
    <x v="10"/>
    <x v="0"/>
    <n v="2334"/>
    <n v="448.80433599999986"/>
    <n v="2677.2696310000065"/>
    <n v="35200464.12999998"/>
    <n v="443"/>
    <n v="5285205.6699999981"/>
  </r>
  <r>
    <x v="0"/>
    <x v="4"/>
    <x v="6"/>
    <x v="7"/>
    <x v="11"/>
    <x v="11"/>
    <x v="0"/>
    <n v="287"/>
    <n v="96.139009774428203"/>
    <n v="280.087963429463"/>
    <n v="5816912.1400000062"/>
    <n v="106"/>
    <n v="1888527.7600000002"/>
  </r>
  <r>
    <x v="1"/>
    <x v="3"/>
    <x v="3"/>
    <x v="3"/>
    <x v="12"/>
    <x v="12"/>
    <x v="0"/>
    <n v="2592"/>
    <n v="504.78975999999972"/>
    <n v="2169.9915290000085"/>
    <n v="24810501.569999967"/>
    <n v="575"/>
    <n v="5715327.4499999993"/>
  </r>
  <r>
    <x v="1"/>
    <x v="3"/>
    <x v="3"/>
    <x v="3"/>
    <x v="13"/>
    <x v="13"/>
    <x v="0"/>
    <n v="1147"/>
    <n v="226.29804300000006"/>
    <n v="1118.789622"/>
    <n v="13263633.149999997"/>
    <n v="224"/>
    <n v="3106426.9999999991"/>
  </r>
  <r>
    <x v="1"/>
    <x v="3"/>
    <x v="3"/>
    <x v="3"/>
    <x v="14"/>
    <x v="14"/>
    <x v="0"/>
    <n v="193"/>
    <n v="15.147098999999999"/>
    <n v="138.23989200000003"/>
    <n v="1479919.63"/>
    <n v="25"/>
    <n v="158962.29"/>
  </r>
  <r>
    <x v="1"/>
    <x v="3"/>
    <x v="3"/>
    <x v="3"/>
    <x v="15"/>
    <x v="15"/>
    <x v="0"/>
    <n v="863"/>
    <n v="128.90740299999996"/>
    <n v="707.81690999999716"/>
    <n v="7288927.8700000104"/>
    <n v="163"/>
    <n v="1364281.1300000001"/>
  </r>
  <r>
    <x v="1"/>
    <x v="3"/>
    <x v="3"/>
    <x v="3"/>
    <x v="16"/>
    <x v="16"/>
    <x v="0"/>
    <n v="1816"/>
    <n v="332.28053"/>
    <n v="1854.0478899999946"/>
    <n v="19335536.859999985"/>
    <n v="332"/>
    <n v="3382960.0000000023"/>
  </r>
  <r>
    <x v="1"/>
    <x v="3"/>
    <x v="3"/>
    <x v="3"/>
    <x v="17"/>
    <x v="17"/>
    <x v="0"/>
    <n v="1181"/>
    <n v="211.85052499999995"/>
    <n v="1525.8477190000028"/>
    <n v="17033625.960000012"/>
    <n v="196"/>
    <n v="2484581.1399999992"/>
  </r>
  <r>
    <x v="1"/>
    <x v="3"/>
    <x v="3"/>
    <x v="3"/>
    <x v="18"/>
    <x v="18"/>
    <x v="0"/>
    <n v="2943"/>
    <n v="356.73906299999987"/>
    <n v="2629.8289099999874"/>
    <n v="26097643.840000186"/>
    <n v="378"/>
    <n v="3744131.0700000022"/>
  </r>
  <r>
    <x v="1"/>
    <x v="3"/>
    <x v="3"/>
    <x v="3"/>
    <x v="19"/>
    <x v="19"/>
    <x v="0"/>
    <n v="1205"/>
    <n v="290.45842399999998"/>
    <n v="1562.073781000001"/>
    <n v="17946304.619999964"/>
    <n v="296"/>
    <n v="3159901.99"/>
  </r>
  <r>
    <x v="1"/>
    <x v="3"/>
    <x v="3"/>
    <x v="3"/>
    <x v="20"/>
    <x v="20"/>
    <x v="0"/>
    <n v="1165"/>
    <n v="203.17624499999985"/>
    <n v="1141.7986340000045"/>
    <n v="14467923.459999995"/>
    <n v="212"/>
    <n v="2632200.6599999988"/>
  </r>
  <r>
    <x v="1"/>
    <x v="3"/>
    <x v="3"/>
    <x v="3"/>
    <x v="21"/>
    <x v="21"/>
    <x v="0"/>
    <n v="840"/>
    <n v="127.88402499999999"/>
    <n v="612.32822699999576"/>
    <n v="6203248.459999999"/>
    <n v="157"/>
    <n v="1321991.9699999997"/>
  </r>
  <r>
    <x v="1"/>
    <x v="3"/>
    <x v="3"/>
    <x v="3"/>
    <x v="22"/>
    <x v="22"/>
    <x v="0"/>
    <n v="2001"/>
    <n v="413.76902000000013"/>
    <n v="1865.7711340000005"/>
    <n v="27539934.000000004"/>
    <n v="442"/>
    <n v="5784802.6000000024"/>
  </r>
  <r>
    <x v="1"/>
    <x v="3"/>
    <x v="3"/>
    <x v="3"/>
    <x v="23"/>
    <x v="23"/>
    <x v="0"/>
    <n v="184"/>
    <n v="39.128276000000007"/>
    <n v="160.84105499999995"/>
    <n v="2274597.2499999986"/>
    <n v="51"/>
    <n v="530454.80999999994"/>
  </r>
  <r>
    <x v="1"/>
    <x v="3"/>
    <x v="3"/>
    <x v="3"/>
    <x v="24"/>
    <x v="24"/>
    <x v="0"/>
    <n v="495"/>
    <n v="91.799564000000018"/>
    <n v="472.87807300000026"/>
    <n v="5808032.5599999977"/>
    <n v="77"/>
    <n v="1178975.3700000001"/>
  </r>
  <r>
    <x v="1"/>
    <x v="3"/>
    <x v="3"/>
    <x v="3"/>
    <x v="25"/>
    <x v="25"/>
    <x v="0"/>
    <n v="1174"/>
    <n v="177.60952099999989"/>
    <n v="1022.4048369999957"/>
    <n v="12761614.150000021"/>
    <n v="205"/>
    <n v="2041677.1300000006"/>
  </r>
  <r>
    <x v="1"/>
    <x v="3"/>
    <x v="3"/>
    <x v="3"/>
    <x v="26"/>
    <x v="26"/>
    <x v="0"/>
    <n v="885"/>
    <n v="171.02943099999993"/>
    <n v="780.27295199999378"/>
    <n v="9552559.6900000051"/>
    <n v="186"/>
    <n v="1982509.1399999997"/>
  </r>
  <r>
    <x v="1"/>
    <x v="3"/>
    <x v="3"/>
    <x v="3"/>
    <x v="27"/>
    <x v="27"/>
    <x v="0"/>
    <n v="891"/>
    <n v="177.15650799999997"/>
    <n v="694.82612099999778"/>
    <n v="7620775.3899999987"/>
    <n v="212"/>
    <n v="2083694.2000000009"/>
  </r>
  <r>
    <x v="1"/>
    <x v="3"/>
    <x v="3"/>
    <x v="3"/>
    <x v="28"/>
    <x v="28"/>
    <x v="0"/>
    <n v="822"/>
    <n v="132.00899399999997"/>
    <n v="723.44783799999516"/>
    <n v="9332350.4399999883"/>
    <n v="151"/>
    <n v="1953208.8200000005"/>
  </r>
  <r>
    <x v="1"/>
    <x v="3"/>
    <x v="3"/>
    <x v="3"/>
    <x v="29"/>
    <x v="29"/>
    <x v="0"/>
    <n v="709"/>
    <n v="168.11170900000002"/>
    <n v="674.40679699999953"/>
    <n v="10368370.319999993"/>
    <n v="188"/>
    <n v="2290392.21"/>
  </r>
  <r>
    <x v="1"/>
    <x v="3"/>
    <x v="3"/>
    <x v="3"/>
    <x v="30"/>
    <x v="30"/>
    <x v="0"/>
    <n v="630"/>
    <n v="81.492939000000007"/>
    <n v="438.64921100000004"/>
    <n v="5267911.6200000048"/>
    <n v="122"/>
    <n v="979867.09000000008"/>
  </r>
  <r>
    <x v="1"/>
    <x v="3"/>
    <x v="3"/>
    <x v="3"/>
    <x v="31"/>
    <x v="31"/>
    <x v="0"/>
    <n v="1209"/>
    <n v="294.6362919999998"/>
    <n v="1066.5041170000013"/>
    <n v="12944839.119999988"/>
    <n v="355"/>
    <n v="3828863.2499999981"/>
  </r>
  <r>
    <x v="1"/>
    <x v="3"/>
    <x v="3"/>
    <x v="3"/>
    <x v="32"/>
    <x v="32"/>
    <x v="0"/>
    <n v="1773"/>
    <n v="402.8890159999998"/>
    <n v="1777.4386700000055"/>
    <n v="19259749.540000018"/>
    <n v="412"/>
    <n v="4473801.9900000021"/>
  </r>
  <r>
    <x v="1"/>
    <x v="3"/>
    <x v="3"/>
    <x v="3"/>
    <x v="33"/>
    <x v="33"/>
    <x v="0"/>
    <n v="2002"/>
    <n v="275.61057599999981"/>
    <n v="1736.8763880000138"/>
    <n v="17826053.419999961"/>
    <n v="292"/>
    <n v="2916586.1599999997"/>
  </r>
  <r>
    <x v="1"/>
    <x v="3"/>
    <x v="3"/>
    <x v="3"/>
    <x v="34"/>
    <x v="34"/>
    <x v="0"/>
    <n v="30"/>
    <n v="5.5482600000000009"/>
    <n v="21.125085000000002"/>
    <n v="379884.32"/>
    <n v="7"/>
    <n v="84759.6"/>
  </r>
  <r>
    <x v="1"/>
    <x v="3"/>
    <x v="3"/>
    <x v="3"/>
    <x v="35"/>
    <x v="35"/>
    <x v="0"/>
    <n v="1872"/>
    <n v="259.81687199999993"/>
    <n v="1438.6103830000145"/>
    <n v="15191052.100000048"/>
    <n v="287"/>
    <n v="2589185.8999999985"/>
  </r>
  <r>
    <x v="1"/>
    <x v="3"/>
    <x v="3"/>
    <x v="3"/>
    <x v="36"/>
    <x v="36"/>
    <x v="0"/>
    <n v="1473"/>
    <n v="243.54659799999985"/>
    <n v="1328.1454600000079"/>
    <n v="14282253.680000016"/>
    <n v="277"/>
    <n v="2442682.9900000007"/>
  </r>
  <r>
    <x v="1"/>
    <x v="3"/>
    <x v="3"/>
    <x v="3"/>
    <x v="37"/>
    <x v="37"/>
    <x v="0"/>
    <n v="982"/>
    <n v="224.47579900000008"/>
    <n v="994.10280100000068"/>
    <n v="11739794.83"/>
    <n v="254"/>
    <n v="2646900.7600000007"/>
  </r>
  <r>
    <x v="1"/>
    <x v="3"/>
    <x v="3"/>
    <x v="3"/>
    <x v="38"/>
    <x v="38"/>
    <x v="0"/>
    <n v="641"/>
    <n v="96.885700999999983"/>
    <n v="523.94394399999942"/>
    <n v="7655772.9599999953"/>
    <n v="106"/>
    <n v="1057236.3699999996"/>
  </r>
  <r>
    <x v="1"/>
    <x v="3"/>
    <x v="3"/>
    <x v="3"/>
    <x v="39"/>
    <x v="39"/>
    <x v="0"/>
    <n v="1199"/>
    <n v="331.06719599999997"/>
    <n v="1396.5135630000009"/>
    <n v="15159249.709999999"/>
    <n v="324"/>
    <n v="3603018.2300000018"/>
  </r>
  <r>
    <x v="1"/>
    <x v="3"/>
    <x v="3"/>
    <x v="3"/>
    <x v="40"/>
    <x v="40"/>
    <x v="0"/>
    <n v="2333"/>
    <n v="282.90178999999989"/>
    <n v="1960.0954440000144"/>
    <n v="20619725.689999998"/>
    <n v="294"/>
    <n v="3142268.8299999991"/>
  </r>
  <r>
    <x v="1"/>
    <x v="3"/>
    <x v="3"/>
    <x v="3"/>
    <x v="41"/>
    <x v="41"/>
    <x v="0"/>
    <n v="299"/>
    <n v="1.6944710000000001"/>
    <n v="493.98687600000079"/>
    <n v="5703474.9400000013"/>
    <n v="1"/>
    <n v="22021.01"/>
  </r>
  <r>
    <x v="1"/>
    <x v="3"/>
    <x v="3"/>
    <x v="3"/>
    <x v="42"/>
    <x v="42"/>
    <x v="0"/>
    <n v="268"/>
    <n v="44.259812999999994"/>
    <n v="174.80569600000027"/>
    <n v="1946349.4599999997"/>
    <n v="74"/>
    <n v="521957.57000000007"/>
  </r>
  <r>
    <x v="1"/>
    <x v="3"/>
    <x v="3"/>
    <x v="3"/>
    <x v="43"/>
    <x v="43"/>
    <x v="0"/>
    <n v="376"/>
    <n v="111.62423000000001"/>
    <n v="365.91834500000016"/>
    <n v="3940418.3500000034"/>
    <n v="115"/>
    <n v="1143860.49"/>
  </r>
  <r>
    <x v="1"/>
    <x v="3"/>
    <x v="3"/>
    <x v="3"/>
    <x v="44"/>
    <x v="44"/>
    <x v="0"/>
    <n v="1558"/>
    <n v="356.25864800000005"/>
    <n v="1309.9006020000081"/>
    <n v="14855790.099999979"/>
    <n v="370"/>
    <n v="4077809.1099999994"/>
  </r>
  <r>
    <x v="1"/>
    <x v="3"/>
    <x v="3"/>
    <x v="3"/>
    <x v="45"/>
    <x v="45"/>
    <x v="0"/>
    <n v="1480"/>
    <n v="196.12428700000007"/>
    <n v="1548.8161289999923"/>
    <n v="17510666.650000013"/>
    <n v="218"/>
    <n v="2279867.4600000004"/>
  </r>
  <r>
    <x v="1"/>
    <x v="3"/>
    <x v="3"/>
    <x v="3"/>
    <x v="46"/>
    <x v="46"/>
    <x v="0"/>
    <n v="98"/>
    <n v="5.4390020000000003"/>
    <n v="86.174088000000012"/>
    <n v="4334455.8899999997"/>
    <n v="7"/>
    <n v="353162.33999999997"/>
  </r>
  <r>
    <x v="1"/>
    <x v="3"/>
    <x v="3"/>
    <x v="5"/>
    <x v="0"/>
    <x v="0"/>
    <x v="0"/>
    <n v="1655"/>
    <n v="302.18238700000023"/>
    <n v="1529.161078000003"/>
    <n v="17408717.809999987"/>
    <n v="313"/>
    <n v="3410748.8800000008"/>
  </r>
  <r>
    <x v="1"/>
    <x v="3"/>
    <x v="3"/>
    <x v="5"/>
    <x v="1"/>
    <x v="1"/>
    <x v="0"/>
    <n v="3024"/>
    <n v="569.77495700000031"/>
    <n v="4733.9969700000065"/>
    <n v="89499249.569999784"/>
    <n v="430"/>
    <n v="11446394.969999995"/>
  </r>
  <r>
    <x v="1"/>
    <x v="3"/>
    <x v="3"/>
    <x v="5"/>
    <x v="2"/>
    <x v="2"/>
    <x v="0"/>
    <n v="1203"/>
    <n v="172.45219000000006"/>
    <n v="972.09897099999341"/>
    <n v="14599095.9"/>
    <n v="198"/>
    <n v="2966736.6100000008"/>
  </r>
  <r>
    <x v="1"/>
    <x v="3"/>
    <x v="3"/>
    <x v="5"/>
    <x v="3"/>
    <x v="3"/>
    <x v="0"/>
    <n v="3058"/>
    <n v="311.73984499999989"/>
    <n v="2446.511381999997"/>
    <n v="26906997.06000058"/>
    <n v="329"/>
    <n v="3993308.8199999989"/>
  </r>
  <r>
    <x v="1"/>
    <x v="3"/>
    <x v="3"/>
    <x v="5"/>
    <x v="4"/>
    <x v="4"/>
    <x v="0"/>
    <n v="1627"/>
    <n v="237.68527199999988"/>
    <n v="1437.274930000005"/>
    <n v="14609593.369999984"/>
    <n v="272"/>
    <n v="2427917.42"/>
  </r>
  <r>
    <x v="1"/>
    <x v="3"/>
    <x v="3"/>
    <x v="5"/>
    <x v="5"/>
    <x v="5"/>
    <x v="0"/>
    <n v="505"/>
    <n v="108.90697100000001"/>
    <n v="367.93948900000009"/>
    <n v="4725078.2099999972"/>
    <n v="147"/>
    <n v="1193677.3500000001"/>
  </r>
  <r>
    <x v="1"/>
    <x v="3"/>
    <x v="3"/>
    <x v="5"/>
    <x v="6"/>
    <x v="6"/>
    <x v="0"/>
    <n v="1644"/>
    <n v="194.449871"/>
    <n v="1583.0525390000143"/>
    <n v="19566674.440000016"/>
    <n v="227"/>
    <n v="2425121.1600000006"/>
  </r>
  <r>
    <x v="1"/>
    <x v="3"/>
    <x v="3"/>
    <x v="5"/>
    <x v="7"/>
    <x v="7"/>
    <x v="0"/>
    <n v="3956"/>
    <n v="751.92306700000063"/>
    <n v="5529.6247009999906"/>
    <n v="111404715.69000037"/>
    <n v="683"/>
    <n v="17655397.620000001"/>
  </r>
  <r>
    <x v="1"/>
    <x v="3"/>
    <x v="3"/>
    <x v="5"/>
    <x v="8"/>
    <x v="8"/>
    <x v="0"/>
    <n v="210"/>
    <n v="48.12685900000001"/>
    <n v="157.02233300000006"/>
    <n v="2135596.27"/>
    <n v="69"/>
    <n v="667292.14"/>
  </r>
  <r>
    <x v="1"/>
    <x v="3"/>
    <x v="3"/>
    <x v="5"/>
    <x v="9"/>
    <x v="9"/>
    <x v="0"/>
    <n v="1771"/>
    <n v="359.18330499999973"/>
    <n v="1586.384708000005"/>
    <n v="19607772.339999996"/>
    <n v="404"/>
    <n v="4527962.4000000032"/>
  </r>
  <r>
    <x v="1"/>
    <x v="3"/>
    <x v="3"/>
    <x v="5"/>
    <x v="10"/>
    <x v="10"/>
    <x v="0"/>
    <n v="2192"/>
    <n v="384.75189399999925"/>
    <n v="2488.6984690000127"/>
    <n v="33214479.980000049"/>
    <n v="389"/>
    <n v="5068412.8000000026"/>
  </r>
  <r>
    <x v="0"/>
    <x v="4"/>
    <x v="6"/>
    <x v="8"/>
    <x v="11"/>
    <x v="11"/>
    <x v="0"/>
    <n v="326"/>
    <n v="94.525107795002086"/>
    <n v="297.26259521052214"/>
    <n v="6885731.2500000056"/>
    <n v="99"/>
    <n v="2207631.9200000009"/>
  </r>
  <r>
    <x v="1"/>
    <x v="3"/>
    <x v="3"/>
    <x v="5"/>
    <x v="12"/>
    <x v="12"/>
    <x v="0"/>
    <n v="2450"/>
    <n v="488.59171999999973"/>
    <n v="2147.1886290000139"/>
    <n v="26311086.179999985"/>
    <n v="567"/>
    <n v="5723575.5300000049"/>
  </r>
  <r>
    <x v="1"/>
    <x v="3"/>
    <x v="3"/>
    <x v="5"/>
    <x v="13"/>
    <x v="13"/>
    <x v="0"/>
    <n v="1205"/>
    <n v="198.96059999999991"/>
    <n v="1099.8843690000008"/>
    <n v="14023604.750000007"/>
    <n v="208"/>
    <n v="3054754.580000001"/>
  </r>
  <r>
    <x v="1"/>
    <x v="3"/>
    <x v="3"/>
    <x v="5"/>
    <x v="14"/>
    <x v="14"/>
    <x v="0"/>
    <n v="191"/>
    <n v="20.473516999999998"/>
    <n v="158.52985099999992"/>
    <n v="1656881.8799999992"/>
    <n v="26"/>
    <n v="215113.74999999997"/>
  </r>
  <r>
    <x v="1"/>
    <x v="3"/>
    <x v="3"/>
    <x v="5"/>
    <x v="15"/>
    <x v="15"/>
    <x v="0"/>
    <n v="784"/>
    <n v="134.39924800000006"/>
    <n v="660.71099899999626"/>
    <n v="7122001.5399999944"/>
    <n v="157"/>
    <n v="1356301.6200000006"/>
  </r>
  <r>
    <x v="1"/>
    <x v="3"/>
    <x v="3"/>
    <x v="5"/>
    <x v="16"/>
    <x v="16"/>
    <x v="0"/>
    <n v="1706"/>
    <n v="306.63478699999968"/>
    <n v="1859.968443999991"/>
    <n v="19652513.170000009"/>
    <n v="307"/>
    <n v="3126223.4000000022"/>
  </r>
  <r>
    <x v="1"/>
    <x v="3"/>
    <x v="3"/>
    <x v="5"/>
    <x v="17"/>
    <x v="17"/>
    <x v="0"/>
    <n v="1175"/>
    <n v="204.32075499999985"/>
    <n v="1428.0562729999986"/>
    <n v="15020668.689999999"/>
    <n v="213"/>
    <n v="2207473.91"/>
  </r>
  <r>
    <x v="1"/>
    <x v="3"/>
    <x v="3"/>
    <x v="5"/>
    <x v="18"/>
    <x v="18"/>
    <x v="0"/>
    <n v="2734"/>
    <n v="313.05576699999978"/>
    <n v="2497.5197819999976"/>
    <n v="25095582.300000254"/>
    <n v="358"/>
    <n v="3178606.5299999979"/>
  </r>
  <r>
    <x v="1"/>
    <x v="3"/>
    <x v="3"/>
    <x v="5"/>
    <x v="19"/>
    <x v="19"/>
    <x v="0"/>
    <n v="1173"/>
    <n v="269.55244099999987"/>
    <n v="1530.6558469999989"/>
    <n v="19020230.850000016"/>
    <n v="288"/>
    <n v="3506133.0500000012"/>
  </r>
  <r>
    <x v="1"/>
    <x v="3"/>
    <x v="3"/>
    <x v="5"/>
    <x v="20"/>
    <x v="20"/>
    <x v="0"/>
    <n v="1058"/>
    <n v="196.30904299999997"/>
    <n v="996.74052899999697"/>
    <n v="13429688.899999993"/>
    <n v="230"/>
    <n v="2379629.6600000011"/>
  </r>
  <r>
    <x v="1"/>
    <x v="3"/>
    <x v="3"/>
    <x v="5"/>
    <x v="21"/>
    <x v="21"/>
    <x v="0"/>
    <n v="815"/>
    <n v="131.88206400000001"/>
    <n v="571.19009799999583"/>
    <n v="6222283.5300000003"/>
    <n v="169"/>
    <n v="1502826.4799999993"/>
  </r>
  <r>
    <x v="1"/>
    <x v="3"/>
    <x v="3"/>
    <x v="5"/>
    <x v="22"/>
    <x v="22"/>
    <x v="0"/>
    <n v="1941"/>
    <n v="380.31573799999961"/>
    <n v="1867.1176340000052"/>
    <n v="28761308.989999957"/>
    <n v="435"/>
    <n v="5398609.9799999958"/>
  </r>
  <r>
    <x v="1"/>
    <x v="3"/>
    <x v="3"/>
    <x v="5"/>
    <x v="23"/>
    <x v="23"/>
    <x v="0"/>
    <n v="160"/>
    <n v="41.630952999999991"/>
    <n v="144.64060000000006"/>
    <n v="1843727.439999999"/>
    <n v="51"/>
    <n v="597436.00999999989"/>
  </r>
  <r>
    <x v="1"/>
    <x v="3"/>
    <x v="3"/>
    <x v="5"/>
    <x v="24"/>
    <x v="24"/>
    <x v="0"/>
    <n v="511"/>
    <n v="112.35109499999997"/>
    <n v="490.25174099999981"/>
    <n v="5872423.7199999979"/>
    <n v="94"/>
    <n v="1282033.0000000005"/>
  </r>
  <r>
    <x v="1"/>
    <x v="3"/>
    <x v="3"/>
    <x v="5"/>
    <x v="25"/>
    <x v="25"/>
    <x v="0"/>
    <n v="1113"/>
    <n v="180.11929199999989"/>
    <n v="938.52473099999588"/>
    <n v="11278819.49000003"/>
    <n v="215"/>
    <n v="2189556.4100000006"/>
  </r>
  <r>
    <x v="1"/>
    <x v="3"/>
    <x v="3"/>
    <x v="5"/>
    <x v="26"/>
    <x v="26"/>
    <x v="0"/>
    <n v="906"/>
    <n v="170.38085799999999"/>
    <n v="799.01711499999408"/>
    <n v="9931427.8299999945"/>
    <n v="201"/>
    <n v="1860507.35"/>
  </r>
  <r>
    <x v="1"/>
    <x v="3"/>
    <x v="3"/>
    <x v="5"/>
    <x v="27"/>
    <x v="27"/>
    <x v="0"/>
    <n v="846"/>
    <n v="145.91360799999995"/>
    <n v="631.68715899999847"/>
    <n v="7207764.1300000083"/>
    <n v="192"/>
    <n v="1761844.4199999995"/>
  </r>
  <r>
    <x v="1"/>
    <x v="3"/>
    <x v="3"/>
    <x v="5"/>
    <x v="28"/>
    <x v="28"/>
    <x v="0"/>
    <n v="761"/>
    <n v="91.013931000000014"/>
    <n v="628.53583199999593"/>
    <n v="8028343.5099999961"/>
    <n v="119"/>
    <n v="1182536.0600000003"/>
  </r>
  <r>
    <x v="1"/>
    <x v="3"/>
    <x v="3"/>
    <x v="5"/>
    <x v="29"/>
    <x v="29"/>
    <x v="0"/>
    <n v="674"/>
    <n v="189.6544989999999"/>
    <n v="645.93007499999987"/>
    <n v="11905259.290000001"/>
    <n v="210"/>
    <n v="2984700.7500000009"/>
  </r>
  <r>
    <x v="1"/>
    <x v="3"/>
    <x v="3"/>
    <x v="5"/>
    <x v="30"/>
    <x v="30"/>
    <x v="0"/>
    <n v="598"/>
    <n v="89.454052000000033"/>
    <n v="447.4623949999999"/>
    <n v="5484170.3400000036"/>
    <n v="113"/>
    <n v="1153800.04"/>
  </r>
  <r>
    <x v="1"/>
    <x v="3"/>
    <x v="3"/>
    <x v="5"/>
    <x v="31"/>
    <x v="31"/>
    <x v="0"/>
    <n v="1127"/>
    <n v="277.12386100000009"/>
    <n v="961.63245500000119"/>
    <n v="11791407.360000009"/>
    <n v="340"/>
    <n v="3514262.0000000005"/>
  </r>
  <r>
    <x v="1"/>
    <x v="3"/>
    <x v="3"/>
    <x v="5"/>
    <x v="32"/>
    <x v="32"/>
    <x v="0"/>
    <n v="1737"/>
    <n v="419.98059000000006"/>
    <n v="1754.3006080000018"/>
    <n v="19520449.619999997"/>
    <n v="444"/>
    <n v="4745012.6599999992"/>
  </r>
  <r>
    <x v="1"/>
    <x v="3"/>
    <x v="3"/>
    <x v="5"/>
    <x v="33"/>
    <x v="33"/>
    <x v="0"/>
    <n v="1867"/>
    <n v="242.91921699999983"/>
    <n v="1583.4255520000154"/>
    <n v="17215601.799999945"/>
    <n v="262"/>
    <n v="2840258.7500000005"/>
  </r>
  <r>
    <x v="1"/>
    <x v="3"/>
    <x v="3"/>
    <x v="5"/>
    <x v="34"/>
    <x v="34"/>
    <x v="0"/>
    <n v="31"/>
    <n v="9.6562460000000012"/>
    <n v="23.005759000000005"/>
    <n v="351780.13"/>
    <n v="14"/>
    <n v="157689.62"/>
  </r>
  <r>
    <x v="1"/>
    <x v="3"/>
    <x v="3"/>
    <x v="5"/>
    <x v="35"/>
    <x v="35"/>
    <x v="0"/>
    <n v="1741"/>
    <n v="271.28158799999994"/>
    <n v="1387.1600460000129"/>
    <n v="15033215.150000013"/>
    <n v="281"/>
    <n v="2968606.8200000003"/>
  </r>
  <r>
    <x v="1"/>
    <x v="3"/>
    <x v="3"/>
    <x v="5"/>
    <x v="36"/>
    <x v="36"/>
    <x v="0"/>
    <n v="1427"/>
    <n v="271.82778399999995"/>
    <n v="1236.0426740000082"/>
    <n v="13417046.740000002"/>
    <n v="298"/>
    <n v="3064563.1900000004"/>
  </r>
  <r>
    <x v="1"/>
    <x v="3"/>
    <x v="3"/>
    <x v="5"/>
    <x v="37"/>
    <x v="37"/>
    <x v="0"/>
    <n v="960"/>
    <n v="224.97179699999984"/>
    <n v="940.1864160000008"/>
    <n v="10765971.769999998"/>
    <n v="265"/>
    <n v="2546175.5100000012"/>
  </r>
  <r>
    <x v="1"/>
    <x v="3"/>
    <x v="3"/>
    <x v="5"/>
    <x v="38"/>
    <x v="38"/>
    <x v="0"/>
    <n v="635"/>
    <n v="91.956139000000007"/>
    <n v="494.75278199999951"/>
    <n v="6761403.879999998"/>
    <n v="114"/>
    <n v="985933.97000000032"/>
  </r>
  <r>
    <x v="1"/>
    <x v="3"/>
    <x v="3"/>
    <x v="5"/>
    <x v="39"/>
    <x v="39"/>
    <x v="0"/>
    <n v="1081"/>
    <n v="312.48050300000011"/>
    <n v="1208.0226920000032"/>
    <n v="13117100.720000004"/>
    <n v="328"/>
    <n v="3268042.3099999996"/>
  </r>
  <r>
    <x v="1"/>
    <x v="3"/>
    <x v="3"/>
    <x v="5"/>
    <x v="40"/>
    <x v="40"/>
    <x v="0"/>
    <n v="2250"/>
    <n v="276.05084000000011"/>
    <n v="1866.4368610000099"/>
    <n v="20942535.200000007"/>
    <n v="329"/>
    <n v="3086207.7900000005"/>
  </r>
  <r>
    <x v="1"/>
    <x v="3"/>
    <x v="3"/>
    <x v="5"/>
    <x v="41"/>
    <x v="41"/>
    <x v="0"/>
    <n v="313"/>
    <n v="4.5835379999999999"/>
    <n v="511.98990400000076"/>
    <n v="5607635.959999999"/>
    <n v="3"/>
    <n v="83475.03"/>
  </r>
  <r>
    <x v="1"/>
    <x v="3"/>
    <x v="3"/>
    <x v="5"/>
    <x v="42"/>
    <x v="42"/>
    <x v="0"/>
    <n v="232"/>
    <n v="48.482855000000001"/>
    <n v="157.72551100000004"/>
    <n v="1695572.3399999996"/>
    <n v="80"/>
    <n v="584854.43999999983"/>
  </r>
  <r>
    <x v="1"/>
    <x v="3"/>
    <x v="3"/>
    <x v="5"/>
    <x v="43"/>
    <x v="43"/>
    <x v="0"/>
    <n v="323"/>
    <n v="86.124062999999978"/>
    <n v="352.8615430000001"/>
    <n v="3616589.75"/>
    <n v="80"/>
    <n v="753277.47"/>
  </r>
  <r>
    <x v="1"/>
    <x v="3"/>
    <x v="3"/>
    <x v="5"/>
    <x v="44"/>
    <x v="44"/>
    <x v="0"/>
    <n v="1529"/>
    <n v="346.76649299999946"/>
    <n v="1301.1865240000081"/>
    <n v="14658815.350000016"/>
    <n v="365"/>
    <n v="3923097.399999999"/>
  </r>
  <r>
    <x v="1"/>
    <x v="3"/>
    <x v="3"/>
    <x v="5"/>
    <x v="45"/>
    <x v="45"/>
    <x v="0"/>
    <n v="1560"/>
    <n v="209.39036300000004"/>
    <n v="1799.241257999988"/>
    <n v="19419258.079999994"/>
    <n v="227"/>
    <n v="2225305.09"/>
  </r>
  <r>
    <x v="1"/>
    <x v="3"/>
    <x v="3"/>
    <x v="5"/>
    <x v="46"/>
    <x v="46"/>
    <x v="0"/>
    <n v="109"/>
    <n v="2.4998309999999999"/>
    <n v="98.454217999999955"/>
    <n v="5184812.0299999984"/>
    <n v="3"/>
    <n v="94816.09"/>
  </r>
  <r>
    <x v="1"/>
    <x v="3"/>
    <x v="3"/>
    <x v="0"/>
    <x v="0"/>
    <x v="0"/>
    <x v="0"/>
    <n v="1662"/>
    <n v="279.96650399999982"/>
    <n v="1519.276237000005"/>
    <n v="15903077.080000017"/>
    <n v="301"/>
    <n v="2887930.03"/>
  </r>
  <r>
    <x v="1"/>
    <x v="3"/>
    <x v="3"/>
    <x v="0"/>
    <x v="1"/>
    <x v="1"/>
    <x v="0"/>
    <n v="2987"/>
    <n v="561.46284499999967"/>
    <n v="4969.8333999999868"/>
    <n v="97657333.109999761"/>
    <n v="447"/>
    <n v="11073200.090000002"/>
  </r>
  <r>
    <x v="1"/>
    <x v="3"/>
    <x v="3"/>
    <x v="0"/>
    <x v="2"/>
    <x v="2"/>
    <x v="0"/>
    <n v="1328"/>
    <n v="193.94124800000014"/>
    <n v="1188.9457200000018"/>
    <n v="18585095.430000018"/>
    <n v="225"/>
    <n v="3071158.2499999991"/>
  </r>
  <r>
    <x v="1"/>
    <x v="3"/>
    <x v="3"/>
    <x v="0"/>
    <x v="3"/>
    <x v="3"/>
    <x v="0"/>
    <n v="3056"/>
    <n v="338.09446899999989"/>
    <n v="2613.0292279999881"/>
    <n v="28184382.010000572"/>
    <n v="317"/>
    <n v="4390221.8299999982"/>
  </r>
  <r>
    <x v="1"/>
    <x v="3"/>
    <x v="3"/>
    <x v="0"/>
    <x v="4"/>
    <x v="4"/>
    <x v="0"/>
    <n v="1758"/>
    <n v="267.60578599999997"/>
    <n v="1584.5029790000074"/>
    <n v="15793950.690000007"/>
    <n v="289"/>
    <n v="2924430.6399999987"/>
  </r>
  <r>
    <x v="1"/>
    <x v="3"/>
    <x v="3"/>
    <x v="0"/>
    <x v="5"/>
    <x v="5"/>
    <x v="0"/>
    <n v="541"/>
    <n v="110.65730100000005"/>
    <n v="426.38675199999966"/>
    <n v="5102519.2399999928"/>
    <n v="142"/>
    <n v="1295748.5599999998"/>
  </r>
  <r>
    <x v="1"/>
    <x v="3"/>
    <x v="3"/>
    <x v="0"/>
    <x v="6"/>
    <x v="6"/>
    <x v="0"/>
    <n v="1771"/>
    <n v="264.9643410000001"/>
    <n v="1793.48152400001"/>
    <n v="21512781.950000025"/>
    <n v="279"/>
    <n v="3385709.709999999"/>
  </r>
  <r>
    <x v="1"/>
    <x v="3"/>
    <x v="3"/>
    <x v="0"/>
    <x v="7"/>
    <x v="7"/>
    <x v="0"/>
    <n v="4242"/>
    <n v="815.66238700000042"/>
    <n v="5979.4238129999885"/>
    <n v="118537690.75000007"/>
    <n v="778"/>
    <n v="16263164.500000009"/>
  </r>
  <r>
    <x v="1"/>
    <x v="3"/>
    <x v="3"/>
    <x v="0"/>
    <x v="8"/>
    <x v="8"/>
    <x v="0"/>
    <n v="213"/>
    <n v="47.78811300000001"/>
    <n v="151.27280600000012"/>
    <n v="2187818.9899999998"/>
    <n v="64"/>
    <n v="659223.64"/>
  </r>
  <r>
    <x v="1"/>
    <x v="3"/>
    <x v="3"/>
    <x v="0"/>
    <x v="9"/>
    <x v="9"/>
    <x v="0"/>
    <n v="2010"/>
    <n v="428.56174199999981"/>
    <n v="1867.1042210000044"/>
    <n v="22931885.610000044"/>
    <n v="492"/>
    <n v="5651155.4200000018"/>
  </r>
  <r>
    <x v="1"/>
    <x v="3"/>
    <x v="3"/>
    <x v="0"/>
    <x v="10"/>
    <x v="10"/>
    <x v="0"/>
    <n v="2329"/>
    <n v="405.3621619999999"/>
    <n v="2912.2129220000102"/>
    <n v="41098759.099999964"/>
    <n v="403"/>
    <n v="5651293.8299999973"/>
  </r>
  <r>
    <x v="0"/>
    <x v="4"/>
    <x v="6"/>
    <x v="9"/>
    <x v="11"/>
    <x v="11"/>
    <x v="0"/>
    <n v="310"/>
    <n v="77.753371008806752"/>
    <n v="274.37879550224318"/>
    <n v="6346846.3800000018"/>
    <n v="90"/>
    <n v="2226447.6300000008"/>
  </r>
  <r>
    <x v="1"/>
    <x v="3"/>
    <x v="3"/>
    <x v="0"/>
    <x v="12"/>
    <x v="12"/>
    <x v="0"/>
    <n v="2515"/>
    <n v="551.6364119999995"/>
    <n v="2256.010563000013"/>
    <n v="28736003.810000055"/>
    <n v="579"/>
    <n v="7090124.5999999968"/>
  </r>
  <r>
    <x v="1"/>
    <x v="3"/>
    <x v="3"/>
    <x v="0"/>
    <x v="13"/>
    <x v="13"/>
    <x v="0"/>
    <n v="1216"/>
    <n v="181.77401899999998"/>
    <n v="1126.0831720000024"/>
    <n v="13145750.689999996"/>
    <n v="197"/>
    <n v="2337625.4"/>
  </r>
  <r>
    <x v="1"/>
    <x v="3"/>
    <x v="3"/>
    <x v="0"/>
    <x v="14"/>
    <x v="14"/>
    <x v="0"/>
    <n v="212"/>
    <n v="20.191881000000002"/>
    <n v="169.7565000000001"/>
    <n v="1828003.4100000001"/>
    <n v="27"/>
    <n v="225487.69999999998"/>
  </r>
  <r>
    <x v="1"/>
    <x v="3"/>
    <x v="3"/>
    <x v="0"/>
    <x v="15"/>
    <x v="15"/>
    <x v="0"/>
    <n v="792"/>
    <n v="143.67924400000004"/>
    <n v="684.14073599999631"/>
    <n v="7223762.7900000066"/>
    <n v="173"/>
    <n v="1421628.2599999998"/>
  </r>
  <r>
    <x v="1"/>
    <x v="3"/>
    <x v="3"/>
    <x v="0"/>
    <x v="16"/>
    <x v="16"/>
    <x v="0"/>
    <n v="1753"/>
    <n v="350.38674600000019"/>
    <n v="1883.563789999994"/>
    <n v="19723582.569999985"/>
    <n v="353"/>
    <n v="3697038.3299999996"/>
  </r>
  <r>
    <x v="1"/>
    <x v="3"/>
    <x v="3"/>
    <x v="0"/>
    <x v="17"/>
    <x v="17"/>
    <x v="0"/>
    <n v="1200"/>
    <n v="186.51897899999997"/>
    <n v="1491.0311810000026"/>
    <n v="16076860.430000035"/>
    <n v="192"/>
    <n v="2214169.9899999998"/>
  </r>
  <r>
    <x v="1"/>
    <x v="3"/>
    <x v="3"/>
    <x v="0"/>
    <x v="18"/>
    <x v="18"/>
    <x v="0"/>
    <n v="2903"/>
    <n v="308.66094200000032"/>
    <n v="2666.8166150000025"/>
    <n v="27273987.130000118"/>
    <n v="389"/>
    <n v="3211975.9099999988"/>
  </r>
  <r>
    <x v="1"/>
    <x v="3"/>
    <x v="3"/>
    <x v="0"/>
    <x v="19"/>
    <x v="19"/>
    <x v="0"/>
    <n v="1364"/>
    <n v="312.97563000000008"/>
    <n v="1788.1637020000021"/>
    <n v="21658107.939999972"/>
    <n v="337"/>
    <n v="3740579.8200000036"/>
  </r>
  <r>
    <x v="1"/>
    <x v="3"/>
    <x v="3"/>
    <x v="0"/>
    <x v="20"/>
    <x v="20"/>
    <x v="0"/>
    <n v="1060"/>
    <n v="187.58356099999986"/>
    <n v="1048.4514030000009"/>
    <n v="14558046.169999983"/>
    <n v="205"/>
    <n v="2518172.2699999991"/>
  </r>
  <r>
    <x v="1"/>
    <x v="3"/>
    <x v="3"/>
    <x v="0"/>
    <x v="21"/>
    <x v="21"/>
    <x v="0"/>
    <n v="849"/>
    <n v="140.80365700000002"/>
    <n v="596.10129099999585"/>
    <n v="7339502.9900000021"/>
    <n v="176"/>
    <n v="1722005.25"/>
  </r>
  <r>
    <x v="1"/>
    <x v="3"/>
    <x v="3"/>
    <x v="0"/>
    <x v="22"/>
    <x v="22"/>
    <x v="0"/>
    <n v="1977"/>
    <n v="381.21531399999986"/>
    <n v="1930.8470620000007"/>
    <n v="32653282.690000005"/>
    <n v="423"/>
    <n v="5876585.6600000029"/>
  </r>
  <r>
    <x v="1"/>
    <x v="3"/>
    <x v="3"/>
    <x v="0"/>
    <x v="23"/>
    <x v="23"/>
    <x v="0"/>
    <n v="176"/>
    <n v="47.236328"/>
    <n v="157.65813300000002"/>
    <n v="2015603.4899999984"/>
    <n v="54"/>
    <n v="624427.71"/>
  </r>
  <r>
    <x v="1"/>
    <x v="3"/>
    <x v="3"/>
    <x v="0"/>
    <x v="24"/>
    <x v="24"/>
    <x v="0"/>
    <n v="530"/>
    <n v="97.271815999999973"/>
    <n v="471.13151599999964"/>
    <n v="6210543.4500000011"/>
    <n v="108"/>
    <n v="1370418.27"/>
  </r>
  <r>
    <x v="1"/>
    <x v="3"/>
    <x v="3"/>
    <x v="0"/>
    <x v="25"/>
    <x v="25"/>
    <x v="0"/>
    <n v="1188"/>
    <n v="204.676762"/>
    <n v="1038.7459479999966"/>
    <n v="12799128.900000008"/>
    <n v="238"/>
    <n v="2380670.5500000017"/>
  </r>
  <r>
    <x v="1"/>
    <x v="3"/>
    <x v="3"/>
    <x v="0"/>
    <x v="26"/>
    <x v="26"/>
    <x v="0"/>
    <n v="957"/>
    <n v="167.15419999999997"/>
    <n v="858.77410099999452"/>
    <n v="10722094.310000008"/>
    <n v="171"/>
    <n v="2059603.7200000004"/>
  </r>
  <r>
    <x v="1"/>
    <x v="3"/>
    <x v="3"/>
    <x v="0"/>
    <x v="27"/>
    <x v="27"/>
    <x v="0"/>
    <n v="921"/>
    <n v="161.49963100000002"/>
    <n v="714.25394399999777"/>
    <n v="8123994.9200000037"/>
    <n v="196"/>
    <n v="1863981.5600000008"/>
  </r>
  <r>
    <x v="1"/>
    <x v="3"/>
    <x v="3"/>
    <x v="0"/>
    <x v="28"/>
    <x v="28"/>
    <x v="0"/>
    <n v="861"/>
    <n v="133.93372400000001"/>
    <n v="770.92956299999662"/>
    <n v="9839194.1800000072"/>
    <n v="152"/>
    <n v="1838643.4700000002"/>
  </r>
  <r>
    <x v="1"/>
    <x v="3"/>
    <x v="3"/>
    <x v="0"/>
    <x v="29"/>
    <x v="29"/>
    <x v="0"/>
    <n v="654"/>
    <n v="177.21811599999992"/>
    <n v="640.00943900000004"/>
    <n v="11267981.419999992"/>
    <n v="196"/>
    <n v="2405177.8599999994"/>
  </r>
  <r>
    <x v="1"/>
    <x v="3"/>
    <x v="3"/>
    <x v="0"/>
    <x v="30"/>
    <x v="30"/>
    <x v="0"/>
    <n v="593"/>
    <n v="79.570414000000014"/>
    <n v="451.26654999999954"/>
    <n v="5749301.299999998"/>
    <n v="97"/>
    <n v="956947.95000000007"/>
  </r>
  <r>
    <x v="1"/>
    <x v="3"/>
    <x v="3"/>
    <x v="0"/>
    <x v="31"/>
    <x v="31"/>
    <x v="0"/>
    <n v="1241"/>
    <n v="302.91060400000003"/>
    <n v="1080.7646670000038"/>
    <n v="13593237.280000016"/>
    <n v="345"/>
    <n v="3882283.6099999985"/>
  </r>
  <r>
    <x v="1"/>
    <x v="3"/>
    <x v="3"/>
    <x v="0"/>
    <x v="32"/>
    <x v="32"/>
    <x v="0"/>
    <n v="1883"/>
    <n v="472.57972099999961"/>
    <n v="1969.908328"/>
    <n v="21716540.299999982"/>
    <n v="486"/>
    <n v="5300373.3900000043"/>
  </r>
  <r>
    <x v="1"/>
    <x v="3"/>
    <x v="3"/>
    <x v="0"/>
    <x v="33"/>
    <x v="33"/>
    <x v="0"/>
    <n v="1944"/>
    <n v="235.52910099999986"/>
    <n v="1766.2431970000098"/>
    <n v="19466540.419999953"/>
    <n v="250"/>
    <n v="2609906.5600000005"/>
  </r>
  <r>
    <x v="1"/>
    <x v="3"/>
    <x v="3"/>
    <x v="0"/>
    <x v="34"/>
    <x v="34"/>
    <x v="0"/>
    <n v="32"/>
    <n v="11.305683000000002"/>
    <n v="24.535134000000003"/>
    <n v="398831.71"/>
    <n v="16"/>
    <n v="173511.59999999998"/>
  </r>
  <r>
    <x v="1"/>
    <x v="3"/>
    <x v="3"/>
    <x v="0"/>
    <x v="35"/>
    <x v="35"/>
    <x v="0"/>
    <n v="1703"/>
    <n v="233.91702099999998"/>
    <n v="1411.295966000012"/>
    <n v="16202840.040000021"/>
    <n v="250"/>
    <n v="2857111.069999998"/>
  </r>
  <r>
    <x v="1"/>
    <x v="3"/>
    <x v="3"/>
    <x v="0"/>
    <x v="36"/>
    <x v="36"/>
    <x v="0"/>
    <n v="1525"/>
    <n v="234.9391229999998"/>
    <n v="1322.502117000005"/>
    <n v="13955935.210000006"/>
    <n v="295"/>
    <n v="2311453.1900000009"/>
  </r>
  <r>
    <x v="1"/>
    <x v="3"/>
    <x v="3"/>
    <x v="0"/>
    <x v="37"/>
    <x v="37"/>
    <x v="0"/>
    <n v="1033"/>
    <n v="271.67891299999991"/>
    <n v="1056.6892500000004"/>
    <n v="11956818.189999977"/>
    <n v="317"/>
    <n v="2955712.0899999994"/>
  </r>
  <r>
    <x v="1"/>
    <x v="3"/>
    <x v="3"/>
    <x v="0"/>
    <x v="38"/>
    <x v="38"/>
    <x v="0"/>
    <n v="570"/>
    <n v="92.410990000000083"/>
    <n v="463.3493460000002"/>
    <n v="5844408.9100000067"/>
    <n v="110"/>
    <n v="1172870.19"/>
  </r>
  <r>
    <x v="1"/>
    <x v="3"/>
    <x v="3"/>
    <x v="0"/>
    <x v="39"/>
    <x v="39"/>
    <x v="0"/>
    <n v="1239"/>
    <n v="352.33259399999997"/>
    <n v="1479.6138790000011"/>
    <n v="16629795.940000022"/>
    <n v="329"/>
    <n v="3781784.65"/>
  </r>
  <r>
    <x v="1"/>
    <x v="3"/>
    <x v="3"/>
    <x v="0"/>
    <x v="40"/>
    <x v="40"/>
    <x v="0"/>
    <n v="2328"/>
    <n v="285.57347899999991"/>
    <n v="1938.2536980000091"/>
    <n v="21340193.560000014"/>
    <n v="296"/>
    <n v="2746020.08"/>
  </r>
  <r>
    <x v="1"/>
    <x v="3"/>
    <x v="3"/>
    <x v="0"/>
    <x v="41"/>
    <x v="41"/>
    <x v="0"/>
    <n v="332"/>
    <n v="4.6101280000000004"/>
    <n v="544.08831100000111"/>
    <n v="6827088.5599999959"/>
    <n v="3"/>
    <n v="38897.589999999997"/>
  </r>
  <r>
    <x v="1"/>
    <x v="3"/>
    <x v="3"/>
    <x v="0"/>
    <x v="42"/>
    <x v="42"/>
    <x v="0"/>
    <n v="255"/>
    <n v="46.864931999999989"/>
    <n v="186.88013600000016"/>
    <n v="1950216.9500000002"/>
    <n v="77"/>
    <n v="508506.01000000007"/>
  </r>
  <r>
    <x v="1"/>
    <x v="3"/>
    <x v="3"/>
    <x v="0"/>
    <x v="43"/>
    <x v="43"/>
    <x v="0"/>
    <n v="306"/>
    <n v="82.954130000000006"/>
    <n v="342.62550000000005"/>
    <n v="3854691.6100000008"/>
    <n v="83"/>
    <n v="1003468.5200000001"/>
  </r>
  <r>
    <x v="1"/>
    <x v="3"/>
    <x v="3"/>
    <x v="0"/>
    <x v="44"/>
    <x v="44"/>
    <x v="0"/>
    <n v="1565"/>
    <n v="305.77664799999991"/>
    <n v="1351.2641010000075"/>
    <n v="14122735.11999999"/>
    <n v="360"/>
    <n v="3209633.43"/>
  </r>
  <r>
    <x v="1"/>
    <x v="3"/>
    <x v="3"/>
    <x v="0"/>
    <x v="45"/>
    <x v="45"/>
    <x v="0"/>
    <n v="1463"/>
    <n v="205.23224999999994"/>
    <n v="1784.954810999991"/>
    <n v="20073333.84"/>
    <n v="210"/>
    <n v="2455838.2199999993"/>
  </r>
  <r>
    <x v="1"/>
    <x v="3"/>
    <x v="3"/>
    <x v="0"/>
    <x v="46"/>
    <x v="46"/>
    <x v="0"/>
    <n v="124"/>
    <n v="11.179068000000003"/>
    <n v="105.23307099999995"/>
    <n v="4375759.0000000009"/>
    <n v="16"/>
    <n v="510473.97"/>
  </r>
  <r>
    <x v="1"/>
    <x v="3"/>
    <x v="3"/>
    <x v="2"/>
    <x v="0"/>
    <x v="0"/>
    <x v="0"/>
    <n v="1668"/>
    <n v="287.7981759999999"/>
    <n v="1544.8822400000054"/>
    <n v="15495525.900000012"/>
    <n v="317"/>
    <n v="2937462.78"/>
  </r>
  <r>
    <x v="1"/>
    <x v="3"/>
    <x v="3"/>
    <x v="2"/>
    <x v="1"/>
    <x v="1"/>
    <x v="0"/>
    <n v="2875"/>
    <n v="604.67510099999993"/>
    <n v="4573.8198559999873"/>
    <n v="91581932.680000067"/>
    <n v="463"/>
    <n v="11176060.319999995"/>
  </r>
  <r>
    <x v="1"/>
    <x v="3"/>
    <x v="3"/>
    <x v="2"/>
    <x v="2"/>
    <x v="2"/>
    <x v="0"/>
    <n v="1263"/>
    <n v="238.94035699999989"/>
    <n v="1054.9630209999959"/>
    <n v="18916362.340000011"/>
    <n v="241"/>
    <n v="4652919.7700000023"/>
  </r>
  <r>
    <x v="1"/>
    <x v="3"/>
    <x v="3"/>
    <x v="2"/>
    <x v="3"/>
    <x v="3"/>
    <x v="0"/>
    <n v="2991"/>
    <n v="335.20824099999976"/>
    <n v="2502.1983949999908"/>
    <n v="27703569.950000286"/>
    <n v="333"/>
    <n v="3856512.0300000003"/>
  </r>
  <r>
    <x v="1"/>
    <x v="3"/>
    <x v="3"/>
    <x v="2"/>
    <x v="4"/>
    <x v="4"/>
    <x v="0"/>
    <n v="1612"/>
    <n v="263.3481559999999"/>
    <n v="1448.0024330000062"/>
    <n v="15532959.089999974"/>
    <n v="288"/>
    <n v="2869607.089999998"/>
  </r>
  <r>
    <x v="1"/>
    <x v="3"/>
    <x v="3"/>
    <x v="2"/>
    <x v="5"/>
    <x v="5"/>
    <x v="0"/>
    <n v="474"/>
    <n v="96.702546000000012"/>
    <n v="368.7547110000001"/>
    <n v="4260355.3199999975"/>
    <n v="130"/>
    <n v="1086400.1299999997"/>
  </r>
  <r>
    <x v="1"/>
    <x v="3"/>
    <x v="3"/>
    <x v="2"/>
    <x v="6"/>
    <x v="6"/>
    <x v="0"/>
    <n v="1598"/>
    <n v="215.25928400000004"/>
    <n v="1672.3626030000109"/>
    <n v="21466848.510000009"/>
    <n v="249"/>
    <n v="2744150.7899999968"/>
  </r>
  <r>
    <x v="1"/>
    <x v="3"/>
    <x v="3"/>
    <x v="2"/>
    <x v="7"/>
    <x v="7"/>
    <x v="0"/>
    <n v="4134"/>
    <n v="840.90516600000001"/>
    <n v="5919.5759829999806"/>
    <n v="116896440.06999989"/>
    <n v="749"/>
    <n v="18286122.249999993"/>
  </r>
  <r>
    <x v="1"/>
    <x v="3"/>
    <x v="3"/>
    <x v="2"/>
    <x v="8"/>
    <x v="8"/>
    <x v="0"/>
    <n v="191"/>
    <n v="36.290760000000006"/>
    <n v="139.82357500000001"/>
    <n v="2300170.14"/>
    <n v="52"/>
    <n v="599541.22000000009"/>
  </r>
  <r>
    <x v="1"/>
    <x v="3"/>
    <x v="3"/>
    <x v="2"/>
    <x v="9"/>
    <x v="9"/>
    <x v="0"/>
    <n v="1877"/>
    <n v="424.44105700000011"/>
    <n v="1837.8981350000015"/>
    <n v="22365438.949999984"/>
    <n v="448"/>
    <n v="5317507.2000000039"/>
  </r>
  <r>
    <x v="1"/>
    <x v="3"/>
    <x v="3"/>
    <x v="2"/>
    <x v="10"/>
    <x v="10"/>
    <x v="0"/>
    <n v="2295"/>
    <n v="403.45587100000012"/>
    <n v="2668.811011000018"/>
    <n v="38560552.910000056"/>
    <n v="407"/>
    <n v="5946313.6199999992"/>
  </r>
  <r>
    <x v="0"/>
    <x v="4"/>
    <x v="6"/>
    <x v="10"/>
    <x v="11"/>
    <x v="11"/>
    <x v="0"/>
    <n v="281"/>
    <n v="70.430227102161538"/>
    <n v="243.68790189348766"/>
    <n v="5279233.8299999982"/>
    <n v="77"/>
    <n v="1515827.7500000002"/>
  </r>
  <r>
    <x v="1"/>
    <x v="3"/>
    <x v="3"/>
    <x v="2"/>
    <x v="12"/>
    <x v="12"/>
    <x v="0"/>
    <n v="2437"/>
    <n v="467.10560499999957"/>
    <n v="2169.6981160000037"/>
    <n v="27235740.800000045"/>
    <n v="516"/>
    <n v="5826435.0499999989"/>
  </r>
  <r>
    <x v="1"/>
    <x v="3"/>
    <x v="3"/>
    <x v="2"/>
    <x v="13"/>
    <x v="13"/>
    <x v="0"/>
    <n v="1102"/>
    <n v="165.46876699999999"/>
    <n v="986.11019799999508"/>
    <n v="11956609.459999999"/>
    <n v="207"/>
    <n v="2111239.9900000002"/>
  </r>
  <r>
    <x v="1"/>
    <x v="3"/>
    <x v="3"/>
    <x v="2"/>
    <x v="14"/>
    <x v="14"/>
    <x v="0"/>
    <n v="193"/>
    <n v="22.535670999999997"/>
    <n v="147.61769400000009"/>
    <n v="1517431.14"/>
    <n v="30"/>
    <n v="269782.60999999993"/>
  </r>
  <r>
    <x v="1"/>
    <x v="3"/>
    <x v="3"/>
    <x v="2"/>
    <x v="15"/>
    <x v="15"/>
    <x v="0"/>
    <n v="785"/>
    <n v="113.86246699999994"/>
    <n v="668.61244599999793"/>
    <n v="7772899.2800000003"/>
    <n v="142"/>
    <n v="1263573.4699999993"/>
  </r>
  <r>
    <x v="1"/>
    <x v="3"/>
    <x v="3"/>
    <x v="2"/>
    <x v="16"/>
    <x v="16"/>
    <x v="0"/>
    <n v="1692"/>
    <n v="328.97627799999992"/>
    <n v="1891.1856989999917"/>
    <n v="22052225.039999966"/>
    <n v="338"/>
    <n v="3896361.580000001"/>
  </r>
  <r>
    <x v="1"/>
    <x v="3"/>
    <x v="3"/>
    <x v="2"/>
    <x v="17"/>
    <x v="17"/>
    <x v="0"/>
    <n v="1153"/>
    <n v="216.88819499999994"/>
    <n v="1538.1074820000006"/>
    <n v="16144696.840000013"/>
    <n v="199"/>
    <n v="2258348.3000000007"/>
  </r>
  <r>
    <x v="1"/>
    <x v="3"/>
    <x v="3"/>
    <x v="2"/>
    <x v="18"/>
    <x v="18"/>
    <x v="0"/>
    <n v="2747"/>
    <n v="345.5702549999998"/>
    <n v="2574.3058249999917"/>
    <n v="26380840.780000094"/>
    <n v="390"/>
    <n v="3672660.4899999988"/>
  </r>
  <r>
    <x v="1"/>
    <x v="3"/>
    <x v="3"/>
    <x v="2"/>
    <x v="19"/>
    <x v="19"/>
    <x v="0"/>
    <n v="1150"/>
    <n v="222.41414499999999"/>
    <n v="1522.6304510000029"/>
    <n v="19317599.870000016"/>
    <n v="257"/>
    <n v="2832469.03"/>
  </r>
  <r>
    <x v="1"/>
    <x v="3"/>
    <x v="3"/>
    <x v="2"/>
    <x v="20"/>
    <x v="20"/>
    <x v="0"/>
    <n v="1081"/>
    <n v="153.25083600000008"/>
    <n v="1050.6426369999995"/>
    <n v="15426254.119999992"/>
    <n v="157"/>
    <n v="2247620.4800000014"/>
  </r>
  <r>
    <x v="1"/>
    <x v="3"/>
    <x v="3"/>
    <x v="2"/>
    <x v="21"/>
    <x v="21"/>
    <x v="0"/>
    <n v="711"/>
    <n v="119.95304500000005"/>
    <n v="540.73021399999618"/>
    <n v="6433591.5799999991"/>
    <n v="146"/>
    <n v="1634154.7599999995"/>
  </r>
  <r>
    <x v="1"/>
    <x v="3"/>
    <x v="3"/>
    <x v="2"/>
    <x v="22"/>
    <x v="22"/>
    <x v="0"/>
    <n v="1878"/>
    <n v="338.16447499999941"/>
    <n v="1814.2667490000035"/>
    <n v="30009269.000000019"/>
    <n v="390"/>
    <n v="5108144.4300000034"/>
  </r>
  <r>
    <x v="1"/>
    <x v="3"/>
    <x v="3"/>
    <x v="2"/>
    <x v="23"/>
    <x v="23"/>
    <x v="0"/>
    <n v="167"/>
    <n v="48.572326000000004"/>
    <n v="152.10532000000003"/>
    <n v="2357470.5500000007"/>
    <n v="61"/>
    <n v="810746.33999999973"/>
  </r>
  <r>
    <x v="1"/>
    <x v="3"/>
    <x v="3"/>
    <x v="2"/>
    <x v="24"/>
    <x v="24"/>
    <x v="0"/>
    <n v="523"/>
    <n v="84.718810000000076"/>
    <n v="500.93292400000001"/>
    <n v="6394157.8799999999"/>
    <n v="94"/>
    <n v="1065693.8900000001"/>
  </r>
  <r>
    <x v="1"/>
    <x v="3"/>
    <x v="3"/>
    <x v="2"/>
    <x v="25"/>
    <x v="25"/>
    <x v="0"/>
    <n v="1098"/>
    <n v="195.70509099999998"/>
    <n v="966.72334099999637"/>
    <n v="11755233.489999998"/>
    <n v="214"/>
    <n v="2278645.6199999996"/>
  </r>
  <r>
    <x v="1"/>
    <x v="3"/>
    <x v="3"/>
    <x v="2"/>
    <x v="26"/>
    <x v="26"/>
    <x v="0"/>
    <n v="888"/>
    <n v="159.00970100000001"/>
    <n v="782.6462029999949"/>
    <n v="10349465.840000018"/>
    <n v="179"/>
    <n v="1895309.4899999991"/>
  </r>
  <r>
    <x v="1"/>
    <x v="3"/>
    <x v="3"/>
    <x v="2"/>
    <x v="27"/>
    <x v="27"/>
    <x v="0"/>
    <n v="746"/>
    <n v="132.07323100000002"/>
    <n v="599.07782399999837"/>
    <n v="6740927.0399999879"/>
    <n v="166"/>
    <n v="1729842.5800000005"/>
  </r>
  <r>
    <x v="1"/>
    <x v="3"/>
    <x v="3"/>
    <x v="2"/>
    <x v="28"/>
    <x v="28"/>
    <x v="0"/>
    <n v="755"/>
    <n v="112.72433099999998"/>
    <n v="687.55689999999777"/>
    <n v="9766523.6899999771"/>
    <n v="130"/>
    <n v="1589661.2500000005"/>
  </r>
  <r>
    <x v="1"/>
    <x v="3"/>
    <x v="3"/>
    <x v="2"/>
    <x v="29"/>
    <x v="29"/>
    <x v="0"/>
    <n v="613"/>
    <n v="163.07814499999998"/>
    <n v="653.01278700000046"/>
    <n v="11856735.290000003"/>
    <n v="168"/>
    <n v="2581655.3699999987"/>
  </r>
  <r>
    <x v="1"/>
    <x v="3"/>
    <x v="3"/>
    <x v="2"/>
    <x v="30"/>
    <x v="30"/>
    <x v="0"/>
    <n v="575"/>
    <n v="93.266096000000019"/>
    <n v="424.71673199999969"/>
    <n v="5042864.7500000065"/>
    <n v="114"/>
    <n v="1110304.2899999996"/>
  </r>
  <r>
    <x v="1"/>
    <x v="3"/>
    <x v="3"/>
    <x v="2"/>
    <x v="31"/>
    <x v="31"/>
    <x v="0"/>
    <n v="1158"/>
    <n v="283.25539699999996"/>
    <n v="993.3437209999995"/>
    <n v="12329818.240000011"/>
    <n v="327"/>
    <n v="3650083.2599999988"/>
  </r>
  <r>
    <x v="1"/>
    <x v="3"/>
    <x v="3"/>
    <x v="2"/>
    <x v="32"/>
    <x v="32"/>
    <x v="0"/>
    <n v="1807"/>
    <n v="435.24306100000007"/>
    <n v="1848.3293960000019"/>
    <n v="20461389.21999998"/>
    <n v="436"/>
    <n v="5300315.8900000006"/>
  </r>
  <r>
    <x v="1"/>
    <x v="3"/>
    <x v="3"/>
    <x v="2"/>
    <x v="33"/>
    <x v="33"/>
    <x v="0"/>
    <n v="1885"/>
    <n v="239.69598999999999"/>
    <n v="1684.331510000012"/>
    <n v="18135927.729999945"/>
    <n v="251"/>
    <n v="2450783.8699999987"/>
  </r>
  <r>
    <x v="1"/>
    <x v="3"/>
    <x v="3"/>
    <x v="2"/>
    <x v="34"/>
    <x v="34"/>
    <x v="0"/>
    <n v="36"/>
    <n v="9.5921910000000015"/>
    <n v="29.283154"/>
    <n v="468613.05"/>
    <n v="14"/>
    <n v="172114.58999999997"/>
  </r>
  <r>
    <x v="1"/>
    <x v="3"/>
    <x v="3"/>
    <x v="2"/>
    <x v="35"/>
    <x v="35"/>
    <x v="0"/>
    <n v="1705"/>
    <n v="294.01942299999968"/>
    <n v="1393.2579940000144"/>
    <n v="15332014.280000005"/>
    <n v="306"/>
    <n v="3427377.7599999993"/>
  </r>
  <r>
    <x v="1"/>
    <x v="3"/>
    <x v="3"/>
    <x v="2"/>
    <x v="36"/>
    <x v="36"/>
    <x v="0"/>
    <n v="1432"/>
    <n v="273.80180899999988"/>
    <n v="1267.4205810000042"/>
    <n v="14977746.600000026"/>
    <n v="304"/>
    <n v="2944682.7499999995"/>
  </r>
  <r>
    <x v="1"/>
    <x v="3"/>
    <x v="3"/>
    <x v="2"/>
    <x v="37"/>
    <x v="37"/>
    <x v="0"/>
    <n v="934"/>
    <n v="239.48278499999989"/>
    <n v="935.22923799999933"/>
    <n v="11133654.119999994"/>
    <n v="292"/>
    <n v="3122191.6399999978"/>
  </r>
  <r>
    <x v="1"/>
    <x v="3"/>
    <x v="3"/>
    <x v="2"/>
    <x v="38"/>
    <x v="38"/>
    <x v="0"/>
    <n v="606"/>
    <n v="91.027205999999993"/>
    <n v="489.32971200000009"/>
    <n v="6583955.9399999948"/>
    <n v="110"/>
    <n v="1057100"/>
  </r>
  <r>
    <x v="1"/>
    <x v="3"/>
    <x v="3"/>
    <x v="2"/>
    <x v="39"/>
    <x v="39"/>
    <x v="0"/>
    <n v="1119"/>
    <n v="353.32405599999993"/>
    <n v="1349.8374239999987"/>
    <n v="16209702.459999977"/>
    <n v="345"/>
    <n v="3835980.2100000023"/>
  </r>
  <r>
    <x v="1"/>
    <x v="3"/>
    <x v="3"/>
    <x v="2"/>
    <x v="40"/>
    <x v="40"/>
    <x v="0"/>
    <n v="2144"/>
    <n v="287.67620799999992"/>
    <n v="1817.4103390000105"/>
    <n v="19985503.429999974"/>
    <n v="282"/>
    <n v="2925450.72"/>
  </r>
  <r>
    <x v="1"/>
    <x v="3"/>
    <x v="3"/>
    <x v="2"/>
    <x v="41"/>
    <x v="41"/>
    <x v="0"/>
    <n v="274"/>
    <n v="0"/>
    <n v="465.03014200000069"/>
    <n v="5476893.7700000051"/>
    <n v="0"/>
    <n v="0"/>
  </r>
  <r>
    <x v="1"/>
    <x v="3"/>
    <x v="3"/>
    <x v="2"/>
    <x v="42"/>
    <x v="42"/>
    <x v="0"/>
    <n v="229"/>
    <n v="49.318297999999992"/>
    <n v="152.84258900000012"/>
    <n v="1861779.6300000004"/>
    <n v="82"/>
    <n v="627562.58000000031"/>
  </r>
  <r>
    <x v="1"/>
    <x v="3"/>
    <x v="3"/>
    <x v="2"/>
    <x v="43"/>
    <x v="43"/>
    <x v="0"/>
    <n v="284"/>
    <n v="83.086664999999996"/>
    <n v="309.64529300000004"/>
    <n v="3521691.5300000021"/>
    <n v="80"/>
    <n v="891721.06999999983"/>
  </r>
  <r>
    <x v="1"/>
    <x v="3"/>
    <x v="3"/>
    <x v="2"/>
    <x v="44"/>
    <x v="44"/>
    <x v="0"/>
    <n v="1378"/>
    <n v="273.54335999999972"/>
    <n v="1235.721913000006"/>
    <n v="12572633.689999986"/>
    <n v="307"/>
    <n v="2801005.620000002"/>
  </r>
  <r>
    <x v="1"/>
    <x v="3"/>
    <x v="3"/>
    <x v="2"/>
    <x v="45"/>
    <x v="45"/>
    <x v="0"/>
    <n v="1493"/>
    <n v="188.70616700000005"/>
    <n v="1753.3198309999918"/>
    <n v="20846409.730000012"/>
    <n v="201"/>
    <n v="2604001.4899999993"/>
  </r>
  <r>
    <x v="1"/>
    <x v="3"/>
    <x v="3"/>
    <x v="2"/>
    <x v="46"/>
    <x v="46"/>
    <x v="0"/>
    <n v="122"/>
    <n v="6.7207479999999995"/>
    <n v="109.87410299999995"/>
    <n v="4638991.6000000024"/>
    <n v="10"/>
    <n v="260748.54"/>
  </r>
  <r>
    <x v="1"/>
    <x v="3"/>
    <x v="3"/>
    <x v="4"/>
    <x v="0"/>
    <x v="0"/>
    <x v="0"/>
    <n v="1617"/>
    <n v="292.77386199999995"/>
    <n v="1529.741518000005"/>
    <n v="15614494.640000002"/>
    <n v="318"/>
    <n v="2948904.9999999986"/>
  </r>
  <r>
    <x v="1"/>
    <x v="3"/>
    <x v="3"/>
    <x v="4"/>
    <x v="1"/>
    <x v="1"/>
    <x v="0"/>
    <n v="2901"/>
    <n v="548.243424"/>
    <n v="4749.7874359999805"/>
    <n v="86243011.519999921"/>
    <n v="422"/>
    <n v="8431101.4100000001"/>
  </r>
  <r>
    <x v="1"/>
    <x v="3"/>
    <x v="3"/>
    <x v="4"/>
    <x v="2"/>
    <x v="2"/>
    <x v="0"/>
    <n v="1362"/>
    <n v="219.61071599999997"/>
    <n v="1215.0600479999998"/>
    <n v="18557261.329999968"/>
    <n v="256"/>
    <n v="3521986.98"/>
  </r>
  <r>
    <x v="1"/>
    <x v="3"/>
    <x v="3"/>
    <x v="4"/>
    <x v="3"/>
    <x v="3"/>
    <x v="0"/>
    <n v="3043"/>
    <n v="345.54147200000006"/>
    <n v="2423.366999999977"/>
    <n v="28196358.149999823"/>
    <n v="350"/>
    <n v="4034213.1500000013"/>
  </r>
  <r>
    <x v="1"/>
    <x v="3"/>
    <x v="3"/>
    <x v="4"/>
    <x v="4"/>
    <x v="4"/>
    <x v="0"/>
    <n v="1664"/>
    <n v="302.04427999999973"/>
    <n v="1564.9099660000045"/>
    <n v="16238939.949999977"/>
    <n v="331"/>
    <n v="3554325.5299999989"/>
  </r>
  <r>
    <x v="1"/>
    <x v="3"/>
    <x v="3"/>
    <x v="4"/>
    <x v="5"/>
    <x v="5"/>
    <x v="0"/>
    <n v="468"/>
    <n v="97.314687000000006"/>
    <n v="366.37653500000016"/>
    <n v="4218175.4800000004"/>
    <n v="126"/>
    <n v="1197906.9399999997"/>
  </r>
  <r>
    <x v="1"/>
    <x v="3"/>
    <x v="3"/>
    <x v="4"/>
    <x v="6"/>
    <x v="6"/>
    <x v="0"/>
    <n v="1541"/>
    <n v="200.06041100000002"/>
    <n v="1577.5888950000101"/>
    <n v="18550104.319999956"/>
    <n v="227"/>
    <n v="2669745.0300000007"/>
  </r>
  <r>
    <x v="1"/>
    <x v="3"/>
    <x v="3"/>
    <x v="4"/>
    <x v="7"/>
    <x v="7"/>
    <x v="0"/>
    <n v="4097"/>
    <n v="767.46894000000088"/>
    <n v="5716.9737689999974"/>
    <n v="112756668.23000005"/>
    <n v="758"/>
    <n v="16934762.619999994"/>
  </r>
  <r>
    <x v="1"/>
    <x v="3"/>
    <x v="3"/>
    <x v="4"/>
    <x v="8"/>
    <x v="8"/>
    <x v="0"/>
    <n v="222"/>
    <n v="51.329286999999994"/>
    <n v="167.88990199999998"/>
    <n v="3581444.66"/>
    <n v="71"/>
    <n v="1108553.3900000001"/>
  </r>
  <r>
    <x v="1"/>
    <x v="3"/>
    <x v="3"/>
    <x v="4"/>
    <x v="9"/>
    <x v="9"/>
    <x v="0"/>
    <n v="1980"/>
    <n v="482.75302399999964"/>
    <n v="1856.1340970000001"/>
    <n v="23168114.750000045"/>
    <n v="510"/>
    <n v="5957585.9300000025"/>
  </r>
  <r>
    <x v="1"/>
    <x v="3"/>
    <x v="3"/>
    <x v="4"/>
    <x v="10"/>
    <x v="10"/>
    <x v="0"/>
    <n v="2279"/>
    <n v="397.36561199999966"/>
    <n v="2646.428880000014"/>
    <n v="35279969.269999981"/>
    <n v="391"/>
    <n v="5611379.3100000042"/>
  </r>
  <r>
    <x v="0"/>
    <x v="4"/>
    <x v="6"/>
    <x v="11"/>
    <x v="11"/>
    <x v="11"/>
    <x v="0"/>
    <n v="303"/>
    <n v="64.930554172270888"/>
    <n v="246.81124285367179"/>
    <n v="5491337.3499999996"/>
    <n v="82"/>
    <n v="1352110.2000000002"/>
  </r>
  <r>
    <x v="1"/>
    <x v="3"/>
    <x v="3"/>
    <x v="4"/>
    <x v="12"/>
    <x v="12"/>
    <x v="0"/>
    <n v="2566"/>
    <n v="502.38813499999986"/>
    <n v="2155.0182990000094"/>
    <n v="27070532.76999991"/>
    <n v="604"/>
    <n v="6182378.0900000026"/>
  </r>
  <r>
    <x v="1"/>
    <x v="3"/>
    <x v="3"/>
    <x v="4"/>
    <x v="13"/>
    <x v="13"/>
    <x v="0"/>
    <n v="1155"/>
    <n v="202.37024199999993"/>
    <n v="1058.8908449999967"/>
    <n v="13131279.670000004"/>
    <n v="213"/>
    <n v="3006152.1200000006"/>
  </r>
  <r>
    <x v="1"/>
    <x v="3"/>
    <x v="3"/>
    <x v="4"/>
    <x v="14"/>
    <x v="14"/>
    <x v="0"/>
    <n v="164"/>
    <n v="20.019686999999994"/>
    <n v="121.15480800000007"/>
    <n v="1286733.6599999999"/>
    <n v="28"/>
    <n v="239828.74999999997"/>
  </r>
  <r>
    <x v="1"/>
    <x v="3"/>
    <x v="3"/>
    <x v="4"/>
    <x v="15"/>
    <x v="15"/>
    <x v="0"/>
    <n v="880"/>
    <n v="148.02913099999995"/>
    <n v="688.71981499999595"/>
    <n v="8626516.8499999922"/>
    <n v="186"/>
    <n v="1850281.3000000012"/>
  </r>
  <r>
    <x v="1"/>
    <x v="3"/>
    <x v="3"/>
    <x v="4"/>
    <x v="16"/>
    <x v="16"/>
    <x v="0"/>
    <n v="1724"/>
    <n v="324.61146899999989"/>
    <n v="1727.6705669999926"/>
    <n v="19004898.649999969"/>
    <n v="350"/>
    <n v="3464593.5500000021"/>
  </r>
  <r>
    <x v="1"/>
    <x v="3"/>
    <x v="3"/>
    <x v="4"/>
    <x v="17"/>
    <x v="17"/>
    <x v="0"/>
    <n v="1186"/>
    <n v="215.96502200000009"/>
    <n v="1432.9158229999975"/>
    <n v="15408477.82000001"/>
    <n v="211"/>
    <n v="2345017.2199999997"/>
  </r>
  <r>
    <x v="1"/>
    <x v="3"/>
    <x v="3"/>
    <x v="4"/>
    <x v="18"/>
    <x v="18"/>
    <x v="0"/>
    <n v="2671"/>
    <n v="318.25720299999983"/>
    <n v="2440.7573289999932"/>
    <n v="26187917.550000217"/>
    <n v="372"/>
    <n v="3648793.4200000018"/>
  </r>
  <r>
    <x v="1"/>
    <x v="3"/>
    <x v="3"/>
    <x v="4"/>
    <x v="19"/>
    <x v="19"/>
    <x v="0"/>
    <n v="1153"/>
    <n v="284.39566999999977"/>
    <n v="1530.3713040000011"/>
    <n v="20896104.269999988"/>
    <n v="305"/>
    <n v="4074738.2200000016"/>
  </r>
  <r>
    <x v="1"/>
    <x v="3"/>
    <x v="3"/>
    <x v="4"/>
    <x v="20"/>
    <x v="20"/>
    <x v="0"/>
    <n v="1117"/>
    <n v="208.34541000000013"/>
    <n v="1038.9297350000011"/>
    <n v="14072914.549999984"/>
    <n v="236"/>
    <n v="2619905.0400000005"/>
  </r>
  <r>
    <x v="1"/>
    <x v="3"/>
    <x v="3"/>
    <x v="4"/>
    <x v="21"/>
    <x v="21"/>
    <x v="0"/>
    <n v="691"/>
    <n v="99.646219000000059"/>
    <n v="496.28579000000053"/>
    <n v="6169318.6800000053"/>
    <n v="128"/>
    <n v="1361452.8099999998"/>
  </r>
  <r>
    <x v="1"/>
    <x v="3"/>
    <x v="3"/>
    <x v="4"/>
    <x v="22"/>
    <x v="22"/>
    <x v="0"/>
    <n v="1993"/>
    <n v="396.67325799999981"/>
    <n v="1884.6426970000018"/>
    <n v="33448931.300000049"/>
    <n v="474"/>
    <n v="6886098.7900000056"/>
  </r>
  <r>
    <x v="1"/>
    <x v="3"/>
    <x v="3"/>
    <x v="4"/>
    <x v="23"/>
    <x v="23"/>
    <x v="0"/>
    <n v="148"/>
    <n v="43.233389999999979"/>
    <n v="132.391897"/>
    <n v="2247419.06"/>
    <n v="48"/>
    <n v="897553.44999999984"/>
  </r>
  <r>
    <x v="1"/>
    <x v="3"/>
    <x v="3"/>
    <x v="4"/>
    <x v="24"/>
    <x v="24"/>
    <x v="0"/>
    <n v="499"/>
    <n v="84.37106500000003"/>
    <n v="452.73584900000014"/>
    <n v="6127069.1200000066"/>
    <n v="93"/>
    <n v="1148315.6400000001"/>
  </r>
  <r>
    <x v="1"/>
    <x v="3"/>
    <x v="3"/>
    <x v="4"/>
    <x v="25"/>
    <x v="25"/>
    <x v="0"/>
    <n v="1187"/>
    <n v="214.34501399999991"/>
    <n v="1015.0685269999954"/>
    <n v="12680225.80000001"/>
    <n v="244"/>
    <n v="2663455.1600000011"/>
  </r>
  <r>
    <x v="1"/>
    <x v="3"/>
    <x v="3"/>
    <x v="4"/>
    <x v="26"/>
    <x v="26"/>
    <x v="0"/>
    <n v="890"/>
    <n v="172.21833100000009"/>
    <n v="830.56662299999448"/>
    <n v="11845965.500000007"/>
    <n v="190"/>
    <n v="2293793.9100000029"/>
  </r>
  <r>
    <x v="1"/>
    <x v="3"/>
    <x v="3"/>
    <x v="4"/>
    <x v="27"/>
    <x v="27"/>
    <x v="0"/>
    <n v="803"/>
    <n v="180.01219899999998"/>
    <n v="646.02297999999894"/>
    <n v="6984409.6899999967"/>
    <n v="198"/>
    <n v="2001705.790000001"/>
  </r>
  <r>
    <x v="1"/>
    <x v="3"/>
    <x v="3"/>
    <x v="4"/>
    <x v="28"/>
    <x v="28"/>
    <x v="0"/>
    <n v="781"/>
    <n v="118.765349"/>
    <n v="661.40441199999771"/>
    <n v="10776154.049999988"/>
    <n v="144"/>
    <n v="1983939.3399999994"/>
  </r>
  <r>
    <x v="1"/>
    <x v="3"/>
    <x v="3"/>
    <x v="4"/>
    <x v="29"/>
    <x v="29"/>
    <x v="0"/>
    <n v="618"/>
    <n v="184.77635500000005"/>
    <n v="633.25167200000033"/>
    <n v="12695464.360000005"/>
    <n v="191"/>
    <n v="2851001.4099999988"/>
  </r>
  <r>
    <x v="1"/>
    <x v="3"/>
    <x v="3"/>
    <x v="4"/>
    <x v="30"/>
    <x v="30"/>
    <x v="0"/>
    <n v="543"/>
    <n v="79.77715900000004"/>
    <n v="397.35216999999983"/>
    <n v="4826943.6799999988"/>
    <n v="101"/>
    <n v="972788.09000000032"/>
  </r>
  <r>
    <x v="1"/>
    <x v="3"/>
    <x v="3"/>
    <x v="4"/>
    <x v="31"/>
    <x v="31"/>
    <x v="0"/>
    <n v="1126"/>
    <n v="270.80451799999997"/>
    <n v="969.20563600000071"/>
    <n v="10453092.379999992"/>
    <n v="337"/>
    <n v="2800270.6200000024"/>
  </r>
  <r>
    <x v="1"/>
    <x v="3"/>
    <x v="3"/>
    <x v="4"/>
    <x v="32"/>
    <x v="32"/>
    <x v="0"/>
    <n v="1769"/>
    <n v="478.85713599999985"/>
    <n v="1810.2595779999999"/>
    <n v="18086575.870000016"/>
    <n v="495"/>
    <n v="4870641.2599999979"/>
  </r>
  <r>
    <x v="1"/>
    <x v="3"/>
    <x v="3"/>
    <x v="4"/>
    <x v="33"/>
    <x v="33"/>
    <x v="0"/>
    <n v="1833"/>
    <n v="282.07445500000023"/>
    <n v="1585.0537880000124"/>
    <n v="18078037.089999996"/>
    <n v="298"/>
    <n v="3267028.4300000016"/>
  </r>
  <r>
    <x v="1"/>
    <x v="3"/>
    <x v="3"/>
    <x v="4"/>
    <x v="34"/>
    <x v="34"/>
    <x v="0"/>
    <n v="27"/>
    <n v="7.4760840000000002"/>
    <n v="19.298517"/>
    <n v="287425.91999999998"/>
    <n v="10"/>
    <n v="99833.02"/>
  </r>
  <r>
    <x v="1"/>
    <x v="3"/>
    <x v="3"/>
    <x v="4"/>
    <x v="35"/>
    <x v="35"/>
    <x v="0"/>
    <n v="1717"/>
    <n v="272.33378299999976"/>
    <n v="1375.8422210000101"/>
    <n v="14969586.629999986"/>
    <n v="288"/>
    <n v="3151409.0000000009"/>
  </r>
  <r>
    <x v="1"/>
    <x v="3"/>
    <x v="3"/>
    <x v="4"/>
    <x v="36"/>
    <x v="36"/>
    <x v="0"/>
    <n v="1476"/>
    <n v="297.47983099999976"/>
    <n v="1301.1946190000033"/>
    <n v="13369416.259999992"/>
    <n v="343"/>
    <n v="2960415.9099999978"/>
  </r>
  <r>
    <x v="1"/>
    <x v="3"/>
    <x v="3"/>
    <x v="4"/>
    <x v="37"/>
    <x v="37"/>
    <x v="0"/>
    <n v="987"/>
    <n v="277.01157400000017"/>
    <n v="1008.366622000001"/>
    <n v="11737734.940000009"/>
    <n v="303"/>
    <n v="3198672.6099999989"/>
  </r>
  <r>
    <x v="1"/>
    <x v="3"/>
    <x v="3"/>
    <x v="4"/>
    <x v="38"/>
    <x v="38"/>
    <x v="0"/>
    <n v="672"/>
    <n v="106.30484500000004"/>
    <n v="533.54633099999944"/>
    <n v="7009331.759999997"/>
    <n v="128"/>
    <n v="1486985.5500000003"/>
  </r>
  <r>
    <x v="1"/>
    <x v="3"/>
    <x v="3"/>
    <x v="4"/>
    <x v="39"/>
    <x v="39"/>
    <x v="0"/>
    <n v="1099"/>
    <n v="314.25248199999993"/>
    <n v="1261.8794360000027"/>
    <n v="14681113.909999991"/>
    <n v="329"/>
    <n v="3418787.11"/>
  </r>
  <r>
    <x v="1"/>
    <x v="3"/>
    <x v="3"/>
    <x v="4"/>
    <x v="40"/>
    <x v="40"/>
    <x v="0"/>
    <n v="2242"/>
    <n v="278.96625499999959"/>
    <n v="1828.0917310000098"/>
    <n v="21361243.429999985"/>
    <n v="302"/>
    <n v="3445940.8899999992"/>
  </r>
  <r>
    <x v="1"/>
    <x v="3"/>
    <x v="3"/>
    <x v="4"/>
    <x v="41"/>
    <x v="41"/>
    <x v="0"/>
    <n v="317"/>
    <n v="1.6944710000000001"/>
    <n v="530.31220500000097"/>
    <n v="6091878.4000000022"/>
    <n v="1"/>
    <n v="69172.87"/>
  </r>
  <r>
    <x v="1"/>
    <x v="3"/>
    <x v="3"/>
    <x v="4"/>
    <x v="42"/>
    <x v="42"/>
    <x v="0"/>
    <n v="248"/>
    <n v="41.829852999999993"/>
    <n v="183.84147799999997"/>
    <n v="1856666.07"/>
    <n v="71"/>
    <n v="463674.83"/>
  </r>
  <r>
    <x v="1"/>
    <x v="3"/>
    <x v="3"/>
    <x v="4"/>
    <x v="43"/>
    <x v="43"/>
    <x v="0"/>
    <n v="269"/>
    <n v="76.207601000000039"/>
    <n v="287.54050000000012"/>
    <n v="2980857.1"/>
    <n v="83"/>
    <n v="740734.91"/>
  </r>
  <r>
    <x v="1"/>
    <x v="3"/>
    <x v="3"/>
    <x v="4"/>
    <x v="44"/>
    <x v="44"/>
    <x v="0"/>
    <n v="1538"/>
    <n v="346.28786299999973"/>
    <n v="1316.0242120000096"/>
    <n v="15538622.310000036"/>
    <n v="366"/>
    <n v="4075539.459999999"/>
  </r>
  <r>
    <x v="1"/>
    <x v="3"/>
    <x v="3"/>
    <x v="4"/>
    <x v="45"/>
    <x v="45"/>
    <x v="0"/>
    <n v="1452"/>
    <n v="202.60936499999991"/>
    <n v="1637.3182789999985"/>
    <n v="15525212.59"/>
    <n v="217"/>
    <n v="1710359.5400000005"/>
  </r>
  <r>
    <x v="1"/>
    <x v="3"/>
    <x v="3"/>
    <x v="4"/>
    <x v="46"/>
    <x v="46"/>
    <x v="0"/>
    <n v="111"/>
    <n v="6.229438"/>
    <n v="98.138019"/>
    <n v="4078945.81"/>
    <n v="8"/>
    <n v="328052.51"/>
  </r>
  <r>
    <x v="1"/>
    <x v="3"/>
    <x v="5"/>
    <x v="6"/>
    <x v="0"/>
    <x v="0"/>
    <x v="0"/>
    <n v="1821"/>
    <n v="345.26809499999996"/>
    <n v="1657.7495450000038"/>
    <n v="15862328.260000002"/>
    <n v="395"/>
    <n v="3351373.3800000004"/>
  </r>
  <r>
    <x v="1"/>
    <x v="3"/>
    <x v="5"/>
    <x v="6"/>
    <x v="1"/>
    <x v="1"/>
    <x v="0"/>
    <n v="2834"/>
    <n v="569.49208700000054"/>
    <n v="4747.9276849999742"/>
    <n v="88885238.01000008"/>
    <n v="426"/>
    <n v="10195560.159999998"/>
  </r>
  <r>
    <x v="1"/>
    <x v="3"/>
    <x v="5"/>
    <x v="6"/>
    <x v="2"/>
    <x v="2"/>
    <x v="0"/>
    <n v="1412"/>
    <n v="207.10174199999983"/>
    <n v="1246.3064490000008"/>
    <n v="17350445.749999993"/>
    <n v="233"/>
    <n v="2894475.7699999991"/>
  </r>
  <r>
    <x v="1"/>
    <x v="3"/>
    <x v="5"/>
    <x v="6"/>
    <x v="3"/>
    <x v="3"/>
    <x v="0"/>
    <n v="3206"/>
    <n v="388.00584699999968"/>
    <n v="2642.3048859999849"/>
    <n v="30155045.679999959"/>
    <n v="388"/>
    <n v="5077965.8800000055"/>
  </r>
  <r>
    <x v="1"/>
    <x v="3"/>
    <x v="5"/>
    <x v="6"/>
    <x v="4"/>
    <x v="4"/>
    <x v="0"/>
    <n v="1657"/>
    <n v="285.20032199999969"/>
    <n v="1556.2850890000032"/>
    <n v="17248495.979999993"/>
    <n v="314"/>
    <n v="3119035.810000001"/>
  </r>
  <r>
    <x v="1"/>
    <x v="3"/>
    <x v="5"/>
    <x v="6"/>
    <x v="5"/>
    <x v="5"/>
    <x v="0"/>
    <n v="575"/>
    <n v="119.193613"/>
    <n v="461.87171900000016"/>
    <n v="5975219.5400000047"/>
    <n v="160"/>
    <n v="1540293.48"/>
  </r>
  <r>
    <x v="1"/>
    <x v="3"/>
    <x v="5"/>
    <x v="6"/>
    <x v="6"/>
    <x v="6"/>
    <x v="0"/>
    <n v="1666"/>
    <n v="208.16351400000005"/>
    <n v="1699.7453050000152"/>
    <n v="19384725.300000019"/>
    <n v="229"/>
    <n v="2460964.9999999995"/>
  </r>
  <r>
    <x v="1"/>
    <x v="3"/>
    <x v="5"/>
    <x v="6"/>
    <x v="7"/>
    <x v="7"/>
    <x v="0"/>
    <n v="4152"/>
    <n v="819.97792900000024"/>
    <n v="5728.4291309999689"/>
    <n v="109546028.57000004"/>
    <n v="769"/>
    <n v="16729103.50000002"/>
  </r>
  <r>
    <x v="1"/>
    <x v="3"/>
    <x v="5"/>
    <x v="6"/>
    <x v="8"/>
    <x v="8"/>
    <x v="0"/>
    <n v="229"/>
    <n v="50.082445000000007"/>
    <n v="163.81522900000013"/>
    <n v="3412225.2599999988"/>
    <n v="67"/>
    <n v="1144734.44"/>
  </r>
  <r>
    <x v="1"/>
    <x v="3"/>
    <x v="5"/>
    <x v="6"/>
    <x v="9"/>
    <x v="9"/>
    <x v="0"/>
    <n v="1979"/>
    <n v="444.2157150000001"/>
    <n v="1873.4920890000033"/>
    <n v="24556023.720000029"/>
    <n v="479"/>
    <n v="6138456.0799999936"/>
  </r>
  <r>
    <x v="1"/>
    <x v="3"/>
    <x v="5"/>
    <x v="6"/>
    <x v="10"/>
    <x v="10"/>
    <x v="0"/>
    <n v="2395"/>
    <n v="440.72041199999956"/>
    <n v="2755.8759040000105"/>
    <n v="41405052.199999973"/>
    <n v="443"/>
    <n v="6957823.0599999996"/>
  </r>
  <r>
    <x v="0"/>
    <x v="6"/>
    <x v="6"/>
    <x v="1"/>
    <x v="11"/>
    <x v="11"/>
    <x v="0"/>
    <n v="323"/>
    <n v="78.460723999789465"/>
    <n v="248.83901282782196"/>
    <n v="5468661.7299999986"/>
    <n v="94"/>
    <n v="1488213.6099999996"/>
  </r>
  <r>
    <x v="1"/>
    <x v="3"/>
    <x v="5"/>
    <x v="6"/>
    <x v="12"/>
    <x v="12"/>
    <x v="0"/>
    <n v="2696"/>
    <n v="569.9587829999989"/>
    <n v="2347.1809810000077"/>
    <n v="28193993.640000038"/>
    <n v="646"/>
    <n v="6817798.9300000072"/>
  </r>
  <r>
    <x v="1"/>
    <x v="3"/>
    <x v="5"/>
    <x v="6"/>
    <x v="13"/>
    <x v="13"/>
    <x v="0"/>
    <n v="1187"/>
    <n v="219.95959699999997"/>
    <n v="1099.4280359999975"/>
    <n v="14234574.809999993"/>
    <n v="206"/>
    <n v="3197907.69"/>
  </r>
  <r>
    <x v="1"/>
    <x v="3"/>
    <x v="5"/>
    <x v="6"/>
    <x v="14"/>
    <x v="14"/>
    <x v="0"/>
    <n v="190"/>
    <n v="31.403816999999997"/>
    <n v="156.89499100000012"/>
    <n v="2051063.4399999985"/>
    <n v="41"/>
    <n v="492232.85000000003"/>
  </r>
  <r>
    <x v="1"/>
    <x v="3"/>
    <x v="5"/>
    <x v="6"/>
    <x v="15"/>
    <x v="15"/>
    <x v="0"/>
    <n v="919"/>
    <n v="161.51129099999997"/>
    <n v="811.69926299999577"/>
    <n v="8117039.5100000026"/>
    <n v="194"/>
    <n v="1566332.580000001"/>
  </r>
  <r>
    <x v="1"/>
    <x v="3"/>
    <x v="5"/>
    <x v="6"/>
    <x v="16"/>
    <x v="16"/>
    <x v="0"/>
    <n v="1806"/>
    <n v="355.26081900000014"/>
    <n v="1897.2199419999906"/>
    <n v="21804555.48999995"/>
    <n v="363"/>
    <n v="3946705.2300000028"/>
  </r>
  <r>
    <x v="1"/>
    <x v="3"/>
    <x v="5"/>
    <x v="6"/>
    <x v="17"/>
    <x v="17"/>
    <x v="0"/>
    <n v="1263"/>
    <n v="266.73254399999973"/>
    <n v="1594.8462600000021"/>
    <n v="16604002.569999993"/>
    <n v="254"/>
    <n v="3000566.3699999992"/>
  </r>
  <r>
    <x v="1"/>
    <x v="3"/>
    <x v="5"/>
    <x v="6"/>
    <x v="18"/>
    <x v="18"/>
    <x v="0"/>
    <n v="2815"/>
    <n v="344.59539300000017"/>
    <n v="2650.078117000005"/>
    <n v="26556072.529999807"/>
    <n v="410"/>
    <n v="3898016.720000003"/>
  </r>
  <r>
    <x v="1"/>
    <x v="3"/>
    <x v="5"/>
    <x v="6"/>
    <x v="19"/>
    <x v="19"/>
    <x v="0"/>
    <n v="1374"/>
    <n v="331.40668999999968"/>
    <n v="1849.1610470000026"/>
    <n v="25768127.550000004"/>
    <n v="340"/>
    <n v="4559445.8600000031"/>
  </r>
  <r>
    <x v="1"/>
    <x v="3"/>
    <x v="5"/>
    <x v="6"/>
    <x v="20"/>
    <x v="20"/>
    <x v="0"/>
    <n v="1196"/>
    <n v="201.362326"/>
    <n v="1152.3637140000035"/>
    <n v="16552630.550000004"/>
    <n v="228"/>
    <n v="2921535.7599999988"/>
  </r>
  <r>
    <x v="1"/>
    <x v="3"/>
    <x v="5"/>
    <x v="6"/>
    <x v="21"/>
    <x v="21"/>
    <x v="0"/>
    <n v="803"/>
    <n v="156.86781099999996"/>
    <n v="637.78483199999516"/>
    <n v="7458371.2999999952"/>
    <n v="179"/>
    <n v="1924925.9800000002"/>
  </r>
  <r>
    <x v="1"/>
    <x v="3"/>
    <x v="5"/>
    <x v="6"/>
    <x v="22"/>
    <x v="22"/>
    <x v="0"/>
    <n v="2062"/>
    <n v="452.31952699999988"/>
    <n v="1946.9624920000037"/>
    <n v="32838623.530000009"/>
    <n v="519"/>
    <n v="7381472.5499999998"/>
  </r>
  <r>
    <x v="1"/>
    <x v="3"/>
    <x v="5"/>
    <x v="6"/>
    <x v="23"/>
    <x v="23"/>
    <x v="0"/>
    <n v="191"/>
    <n v="60.228801000000018"/>
    <n v="175.00838999999996"/>
    <n v="2899147.8700000015"/>
    <n v="73"/>
    <n v="1105424.1299999997"/>
  </r>
  <r>
    <x v="1"/>
    <x v="3"/>
    <x v="5"/>
    <x v="6"/>
    <x v="24"/>
    <x v="24"/>
    <x v="0"/>
    <n v="545"/>
    <n v="106.30511400000003"/>
    <n v="540.35440499999993"/>
    <n v="7846186.5100000016"/>
    <n v="104"/>
    <n v="1501130.2300000002"/>
  </r>
  <r>
    <x v="1"/>
    <x v="3"/>
    <x v="5"/>
    <x v="6"/>
    <x v="25"/>
    <x v="25"/>
    <x v="0"/>
    <n v="1227"/>
    <n v="257.68386099999998"/>
    <n v="1047.0889449999954"/>
    <n v="13848521.280000007"/>
    <n v="287"/>
    <n v="3445530.1300000022"/>
  </r>
  <r>
    <x v="1"/>
    <x v="3"/>
    <x v="5"/>
    <x v="6"/>
    <x v="26"/>
    <x v="26"/>
    <x v="0"/>
    <n v="939"/>
    <n v="194.86729799999986"/>
    <n v="853.64805099999421"/>
    <n v="11889473.689999983"/>
    <n v="221"/>
    <n v="2401842.2999999993"/>
  </r>
  <r>
    <x v="1"/>
    <x v="3"/>
    <x v="5"/>
    <x v="6"/>
    <x v="27"/>
    <x v="27"/>
    <x v="0"/>
    <n v="862"/>
    <n v="203.18091299999998"/>
    <n v="760.46934899999803"/>
    <n v="8132825.8500000089"/>
    <n v="213"/>
    <n v="2235426.1999999983"/>
  </r>
  <r>
    <x v="1"/>
    <x v="3"/>
    <x v="5"/>
    <x v="6"/>
    <x v="28"/>
    <x v="28"/>
    <x v="0"/>
    <n v="833"/>
    <n v="138.36061599999996"/>
    <n v="718.24761699999692"/>
    <n v="11959556.370000005"/>
    <n v="171"/>
    <n v="2983107.6999999993"/>
  </r>
  <r>
    <x v="1"/>
    <x v="3"/>
    <x v="5"/>
    <x v="6"/>
    <x v="29"/>
    <x v="29"/>
    <x v="0"/>
    <n v="624"/>
    <n v="155.23560699999999"/>
    <n v="598.74976399999957"/>
    <n v="10123462.400000004"/>
    <n v="199"/>
    <n v="2215144.0999999996"/>
  </r>
  <r>
    <x v="1"/>
    <x v="3"/>
    <x v="5"/>
    <x v="6"/>
    <x v="30"/>
    <x v="30"/>
    <x v="0"/>
    <n v="651"/>
    <n v="107.94835600000003"/>
    <n v="496.70206099999973"/>
    <n v="6155002.1299999943"/>
    <n v="133"/>
    <n v="1407641.3000000005"/>
  </r>
  <r>
    <x v="1"/>
    <x v="3"/>
    <x v="5"/>
    <x v="6"/>
    <x v="31"/>
    <x v="31"/>
    <x v="0"/>
    <n v="1244"/>
    <n v="301.21290599999986"/>
    <n v="1049.5778620000021"/>
    <n v="12048490.850000007"/>
    <n v="366"/>
    <n v="3607029.4999999991"/>
  </r>
  <r>
    <x v="1"/>
    <x v="3"/>
    <x v="5"/>
    <x v="6"/>
    <x v="32"/>
    <x v="32"/>
    <x v="0"/>
    <n v="1908"/>
    <n v="465.13669500000026"/>
    <n v="1971.0771799999984"/>
    <n v="21725389.079999976"/>
    <n v="507"/>
    <n v="5528403.6500000013"/>
  </r>
  <r>
    <x v="1"/>
    <x v="3"/>
    <x v="5"/>
    <x v="6"/>
    <x v="33"/>
    <x v="33"/>
    <x v="0"/>
    <n v="1966"/>
    <n v="252.36847199999985"/>
    <n v="1757.9960600000077"/>
    <n v="21102771.150000039"/>
    <n v="254"/>
    <n v="3334042.4899999993"/>
  </r>
  <r>
    <x v="1"/>
    <x v="3"/>
    <x v="5"/>
    <x v="6"/>
    <x v="34"/>
    <x v="34"/>
    <x v="0"/>
    <n v="26"/>
    <n v="7.8015229999999995"/>
    <n v="19.002784999999999"/>
    <n v="325903.29000000004"/>
    <n v="12"/>
    <n v="148083.03000000003"/>
  </r>
  <r>
    <x v="1"/>
    <x v="3"/>
    <x v="5"/>
    <x v="6"/>
    <x v="35"/>
    <x v="35"/>
    <x v="0"/>
    <n v="1914"/>
    <n v="316.34784199999984"/>
    <n v="1498.9866690000104"/>
    <n v="17310152.819999997"/>
    <n v="346"/>
    <n v="3539201.5100000012"/>
  </r>
  <r>
    <x v="1"/>
    <x v="3"/>
    <x v="5"/>
    <x v="6"/>
    <x v="36"/>
    <x v="36"/>
    <x v="0"/>
    <n v="1481"/>
    <n v="311.52105999999992"/>
    <n v="1307.144829000001"/>
    <n v="14625775.459999995"/>
    <n v="370"/>
    <n v="3324042.2900000019"/>
  </r>
  <r>
    <x v="1"/>
    <x v="3"/>
    <x v="5"/>
    <x v="6"/>
    <x v="37"/>
    <x v="37"/>
    <x v="0"/>
    <n v="1009"/>
    <n v="278.29060099999992"/>
    <n v="1014.7297080000008"/>
    <n v="11763391.850000007"/>
    <n v="317"/>
    <n v="3236942.3299999996"/>
  </r>
  <r>
    <x v="1"/>
    <x v="3"/>
    <x v="5"/>
    <x v="6"/>
    <x v="38"/>
    <x v="38"/>
    <x v="0"/>
    <n v="647"/>
    <n v="116.45848400000008"/>
    <n v="563.79011499999922"/>
    <n v="7268463.6900000088"/>
    <n v="128"/>
    <n v="1374055.4299999992"/>
  </r>
  <r>
    <x v="1"/>
    <x v="3"/>
    <x v="5"/>
    <x v="6"/>
    <x v="39"/>
    <x v="39"/>
    <x v="0"/>
    <n v="1166"/>
    <n v="345.43692299999998"/>
    <n v="1349.4858140000031"/>
    <n v="14885142.920000017"/>
    <n v="338"/>
    <n v="3505249.5800000024"/>
  </r>
  <r>
    <x v="1"/>
    <x v="3"/>
    <x v="5"/>
    <x v="6"/>
    <x v="40"/>
    <x v="40"/>
    <x v="0"/>
    <n v="2218"/>
    <n v="350.21345600000001"/>
    <n v="1892.6971940000067"/>
    <n v="20986528.509999953"/>
    <n v="351"/>
    <n v="4066189.06"/>
  </r>
  <r>
    <x v="1"/>
    <x v="3"/>
    <x v="5"/>
    <x v="6"/>
    <x v="41"/>
    <x v="41"/>
    <x v="0"/>
    <n v="280"/>
    <n v="0"/>
    <n v="476.57072900000088"/>
    <n v="5626945.4899999984"/>
    <n v="0"/>
    <n v="0"/>
  </r>
  <r>
    <x v="1"/>
    <x v="3"/>
    <x v="5"/>
    <x v="6"/>
    <x v="42"/>
    <x v="42"/>
    <x v="0"/>
    <n v="259"/>
    <n v="57.802135000000021"/>
    <n v="184.347442"/>
    <n v="2067348.4300000011"/>
    <n v="88"/>
    <n v="652732.60999999975"/>
  </r>
  <r>
    <x v="1"/>
    <x v="3"/>
    <x v="5"/>
    <x v="6"/>
    <x v="43"/>
    <x v="43"/>
    <x v="0"/>
    <n v="355"/>
    <n v="98.060992000000056"/>
    <n v="349.80369600000006"/>
    <n v="3852560.7700000023"/>
    <n v="116"/>
    <n v="1040988.0899999996"/>
  </r>
  <r>
    <x v="1"/>
    <x v="3"/>
    <x v="5"/>
    <x v="6"/>
    <x v="44"/>
    <x v="44"/>
    <x v="0"/>
    <n v="1540"/>
    <n v="330.63749499999966"/>
    <n v="1325.7945870000051"/>
    <n v="17052698.329999961"/>
    <n v="378"/>
    <n v="4285111.8100000024"/>
  </r>
  <r>
    <x v="1"/>
    <x v="3"/>
    <x v="5"/>
    <x v="6"/>
    <x v="45"/>
    <x v="45"/>
    <x v="0"/>
    <n v="1663"/>
    <n v="262.88595899999984"/>
    <n v="1880.5330999999921"/>
    <n v="20923825.41000003"/>
    <n v="257"/>
    <n v="3388927.3900000006"/>
  </r>
  <r>
    <x v="1"/>
    <x v="3"/>
    <x v="5"/>
    <x v="6"/>
    <x v="46"/>
    <x v="46"/>
    <x v="0"/>
    <n v="125"/>
    <n v="8.4485829999999993"/>
    <n v="110.50218999999998"/>
    <n v="4619879.76"/>
    <n v="12"/>
    <n v="480284.67"/>
  </r>
  <r>
    <x v="1"/>
    <x v="3"/>
    <x v="5"/>
    <x v="7"/>
    <x v="0"/>
    <x v="0"/>
    <x v="0"/>
    <n v="1579"/>
    <n v="292.22510999999975"/>
    <n v="1453.4179040000079"/>
    <n v="15215959.240000017"/>
    <n v="322"/>
    <n v="3143591.8800000018"/>
  </r>
  <r>
    <x v="1"/>
    <x v="3"/>
    <x v="5"/>
    <x v="7"/>
    <x v="1"/>
    <x v="1"/>
    <x v="0"/>
    <n v="2557"/>
    <n v="482.18702299999995"/>
    <n v="4495.0543419999949"/>
    <n v="84935619.140000075"/>
    <n v="365"/>
    <n v="8994535.379999999"/>
  </r>
  <r>
    <x v="1"/>
    <x v="3"/>
    <x v="5"/>
    <x v="7"/>
    <x v="2"/>
    <x v="2"/>
    <x v="0"/>
    <n v="1192"/>
    <n v="189.30437099999997"/>
    <n v="1066.6035289999945"/>
    <n v="14763738.420000013"/>
    <n v="187"/>
    <n v="2507199"/>
  </r>
  <r>
    <x v="1"/>
    <x v="3"/>
    <x v="5"/>
    <x v="7"/>
    <x v="3"/>
    <x v="3"/>
    <x v="0"/>
    <n v="2887"/>
    <n v="375.82529099999982"/>
    <n v="2414.1056639999947"/>
    <n v="26545440.569999993"/>
    <n v="365"/>
    <n v="4151373.1199999987"/>
  </r>
  <r>
    <x v="1"/>
    <x v="3"/>
    <x v="5"/>
    <x v="7"/>
    <x v="4"/>
    <x v="4"/>
    <x v="0"/>
    <n v="1481"/>
    <n v="281.75866199999979"/>
    <n v="1428.5051390000056"/>
    <n v="16952497.900000006"/>
    <n v="296"/>
    <n v="4031996.0999999996"/>
  </r>
  <r>
    <x v="1"/>
    <x v="3"/>
    <x v="5"/>
    <x v="7"/>
    <x v="5"/>
    <x v="5"/>
    <x v="0"/>
    <n v="545"/>
    <n v="128.57518000000007"/>
    <n v="414.41404999999992"/>
    <n v="5185088.209999999"/>
    <n v="170"/>
    <n v="1595313.8900000013"/>
  </r>
  <r>
    <x v="1"/>
    <x v="3"/>
    <x v="5"/>
    <x v="7"/>
    <x v="6"/>
    <x v="6"/>
    <x v="0"/>
    <n v="1437"/>
    <n v="192.76773999999997"/>
    <n v="1468.0819200000115"/>
    <n v="18490461.970000062"/>
    <n v="212"/>
    <n v="2570161.7499999986"/>
  </r>
  <r>
    <x v="1"/>
    <x v="3"/>
    <x v="5"/>
    <x v="7"/>
    <x v="7"/>
    <x v="7"/>
    <x v="0"/>
    <n v="3887"/>
    <n v="751.92584100000136"/>
    <n v="5466.4635429999908"/>
    <n v="99774363.159999788"/>
    <n v="713"/>
    <n v="14663477.030000009"/>
  </r>
  <r>
    <x v="1"/>
    <x v="3"/>
    <x v="5"/>
    <x v="7"/>
    <x v="8"/>
    <x v="8"/>
    <x v="0"/>
    <n v="203"/>
    <n v="50.971144000000024"/>
    <n v="161.40024599999998"/>
    <n v="3241116.3999999985"/>
    <n v="68"/>
    <n v="1145457.2199999997"/>
  </r>
  <r>
    <x v="1"/>
    <x v="3"/>
    <x v="5"/>
    <x v="7"/>
    <x v="9"/>
    <x v="9"/>
    <x v="0"/>
    <n v="1799"/>
    <n v="402.48906299999982"/>
    <n v="1720.7318180000038"/>
    <n v="21471467.720000047"/>
    <n v="444"/>
    <n v="5096001.7200000025"/>
  </r>
  <r>
    <x v="1"/>
    <x v="3"/>
    <x v="5"/>
    <x v="7"/>
    <x v="10"/>
    <x v="10"/>
    <x v="0"/>
    <n v="2085"/>
    <n v="396.5627529999997"/>
    <n v="2436.7205910000148"/>
    <n v="33619523.26000002"/>
    <n v="377"/>
    <n v="5200874.2699999968"/>
  </r>
  <r>
    <x v="0"/>
    <x v="6"/>
    <x v="6"/>
    <x v="3"/>
    <x v="11"/>
    <x v="11"/>
    <x v="0"/>
    <n v="284"/>
    <n v="61.385349217464871"/>
    <n v="215.27291725571945"/>
    <n v="5481558.9100000029"/>
    <n v="79"/>
    <n v="1464098.0900000005"/>
  </r>
  <r>
    <x v="1"/>
    <x v="3"/>
    <x v="5"/>
    <x v="7"/>
    <x v="12"/>
    <x v="12"/>
    <x v="0"/>
    <n v="2415"/>
    <n v="481.47847399999944"/>
    <n v="2118.9944320000122"/>
    <n v="26580277.860000007"/>
    <n v="554"/>
    <n v="6292396.0299999937"/>
  </r>
  <r>
    <x v="1"/>
    <x v="3"/>
    <x v="5"/>
    <x v="7"/>
    <x v="13"/>
    <x v="13"/>
    <x v="0"/>
    <n v="1083"/>
    <n v="206.28423100000003"/>
    <n v="1044.6618039999971"/>
    <n v="13761951.449999997"/>
    <n v="206"/>
    <n v="2860845.9199999985"/>
  </r>
  <r>
    <x v="1"/>
    <x v="3"/>
    <x v="5"/>
    <x v="7"/>
    <x v="14"/>
    <x v="14"/>
    <x v="0"/>
    <n v="156"/>
    <n v="38.871200000000009"/>
    <n v="133.79093500000002"/>
    <n v="1705151.7600000005"/>
    <n v="42"/>
    <n v="508042.49000000005"/>
  </r>
  <r>
    <x v="1"/>
    <x v="3"/>
    <x v="5"/>
    <x v="7"/>
    <x v="15"/>
    <x v="15"/>
    <x v="0"/>
    <n v="825"/>
    <n v="140.84450000000007"/>
    <n v="733.28909399999736"/>
    <n v="7425843.1100000003"/>
    <n v="171"/>
    <n v="1529763.8499999994"/>
  </r>
  <r>
    <x v="1"/>
    <x v="3"/>
    <x v="5"/>
    <x v="7"/>
    <x v="16"/>
    <x v="16"/>
    <x v="0"/>
    <n v="1704"/>
    <n v="353.04257599999966"/>
    <n v="1751.8155379999935"/>
    <n v="20239189.37999998"/>
    <n v="343"/>
    <n v="4421865.5999999978"/>
  </r>
  <r>
    <x v="1"/>
    <x v="3"/>
    <x v="5"/>
    <x v="7"/>
    <x v="17"/>
    <x v="17"/>
    <x v="0"/>
    <n v="1152"/>
    <n v="176.58476099999993"/>
    <n v="1478.2230950000028"/>
    <n v="15255772.310000002"/>
    <n v="178"/>
    <n v="1806916.2999999993"/>
  </r>
  <r>
    <x v="1"/>
    <x v="3"/>
    <x v="5"/>
    <x v="7"/>
    <x v="18"/>
    <x v="18"/>
    <x v="0"/>
    <n v="2575"/>
    <n v="342.08737399999978"/>
    <n v="2438.4819259999886"/>
    <n v="24720549.66999986"/>
    <n v="362"/>
    <n v="3594372.2300000009"/>
  </r>
  <r>
    <x v="1"/>
    <x v="3"/>
    <x v="5"/>
    <x v="7"/>
    <x v="19"/>
    <x v="19"/>
    <x v="0"/>
    <n v="1198"/>
    <n v="276.97536799999989"/>
    <n v="1639.5221060000024"/>
    <n v="22571203.650000006"/>
    <n v="288"/>
    <n v="3978074.5599999991"/>
  </r>
  <r>
    <x v="1"/>
    <x v="3"/>
    <x v="5"/>
    <x v="7"/>
    <x v="20"/>
    <x v="20"/>
    <x v="0"/>
    <n v="1035"/>
    <n v="190.7124499999999"/>
    <n v="1007.5025259999971"/>
    <n v="14711756.450000003"/>
    <n v="215"/>
    <n v="2863898.0300000012"/>
  </r>
  <r>
    <x v="1"/>
    <x v="3"/>
    <x v="5"/>
    <x v="7"/>
    <x v="21"/>
    <x v="21"/>
    <x v="0"/>
    <n v="751"/>
    <n v="137.63357899999997"/>
    <n v="560.38164199999619"/>
    <n v="6062845.2599999849"/>
    <n v="167"/>
    <n v="1547752.3899999997"/>
  </r>
  <r>
    <x v="1"/>
    <x v="3"/>
    <x v="5"/>
    <x v="7"/>
    <x v="22"/>
    <x v="22"/>
    <x v="0"/>
    <n v="1807"/>
    <n v="375.94247299999989"/>
    <n v="1751.7922050000063"/>
    <n v="28270805.650000047"/>
    <n v="447"/>
    <n v="5843182.0900000026"/>
  </r>
  <r>
    <x v="1"/>
    <x v="3"/>
    <x v="5"/>
    <x v="7"/>
    <x v="23"/>
    <x v="23"/>
    <x v="0"/>
    <n v="181"/>
    <n v="47.027434000000014"/>
    <n v="179.41390300000003"/>
    <n v="2953908.7799999984"/>
    <n v="50"/>
    <n v="752862.91000000027"/>
  </r>
  <r>
    <x v="1"/>
    <x v="3"/>
    <x v="5"/>
    <x v="7"/>
    <x v="24"/>
    <x v="24"/>
    <x v="0"/>
    <n v="494"/>
    <n v="80.472467000000023"/>
    <n v="445.89101700000037"/>
    <n v="6847664.5999999987"/>
    <n v="85"/>
    <n v="1120373.68"/>
  </r>
  <r>
    <x v="1"/>
    <x v="3"/>
    <x v="5"/>
    <x v="7"/>
    <x v="25"/>
    <x v="25"/>
    <x v="0"/>
    <n v="1098"/>
    <n v="215.81867699999981"/>
    <n v="931.26795799999798"/>
    <n v="12487819.770000003"/>
    <n v="251"/>
    <n v="2962553.38"/>
  </r>
  <r>
    <x v="1"/>
    <x v="3"/>
    <x v="5"/>
    <x v="7"/>
    <x v="26"/>
    <x v="26"/>
    <x v="0"/>
    <n v="905"/>
    <n v="172.52782000000005"/>
    <n v="784.80718899999465"/>
    <n v="10267056.860000007"/>
    <n v="200"/>
    <n v="1987426.2999999998"/>
  </r>
  <r>
    <x v="1"/>
    <x v="3"/>
    <x v="5"/>
    <x v="7"/>
    <x v="27"/>
    <x v="27"/>
    <x v="0"/>
    <n v="775"/>
    <n v="185.23894599999994"/>
    <n v="639.04524499999741"/>
    <n v="7492625.8099999968"/>
    <n v="216"/>
    <n v="2183952.3599999994"/>
  </r>
  <r>
    <x v="1"/>
    <x v="3"/>
    <x v="5"/>
    <x v="7"/>
    <x v="28"/>
    <x v="28"/>
    <x v="0"/>
    <n v="752"/>
    <n v="143.511393"/>
    <n v="650.39856399999758"/>
    <n v="8342635.8699999982"/>
    <n v="170"/>
    <n v="2055345.5699999994"/>
  </r>
  <r>
    <x v="1"/>
    <x v="3"/>
    <x v="5"/>
    <x v="7"/>
    <x v="29"/>
    <x v="29"/>
    <x v="0"/>
    <n v="594"/>
    <n v="164.62168100000002"/>
    <n v="664.8035909999993"/>
    <n v="11199586.120000008"/>
    <n v="178"/>
    <n v="2060801.4200000006"/>
  </r>
  <r>
    <x v="1"/>
    <x v="3"/>
    <x v="5"/>
    <x v="7"/>
    <x v="30"/>
    <x v="30"/>
    <x v="0"/>
    <n v="584"/>
    <n v="98.47630300000003"/>
    <n v="431.77283200000045"/>
    <n v="5125955.6900000023"/>
    <n v="121"/>
    <n v="1159335.52"/>
  </r>
  <r>
    <x v="1"/>
    <x v="3"/>
    <x v="5"/>
    <x v="7"/>
    <x v="31"/>
    <x v="31"/>
    <x v="0"/>
    <n v="1088"/>
    <n v="278.96927700000003"/>
    <n v="1011.0471520000003"/>
    <n v="11842382.119999995"/>
    <n v="310"/>
    <n v="3414498.5300000021"/>
  </r>
  <r>
    <x v="1"/>
    <x v="3"/>
    <x v="5"/>
    <x v="7"/>
    <x v="32"/>
    <x v="32"/>
    <x v="0"/>
    <n v="1730"/>
    <n v="419.42202099999963"/>
    <n v="1792.0930880000046"/>
    <n v="19545815.629999965"/>
    <n v="430"/>
    <n v="4780653.7300000023"/>
  </r>
  <r>
    <x v="1"/>
    <x v="3"/>
    <x v="5"/>
    <x v="7"/>
    <x v="33"/>
    <x v="33"/>
    <x v="0"/>
    <n v="1796"/>
    <n v="231.20396399999976"/>
    <n v="1598.884496000009"/>
    <n v="18845366.800000045"/>
    <n v="252"/>
    <n v="2799375.0700000017"/>
  </r>
  <r>
    <x v="1"/>
    <x v="3"/>
    <x v="5"/>
    <x v="7"/>
    <x v="34"/>
    <x v="34"/>
    <x v="0"/>
    <n v="37"/>
    <n v="11.576365000000001"/>
    <n v="26.761734999999998"/>
    <n v="506684.65000000008"/>
    <n v="16"/>
    <n v="212778.37000000002"/>
  </r>
  <r>
    <x v="1"/>
    <x v="3"/>
    <x v="5"/>
    <x v="7"/>
    <x v="35"/>
    <x v="35"/>
    <x v="0"/>
    <n v="1618"/>
    <n v="268.18515199999985"/>
    <n v="1333.8110630000115"/>
    <n v="15529831.919999996"/>
    <n v="281"/>
    <n v="3152534.9800000009"/>
  </r>
  <r>
    <x v="1"/>
    <x v="3"/>
    <x v="5"/>
    <x v="7"/>
    <x v="36"/>
    <x v="36"/>
    <x v="0"/>
    <n v="1406"/>
    <n v="273.07540000000012"/>
    <n v="1310.6646900000019"/>
    <n v="14474876.769999994"/>
    <n v="306"/>
    <n v="3113587.0200000014"/>
  </r>
  <r>
    <x v="1"/>
    <x v="3"/>
    <x v="5"/>
    <x v="7"/>
    <x v="37"/>
    <x v="37"/>
    <x v="0"/>
    <n v="845"/>
    <n v="231.95361999999989"/>
    <n v="944.67746599999964"/>
    <n v="12075197.399999991"/>
    <n v="244"/>
    <n v="3136629.2000000016"/>
  </r>
  <r>
    <x v="1"/>
    <x v="3"/>
    <x v="5"/>
    <x v="7"/>
    <x v="38"/>
    <x v="38"/>
    <x v="0"/>
    <n v="585"/>
    <n v="81.370248000000046"/>
    <n v="499.75892600000003"/>
    <n v="6024937.4700000035"/>
    <n v="97"/>
    <n v="908637.43"/>
  </r>
  <r>
    <x v="1"/>
    <x v="3"/>
    <x v="5"/>
    <x v="7"/>
    <x v="39"/>
    <x v="39"/>
    <x v="0"/>
    <n v="1031"/>
    <n v="294.61897599999969"/>
    <n v="1245.2075940000007"/>
    <n v="16348118.300000008"/>
    <n v="283"/>
    <n v="3552196.7300000014"/>
  </r>
  <r>
    <x v="1"/>
    <x v="3"/>
    <x v="5"/>
    <x v="7"/>
    <x v="40"/>
    <x v="40"/>
    <x v="0"/>
    <n v="2106"/>
    <n v="301.56628899999981"/>
    <n v="1782.8499900000124"/>
    <n v="19717711.219999995"/>
    <n v="314"/>
    <n v="3456412.89"/>
  </r>
  <r>
    <x v="1"/>
    <x v="3"/>
    <x v="5"/>
    <x v="7"/>
    <x v="41"/>
    <x v="41"/>
    <x v="0"/>
    <n v="282"/>
    <n v="0"/>
    <n v="480.36331500000074"/>
    <n v="5874010.1099999985"/>
    <n v="0"/>
    <n v="0"/>
  </r>
  <r>
    <x v="1"/>
    <x v="3"/>
    <x v="5"/>
    <x v="7"/>
    <x v="42"/>
    <x v="42"/>
    <x v="0"/>
    <n v="252"/>
    <n v="55.971206000000016"/>
    <n v="177.22107800000009"/>
    <n v="2002792.6499999994"/>
    <n v="93"/>
    <n v="594300.29999999981"/>
  </r>
  <r>
    <x v="1"/>
    <x v="3"/>
    <x v="5"/>
    <x v="7"/>
    <x v="43"/>
    <x v="43"/>
    <x v="0"/>
    <n v="265"/>
    <n v="73.926195000000007"/>
    <n v="296.37574400000011"/>
    <n v="3173089.1500000008"/>
    <n v="78"/>
    <n v="718673.29999999993"/>
  </r>
  <r>
    <x v="1"/>
    <x v="3"/>
    <x v="5"/>
    <x v="7"/>
    <x v="44"/>
    <x v="44"/>
    <x v="0"/>
    <n v="1447"/>
    <n v="311.1239689999997"/>
    <n v="1168.7577020000042"/>
    <n v="14582440.480000019"/>
    <n v="358"/>
    <n v="3889730.6700000004"/>
  </r>
  <r>
    <x v="1"/>
    <x v="3"/>
    <x v="5"/>
    <x v="7"/>
    <x v="45"/>
    <x v="45"/>
    <x v="0"/>
    <n v="1453"/>
    <n v="200.76366599999997"/>
    <n v="1727.9524409999929"/>
    <n v="19840297.279999971"/>
    <n v="228"/>
    <n v="2283016.3599999989"/>
  </r>
  <r>
    <x v="1"/>
    <x v="3"/>
    <x v="5"/>
    <x v="7"/>
    <x v="46"/>
    <x v="46"/>
    <x v="0"/>
    <n v="118"/>
    <n v="5.3443940000000003"/>
    <n v="107.12359699999993"/>
    <n v="4175572.0800000005"/>
    <n v="7"/>
    <n v="245359.08000000002"/>
  </r>
  <r>
    <x v="1"/>
    <x v="3"/>
    <x v="5"/>
    <x v="8"/>
    <x v="0"/>
    <x v="0"/>
    <x v="0"/>
    <n v="1730"/>
    <n v="320.12382900000017"/>
    <n v="1592.192244000006"/>
    <n v="15387364.86000004"/>
    <n v="329"/>
    <n v="3017321.7200000025"/>
  </r>
  <r>
    <x v="1"/>
    <x v="3"/>
    <x v="5"/>
    <x v="8"/>
    <x v="1"/>
    <x v="1"/>
    <x v="0"/>
    <n v="2808"/>
    <n v="522.68908599999952"/>
    <n v="4611.4295559999855"/>
    <n v="90527824.659999907"/>
    <n v="422"/>
    <n v="9927207.4500000011"/>
  </r>
  <r>
    <x v="1"/>
    <x v="3"/>
    <x v="5"/>
    <x v="8"/>
    <x v="2"/>
    <x v="2"/>
    <x v="0"/>
    <n v="1307"/>
    <n v="188.72935799999991"/>
    <n v="1113.3679299999962"/>
    <n v="16439858.040000018"/>
    <n v="217"/>
    <n v="2756917.93"/>
  </r>
  <r>
    <x v="1"/>
    <x v="3"/>
    <x v="5"/>
    <x v="8"/>
    <x v="3"/>
    <x v="3"/>
    <x v="0"/>
    <n v="3294"/>
    <n v="371.87052"/>
    <n v="2777.734973999979"/>
    <n v="30483160.159999985"/>
    <n v="358"/>
    <n v="3955756.850000002"/>
  </r>
  <r>
    <x v="1"/>
    <x v="3"/>
    <x v="5"/>
    <x v="8"/>
    <x v="4"/>
    <x v="4"/>
    <x v="0"/>
    <n v="1785"/>
    <n v="332.97329399999967"/>
    <n v="1645.5847210000059"/>
    <n v="19648930.210000034"/>
    <n v="351"/>
    <n v="4381136.3100000005"/>
  </r>
  <r>
    <x v="1"/>
    <x v="3"/>
    <x v="5"/>
    <x v="8"/>
    <x v="5"/>
    <x v="5"/>
    <x v="0"/>
    <n v="562"/>
    <n v="124.01216499999995"/>
    <n v="435.75240600000029"/>
    <n v="5525718.8199999947"/>
    <n v="160"/>
    <n v="1624425.86"/>
  </r>
  <r>
    <x v="1"/>
    <x v="3"/>
    <x v="5"/>
    <x v="8"/>
    <x v="6"/>
    <x v="6"/>
    <x v="0"/>
    <n v="1511"/>
    <n v="177.37660000000008"/>
    <n v="1511.7775570000115"/>
    <n v="18628195.289999992"/>
    <n v="203"/>
    <n v="2399615.3699999973"/>
  </r>
  <r>
    <x v="1"/>
    <x v="3"/>
    <x v="5"/>
    <x v="8"/>
    <x v="7"/>
    <x v="7"/>
    <x v="0"/>
    <n v="4172"/>
    <n v="776.92211500000053"/>
    <n v="6077.5073959999972"/>
    <n v="109395251.34999999"/>
    <n v="739"/>
    <n v="15400019.889999982"/>
  </r>
  <r>
    <x v="1"/>
    <x v="3"/>
    <x v="5"/>
    <x v="8"/>
    <x v="8"/>
    <x v="8"/>
    <x v="0"/>
    <n v="227"/>
    <n v="45.515907999999996"/>
    <n v="167.25267700000012"/>
    <n v="3690996.4899999988"/>
    <n v="67"/>
    <n v="1075740.8700000001"/>
  </r>
  <r>
    <x v="1"/>
    <x v="3"/>
    <x v="5"/>
    <x v="8"/>
    <x v="9"/>
    <x v="9"/>
    <x v="0"/>
    <n v="1919"/>
    <n v="434.79454399999975"/>
    <n v="1895.1402570000034"/>
    <n v="23351243.110000003"/>
    <n v="467"/>
    <n v="5667352.7499999953"/>
  </r>
  <r>
    <x v="1"/>
    <x v="3"/>
    <x v="5"/>
    <x v="8"/>
    <x v="10"/>
    <x v="10"/>
    <x v="0"/>
    <n v="2340"/>
    <n v="436.33532299999973"/>
    <n v="2746.4240710000167"/>
    <n v="37640271.230000019"/>
    <n v="418"/>
    <n v="6306757.269999994"/>
  </r>
  <r>
    <x v="0"/>
    <x v="6"/>
    <x v="6"/>
    <x v="5"/>
    <x v="11"/>
    <x v="11"/>
    <x v="0"/>
    <n v="287"/>
    <n v="63.916685185195611"/>
    <n v="213.87850227349543"/>
    <n v="4873071.0300000012"/>
    <n v="87"/>
    <n v="1277974.9000000006"/>
  </r>
  <r>
    <x v="1"/>
    <x v="3"/>
    <x v="5"/>
    <x v="8"/>
    <x v="12"/>
    <x v="12"/>
    <x v="0"/>
    <n v="2634"/>
    <n v="507.96347399999956"/>
    <n v="2283.6578650000138"/>
    <n v="26767421.700000022"/>
    <n v="591"/>
    <n v="6097407.8599999985"/>
  </r>
  <r>
    <x v="1"/>
    <x v="3"/>
    <x v="5"/>
    <x v="8"/>
    <x v="13"/>
    <x v="13"/>
    <x v="0"/>
    <n v="1225"/>
    <n v="207.19250299999993"/>
    <n v="1112.0881849999987"/>
    <n v="15091537.100000024"/>
    <n v="241"/>
    <n v="3357801.3"/>
  </r>
  <r>
    <x v="1"/>
    <x v="3"/>
    <x v="5"/>
    <x v="8"/>
    <x v="14"/>
    <x v="14"/>
    <x v="0"/>
    <n v="220"/>
    <n v="31.686279999999996"/>
    <n v="174.40903300000016"/>
    <n v="2270084.8600000003"/>
    <n v="44"/>
    <n v="563607.12"/>
  </r>
  <r>
    <x v="1"/>
    <x v="3"/>
    <x v="5"/>
    <x v="8"/>
    <x v="15"/>
    <x v="15"/>
    <x v="0"/>
    <n v="904"/>
    <n v="164.8906969999999"/>
    <n v="766.80454099999622"/>
    <n v="8072974.8099999866"/>
    <n v="204"/>
    <n v="1717539.6200000008"/>
  </r>
  <r>
    <x v="1"/>
    <x v="3"/>
    <x v="5"/>
    <x v="8"/>
    <x v="16"/>
    <x v="16"/>
    <x v="0"/>
    <n v="1707"/>
    <n v="325.45871599999975"/>
    <n v="1844.1119339999927"/>
    <n v="21882473.409999985"/>
    <n v="329"/>
    <n v="3888497.7099999995"/>
  </r>
  <r>
    <x v="1"/>
    <x v="3"/>
    <x v="5"/>
    <x v="8"/>
    <x v="17"/>
    <x v="17"/>
    <x v="0"/>
    <n v="1197"/>
    <n v="209.839314"/>
    <n v="1541.8010990000007"/>
    <n v="15309215.589999972"/>
    <n v="216"/>
    <n v="2461460.3800000008"/>
  </r>
  <r>
    <x v="1"/>
    <x v="3"/>
    <x v="5"/>
    <x v="8"/>
    <x v="18"/>
    <x v="18"/>
    <x v="0"/>
    <n v="2783"/>
    <n v="342.72019199999977"/>
    <n v="2601.7492939999952"/>
    <n v="26719395.100000124"/>
    <n v="369"/>
    <n v="3779929.3599999994"/>
  </r>
  <r>
    <x v="1"/>
    <x v="3"/>
    <x v="5"/>
    <x v="8"/>
    <x v="19"/>
    <x v="19"/>
    <x v="0"/>
    <n v="1218"/>
    <n v="273.29886499999975"/>
    <n v="1551.1579619999995"/>
    <n v="20290416.470000017"/>
    <n v="291"/>
    <n v="3647626.6099999994"/>
  </r>
  <r>
    <x v="1"/>
    <x v="3"/>
    <x v="5"/>
    <x v="8"/>
    <x v="20"/>
    <x v="20"/>
    <x v="0"/>
    <n v="1129"/>
    <n v="209.1694729999999"/>
    <n v="1115.7419420000033"/>
    <n v="16643858.78999998"/>
    <n v="227"/>
    <n v="3205461.7199999988"/>
  </r>
  <r>
    <x v="1"/>
    <x v="3"/>
    <x v="5"/>
    <x v="8"/>
    <x v="21"/>
    <x v="21"/>
    <x v="0"/>
    <n v="737"/>
    <n v="145.40549999999996"/>
    <n v="558.41395999999645"/>
    <n v="6141485.249999987"/>
    <n v="160"/>
    <n v="1772502.7900000003"/>
  </r>
  <r>
    <x v="1"/>
    <x v="3"/>
    <x v="5"/>
    <x v="8"/>
    <x v="22"/>
    <x v="22"/>
    <x v="0"/>
    <n v="1983"/>
    <n v="397.82841099999973"/>
    <n v="1893.9571400000077"/>
    <n v="32158453.360000063"/>
    <n v="449"/>
    <n v="6084716.7800000086"/>
  </r>
  <r>
    <x v="1"/>
    <x v="3"/>
    <x v="5"/>
    <x v="8"/>
    <x v="23"/>
    <x v="23"/>
    <x v="0"/>
    <n v="191"/>
    <n v="50.156759000000022"/>
    <n v="171.32928100000007"/>
    <n v="2860896.2200000021"/>
    <n v="60"/>
    <n v="874048.90999999992"/>
  </r>
  <r>
    <x v="1"/>
    <x v="3"/>
    <x v="5"/>
    <x v="8"/>
    <x v="24"/>
    <x v="24"/>
    <x v="0"/>
    <n v="575"/>
    <n v="104.790882"/>
    <n v="496.87165100000033"/>
    <n v="8740321.3099999987"/>
    <n v="123"/>
    <n v="1703418.5099999995"/>
  </r>
  <r>
    <x v="1"/>
    <x v="3"/>
    <x v="5"/>
    <x v="8"/>
    <x v="25"/>
    <x v="25"/>
    <x v="0"/>
    <n v="1209"/>
    <n v="212.45948699999988"/>
    <n v="1048.3556149999993"/>
    <n v="13986073.469999984"/>
    <n v="262"/>
    <n v="3040880.370000001"/>
  </r>
  <r>
    <x v="1"/>
    <x v="3"/>
    <x v="5"/>
    <x v="8"/>
    <x v="26"/>
    <x v="26"/>
    <x v="0"/>
    <n v="916"/>
    <n v="161.74598499999999"/>
    <n v="802.57657399999562"/>
    <n v="11109211.680000026"/>
    <n v="190"/>
    <n v="2004990.8399999996"/>
  </r>
  <r>
    <x v="1"/>
    <x v="3"/>
    <x v="5"/>
    <x v="8"/>
    <x v="27"/>
    <x v="27"/>
    <x v="0"/>
    <n v="936"/>
    <n v="177.77143799999993"/>
    <n v="721.68766099999641"/>
    <n v="7577468.1599999964"/>
    <n v="209"/>
    <n v="1892613.6599999992"/>
  </r>
  <r>
    <x v="1"/>
    <x v="3"/>
    <x v="5"/>
    <x v="8"/>
    <x v="28"/>
    <x v="28"/>
    <x v="0"/>
    <n v="810"/>
    <n v="142.94626599999995"/>
    <n v="684.95770099999618"/>
    <n v="8207234.209999999"/>
    <n v="166"/>
    <n v="1791137.18"/>
  </r>
  <r>
    <x v="1"/>
    <x v="3"/>
    <x v="5"/>
    <x v="8"/>
    <x v="29"/>
    <x v="29"/>
    <x v="0"/>
    <n v="651"/>
    <n v="167.80383299999988"/>
    <n v="641.27702500000009"/>
    <n v="11177489.139999993"/>
    <n v="189"/>
    <n v="2468991.5899999989"/>
  </r>
  <r>
    <x v="1"/>
    <x v="3"/>
    <x v="5"/>
    <x v="8"/>
    <x v="30"/>
    <x v="30"/>
    <x v="0"/>
    <n v="573"/>
    <n v="95.551297000000005"/>
    <n v="439.14502099999993"/>
    <n v="5863388.2100000009"/>
    <n v="112"/>
    <n v="1384423.0499999996"/>
  </r>
  <r>
    <x v="1"/>
    <x v="3"/>
    <x v="5"/>
    <x v="8"/>
    <x v="31"/>
    <x v="31"/>
    <x v="0"/>
    <n v="1222"/>
    <n v="307.58011399999981"/>
    <n v="1022.8843470000013"/>
    <n v="11743086.789999999"/>
    <n v="347"/>
    <n v="3558517.6300000004"/>
  </r>
  <r>
    <x v="1"/>
    <x v="3"/>
    <x v="5"/>
    <x v="8"/>
    <x v="32"/>
    <x v="32"/>
    <x v="0"/>
    <n v="1929"/>
    <n v="482.77884999999998"/>
    <n v="1980.2609210000026"/>
    <n v="21297168.809999954"/>
    <n v="490"/>
    <n v="5318834.92"/>
  </r>
  <r>
    <x v="1"/>
    <x v="3"/>
    <x v="5"/>
    <x v="8"/>
    <x v="33"/>
    <x v="33"/>
    <x v="0"/>
    <n v="1917"/>
    <n v="229.24998399999998"/>
    <n v="1579.5332060000142"/>
    <n v="19533061.00000006"/>
    <n v="248"/>
    <n v="3534933.5499999989"/>
  </r>
  <r>
    <x v="1"/>
    <x v="3"/>
    <x v="5"/>
    <x v="8"/>
    <x v="34"/>
    <x v="34"/>
    <x v="0"/>
    <n v="33"/>
    <n v="10.778891999999999"/>
    <n v="24.125468000000009"/>
    <n v="276198.37000000005"/>
    <n v="13"/>
    <n v="96450.48"/>
  </r>
  <r>
    <x v="1"/>
    <x v="3"/>
    <x v="5"/>
    <x v="8"/>
    <x v="35"/>
    <x v="35"/>
    <x v="0"/>
    <n v="1863"/>
    <n v="283.37715099999986"/>
    <n v="1434.5967140000112"/>
    <n v="16054833.179999985"/>
    <n v="306"/>
    <n v="3496633.7800000007"/>
  </r>
  <r>
    <x v="1"/>
    <x v="3"/>
    <x v="5"/>
    <x v="8"/>
    <x v="36"/>
    <x v="36"/>
    <x v="0"/>
    <n v="1488"/>
    <n v="333.88318199999981"/>
    <n v="1322.5496640000042"/>
    <n v="14894280.919999989"/>
    <n v="338"/>
    <n v="3659655.5299999979"/>
  </r>
  <r>
    <x v="1"/>
    <x v="3"/>
    <x v="5"/>
    <x v="8"/>
    <x v="37"/>
    <x v="37"/>
    <x v="0"/>
    <n v="946"/>
    <n v="221.48472099999989"/>
    <n v="974.22763700000132"/>
    <n v="12494573.940000005"/>
    <n v="255"/>
    <n v="2844172.1100000013"/>
  </r>
  <r>
    <x v="1"/>
    <x v="3"/>
    <x v="5"/>
    <x v="8"/>
    <x v="38"/>
    <x v="38"/>
    <x v="0"/>
    <n v="566"/>
    <n v="82.160959000000005"/>
    <n v="462.55117899999982"/>
    <n v="6126708.2400000058"/>
    <n v="101"/>
    <n v="1095148.2900000007"/>
  </r>
  <r>
    <x v="1"/>
    <x v="3"/>
    <x v="5"/>
    <x v="8"/>
    <x v="39"/>
    <x v="39"/>
    <x v="0"/>
    <n v="1113"/>
    <n v="357.87517499999956"/>
    <n v="1320.0102420000026"/>
    <n v="16207182.090000004"/>
    <n v="354"/>
    <n v="3988135.3599999985"/>
  </r>
  <r>
    <x v="1"/>
    <x v="3"/>
    <x v="5"/>
    <x v="8"/>
    <x v="40"/>
    <x v="40"/>
    <x v="0"/>
    <n v="2320"/>
    <n v="305.21902299999977"/>
    <n v="1945.5275730000094"/>
    <n v="20773494.09999999"/>
    <n v="317"/>
    <n v="3221417.33"/>
  </r>
  <r>
    <x v="1"/>
    <x v="3"/>
    <x v="5"/>
    <x v="8"/>
    <x v="41"/>
    <x v="41"/>
    <x v="0"/>
    <n v="283"/>
    <n v="1.2454190000000001"/>
    <n v="491.76760900000096"/>
    <n v="5944698.5300000003"/>
    <n v="1"/>
    <n v="69826.06"/>
  </r>
  <r>
    <x v="1"/>
    <x v="3"/>
    <x v="5"/>
    <x v="8"/>
    <x v="42"/>
    <x v="42"/>
    <x v="0"/>
    <n v="254"/>
    <n v="46.430019000000009"/>
    <n v="169.16383200000007"/>
    <n v="1827818.719999999"/>
    <n v="80"/>
    <n v="492650.12"/>
  </r>
  <r>
    <x v="1"/>
    <x v="3"/>
    <x v="5"/>
    <x v="8"/>
    <x v="43"/>
    <x v="43"/>
    <x v="0"/>
    <n v="282"/>
    <n v="77.840414000000024"/>
    <n v="313.12311399999982"/>
    <n v="2905150.9099999988"/>
    <n v="78"/>
    <n v="721552.03"/>
  </r>
  <r>
    <x v="1"/>
    <x v="3"/>
    <x v="5"/>
    <x v="8"/>
    <x v="44"/>
    <x v="44"/>
    <x v="0"/>
    <n v="1495"/>
    <n v="295.86294599999962"/>
    <n v="1190.798039000008"/>
    <n v="14372950.640000014"/>
    <n v="351"/>
    <n v="3619219.629999999"/>
  </r>
  <r>
    <x v="1"/>
    <x v="3"/>
    <x v="5"/>
    <x v="8"/>
    <x v="45"/>
    <x v="45"/>
    <x v="0"/>
    <n v="1568"/>
    <n v="225.92997299999988"/>
    <n v="1765.8408829999946"/>
    <n v="19093375.219999984"/>
    <n v="239"/>
    <n v="2388941.4299999997"/>
  </r>
  <r>
    <x v="1"/>
    <x v="3"/>
    <x v="5"/>
    <x v="8"/>
    <x v="46"/>
    <x v="46"/>
    <x v="0"/>
    <n v="105"/>
    <n v="4.7962230000000003"/>
    <n v="96.291703999999967"/>
    <n v="3685480.86"/>
    <n v="6"/>
    <n v="186921.21000000002"/>
  </r>
  <r>
    <x v="1"/>
    <x v="3"/>
    <x v="5"/>
    <x v="9"/>
    <x v="0"/>
    <x v="0"/>
    <x v="0"/>
    <n v="1681"/>
    <n v="288.06708299999968"/>
    <n v="1561.8789640000041"/>
    <n v="16265430.77"/>
    <n v="326"/>
    <n v="3007892.5900000003"/>
  </r>
  <r>
    <x v="1"/>
    <x v="3"/>
    <x v="5"/>
    <x v="9"/>
    <x v="1"/>
    <x v="1"/>
    <x v="0"/>
    <n v="2751"/>
    <n v="575.86022699999967"/>
    <n v="4797.4220489999925"/>
    <n v="97483065.089999601"/>
    <n v="431"/>
    <n v="13412109.499999993"/>
  </r>
  <r>
    <x v="1"/>
    <x v="3"/>
    <x v="5"/>
    <x v="9"/>
    <x v="2"/>
    <x v="2"/>
    <x v="0"/>
    <n v="1199"/>
    <n v="209.56304399999988"/>
    <n v="1135.174652999998"/>
    <n v="17111315.279999997"/>
    <n v="219"/>
    <n v="3768147.5"/>
  </r>
  <r>
    <x v="1"/>
    <x v="3"/>
    <x v="5"/>
    <x v="9"/>
    <x v="3"/>
    <x v="3"/>
    <x v="0"/>
    <n v="3039"/>
    <n v="376.83453900000006"/>
    <n v="2475.1708099999883"/>
    <n v="26519408.880000021"/>
    <n v="376"/>
    <n v="4451897.160000002"/>
  </r>
  <r>
    <x v="1"/>
    <x v="3"/>
    <x v="5"/>
    <x v="9"/>
    <x v="4"/>
    <x v="4"/>
    <x v="0"/>
    <n v="1665"/>
    <n v="307.10034699999983"/>
    <n v="1553.9107990000077"/>
    <n v="18454610.05999998"/>
    <n v="339"/>
    <n v="3889633.5800000015"/>
  </r>
  <r>
    <x v="1"/>
    <x v="3"/>
    <x v="5"/>
    <x v="9"/>
    <x v="5"/>
    <x v="5"/>
    <x v="0"/>
    <n v="554"/>
    <n v="137.74444999999997"/>
    <n v="421.59793599999927"/>
    <n v="5190138.7200000035"/>
    <n v="163"/>
    <n v="1628341.1599999997"/>
  </r>
  <r>
    <x v="1"/>
    <x v="3"/>
    <x v="5"/>
    <x v="9"/>
    <x v="6"/>
    <x v="6"/>
    <x v="0"/>
    <n v="1468"/>
    <n v="178.30463600000002"/>
    <n v="1585.2413980000106"/>
    <n v="20508363.510000002"/>
    <n v="198"/>
    <n v="2466953.649999999"/>
  </r>
  <r>
    <x v="1"/>
    <x v="3"/>
    <x v="5"/>
    <x v="9"/>
    <x v="7"/>
    <x v="7"/>
    <x v="0"/>
    <n v="4171"/>
    <n v="833.01732400000037"/>
    <n v="5941.1565099999934"/>
    <n v="102708598.82000007"/>
    <n v="784"/>
    <n v="15666264.670000002"/>
  </r>
  <r>
    <x v="1"/>
    <x v="3"/>
    <x v="5"/>
    <x v="9"/>
    <x v="8"/>
    <x v="8"/>
    <x v="0"/>
    <n v="219"/>
    <n v="56.80250800000001"/>
    <n v="162.84909899999997"/>
    <n v="2969585.9200000018"/>
    <n v="74"/>
    <n v="1061383.7999999998"/>
  </r>
  <r>
    <x v="1"/>
    <x v="3"/>
    <x v="5"/>
    <x v="9"/>
    <x v="9"/>
    <x v="9"/>
    <x v="0"/>
    <n v="1904"/>
    <n v="440.49666899999949"/>
    <n v="1850.1420769999997"/>
    <n v="20502664.750000011"/>
    <n v="491"/>
    <n v="4818101.05"/>
  </r>
  <r>
    <x v="1"/>
    <x v="3"/>
    <x v="5"/>
    <x v="9"/>
    <x v="10"/>
    <x v="10"/>
    <x v="0"/>
    <n v="2212"/>
    <n v="419.48455099999956"/>
    <n v="2595.1615200000101"/>
    <n v="32461817.899999991"/>
    <n v="402"/>
    <n v="5034886.4999999972"/>
  </r>
  <r>
    <x v="0"/>
    <x v="6"/>
    <x v="6"/>
    <x v="0"/>
    <x v="11"/>
    <x v="11"/>
    <x v="0"/>
    <n v="309"/>
    <n v="74.755702047020762"/>
    <n v="257.41077571854993"/>
    <n v="6737195.120000001"/>
    <n v="90"/>
    <n v="1720494.6400000001"/>
  </r>
  <r>
    <x v="1"/>
    <x v="3"/>
    <x v="5"/>
    <x v="9"/>
    <x v="12"/>
    <x v="12"/>
    <x v="0"/>
    <n v="2518"/>
    <n v="519.60150499999975"/>
    <n v="2246.4635400000061"/>
    <n v="25763072.190000005"/>
    <n v="594"/>
    <n v="6093573.6899999985"/>
  </r>
  <r>
    <x v="1"/>
    <x v="3"/>
    <x v="5"/>
    <x v="9"/>
    <x v="13"/>
    <x v="13"/>
    <x v="0"/>
    <n v="1190"/>
    <n v="255.07817700000007"/>
    <n v="1112.2846880000011"/>
    <n v="16013334.040000007"/>
    <n v="262"/>
    <n v="3774935.8600000017"/>
  </r>
  <r>
    <x v="1"/>
    <x v="3"/>
    <x v="5"/>
    <x v="9"/>
    <x v="14"/>
    <x v="14"/>
    <x v="0"/>
    <n v="187"/>
    <n v="20.232884000000006"/>
    <n v="128.80870400000012"/>
    <n v="1678369.2199999997"/>
    <n v="26"/>
    <n v="286714.10000000009"/>
  </r>
  <r>
    <x v="1"/>
    <x v="3"/>
    <x v="5"/>
    <x v="9"/>
    <x v="15"/>
    <x v="15"/>
    <x v="0"/>
    <n v="815"/>
    <n v="141.17433500000001"/>
    <n v="678.59642599999665"/>
    <n v="6885179.4899999937"/>
    <n v="172"/>
    <n v="1499836.0400000003"/>
  </r>
  <r>
    <x v="1"/>
    <x v="3"/>
    <x v="5"/>
    <x v="9"/>
    <x v="16"/>
    <x v="16"/>
    <x v="0"/>
    <n v="1761"/>
    <n v="359.97802600000011"/>
    <n v="1854.6158009999929"/>
    <n v="21828196.339999977"/>
    <n v="357"/>
    <n v="4099606.94"/>
  </r>
  <r>
    <x v="1"/>
    <x v="3"/>
    <x v="5"/>
    <x v="9"/>
    <x v="17"/>
    <x v="17"/>
    <x v="0"/>
    <n v="1176"/>
    <n v="266.96073099999995"/>
    <n v="1539.0191430000002"/>
    <n v="15426382.380000006"/>
    <n v="237"/>
    <n v="2648893.36"/>
  </r>
  <r>
    <x v="1"/>
    <x v="3"/>
    <x v="5"/>
    <x v="9"/>
    <x v="18"/>
    <x v="18"/>
    <x v="0"/>
    <n v="2639"/>
    <n v="342.0822849999999"/>
    <n v="2480.898257999992"/>
    <n v="26307330.920000158"/>
    <n v="365"/>
    <n v="3690286.43"/>
  </r>
  <r>
    <x v="1"/>
    <x v="3"/>
    <x v="5"/>
    <x v="9"/>
    <x v="19"/>
    <x v="19"/>
    <x v="0"/>
    <n v="1248"/>
    <n v="296.76307499999979"/>
    <n v="1627.8810400000027"/>
    <n v="20806936.199999981"/>
    <n v="312"/>
    <n v="3764828.0999999992"/>
  </r>
  <r>
    <x v="1"/>
    <x v="3"/>
    <x v="5"/>
    <x v="9"/>
    <x v="20"/>
    <x v="20"/>
    <x v="0"/>
    <n v="1073"/>
    <n v="213.26072599999989"/>
    <n v="1029.3036209999991"/>
    <n v="12662952.950000005"/>
    <n v="236"/>
    <n v="2539499.3700000006"/>
  </r>
  <r>
    <x v="1"/>
    <x v="3"/>
    <x v="5"/>
    <x v="9"/>
    <x v="21"/>
    <x v="21"/>
    <x v="0"/>
    <n v="784"/>
    <n v="133.54238399999997"/>
    <n v="586.56042799999614"/>
    <n v="5136598.1199999982"/>
    <n v="168"/>
    <n v="1159804.0000000005"/>
  </r>
  <r>
    <x v="1"/>
    <x v="3"/>
    <x v="5"/>
    <x v="9"/>
    <x v="22"/>
    <x v="22"/>
    <x v="0"/>
    <n v="1855"/>
    <n v="375.17209499999996"/>
    <n v="1929.1439780000021"/>
    <n v="32438117.949999988"/>
    <n v="408"/>
    <n v="5858741.4299999997"/>
  </r>
  <r>
    <x v="1"/>
    <x v="3"/>
    <x v="5"/>
    <x v="9"/>
    <x v="23"/>
    <x v="23"/>
    <x v="0"/>
    <n v="163"/>
    <n v="50.010007000000016"/>
    <n v="140.8603270000001"/>
    <n v="2427729.94"/>
    <n v="62"/>
    <n v="832510.35000000021"/>
  </r>
  <r>
    <x v="1"/>
    <x v="3"/>
    <x v="5"/>
    <x v="9"/>
    <x v="24"/>
    <x v="24"/>
    <x v="0"/>
    <n v="531"/>
    <n v="105.81265599999993"/>
    <n v="420.61138"/>
    <n v="6750813.4799999967"/>
    <n v="119"/>
    <n v="1516711.5899999992"/>
  </r>
  <r>
    <x v="1"/>
    <x v="3"/>
    <x v="5"/>
    <x v="9"/>
    <x v="25"/>
    <x v="25"/>
    <x v="0"/>
    <n v="1190"/>
    <n v="240.41069599999992"/>
    <n v="1026.8244189999957"/>
    <n v="13243844.860000001"/>
    <n v="273"/>
    <n v="3245580.04"/>
  </r>
  <r>
    <x v="1"/>
    <x v="3"/>
    <x v="5"/>
    <x v="9"/>
    <x v="26"/>
    <x v="26"/>
    <x v="0"/>
    <n v="897"/>
    <n v="196.78219899999999"/>
    <n v="832.74987799999531"/>
    <n v="11351093.10999999"/>
    <n v="198"/>
    <n v="2386922.7399999984"/>
  </r>
  <r>
    <x v="1"/>
    <x v="3"/>
    <x v="5"/>
    <x v="9"/>
    <x v="27"/>
    <x v="27"/>
    <x v="0"/>
    <n v="914"/>
    <n v="200.07603099999983"/>
    <n v="696.74029399999904"/>
    <n v="7069900.5500000017"/>
    <n v="261"/>
    <n v="2014444.1700000002"/>
  </r>
  <r>
    <x v="1"/>
    <x v="3"/>
    <x v="5"/>
    <x v="9"/>
    <x v="28"/>
    <x v="28"/>
    <x v="0"/>
    <n v="783"/>
    <n v="126.50599600000002"/>
    <n v="690.56012199999589"/>
    <n v="7736476.6100000143"/>
    <n v="148"/>
    <n v="1345097.6199999994"/>
  </r>
  <r>
    <x v="1"/>
    <x v="3"/>
    <x v="5"/>
    <x v="9"/>
    <x v="29"/>
    <x v="29"/>
    <x v="0"/>
    <n v="619"/>
    <n v="151.05781500000006"/>
    <n v="706.04940999999826"/>
    <n v="11954613.539999992"/>
    <n v="172"/>
    <n v="2136155.8300000015"/>
  </r>
  <r>
    <x v="1"/>
    <x v="3"/>
    <x v="5"/>
    <x v="9"/>
    <x v="30"/>
    <x v="30"/>
    <x v="0"/>
    <n v="528"/>
    <n v="93.679915000000008"/>
    <n v="446.98912899999976"/>
    <n v="5708875.4400000013"/>
    <n v="103"/>
    <n v="1282165.79"/>
  </r>
  <r>
    <x v="1"/>
    <x v="3"/>
    <x v="5"/>
    <x v="9"/>
    <x v="31"/>
    <x v="31"/>
    <x v="0"/>
    <n v="1151"/>
    <n v="263.90965799999998"/>
    <n v="947.36526400000025"/>
    <n v="11431902.120000007"/>
    <n v="323"/>
    <n v="3085920.2200000007"/>
  </r>
  <r>
    <x v="1"/>
    <x v="3"/>
    <x v="5"/>
    <x v="9"/>
    <x v="32"/>
    <x v="32"/>
    <x v="0"/>
    <n v="1826"/>
    <n v="463.18471400000021"/>
    <n v="1870.2400420000022"/>
    <n v="20165629.380000032"/>
    <n v="493"/>
    <n v="4774041.7499999953"/>
  </r>
  <r>
    <x v="1"/>
    <x v="3"/>
    <x v="5"/>
    <x v="9"/>
    <x v="33"/>
    <x v="33"/>
    <x v="0"/>
    <n v="1834"/>
    <n v="221.48311099999992"/>
    <n v="1540.2175630000113"/>
    <n v="19464959.730000135"/>
    <n v="248"/>
    <n v="2989900.8499999987"/>
  </r>
  <r>
    <x v="1"/>
    <x v="3"/>
    <x v="5"/>
    <x v="9"/>
    <x v="34"/>
    <x v="34"/>
    <x v="0"/>
    <n v="34"/>
    <n v="10.242614"/>
    <n v="24.498575999999996"/>
    <n v="240142.43000000002"/>
    <n v="14"/>
    <n v="100203.29"/>
  </r>
  <r>
    <x v="1"/>
    <x v="3"/>
    <x v="5"/>
    <x v="9"/>
    <x v="35"/>
    <x v="35"/>
    <x v="0"/>
    <n v="1735"/>
    <n v="270.42733999999996"/>
    <n v="1402.2951050000102"/>
    <n v="15419999.530000011"/>
    <n v="292"/>
    <n v="2786482.2600000007"/>
  </r>
  <r>
    <x v="1"/>
    <x v="3"/>
    <x v="5"/>
    <x v="9"/>
    <x v="36"/>
    <x v="36"/>
    <x v="0"/>
    <n v="1435"/>
    <n v="283.10073399999993"/>
    <n v="1267.814634000003"/>
    <n v="14424019.219999963"/>
    <n v="325"/>
    <n v="3268783.5300000012"/>
  </r>
  <r>
    <x v="1"/>
    <x v="3"/>
    <x v="5"/>
    <x v="9"/>
    <x v="37"/>
    <x v="37"/>
    <x v="0"/>
    <n v="921"/>
    <n v="224.50232499999979"/>
    <n v="990.56676600000003"/>
    <n v="11436829.659999996"/>
    <n v="257"/>
    <n v="2763555.120000001"/>
  </r>
  <r>
    <x v="1"/>
    <x v="3"/>
    <x v="5"/>
    <x v="9"/>
    <x v="38"/>
    <x v="38"/>
    <x v="0"/>
    <n v="551"/>
    <n v="92.096455000000063"/>
    <n v="478.45443299999977"/>
    <n v="5856655.4699999988"/>
    <n v="98"/>
    <n v="928114.48"/>
  </r>
  <r>
    <x v="1"/>
    <x v="3"/>
    <x v="5"/>
    <x v="9"/>
    <x v="39"/>
    <x v="39"/>
    <x v="0"/>
    <n v="1116"/>
    <n v="330.39124199999969"/>
    <n v="1313.5316280000031"/>
    <n v="15853164.490000019"/>
    <n v="313"/>
    <n v="3741060.8099999982"/>
  </r>
  <r>
    <x v="1"/>
    <x v="3"/>
    <x v="5"/>
    <x v="9"/>
    <x v="40"/>
    <x v="40"/>
    <x v="0"/>
    <n v="2202"/>
    <n v="296.70179500000006"/>
    <n v="1852.7500890000072"/>
    <n v="19324004.880000006"/>
    <n v="309"/>
    <n v="2887431.4699999997"/>
  </r>
  <r>
    <x v="1"/>
    <x v="3"/>
    <x v="5"/>
    <x v="9"/>
    <x v="41"/>
    <x v="41"/>
    <x v="0"/>
    <n v="302"/>
    <n v="3.946434"/>
    <n v="513.30516100000136"/>
    <n v="6426680.3799999962"/>
    <n v="2"/>
    <n v="57956.420000000006"/>
  </r>
  <r>
    <x v="1"/>
    <x v="3"/>
    <x v="5"/>
    <x v="9"/>
    <x v="42"/>
    <x v="42"/>
    <x v="0"/>
    <n v="251"/>
    <n v="48.941392000000008"/>
    <n v="180.68157800000023"/>
    <n v="1899359.0099999995"/>
    <n v="78"/>
    <n v="524533.8899999999"/>
  </r>
  <r>
    <x v="1"/>
    <x v="3"/>
    <x v="5"/>
    <x v="9"/>
    <x v="43"/>
    <x v="43"/>
    <x v="0"/>
    <n v="265"/>
    <n v="77.21383800000001"/>
    <n v="275.02099300000009"/>
    <n v="2658396.9299999983"/>
    <n v="92"/>
    <n v="706195.65000000014"/>
  </r>
  <r>
    <x v="1"/>
    <x v="3"/>
    <x v="5"/>
    <x v="9"/>
    <x v="44"/>
    <x v="44"/>
    <x v="0"/>
    <n v="1511"/>
    <n v="275.42311099999961"/>
    <n v="1285.4347170000074"/>
    <n v="15157060.080000002"/>
    <n v="319"/>
    <n v="3253599.1199999992"/>
  </r>
  <r>
    <x v="1"/>
    <x v="3"/>
    <x v="5"/>
    <x v="9"/>
    <x v="45"/>
    <x v="45"/>
    <x v="0"/>
    <n v="1603"/>
    <n v="242.57918699999985"/>
    <n v="1885.4455149999924"/>
    <n v="17725973.940000009"/>
    <n v="224"/>
    <n v="2262057.7899999986"/>
  </r>
  <r>
    <x v="1"/>
    <x v="3"/>
    <x v="5"/>
    <x v="9"/>
    <x v="46"/>
    <x v="46"/>
    <x v="0"/>
    <n v="106"/>
    <n v="5.1684529999999995"/>
    <n v="98.050635999999926"/>
    <n v="3985977.6100000003"/>
    <n v="6"/>
    <n v="182784.51"/>
  </r>
  <r>
    <x v="1"/>
    <x v="3"/>
    <x v="5"/>
    <x v="10"/>
    <x v="0"/>
    <x v="0"/>
    <x v="0"/>
    <n v="1604"/>
    <n v="290.98343299999988"/>
    <n v="1551.2441380000057"/>
    <n v="19199653.870000057"/>
    <n v="298"/>
    <n v="3810657.5299999993"/>
  </r>
  <r>
    <x v="1"/>
    <x v="3"/>
    <x v="5"/>
    <x v="10"/>
    <x v="1"/>
    <x v="1"/>
    <x v="0"/>
    <n v="2936"/>
    <n v="528.56778999999949"/>
    <n v="4973.2303699999993"/>
    <n v="99114326.820000127"/>
    <n v="465"/>
    <n v="9713885.3400000092"/>
  </r>
  <r>
    <x v="1"/>
    <x v="3"/>
    <x v="5"/>
    <x v="10"/>
    <x v="2"/>
    <x v="2"/>
    <x v="0"/>
    <n v="1368"/>
    <n v="215.22422499999999"/>
    <n v="1259.8299240000013"/>
    <n v="20148005.620000046"/>
    <n v="248"/>
    <n v="3373528.290000001"/>
  </r>
  <r>
    <x v="1"/>
    <x v="3"/>
    <x v="5"/>
    <x v="10"/>
    <x v="3"/>
    <x v="3"/>
    <x v="0"/>
    <n v="3419"/>
    <n v="381.99434599999972"/>
    <n v="2736.7792349999768"/>
    <n v="29637678.260000035"/>
    <n v="411"/>
    <n v="4645648.8900000034"/>
  </r>
  <r>
    <x v="1"/>
    <x v="3"/>
    <x v="5"/>
    <x v="10"/>
    <x v="4"/>
    <x v="4"/>
    <x v="0"/>
    <n v="1698"/>
    <n v="283.96287200000006"/>
    <n v="1544.5254440000074"/>
    <n v="14958460.159999974"/>
    <n v="290"/>
    <n v="2922591.1700000004"/>
  </r>
  <r>
    <x v="1"/>
    <x v="3"/>
    <x v="5"/>
    <x v="10"/>
    <x v="5"/>
    <x v="5"/>
    <x v="0"/>
    <n v="550"/>
    <n v="143.24623299999993"/>
    <n v="438.31203099999988"/>
    <n v="5393201.6000000006"/>
    <n v="172"/>
    <n v="1856261.4000000001"/>
  </r>
  <r>
    <x v="1"/>
    <x v="3"/>
    <x v="5"/>
    <x v="10"/>
    <x v="6"/>
    <x v="6"/>
    <x v="0"/>
    <n v="1574"/>
    <n v="175.08900299999996"/>
    <n v="1599.0319790000087"/>
    <n v="19246880.709999941"/>
    <n v="215"/>
    <n v="2139249.4300000002"/>
  </r>
  <r>
    <x v="1"/>
    <x v="3"/>
    <x v="5"/>
    <x v="10"/>
    <x v="7"/>
    <x v="7"/>
    <x v="0"/>
    <n v="4335"/>
    <n v="911.39940900000124"/>
    <n v="6209.5748629999816"/>
    <n v="111203111.54000014"/>
    <n v="777"/>
    <n v="17307594.389999989"/>
  </r>
  <r>
    <x v="1"/>
    <x v="3"/>
    <x v="5"/>
    <x v="10"/>
    <x v="8"/>
    <x v="8"/>
    <x v="0"/>
    <n v="243"/>
    <n v="55.280577999999991"/>
    <n v="179.04414399999993"/>
    <n v="3351831.9700000007"/>
    <n v="71"/>
    <n v="1127583.57"/>
  </r>
  <r>
    <x v="1"/>
    <x v="3"/>
    <x v="5"/>
    <x v="10"/>
    <x v="9"/>
    <x v="9"/>
    <x v="0"/>
    <n v="1924"/>
    <n v="432.42336899999998"/>
    <n v="1834.7966969999989"/>
    <n v="19270557.060000006"/>
    <n v="481"/>
    <n v="4616093.6799999969"/>
  </r>
  <r>
    <x v="1"/>
    <x v="3"/>
    <x v="5"/>
    <x v="10"/>
    <x v="10"/>
    <x v="10"/>
    <x v="0"/>
    <n v="2349"/>
    <n v="424.35828599999962"/>
    <n v="2740.2917550000238"/>
    <n v="36097797.990000032"/>
    <n v="389"/>
    <n v="5240383.9999999981"/>
  </r>
  <r>
    <x v="0"/>
    <x v="6"/>
    <x v="6"/>
    <x v="2"/>
    <x v="11"/>
    <x v="11"/>
    <x v="0"/>
    <n v="272"/>
    <n v="61.348463217935091"/>
    <n v="225.66971712318207"/>
    <n v="5493017.5200000033"/>
    <n v="75"/>
    <n v="1609550.7600000005"/>
  </r>
  <r>
    <x v="1"/>
    <x v="3"/>
    <x v="5"/>
    <x v="10"/>
    <x v="12"/>
    <x v="12"/>
    <x v="0"/>
    <n v="2696"/>
    <n v="522.08015299999965"/>
    <n v="2320.7232400000162"/>
    <n v="26405846.340000004"/>
    <n v="591"/>
    <n v="5667809.0500000026"/>
  </r>
  <r>
    <x v="1"/>
    <x v="3"/>
    <x v="5"/>
    <x v="10"/>
    <x v="13"/>
    <x v="13"/>
    <x v="0"/>
    <n v="1170"/>
    <n v="210.16965799999997"/>
    <n v="1082.3449329999994"/>
    <n v="15270991.540000018"/>
    <n v="220"/>
    <n v="3004961.3900000006"/>
  </r>
  <r>
    <x v="1"/>
    <x v="3"/>
    <x v="5"/>
    <x v="10"/>
    <x v="14"/>
    <x v="14"/>
    <x v="0"/>
    <n v="212"/>
    <n v="35.173237"/>
    <n v="175.284581"/>
    <n v="2268627.77"/>
    <n v="42"/>
    <n v="463128.41999999987"/>
  </r>
  <r>
    <x v="1"/>
    <x v="3"/>
    <x v="5"/>
    <x v="10"/>
    <x v="15"/>
    <x v="15"/>
    <x v="0"/>
    <n v="880"/>
    <n v="145.14872099999999"/>
    <n v="738.72690799999657"/>
    <n v="8293595.6100000003"/>
    <n v="177"/>
    <n v="1724421.8499999999"/>
  </r>
  <r>
    <x v="1"/>
    <x v="3"/>
    <x v="5"/>
    <x v="10"/>
    <x v="16"/>
    <x v="16"/>
    <x v="0"/>
    <n v="1694"/>
    <n v="290.89187099999975"/>
    <n v="1802.1642739999925"/>
    <n v="20367811.559999995"/>
    <n v="292"/>
    <n v="3232443.73"/>
  </r>
  <r>
    <x v="1"/>
    <x v="3"/>
    <x v="5"/>
    <x v="10"/>
    <x v="17"/>
    <x v="17"/>
    <x v="0"/>
    <n v="1355"/>
    <n v="238.53546199999977"/>
    <n v="1661.6975250000039"/>
    <n v="17972370.260000005"/>
    <n v="241"/>
    <n v="2480307.6699999976"/>
  </r>
  <r>
    <x v="1"/>
    <x v="3"/>
    <x v="5"/>
    <x v="10"/>
    <x v="18"/>
    <x v="18"/>
    <x v="0"/>
    <n v="2751"/>
    <n v="308.09446500000007"/>
    <n v="2543.3260559999871"/>
    <n v="26631520.520000014"/>
    <n v="349"/>
    <n v="3351741.7700000028"/>
  </r>
  <r>
    <x v="1"/>
    <x v="3"/>
    <x v="5"/>
    <x v="10"/>
    <x v="19"/>
    <x v="19"/>
    <x v="0"/>
    <n v="1225"/>
    <n v="268.90703899999983"/>
    <n v="1594.5549420000009"/>
    <n v="19250669.480000038"/>
    <n v="282"/>
    <n v="2961277.5799999982"/>
  </r>
  <r>
    <x v="1"/>
    <x v="3"/>
    <x v="5"/>
    <x v="10"/>
    <x v="20"/>
    <x v="20"/>
    <x v="0"/>
    <n v="1189"/>
    <n v="216.43272100000002"/>
    <n v="1131.278115000003"/>
    <n v="12248657.070000008"/>
    <n v="253"/>
    <n v="2203547.0099999984"/>
  </r>
  <r>
    <x v="1"/>
    <x v="3"/>
    <x v="5"/>
    <x v="10"/>
    <x v="21"/>
    <x v="21"/>
    <x v="0"/>
    <n v="905"/>
    <n v="144.95263199999999"/>
    <n v="670.0167629999936"/>
    <n v="6400854.3299999982"/>
    <n v="169"/>
    <n v="1377481.8299999994"/>
  </r>
  <r>
    <x v="1"/>
    <x v="3"/>
    <x v="5"/>
    <x v="10"/>
    <x v="22"/>
    <x v="22"/>
    <x v="0"/>
    <n v="2007"/>
    <n v="415.10452699999985"/>
    <n v="2020.1018070000052"/>
    <n v="32391286.130000044"/>
    <n v="466"/>
    <n v="6452431.4299999997"/>
  </r>
  <r>
    <x v="1"/>
    <x v="3"/>
    <x v="5"/>
    <x v="10"/>
    <x v="23"/>
    <x v="23"/>
    <x v="0"/>
    <n v="171"/>
    <n v="62.043285999999988"/>
    <n v="159.55642600000004"/>
    <n v="2863864.8300000005"/>
    <n v="63"/>
    <n v="1026387.2600000002"/>
  </r>
  <r>
    <x v="1"/>
    <x v="3"/>
    <x v="5"/>
    <x v="10"/>
    <x v="24"/>
    <x v="24"/>
    <x v="0"/>
    <n v="502"/>
    <n v="88.693838999999969"/>
    <n v="413.99654600000036"/>
    <n v="6594358.5499999961"/>
    <n v="99"/>
    <n v="1290461.8900000004"/>
  </r>
  <r>
    <x v="1"/>
    <x v="3"/>
    <x v="5"/>
    <x v="10"/>
    <x v="25"/>
    <x v="25"/>
    <x v="0"/>
    <n v="1147"/>
    <n v="228.78255199999984"/>
    <n v="971.84435399999722"/>
    <n v="12607232.620000029"/>
    <n v="246"/>
    <n v="3044650.6099999989"/>
  </r>
  <r>
    <x v="1"/>
    <x v="3"/>
    <x v="5"/>
    <x v="10"/>
    <x v="26"/>
    <x v="26"/>
    <x v="0"/>
    <n v="937"/>
    <n v="169.07201700000005"/>
    <n v="809.9398209999938"/>
    <n v="11699048.550000003"/>
    <n v="189"/>
    <n v="2273407.189999999"/>
  </r>
  <r>
    <x v="1"/>
    <x v="3"/>
    <x v="5"/>
    <x v="10"/>
    <x v="27"/>
    <x v="27"/>
    <x v="0"/>
    <n v="875"/>
    <n v="210.4689939999999"/>
    <n v="735.25769199999854"/>
    <n v="6900104.0000000028"/>
    <n v="225"/>
    <n v="1846574.0200000005"/>
  </r>
  <r>
    <x v="1"/>
    <x v="3"/>
    <x v="5"/>
    <x v="10"/>
    <x v="28"/>
    <x v="28"/>
    <x v="0"/>
    <n v="824"/>
    <n v="144.65466800000007"/>
    <n v="721.97388999999646"/>
    <n v="7895302.5800000085"/>
    <n v="159"/>
    <n v="1730213.6000000006"/>
  </r>
  <r>
    <x v="1"/>
    <x v="3"/>
    <x v="5"/>
    <x v="10"/>
    <x v="29"/>
    <x v="29"/>
    <x v="0"/>
    <n v="675"/>
    <n v="186.52064699999997"/>
    <n v="692.38957999999957"/>
    <n v="12329741.65"/>
    <n v="191"/>
    <n v="2833629.7600000007"/>
  </r>
  <r>
    <x v="1"/>
    <x v="3"/>
    <x v="5"/>
    <x v="10"/>
    <x v="30"/>
    <x v="30"/>
    <x v="0"/>
    <n v="608"/>
    <n v="91.850334000000018"/>
    <n v="448.18488500000035"/>
    <n v="5504528.219999996"/>
    <n v="106"/>
    <n v="1120859.0699999996"/>
  </r>
  <r>
    <x v="1"/>
    <x v="3"/>
    <x v="5"/>
    <x v="10"/>
    <x v="31"/>
    <x v="31"/>
    <x v="0"/>
    <n v="1108"/>
    <n v="284.21982999999972"/>
    <n v="937.71015900000123"/>
    <n v="12032442.420000019"/>
    <n v="351"/>
    <n v="3803435.5300000003"/>
  </r>
  <r>
    <x v="1"/>
    <x v="3"/>
    <x v="5"/>
    <x v="10"/>
    <x v="32"/>
    <x v="32"/>
    <x v="0"/>
    <n v="1805"/>
    <n v="454.98685299999966"/>
    <n v="1911.296227000001"/>
    <n v="20504680.340000052"/>
    <n v="472"/>
    <n v="5053260.330000001"/>
  </r>
  <r>
    <x v="1"/>
    <x v="3"/>
    <x v="5"/>
    <x v="10"/>
    <x v="33"/>
    <x v="33"/>
    <x v="0"/>
    <n v="1857"/>
    <n v="238.19266299999975"/>
    <n v="1616.4278840000095"/>
    <n v="19955117.85000011"/>
    <n v="261"/>
    <n v="3212311.3100000033"/>
  </r>
  <r>
    <x v="1"/>
    <x v="3"/>
    <x v="5"/>
    <x v="10"/>
    <x v="34"/>
    <x v="34"/>
    <x v="0"/>
    <n v="35"/>
    <n v="12.651309000000001"/>
    <n v="24.931474000000001"/>
    <n v="267751.21999999997"/>
    <n v="17"/>
    <n v="121752.19999999998"/>
  </r>
  <r>
    <x v="1"/>
    <x v="3"/>
    <x v="5"/>
    <x v="10"/>
    <x v="35"/>
    <x v="35"/>
    <x v="0"/>
    <n v="1816"/>
    <n v="284.747545"/>
    <n v="1502.5288550000137"/>
    <n v="14884582.520000027"/>
    <n v="295"/>
    <n v="3037090.6600000011"/>
  </r>
  <r>
    <x v="1"/>
    <x v="3"/>
    <x v="5"/>
    <x v="10"/>
    <x v="36"/>
    <x v="36"/>
    <x v="0"/>
    <n v="1495"/>
    <n v="270.78891399999986"/>
    <n v="1264.5694190000061"/>
    <n v="13553846.960000016"/>
    <n v="329"/>
    <n v="2791449.21"/>
  </r>
  <r>
    <x v="1"/>
    <x v="3"/>
    <x v="5"/>
    <x v="10"/>
    <x v="37"/>
    <x v="37"/>
    <x v="0"/>
    <n v="927"/>
    <n v="218.35267999999994"/>
    <n v="991.41259300000013"/>
    <n v="10911734.350000005"/>
    <n v="258"/>
    <n v="2232800.870000002"/>
  </r>
  <r>
    <x v="1"/>
    <x v="3"/>
    <x v="5"/>
    <x v="10"/>
    <x v="38"/>
    <x v="38"/>
    <x v="0"/>
    <n v="609"/>
    <n v="100.57967400000004"/>
    <n v="493.16371499999991"/>
    <n v="5607686.8600000003"/>
    <n v="114"/>
    <n v="900484.99000000022"/>
  </r>
  <r>
    <x v="1"/>
    <x v="3"/>
    <x v="5"/>
    <x v="10"/>
    <x v="39"/>
    <x v="39"/>
    <x v="0"/>
    <n v="1130"/>
    <n v="375.55701899999991"/>
    <n v="1318.3337310000002"/>
    <n v="15158719.829999994"/>
    <n v="344"/>
    <n v="4058946.96"/>
  </r>
  <r>
    <x v="1"/>
    <x v="3"/>
    <x v="5"/>
    <x v="10"/>
    <x v="40"/>
    <x v="40"/>
    <x v="0"/>
    <n v="2235"/>
    <n v="295.91037499999965"/>
    <n v="1890.1107900000118"/>
    <n v="20557200.140000064"/>
    <n v="308"/>
    <n v="3219184.1200000034"/>
  </r>
  <r>
    <x v="1"/>
    <x v="3"/>
    <x v="5"/>
    <x v="10"/>
    <x v="41"/>
    <x v="41"/>
    <x v="0"/>
    <n v="319"/>
    <n v="1.9787870000000001"/>
    <n v="530.33179900000107"/>
    <n v="6402203.4100000029"/>
    <n v="1"/>
    <n v="28130.34"/>
  </r>
  <r>
    <x v="1"/>
    <x v="3"/>
    <x v="5"/>
    <x v="10"/>
    <x v="42"/>
    <x v="42"/>
    <x v="0"/>
    <n v="249"/>
    <n v="48.922002999999989"/>
    <n v="179.96248800000021"/>
    <n v="2016203.6499999994"/>
    <n v="77"/>
    <n v="528437.87999999989"/>
  </r>
  <r>
    <x v="1"/>
    <x v="3"/>
    <x v="5"/>
    <x v="10"/>
    <x v="43"/>
    <x v="43"/>
    <x v="0"/>
    <n v="304"/>
    <n v="78.687793000000042"/>
    <n v="315.50490600000035"/>
    <n v="3223753.4699999997"/>
    <n v="89"/>
    <n v="720100.2100000002"/>
  </r>
  <r>
    <x v="1"/>
    <x v="3"/>
    <x v="5"/>
    <x v="10"/>
    <x v="44"/>
    <x v="44"/>
    <x v="0"/>
    <n v="1581"/>
    <n v="319.02800899999943"/>
    <n v="1283.9338040000107"/>
    <n v="15566527.22000003"/>
    <n v="358"/>
    <n v="3792701.6699999971"/>
  </r>
  <r>
    <x v="1"/>
    <x v="3"/>
    <x v="5"/>
    <x v="10"/>
    <x v="45"/>
    <x v="45"/>
    <x v="0"/>
    <n v="1589"/>
    <n v="240.30877499999991"/>
    <n v="1855.703995999989"/>
    <n v="16320572.389999989"/>
    <n v="235"/>
    <n v="2113344.3900000011"/>
  </r>
  <r>
    <x v="1"/>
    <x v="3"/>
    <x v="5"/>
    <x v="10"/>
    <x v="46"/>
    <x v="46"/>
    <x v="0"/>
    <n v="96"/>
    <n v="8.235633"/>
    <n v="81.24605700000005"/>
    <n v="3370821.61"/>
    <n v="11"/>
    <n v="315382.55"/>
  </r>
  <r>
    <x v="1"/>
    <x v="3"/>
    <x v="5"/>
    <x v="11"/>
    <x v="0"/>
    <x v="0"/>
    <x v="0"/>
    <n v="1678"/>
    <n v="310.73288299999984"/>
    <n v="1531.0587950000042"/>
    <n v="19620167.869999975"/>
    <n v="322"/>
    <n v="4027465.1199999996"/>
  </r>
  <r>
    <x v="1"/>
    <x v="3"/>
    <x v="5"/>
    <x v="11"/>
    <x v="1"/>
    <x v="1"/>
    <x v="0"/>
    <n v="2678"/>
    <n v="526.86741299999949"/>
    <n v="4475.1776369999907"/>
    <n v="82858206.559999809"/>
    <n v="440"/>
    <n v="9318031.6300000101"/>
  </r>
  <r>
    <x v="1"/>
    <x v="3"/>
    <x v="5"/>
    <x v="11"/>
    <x v="2"/>
    <x v="2"/>
    <x v="0"/>
    <n v="1358"/>
    <n v="194.30742000000001"/>
    <n v="1219.543486"/>
    <n v="16517091.389999967"/>
    <n v="216"/>
    <n v="2493309.3600000008"/>
  </r>
  <r>
    <x v="1"/>
    <x v="3"/>
    <x v="5"/>
    <x v="11"/>
    <x v="3"/>
    <x v="3"/>
    <x v="0"/>
    <n v="3301"/>
    <n v="408.26705499999997"/>
    <n v="2666.4531459999812"/>
    <n v="27537006.519999985"/>
    <n v="423"/>
    <n v="4685692.7499999944"/>
  </r>
  <r>
    <x v="1"/>
    <x v="3"/>
    <x v="5"/>
    <x v="11"/>
    <x v="4"/>
    <x v="4"/>
    <x v="0"/>
    <n v="1651"/>
    <n v="266.56153899999964"/>
    <n v="1485.9131560000078"/>
    <n v="14333324.880000016"/>
    <n v="291"/>
    <n v="2741797.4400000018"/>
  </r>
  <r>
    <x v="1"/>
    <x v="3"/>
    <x v="5"/>
    <x v="11"/>
    <x v="5"/>
    <x v="5"/>
    <x v="0"/>
    <n v="567"/>
    <n v="107.83445800000003"/>
    <n v="418.08932199999998"/>
    <n v="4938148.5599999987"/>
    <n v="150"/>
    <n v="1182542.56"/>
  </r>
  <r>
    <x v="1"/>
    <x v="3"/>
    <x v="5"/>
    <x v="11"/>
    <x v="6"/>
    <x v="6"/>
    <x v="0"/>
    <n v="1439"/>
    <n v="179.22911799999991"/>
    <n v="1543.8609010000125"/>
    <n v="19520056.400000006"/>
    <n v="199"/>
    <n v="2195650.9099999988"/>
  </r>
  <r>
    <x v="1"/>
    <x v="3"/>
    <x v="5"/>
    <x v="11"/>
    <x v="7"/>
    <x v="7"/>
    <x v="0"/>
    <n v="4209"/>
    <n v="767.08806900000116"/>
    <n v="6092.5497209999676"/>
    <n v="122993491.94999991"/>
    <n v="713"/>
    <n v="18014276.449999999"/>
  </r>
  <r>
    <x v="1"/>
    <x v="3"/>
    <x v="5"/>
    <x v="11"/>
    <x v="8"/>
    <x v="8"/>
    <x v="0"/>
    <n v="253"/>
    <n v="50.042224999999981"/>
    <n v="192.73058399999999"/>
    <n v="2678071.7899999996"/>
    <n v="72"/>
    <n v="719183.05999999994"/>
  </r>
  <r>
    <x v="1"/>
    <x v="3"/>
    <x v="5"/>
    <x v="11"/>
    <x v="9"/>
    <x v="9"/>
    <x v="0"/>
    <n v="1801"/>
    <n v="376.78755499999994"/>
    <n v="1735.1057040000028"/>
    <n v="20138067.319999959"/>
    <n v="408"/>
    <n v="4329140.0299999984"/>
  </r>
  <r>
    <x v="1"/>
    <x v="3"/>
    <x v="5"/>
    <x v="11"/>
    <x v="10"/>
    <x v="10"/>
    <x v="0"/>
    <n v="2147"/>
    <n v="398.46036699999962"/>
    <n v="2586.1705840000104"/>
    <n v="34632714.30999992"/>
    <n v="356"/>
    <n v="5072707.9000000013"/>
  </r>
  <r>
    <x v="0"/>
    <x v="6"/>
    <x v="6"/>
    <x v="4"/>
    <x v="11"/>
    <x v="11"/>
    <x v="0"/>
    <n v="239"/>
    <n v="71.628575086885135"/>
    <n v="224.79104713438306"/>
    <n v="6062838.9299999988"/>
    <n v="64"/>
    <n v="1991589.9599999997"/>
  </r>
  <r>
    <x v="1"/>
    <x v="3"/>
    <x v="5"/>
    <x v="11"/>
    <x v="12"/>
    <x v="12"/>
    <x v="0"/>
    <n v="2582"/>
    <n v="493.38613699999962"/>
    <n v="2280.1363040000165"/>
    <n v="26956663.159999955"/>
    <n v="591"/>
    <n v="6001291.0499999896"/>
  </r>
  <r>
    <x v="1"/>
    <x v="3"/>
    <x v="5"/>
    <x v="11"/>
    <x v="13"/>
    <x v="13"/>
    <x v="0"/>
    <n v="1176"/>
    <n v="206.91147000000001"/>
    <n v="1048.797325999996"/>
    <n v="15471826.840000015"/>
    <n v="220"/>
    <n v="3359269.9399999985"/>
  </r>
  <r>
    <x v="1"/>
    <x v="3"/>
    <x v="5"/>
    <x v="11"/>
    <x v="14"/>
    <x v="14"/>
    <x v="0"/>
    <n v="220"/>
    <n v="30.448671000000001"/>
    <n v="193.44761600000001"/>
    <n v="1775209.3999999992"/>
    <n v="39"/>
    <n v="271478.8299999999"/>
  </r>
  <r>
    <x v="1"/>
    <x v="3"/>
    <x v="5"/>
    <x v="11"/>
    <x v="15"/>
    <x v="15"/>
    <x v="0"/>
    <n v="796"/>
    <n v="110.54562600000007"/>
    <n v="686.53226199999699"/>
    <n v="8842969.0099999886"/>
    <n v="141"/>
    <n v="1589068.2300000002"/>
  </r>
  <r>
    <x v="1"/>
    <x v="3"/>
    <x v="5"/>
    <x v="11"/>
    <x v="16"/>
    <x v="16"/>
    <x v="0"/>
    <n v="1752"/>
    <n v="313.48451499999976"/>
    <n v="1801.9838909999951"/>
    <n v="20339960.340000011"/>
    <n v="333"/>
    <n v="3675313.55"/>
  </r>
  <r>
    <x v="1"/>
    <x v="3"/>
    <x v="5"/>
    <x v="11"/>
    <x v="17"/>
    <x v="17"/>
    <x v="0"/>
    <n v="1247"/>
    <n v="212.54050299999992"/>
    <n v="1497.549794"/>
    <n v="16340527.65"/>
    <n v="223"/>
    <n v="2224997.919999999"/>
  </r>
  <r>
    <x v="1"/>
    <x v="3"/>
    <x v="5"/>
    <x v="11"/>
    <x v="18"/>
    <x v="18"/>
    <x v="0"/>
    <n v="2575"/>
    <n v="362.8541799999997"/>
    <n v="2343.6878139999867"/>
    <n v="24775582.559999995"/>
    <n v="381"/>
    <n v="4397987.0699999994"/>
  </r>
  <r>
    <x v="1"/>
    <x v="3"/>
    <x v="5"/>
    <x v="11"/>
    <x v="19"/>
    <x v="19"/>
    <x v="0"/>
    <n v="1133"/>
    <n v="239.38087299999989"/>
    <n v="1589.2887589999998"/>
    <n v="20177641.339999996"/>
    <n v="257"/>
    <n v="3117430.4299999992"/>
  </r>
  <r>
    <x v="1"/>
    <x v="3"/>
    <x v="5"/>
    <x v="11"/>
    <x v="20"/>
    <x v="20"/>
    <x v="0"/>
    <n v="1121"/>
    <n v="186.15068599999984"/>
    <n v="1052.9590330000019"/>
    <n v="14664175.840000013"/>
    <n v="211"/>
    <n v="2620598.1100000003"/>
  </r>
  <r>
    <x v="1"/>
    <x v="3"/>
    <x v="5"/>
    <x v="11"/>
    <x v="21"/>
    <x v="21"/>
    <x v="0"/>
    <n v="747"/>
    <n v="139.45620799999986"/>
    <n v="565.40503199999705"/>
    <n v="4644039.8500000052"/>
    <n v="163"/>
    <n v="1142355.23"/>
  </r>
  <r>
    <x v="1"/>
    <x v="3"/>
    <x v="5"/>
    <x v="11"/>
    <x v="22"/>
    <x v="22"/>
    <x v="0"/>
    <n v="1944"/>
    <n v="366.22935399999989"/>
    <n v="1895.8248750000066"/>
    <n v="29486061.769999996"/>
    <n v="420"/>
    <n v="4430644.6599999992"/>
  </r>
  <r>
    <x v="1"/>
    <x v="3"/>
    <x v="5"/>
    <x v="11"/>
    <x v="23"/>
    <x v="23"/>
    <x v="0"/>
    <n v="200"/>
    <n v="47.197837"/>
    <n v="178.14856099999997"/>
    <n v="2787184.4699999993"/>
    <n v="57"/>
    <n v="803695.23"/>
  </r>
  <r>
    <x v="1"/>
    <x v="3"/>
    <x v="5"/>
    <x v="11"/>
    <x v="24"/>
    <x v="24"/>
    <x v="0"/>
    <n v="556"/>
    <n v="102.94964100000001"/>
    <n v="476.44727200000023"/>
    <n v="6996086.3700000076"/>
    <n v="120"/>
    <n v="1521780.08"/>
  </r>
  <r>
    <x v="1"/>
    <x v="3"/>
    <x v="5"/>
    <x v="11"/>
    <x v="25"/>
    <x v="25"/>
    <x v="0"/>
    <n v="1072"/>
    <n v="202.32384099999999"/>
    <n v="900.39776999999674"/>
    <n v="11776634.059999995"/>
    <n v="217"/>
    <n v="2640221.8299999991"/>
  </r>
  <r>
    <x v="1"/>
    <x v="3"/>
    <x v="5"/>
    <x v="11"/>
    <x v="26"/>
    <x v="26"/>
    <x v="0"/>
    <n v="900"/>
    <n v="161.52671500000005"/>
    <n v="799.96561099999371"/>
    <n v="11780445.250000007"/>
    <n v="175"/>
    <n v="2252156.3100000015"/>
  </r>
  <r>
    <x v="1"/>
    <x v="3"/>
    <x v="5"/>
    <x v="11"/>
    <x v="27"/>
    <x v="27"/>
    <x v="0"/>
    <n v="809"/>
    <n v="162.09704900000003"/>
    <n v="606.63081699999736"/>
    <n v="4632931.6499999948"/>
    <n v="195"/>
    <n v="1245640.7900000003"/>
  </r>
  <r>
    <x v="1"/>
    <x v="3"/>
    <x v="5"/>
    <x v="11"/>
    <x v="28"/>
    <x v="28"/>
    <x v="0"/>
    <n v="776"/>
    <n v="105.41556600000003"/>
    <n v="659.92594599999677"/>
    <n v="6725953.7999999914"/>
    <n v="126"/>
    <n v="1071103.8000000003"/>
  </r>
  <r>
    <x v="1"/>
    <x v="3"/>
    <x v="5"/>
    <x v="11"/>
    <x v="29"/>
    <x v="29"/>
    <x v="0"/>
    <n v="632"/>
    <n v="182.50730799999991"/>
    <n v="643.63916999999992"/>
    <n v="9689789.5499999914"/>
    <n v="194"/>
    <n v="2574074.5499999989"/>
  </r>
  <r>
    <x v="1"/>
    <x v="3"/>
    <x v="5"/>
    <x v="11"/>
    <x v="30"/>
    <x v="30"/>
    <x v="0"/>
    <n v="576"/>
    <n v="100.57676400000001"/>
    <n v="459.00547399999914"/>
    <n v="5704145.1899999958"/>
    <n v="116"/>
    <n v="1343010.28"/>
  </r>
  <r>
    <x v="1"/>
    <x v="3"/>
    <x v="5"/>
    <x v="11"/>
    <x v="31"/>
    <x v="31"/>
    <x v="0"/>
    <n v="1092"/>
    <n v="267.50268000000011"/>
    <n v="932.12424100000067"/>
    <n v="11459859.679999987"/>
    <n v="311"/>
    <n v="3659983.8599999989"/>
  </r>
  <r>
    <x v="1"/>
    <x v="3"/>
    <x v="5"/>
    <x v="11"/>
    <x v="32"/>
    <x v="32"/>
    <x v="0"/>
    <n v="1756"/>
    <n v="408.61847700000021"/>
    <n v="1720.3081099999997"/>
    <n v="18769796.680000033"/>
    <n v="442"/>
    <n v="4604778.75"/>
  </r>
  <r>
    <x v="1"/>
    <x v="3"/>
    <x v="5"/>
    <x v="11"/>
    <x v="33"/>
    <x v="33"/>
    <x v="0"/>
    <n v="1897"/>
    <n v="216.15600999999984"/>
    <n v="1565.7385060000181"/>
    <n v="18917067.850000057"/>
    <n v="249"/>
    <n v="2955486.3499999978"/>
  </r>
  <r>
    <x v="1"/>
    <x v="3"/>
    <x v="5"/>
    <x v="11"/>
    <x v="34"/>
    <x v="34"/>
    <x v="0"/>
    <n v="28"/>
    <n v="7.0061249999999999"/>
    <n v="19.899803999999996"/>
    <n v="220054.49000000002"/>
    <n v="10"/>
    <n v="66860.98"/>
  </r>
  <r>
    <x v="1"/>
    <x v="3"/>
    <x v="5"/>
    <x v="11"/>
    <x v="35"/>
    <x v="35"/>
    <x v="0"/>
    <n v="1737"/>
    <n v="254.65620699999968"/>
    <n v="1382.6606050000146"/>
    <n v="12481493.750000006"/>
    <n v="280"/>
    <n v="2291028.73"/>
  </r>
  <r>
    <x v="1"/>
    <x v="3"/>
    <x v="5"/>
    <x v="11"/>
    <x v="36"/>
    <x v="36"/>
    <x v="0"/>
    <n v="1397"/>
    <n v="256.32257399999997"/>
    <n v="1190.1108670000062"/>
    <n v="14551200.84999999"/>
    <n v="312"/>
    <n v="2891909.1599999997"/>
  </r>
  <r>
    <x v="1"/>
    <x v="3"/>
    <x v="5"/>
    <x v="11"/>
    <x v="37"/>
    <x v="37"/>
    <x v="0"/>
    <n v="853"/>
    <n v="233.49839299999988"/>
    <n v="907.34920399999919"/>
    <n v="10336201.410000013"/>
    <n v="249"/>
    <n v="2687515.6999999993"/>
  </r>
  <r>
    <x v="1"/>
    <x v="3"/>
    <x v="5"/>
    <x v="11"/>
    <x v="38"/>
    <x v="38"/>
    <x v="0"/>
    <n v="585"/>
    <n v="77.700264000000047"/>
    <n v="505.96783999999997"/>
    <n v="5864388.2499999935"/>
    <n v="103"/>
    <n v="697758.14999999991"/>
  </r>
  <r>
    <x v="1"/>
    <x v="3"/>
    <x v="5"/>
    <x v="11"/>
    <x v="39"/>
    <x v="39"/>
    <x v="0"/>
    <n v="1051"/>
    <n v="302.56775199999993"/>
    <n v="1253.3929810000002"/>
    <n v="15480324.339999957"/>
    <n v="296"/>
    <n v="3520219.4800000028"/>
  </r>
  <r>
    <x v="1"/>
    <x v="3"/>
    <x v="5"/>
    <x v="11"/>
    <x v="40"/>
    <x v="40"/>
    <x v="0"/>
    <n v="2228"/>
    <n v="260.85884699999986"/>
    <n v="1841.9880300000086"/>
    <n v="19824906.139999952"/>
    <n v="270"/>
    <n v="2973585.8000000003"/>
  </r>
  <r>
    <x v="1"/>
    <x v="3"/>
    <x v="5"/>
    <x v="11"/>
    <x v="41"/>
    <x v="41"/>
    <x v="0"/>
    <n v="291"/>
    <n v="0"/>
    <n v="486.57690400000081"/>
    <n v="6071434.9100000029"/>
    <n v="0"/>
    <n v="0"/>
  </r>
  <r>
    <x v="1"/>
    <x v="3"/>
    <x v="5"/>
    <x v="11"/>
    <x v="42"/>
    <x v="42"/>
    <x v="0"/>
    <n v="252"/>
    <n v="54.530667999999991"/>
    <n v="192.65933100000012"/>
    <n v="2004240.5500000005"/>
    <n v="82"/>
    <n v="568506.06999999995"/>
  </r>
  <r>
    <x v="1"/>
    <x v="3"/>
    <x v="5"/>
    <x v="11"/>
    <x v="43"/>
    <x v="43"/>
    <x v="0"/>
    <n v="331"/>
    <n v="87.390037000000007"/>
    <n v="336.14505300000008"/>
    <n v="3711687.8699999982"/>
    <n v="87"/>
    <n v="884754.83000000007"/>
  </r>
  <r>
    <x v="1"/>
    <x v="3"/>
    <x v="5"/>
    <x v="11"/>
    <x v="44"/>
    <x v="44"/>
    <x v="0"/>
    <n v="1443"/>
    <n v="326.10876599999972"/>
    <n v="1258.9002760000092"/>
    <n v="15961322.170000015"/>
    <n v="337"/>
    <n v="3870317.16"/>
  </r>
  <r>
    <x v="1"/>
    <x v="3"/>
    <x v="5"/>
    <x v="11"/>
    <x v="45"/>
    <x v="45"/>
    <x v="0"/>
    <n v="1639"/>
    <n v="217.34683900000005"/>
    <n v="1864.3642079999915"/>
    <n v="14749621.929999987"/>
    <n v="212"/>
    <n v="1653901.4800000002"/>
  </r>
  <r>
    <x v="1"/>
    <x v="3"/>
    <x v="5"/>
    <x v="11"/>
    <x v="46"/>
    <x v="46"/>
    <x v="0"/>
    <n v="90"/>
    <n v="6.6029160000000005"/>
    <n v="81.80245800000003"/>
    <n v="4316539.1499999966"/>
    <n v="8"/>
    <n v="269271.32999999996"/>
  </r>
  <r>
    <x v="1"/>
    <x v="5"/>
    <x v="5"/>
    <x v="1"/>
    <x v="0"/>
    <x v="0"/>
    <x v="0"/>
    <n v="1624"/>
    <n v="292.30938500000002"/>
    <n v="1494.222610000008"/>
    <n v="15503930.969999984"/>
    <n v="300"/>
    <n v="2977547.8200000008"/>
  </r>
  <r>
    <x v="1"/>
    <x v="5"/>
    <x v="5"/>
    <x v="1"/>
    <x v="1"/>
    <x v="1"/>
    <x v="0"/>
    <n v="2827"/>
    <n v="519.48505500000033"/>
    <n v="4692.0416559999803"/>
    <n v="92547898.900000215"/>
    <n v="414"/>
    <n v="9996012.2900000028"/>
  </r>
  <r>
    <x v="1"/>
    <x v="5"/>
    <x v="5"/>
    <x v="1"/>
    <x v="2"/>
    <x v="2"/>
    <x v="0"/>
    <n v="1329"/>
    <n v="200.23319299999997"/>
    <n v="1238.5050330000022"/>
    <n v="16628234.040000025"/>
    <n v="203"/>
    <n v="2918811.6699999995"/>
  </r>
  <r>
    <x v="1"/>
    <x v="5"/>
    <x v="5"/>
    <x v="1"/>
    <x v="3"/>
    <x v="3"/>
    <x v="0"/>
    <n v="3395"/>
    <n v="365.75262600000008"/>
    <n v="2671.2675159999817"/>
    <n v="27837592.579999987"/>
    <n v="396"/>
    <n v="4007106.3999999994"/>
  </r>
  <r>
    <x v="1"/>
    <x v="5"/>
    <x v="5"/>
    <x v="1"/>
    <x v="4"/>
    <x v="4"/>
    <x v="0"/>
    <n v="1883"/>
    <n v="287.44913699999989"/>
    <n v="1739.2931260000071"/>
    <n v="17177696.710000008"/>
    <n v="313"/>
    <n v="2999557.6500000018"/>
  </r>
  <r>
    <x v="1"/>
    <x v="5"/>
    <x v="5"/>
    <x v="1"/>
    <x v="5"/>
    <x v="5"/>
    <x v="0"/>
    <n v="528"/>
    <n v="117.34863"/>
    <n v="386.68708600000008"/>
    <n v="5075770.5000000009"/>
    <n v="153"/>
    <n v="1520481.4300000002"/>
  </r>
  <r>
    <x v="1"/>
    <x v="5"/>
    <x v="5"/>
    <x v="1"/>
    <x v="6"/>
    <x v="6"/>
    <x v="0"/>
    <n v="1563"/>
    <n v="171.31108100000006"/>
    <n v="1636.6875560000117"/>
    <n v="20167841.629999995"/>
    <n v="202"/>
    <n v="2077963.2999999996"/>
  </r>
  <r>
    <x v="1"/>
    <x v="5"/>
    <x v="5"/>
    <x v="1"/>
    <x v="7"/>
    <x v="7"/>
    <x v="0"/>
    <n v="4377"/>
    <n v="869.3115150000009"/>
    <n v="6157.0940209999771"/>
    <n v="119105003.52"/>
    <n v="779"/>
    <n v="18636531.03999998"/>
  </r>
  <r>
    <x v="1"/>
    <x v="5"/>
    <x v="5"/>
    <x v="1"/>
    <x v="8"/>
    <x v="8"/>
    <x v="0"/>
    <n v="232"/>
    <n v="60.290568000000007"/>
    <n v="161.72036499999999"/>
    <n v="2792734.8499999992"/>
    <n v="77"/>
    <n v="973808.30999999994"/>
  </r>
  <r>
    <x v="1"/>
    <x v="5"/>
    <x v="5"/>
    <x v="1"/>
    <x v="9"/>
    <x v="9"/>
    <x v="0"/>
    <n v="1931"/>
    <n v="398.08401999999984"/>
    <n v="1827.5564330000068"/>
    <n v="22396680.580000006"/>
    <n v="446"/>
    <n v="5099747.8099999996"/>
  </r>
  <r>
    <x v="1"/>
    <x v="5"/>
    <x v="5"/>
    <x v="1"/>
    <x v="10"/>
    <x v="10"/>
    <x v="0"/>
    <n v="2266"/>
    <n v="374.83483299999983"/>
    <n v="2648.8981200000126"/>
    <n v="36106336.550000004"/>
    <n v="364"/>
    <n v="5353289.2500000037"/>
  </r>
  <r>
    <x v="0"/>
    <x v="6"/>
    <x v="7"/>
    <x v="6"/>
    <x v="11"/>
    <x v="11"/>
    <x v="0"/>
    <n v="334"/>
    <n v="83.173154939715801"/>
    <n v="292.63568926950552"/>
    <n v="7527972.9099999992"/>
    <n v="96"/>
    <n v="2111531.4100000006"/>
  </r>
  <r>
    <x v="1"/>
    <x v="5"/>
    <x v="5"/>
    <x v="1"/>
    <x v="12"/>
    <x v="12"/>
    <x v="0"/>
    <n v="2671"/>
    <n v="494.13750199999947"/>
    <n v="2377.0933570000075"/>
    <n v="27397930.699999955"/>
    <n v="564"/>
    <n v="5670727.849999995"/>
  </r>
  <r>
    <x v="1"/>
    <x v="5"/>
    <x v="5"/>
    <x v="1"/>
    <x v="13"/>
    <x v="13"/>
    <x v="0"/>
    <n v="1139"/>
    <n v="190.61006199999994"/>
    <n v="994.26628999999514"/>
    <n v="14201860.819999993"/>
    <n v="211"/>
    <n v="2622828.9100000006"/>
  </r>
  <r>
    <x v="1"/>
    <x v="5"/>
    <x v="5"/>
    <x v="1"/>
    <x v="14"/>
    <x v="14"/>
    <x v="0"/>
    <n v="205"/>
    <n v="28.782070999999995"/>
    <n v="177.52991299999996"/>
    <n v="1694048.8800000008"/>
    <n v="38"/>
    <n v="290589.33"/>
  </r>
  <r>
    <x v="1"/>
    <x v="5"/>
    <x v="5"/>
    <x v="1"/>
    <x v="15"/>
    <x v="15"/>
    <x v="0"/>
    <n v="784"/>
    <n v="115.98879100000001"/>
    <n v="695.59909999999707"/>
    <n v="7825209.540000001"/>
    <n v="150"/>
    <n v="1249355.8900000001"/>
  </r>
  <r>
    <x v="1"/>
    <x v="5"/>
    <x v="5"/>
    <x v="1"/>
    <x v="16"/>
    <x v="16"/>
    <x v="0"/>
    <n v="1802"/>
    <n v="318.32623899999993"/>
    <n v="1840.1573069999927"/>
    <n v="22398798.119999979"/>
    <n v="338"/>
    <n v="4250924.7699999986"/>
  </r>
  <r>
    <x v="1"/>
    <x v="5"/>
    <x v="5"/>
    <x v="1"/>
    <x v="17"/>
    <x v="17"/>
    <x v="0"/>
    <n v="1241"/>
    <n v="220.65830300000002"/>
    <n v="1520.632159000002"/>
    <n v="16787757.079999998"/>
    <n v="219"/>
    <n v="2451413.8999999994"/>
  </r>
  <r>
    <x v="1"/>
    <x v="5"/>
    <x v="5"/>
    <x v="1"/>
    <x v="18"/>
    <x v="18"/>
    <x v="0"/>
    <n v="2880"/>
    <n v="341.8039060000001"/>
    <n v="2615.5006229999922"/>
    <n v="28448408.280000117"/>
    <n v="368"/>
    <n v="4304866.040000001"/>
  </r>
  <r>
    <x v="1"/>
    <x v="5"/>
    <x v="5"/>
    <x v="1"/>
    <x v="19"/>
    <x v="19"/>
    <x v="0"/>
    <n v="1187"/>
    <n v="262.35309399999971"/>
    <n v="1570.6658399999992"/>
    <n v="19346189.789999995"/>
    <n v="277"/>
    <n v="3382057.4000000018"/>
  </r>
  <r>
    <x v="1"/>
    <x v="5"/>
    <x v="5"/>
    <x v="1"/>
    <x v="20"/>
    <x v="20"/>
    <x v="0"/>
    <n v="1211"/>
    <n v="178.12141400000004"/>
    <n v="1179.2759880000037"/>
    <n v="16119012.459999999"/>
    <n v="211"/>
    <n v="2514548.46"/>
  </r>
  <r>
    <x v="1"/>
    <x v="5"/>
    <x v="5"/>
    <x v="1"/>
    <x v="21"/>
    <x v="21"/>
    <x v="0"/>
    <n v="866"/>
    <n v="141.94573500000001"/>
    <n v="627.23349099999427"/>
    <n v="6480480.7899999954"/>
    <n v="164"/>
    <n v="1610291.9799999995"/>
  </r>
  <r>
    <x v="1"/>
    <x v="5"/>
    <x v="5"/>
    <x v="1"/>
    <x v="22"/>
    <x v="22"/>
    <x v="0"/>
    <n v="1960"/>
    <n v="405.30443099999991"/>
    <n v="1919.7562350000055"/>
    <n v="29425623.42999997"/>
    <n v="454"/>
    <n v="5676936.8499999978"/>
  </r>
  <r>
    <x v="1"/>
    <x v="5"/>
    <x v="5"/>
    <x v="1"/>
    <x v="23"/>
    <x v="23"/>
    <x v="0"/>
    <n v="170"/>
    <n v="32.288612000000001"/>
    <n v="159.89974900000001"/>
    <n v="2363163.7999999998"/>
    <n v="41"/>
    <n v="603579.4800000001"/>
  </r>
  <r>
    <x v="1"/>
    <x v="5"/>
    <x v="5"/>
    <x v="1"/>
    <x v="24"/>
    <x v="24"/>
    <x v="0"/>
    <n v="514"/>
    <n v="91.331372999999999"/>
    <n v="415.96347200000025"/>
    <n v="5075384.5100000044"/>
    <n v="107"/>
    <n v="1118158.51"/>
  </r>
  <r>
    <x v="1"/>
    <x v="5"/>
    <x v="5"/>
    <x v="1"/>
    <x v="25"/>
    <x v="25"/>
    <x v="0"/>
    <n v="1082"/>
    <n v="177.44208200000003"/>
    <n v="925.7716989999974"/>
    <n v="11802865.909999968"/>
    <n v="216"/>
    <n v="2341490.7500000009"/>
  </r>
  <r>
    <x v="1"/>
    <x v="5"/>
    <x v="5"/>
    <x v="1"/>
    <x v="26"/>
    <x v="26"/>
    <x v="0"/>
    <n v="927"/>
    <n v="150.84431900000001"/>
    <n v="837.6517169999953"/>
    <n v="10987021.900000012"/>
    <n v="160"/>
    <n v="1795001.4800000004"/>
  </r>
  <r>
    <x v="1"/>
    <x v="5"/>
    <x v="5"/>
    <x v="1"/>
    <x v="27"/>
    <x v="27"/>
    <x v="0"/>
    <n v="770"/>
    <n v="134.72661699999998"/>
    <n v="594.61532599999828"/>
    <n v="6076858.980000006"/>
    <n v="170"/>
    <n v="1482427.9399999995"/>
  </r>
  <r>
    <x v="1"/>
    <x v="5"/>
    <x v="5"/>
    <x v="1"/>
    <x v="28"/>
    <x v="28"/>
    <x v="0"/>
    <n v="802"/>
    <n v="137.10769200000004"/>
    <n v="674.08063499999651"/>
    <n v="8452645.5199999884"/>
    <n v="161"/>
    <n v="1930254.5400000003"/>
  </r>
  <r>
    <x v="1"/>
    <x v="5"/>
    <x v="5"/>
    <x v="1"/>
    <x v="29"/>
    <x v="29"/>
    <x v="0"/>
    <n v="639"/>
    <n v="180.53654400000005"/>
    <n v="698.69164699999999"/>
    <n v="13495864.350000009"/>
    <n v="185"/>
    <n v="2644026.1799999992"/>
  </r>
  <r>
    <x v="1"/>
    <x v="5"/>
    <x v="5"/>
    <x v="1"/>
    <x v="30"/>
    <x v="30"/>
    <x v="0"/>
    <n v="574"/>
    <n v="75.013426000000038"/>
    <n v="445.73943200000025"/>
    <n v="5818108.9399999995"/>
    <n v="93"/>
    <n v="983546.89999999991"/>
  </r>
  <r>
    <x v="1"/>
    <x v="5"/>
    <x v="5"/>
    <x v="1"/>
    <x v="31"/>
    <x v="31"/>
    <x v="0"/>
    <n v="999"/>
    <n v="249.66689699999995"/>
    <n v="850.85074899999995"/>
    <n v="11240445.719999999"/>
    <n v="298"/>
    <n v="3383464.3199999989"/>
  </r>
  <r>
    <x v="1"/>
    <x v="5"/>
    <x v="5"/>
    <x v="1"/>
    <x v="32"/>
    <x v="32"/>
    <x v="0"/>
    <n v="1857"/>
    <n v="421.82545200000044"/>
    <n v="1871.0734690000008"/>
    <n v="20540246.409999963"/>
    <n v="442"/>
    <n v="4589698.7500000028"/>
  </r>
  <r>
    <x v="1"/>
    <x v="5"/>
    <x v="5"/>
    <x v="1"/>
    <x v="33"/>
    <x v="33"/>
    <x v="0"/>
    <n v="1876"/>
    <n v="215.550296"/>
    <n v="1555.3754110000148"/>
    <n v="17724186.490000024"/>
    <n v="251"/>
    <n v="2680036.5"/>
  </r>
  <r>
    <x v="1"/>
    <x v="5"/>
    <x v="5"/>
    <x v="1"/>
    <x v="34"/>
    <x v="34"/>
    <x v="0"/>
    <n v="33"/>
    <n v="3.7690030000000001"/>
    <n v="23.677902"/>
    <n v="295743.34999999992"/>
    <n v="7"/>
    <n v="45633.840000000004"/>
  </r>
  <r>
    <x v="1"/>
    <x v="5"/>
    <x v="5"/>
    <x v="1"/>
    <x v="35"/>
    <x v="35"/>
    <x v="0"/>
    <n v="1838"/>
    <n v="255.39158099999986"/>
    <n v="1484.5355520000091"/>
    <n v="16142964.490000028"/>
    <n v="283"/>
    <n v="3039568.9299999992"/>
  </r>
  <r>
    <x v="1"/>
    <x v="5"/>
    <x v="5"/>
    <x v="1"/>
    <x v="36"/>
    <x v="36"/>
    <x v="0"/>
    <n v="1431"/>
    <n v="254.16646800000004"/>
    <n v="1166.4260000000049"/>
    <n v="14724292.309999976"/>
    <n v="303"/>
    <n v="3190806.0999999987"/>
  </r>
  <r>
    <x v="1"/>
    <x v="5"/>
    <x v="5"/>
    <x v="1"/>
    <x v="37"/>
    <x v="37"/>
    <x v="0"/>
    <n v="848"/>
    <n v="203.45939599999986"/>
    <n v="950.85932100000059"/>
    <n v="10576409"/>
    <n v="212"/>
    <n v="2190771.7999999993"/>
  </r>
  <r>
    <x v="1"/>
    <x v="5"/>
    <x v="5"/>
    <x v="1"/>
    <x v="38"/>
    <x v="38"/>
    <x v="0"/>
    <n v="566"/>
    <n v="78.891645000000011"/>
    <n v="486.76283800000067"/>
    <n v="5774771.4799999893"/>
    <n v="95"/>
    <n v="837556.13"/>
  </r>
  <r>
    <x v="1"/>
    <x v="5"/>
    <x v="5"/>
    <x v="1"/>
    <x v="39"/>
    <x v="39"/>
    <x v="0"/>
    <n v="1092"/>
    <n v="322.6302579999998"/>
    <n v="1253.7427150000008"/>
    <n v="15115433.659999998"/>
    <n v="302"/>
    <n v="4114197.1200000006"/>
  </r>
  <r>
    <x v="1"/>
    <x v="5"/>
    <x v="5"/>
    <x v="1"/>
    <x v="40"/>
    <x v="40"/>
    <x v="0"/>
    <n v="2283"/>
    <n v="283.899317"/>
    <n v="1855.2271760000126"/>
    <n v="20027035.609999996"/>
    <n v="277"/>
    <n v="3053234.8099999991"/>
  </r>
  <r>
    <x v="1"/>
    <x v="5"/>
    <x v="5"/>
    <x v="1"/>
    <x v="41"/>
    <x v="41"/>
    <x v="0"/>
    <n v="270"/>
    <n v="0"/>
    <n v="460.18266700000095"/>
    <n v="5707242.9499999993"/>
    <n v="0"/>
    <n v="0"/>
  </r>
  <r>
    <x v="1"/>
    <x v="5"/>
    <x v="5"/>
    <x v="1"/>
    <x v="42"/>
    <x v="42"/>
    <x v="0"/>
    <n v="242"/>
    <n v="67.034358999999966"/>
    <n v="186.51657199999991"/>
    <n v="1942339.9000000004"/>
    <n v="84"/>
    <n v="659202.87000000011"/>
  </r>
  <r>
    <x v="1"/>
    <x v="5"/>
    <x v="5"/>
    <x v="1"/>
    <x v="43"/>
    <x v="43"/>
    <x v="0"/>
    <n v="382"/>
    <n v="85.291898000000032"/>
    <n v="410.99861100000004"/>
    <n v="4673265.6500000022"/>
    <n v="85"/>
    <n v="952419.0399999998"/>
  </r>
  <r>
    <x v="1"/>
    <x v="5"/>
    <x v="5"/>
    <x v="1"/>
    <x v="44"/>
    <x v="44"/>
    <x v="0"/>
    <n v="1492"/>
    <n v="320.11683299999987"/>
    <n v="1262.3533730000079"/>
    <n v="15155969.090000052"/>
    <n v="346"/>
    <n v="3996035.4900000016"/>
  </r>
  <r>
    <x v="1"/>
    <x v="5"/>
    <x v="5"/>
    <x v="1"/>
    <x v="45"/>
    <x v="45"/>
    <x v="0"/>
    <n v="1785"/>
    <n v="246.76073999999991"/>
    <n v="2038.7126229999931"/>
    <n v="20632132.650000021"/>
    <n v="236"/>
    <n v="2704478.3200000017"/>
  </r>
  <r>
    <x v="1"/>
    <x v="5"/>
    <x v="5"/>
    <x v="1"/>
    <x v="46"/>
    <x v="46"/>
    <x v="0"/>
    <n v="106"/>
    <n v="10.241499000000001"/>
    <n v="100.49628799999991"/>
    <n v="5378892.1700000027"/>
    <n v="11"/>
    <n v="452369.46000000008"/>
  </r>
  <r>
    <x v="1"/>
    <x v="5"/>
    <x v="5"/>
    <x v="3"/>
    <x v="0"/>
    <x v="0"/>
    <x v="0"/>
    <n v="1668"/>
    <n v="246.87128899999973"/>
    <n v="1510.9233670000044"/>
    <n v="15662870.759999977"/>
    <n v="286"/>
    <n v="2858670.0300000003"/>
  </r>
  <r>
    <x v="1"/>
    <x v="5"/>
    <x v="5"/>
    <x v="3"/>
    <x v="1"/>
    <x v="1"/>
    <x v="0"/>
    <n v="2666"/>
    <n v="479.78789100000017"/>
    <n v="4754.8181089999907"/>
    <n v="90535324.450000003"/>
    <n v="381"/>
    <n v="7933475.6199999992"/>
  </r>
  <r>
    <x v="1"/>
    <x v="5"/>
    <x v="5"/>
    <x v="3"/>
    <x v="2"/>
    <x v="2"/>
    <x v="0"/>
    <n v="1398"/>
    <n v="179.6550079999999"/>
    <n v="1258.048679000002"/>
    <n v="18082394.490000002"/>
    <n v="195"/>
    <n v="2635777.7399999984"/>
  </r>
  <r>
    <x v="1"/>
    <x v="5"/>
    <x v="5"/>
    <x v="3"/>
    <x v="3"/>
    <x v="3"/>
    <x v="0"/>
    <n v="3383"/>
    <n v="384.60747700000042"/>
    <n v="2743.8725079999913"/>
    <n v="29598988.240000051"/>
    <n v="403"/>
    <n v="4705669.4899999965"/>
  </r>
  <r>
    <x v="1"/>
    <x v="5"/>
    <x v="5"/>
    <x v="3"/>
    <x v="4"/>
    <x v="4"/>
    <x v="0"/>
    <n v="1780"/>
    <n v="326.70318699999967"/>
    <n v="1614.9520490000064"/>
    <n v="16152865.42999997"/>
    <n v="346"/>
    <n v="3338186.2700000009"/>
  </r>
  <r>
    <x v="1"/>
    <x v="5"/>
    <x v="5"/>
    <x v="3"/>
    <x v="5"/>
    <x v="5"/>
    <x v="0"/>
    <n v="544"/>
    <n v="93.707934999999992"/>
    <n v="374.88003500000036"/>
    <n v="4752333.5999999959"/>
    <n v="129"/>
    <n v="1285879.6199999996"/>
  </r>
  <r>
    <x v="1"/>
    <x v="5"/>
    <x v="5"/>
    <x v="3"/>
    <x v="6"/>
    <x v="6"/>
    <x v="0"/>
    <n v="1561"/>
    <n v="151.95012199999991"/>
    <n v="1526.4598740000142"/>
    <n v="19008977.550000094"/>
    <n v="189"/>
    <n v="1952079.5000000009"/>
  </r>
  <r>
    <x v="1"/>
    <x v="5"/>
    <x v="5"/>
    <x v="3"/>
    <x v="7"/>
    <x v="7"/>
    <x v="0"/>
    <n v="4289"/>
    <n v="770.64302600000008"/>
    <n v="6018.6412879999789"/>
    <n v="111848654.15999979"/>
    <n v="734"/>
    <n v="14947201.680000002"/>
  </r>
  <r>
    <x v="1"/>
    <x v="5"/>
    <x v="5"/>
    <x v="3"/>
    <x v="8"/>
    <x v="8"/>
    <x v="0"/>
    <n v="248"/>
    <n v="51.285348000000006"/>
    <n v="184.98623000000006"/>
    <n v="3202966.5500000012"/>
    <n v="74"/>
    <n v="973376.45"/>
  </r>
  <r>
    <x v="1"/>
    <x v="5"/>
    <x v="5"/>
    <x v="3"/>
    <x v="9"/>
    <x v="9"/>
    <x v="0"/>
    <n v="1859"/>
    <n v="371.70879799999989"/>
    <n v="1727.189159000005"/>
    <n v="20378794.449999988"/>
    <n v="418"/>
    <n v="4368869.88"/>
  </r>
  <r>
    <x v="1"/>
    <x v="5"/>
    <x v="5"/>
    <x v="3"/>
    <x v="10"/>
    <x v="10"/>
    <x v="0"/>
    <n v="2297"/>
    <n v="364.70597299999957"/>
    <n v="2552.5821860000128"/>
    <n v="35552716.149999872"/>
    <n v="360"/>
    <n v="4884201.7899999972"/>
  </r>
  <r>
    <x v="0"/>
    <x v="6"/>
    <x v="7"/>
    <x v="7"/>
    <x v="11"/>
    <x v="11"/>
    <x v="0"/>
    <n v="298"/>
    <n v="73.902259057900409"/>
    <n v="259.80841968798489"/>
    <n v="6012469.9000000004"/>
    <n v="89"/>
    <n v="1819954.1800000004"/>
  </r>
  <r>
    <x v="1"/>
    <x v="5"/>
    <x v="5"/>
    <x v="3"/>
    <x v="12"/>
    <x v="12"/>
    <x v="0"/>
    <n v="2648"/>
    <n v="465.88512000000009"/>
    <n v="2237.4145840000197"/>
    <n v="25245281.129999928"/>
    <n v="552"/>
    <n v="5293982.0000000028"/>
  </r>
  <r>
    <x v="1"/>
    <x v="5"/>
    <x v="5"/>
    <x v="3"/>
    <x v="13"/>
    <x v="13"/>
    <x v="0"/>
    <n v="1176"/>
    <n v="199.31966399999996"/>
    <n v="1062.2275189999964"/>
    <n v="13892738.259999994"/>
    <n v="199"/>
    <n v="2868512.9099999997"/>
  </r>
  <r>
    <x v="1"/>
    <x v="5"/>
    <x v="5"/>
    <x v="3"/>
    <x v="14"/>
    <x v="14"/>
    <x v="0"/>
    <n v="217"/>
    <n v="23.763979999999997"/>
    <n v="169.40136400000009"/>
    <n v="1588551.96"/>
    <n v="28"/>
    <n v="218895.03"/>
  </r>
  <r>
    <x v="1"/>
    <x v="5"/>
    <x v="5"/>
    <x v="3"/>
    <x v="15"/>
    <x v="15"/>
    <x v="0"/>
    <n v="819"/>
    <n v="146.61700899999997"/>
    <n v="702.72612999999672"/>
    <n v="7662461.3100000005"/>
    <n v="171"/>
    <n v="1535074.8400000003"/>
  </r>
  <r>
    <x v="1"/>
    <x v="5"/>
    <x v="5"/>
    <x v="3"/>
    <x v="16"/>
    <x v="16"/>
    <x v="0"/>
    <n v="1691"/>
    <n v="292.23024400000003"/>
    <n v="1706.1705719999941"/>
    <n v="18935171.769999951"/>
    <n v="306"/>
    <n v="3488710.65"/>
  </r>
  <r>
    <x v="1"/>
    <x v="5"/>
    <x v="5"/>
    <x v="3"/>
    <x v="17"/>
    <x v="17"/>
    <x v="0"/>
    <n v="1253"/>
    <n v="211.05470999999986"/>
    <n v="1555.253384000001"/>
    <n v="16753553.959999993"/>
    <n v="207"/>
    <n v="2295573.689999999"/>
  </r>
  <r>
    <x v="1"/>
    <x v="5"/>
    <x v="5"/>
    <x v="3"/>
    <x v="18"/>
    <x v="18"/>
    <x v="0"/>
    <n v="2784"/>
    <n v="349.14516699999962"/>
    <n v="2572.4618059999912"/>
    <n v="26699383.660000056"/>
    <n v="353"/>
    <n v="4195988.0299999993"/>
  </r>
  <r>
    <x v="1"/>
    <x v="5"/>
    <x v="5"/>
    <x v="3"/>
    <x v="19"/>
    <x v="19"/>
    <x v="0"/>
    <n v="1188"/>
    <n v="282.69556699999976"/>
    <n v="1647.6855849999997"/>
    <n v="21355311.219999999"/>
    <n v="292"/>
    <n v="3738892.3000000026"/>
  </r>
  <r>
    <x v="1"/>
    <x v="5"/>
    <x v="5"/>
    <x v="3"/>
    <x v="20"/>
    <x v="20"/>
    <x v="0"/>
    <n v="1108"/>
    <n v="197.20166999999989"/>
    <n v="1015.1514079999944"/>
    <n v="14718575.660000021"/>
    <n v="219"/>
    <n v="3224758.2599999984"/>
  </r>
  <r>
    <x v="1"/>
    <x v="5"/>
    <x v="5"/>
    <x v="3"/>
    <x v="21"/>
    <x v="21"/>
    <x v="0"/>
    <n v="828"/>
    <n v="106.08753900000002"/>
    <n v="599.75521899999478"/>
    <n v="6293986.7900000094"/>
    <n v="135"/>
    <n v="1131754.9599999997"/>
  </r>
  <r>
    <x v="1"/>
    <x v="5"/>
    <x v="5"/>
    <x v="3"/>
    <x v="22"/>
    <x v="22"/>
    <x v="0"/>
    <n v="1986"/>
    <n v="427.1104839999997"/>
    <n v="1922.3960280000056"/>
    <n v="30077499.489999942"/>
    <n v="454"/>
    <n v="6460284.8200000012"/>
  </r>
  <r>
    <x v="1"/>
    <x v="5"/>
    <x v="5"/>
    <x v="3"/>
    <x v="23"/>
    <x v="23"/>
    <x v="0"/>
    <n v="167"/>
    <n v="38.492252999999998"/>
    <n v="141.28154200000003"/>
    <n v="2190271.4700000002"/>
    <n v="48"/>
    <n v="602711.25999999989"/>
  </r>
  <r>
    <x v="1"/>
    <x v="5"/>
    <x v="5"/>
    <x v="3"/>
    <x v="24"/>
    <x v="24"/>
    <x v="0"/>
    <n v="512"/>
    <n v="94.722587999999959"/>
    <n v="436.34207100000009"/>
    <n v="6214084.440000006"/>
    <n v="105"/>
    <n v="1150025.7700000007"/>
  </r>
  <r>
    <x v="1"/>
    <x v="5"/>
    <x v="5"/>
    <x v="3"/>
    <x v="25"/>
    <x v="25"/>
    <x v="0"/>
    <n v="1152"/>
    <n v="194.14252799999986"/>
    <n v="957.49441299999637"/>
    <n v="12681010.129999982"/>
    <n v="235"/>
    <n v="2771241.8000000003"/>
  </r>
  <r>
    <x v="1"/>
    <x v="5"/>
    <x v="5"/>
    <x v="3"/>
    <x v="26"/>
    <x v="26"/>
    <x v="0"/>
    <n v="847"/>
    <n v="148.55792299999996"/>
    <n v="764.59907699999553"/>
    <n v="9557463.2800000012"/>
    <n v="166"/>
    <n v="1601164.05"/>
  </r>
  <r>
    <x v="1"/>
    <x v="5"/>
    <x v="5"/>
    <x v="3"/>
    <x v="27"/>
    <x v="27"/>
    <x v="0"/>
    <n v="813"/>
    <n v="150.95168900000002"/>
    <n v="617.69467499999814"/>
    <n v="6598709.7699999921"/>
    <n v="191"/>
    <n v="1681924.4800000002"/>
  </r>
  <r>
    <x v="1"/>
    <x v="5"/>
    <x v="5"/>
    <x v="3"/>
    <x v="28"/>
    <x v="28"/>
    <x v="0"/>
    <n v="785"/>
    <n v="116.02025900000005"/>
    <n v="665.21450099999652"/>
    <n v="8266329.3499999968"/>
    <n v="132"/>
    <n v="1628977.0099999998"/>
  </r>
  <r>
    <x v="1"/>
    <x v="5"/>
    <x v="5"/>
    <x v="3"/>
    <x v="29"/>
    <x v="29"/>
    <x v="0"/>
    <n v="638"/>
    <n v="188.7515930000001"/>
    <n v="631.13736099999949"/>
    <n v="10777042.640000004"/>
    <n v="188"/>
    <n v="2837320.8600000003"/>
  </r>
  <r>
    <x v="1"/>
    <x v="5"/>
    <x v="5"/>
    <x v="3"/>
    <x v="30"/>
    <x v="30"/>
    <x v="0"/>
    <n v="612"/>
    <n v="84.884157999999985"/>
    <n v="442.875902"/>
    <n v="5593411.0800000094"/>
    <n v="113"/>
    <n v="1095275.8400000001"/>
  </r>
  <r>
    <x v="1"/>
    <x v="5"/>
    <x v="5"/>
    <x v="3"/>
    <x v="31"/>
    <x v="31"/>
    <x v="0"/>
    <n v="1019"/>
    <n v="244.49303199999997"/>
    <n v="858.92898600000035"/>
    <n v="10936820.089999994"/>
    <n v="297"/>
    <n v="3109213.9700000011"/>
  </r>
  <r>
    <x v="1"/>
    <x v="5"/>
    <x v="5"/>
    <x v="3"/>
    <x v="32"/>
    <x v="32"/>
    <x v="0"/>
    <n v="1805"/>
    <n v="347.15418000000011"/>
    <n v="1771.3495870000011"/>
    <n v="19656290.349999998"/>
    <n v="407"/>
    <n v="3904141.96"/>
  </r>
  <r>
    <x v="1"/>
    <x v="5"/>
    <x v="5"/>
    <x v="3"/>
    <x v="33"/>
    <x v="33"/>
    <x v="0"/>
    <n v="1942"/>
    <n v="190.57826900000015"/>
    <n v="1651.0073720000132"/>
    <n v="20013616.460000113"/>
    <n v="225"/>
    <n v="2368435.36"/>
  </r>
  <r>
    <x v="1"/>
    <x v="5"/>
    <x v="5"/>
    <x v="3"/>
    <x v="34"/>
    <x v="34"/>
    <x v="0"/>
    <n v="34"/>
    <n v="6.8929509999999992"/>
    <n v="21.878430999999996"/>
    <n v="309922.49000000011"/>
    <n v="11"/>
    <n v="95847.38"/>
  </r>
  <r>
    <x v="1"/>
    <x v="5"/>
    <x v="5"/>
    <x v="3"/>
    <x v="35"/>
    <x v="35"/>
    <x v="0"/>
    <n v="1882"/>
    <n v="257.09590899999989"/>
    <n v="1491.2476610000128"/>
    <n v="16202406.240000017"/>
    <n v="265"/>
    <n v="2749805.399999998"/>
  </r>
  <r>
    <x v="1"/>
    <x v="5"/>
    <x v="5"/>
    <x v="3"/>
    <x v="36"/>
    <x v="36"/>
    <x v="0"/>
    <n v="1466"/>
    <n v="269.792281"/>
    <n v="1250.4971300000077"/>
    <n v="14558350.46999998"/>
    <n v="306"/>
    <n v="3058363.709999999"/>
  </r>
  <r>
    <x v="1"/>
    <x v="5"/>
    <x v="5"/>
    <x v="3"/>
    <x v="37"/>
    <x v="37"/>
    <x v="0"/>
    <n v="810"/>
    <n v="191.30502299999995"/>
    <n v="838.88178000000039"/>
    <n v="9458853.7800000105"/>
    <n v="218"/>
    <n v="2263721.21"/>
  </r>
  <r>
    <x v="1"/>
    <x v="5"/>
    <x v="5"/>
    <x v="3"/>
    <x v="38"/>
    <x v="38"/>
    <x v="0"/>
    <n v="521"/>
    <n v="82.366753000000017"/>
    <n v="456.67695300000025"/>
    <n v="6185331.900000006"/>
    <n v="95"/>
    <n v="987340.94"/>
  </r>
  <r>
    <x v="1"/>
    <x v="5"/>
    <x v="5"/>
    <x v="3"/>
    <x v="39"/>
    <x v="39"/>
    <x v="0"/>
    <n v="1074"/>
    <n v="314.82082299999968"/>
    <n v="1236.1694450000002"/>
    <n v="14363764.079999996"/>
    <n v="299"/>
    <n v="3187548.5199999996"/>
  </r>
  <r>
    <x v="1"/>
    <x v="5"/>
    <x v="5"/>
    <x v="3"/>
    <x v="40"/>
    <x v="40"/>
    <x v="0"/>
    <n v="2233"/>
    <n v="234.46723899999992"/>
    <n v="1723.9868130000127"/>
    <n v="18775329.689999942"/>
    <n v="264"/>
    <n v="2529524.4200000018"/>
  </r>
  <r>
    <x v="1"/>
    <x v="5"/>
    <x v="5"/>
    <x v="3"/>
    <x v="41"/>
    <x v="41"/>
    <x v="0"/>
    <n v="269"/>
    <n v="4.2443039999999996"/>
    <n v="457.70361600000081"/>
    <n v="6499078.0400000019"/>
    <n v="2"/>
    <n v="54588.55"/>
  </r>
  <r>
    <x v="1"/>
    <x v="5"/>
    <x v="5"/>
    <x v="3"/>
    <x v="42"/>
    <x v="42"/>
    <x v="0"/>
    <n v="236"/>
    <n v="48.753170000000011"/>
    <n v="162.73509299999992"/>
    <n v="2013773.04"/>
    <n v="72"/>
    <n v="653072.47"/>
  </r>
  <r>
    <x v="1"/>
    <x v="5"/>
    <x v="5"/>
    <x v="3"/>
    <x v="43"/>
    <x v="43"/>
    <x v="0"/>
    <n v="364"/>
    <n v="85.173748000000018"/>
    <n v="361.20452500000005"/>
    <n v="4057928.4399999967"/>
    <n v="93"/>
    <n v="937229.63999999966"/>
  </r>
  <r>
    <x v="1"/>
    <x v="5"/>
    <x v="5"/>
    <x v="3"/>
    <x v="44"/>
    <x v="44"/>
    <x v="0"/>
    <n v="1522"/>
    <n v="303.07347299999964"/>
    <n v="1228.2688940000089"/>
    <n v="14004970.450000007"/>
    <n v="340"/>
    <n v="3386647.4300000006"/>
  </r>
  <r>
    <x v="1"/>
    <x v="5"/>
    <x v="5"/>
    <x v="3"/>
    <x v="45"/>
    <x v="45"/>
    <x v="0"/>
    <n v="1754"/>
    <n v="246.20645999999994"/>
    <n v="1964.4682819999905"/>
    <n v="19669639.759999961"/>
    <n v="234"/>
    <n v="2647755.8299999991"/>
  </r>
  <r>
    <x v="1"/>
    <x v="5"/>
    <x v="5"/>
    <x v="3"/>
    <x v="46"/>
    <x v="46"/>
    <x v="0"/>
    <n v="96"/>
    <n v="5.9684379999999999"/>
    <n v="87.976102000000068"/>
    <n v="4805641.42"/>
    <n v="7"/>
    <n v="320312.05000000005"/>
  </r>
  <r>
    <x v="1"/>
    <x v="5"/>
    <x v="5"/>
    <x v="5"/>
    <x v="0"/>
    <x v="0"/>
    <x v="0"/>
    <n v="1611"/>
    <n v="260.42599200000006"/>
    <n v="1445.0086120000042"/>
    <n v="15743604.209999967"/>
    <n v="293"/>
    <n v="2730697.5900000026"/>
  </r>
  <r>
    <x v="1"/>
    <x v="5"/>
    <x v="5"/>
    <x v="5"/>
    <x v="1"/>
    <x v="1"/>
    <x v="0"/>
    <n v="2744"/>
    <n v="567.53150400000038"/>
    <n v="4673.1708649999837"/>
    <n v="88262177.650000289"/>
    <n v="428"/>
    <n v="11291709.390000002"/>
  </r>
  <r>
    <x v="1"/>
    <x v="5"/>
    <x v="5"/>
    <x v="5"/>
    <x v="2"/>
    <x v="2"/>
    <x v="0"/>
    <n v="1377"/>
    <n v="184.82919199999984"/>
    <n v="1252.7095760000004"/>
    <n v="18196382.039999992"/>
    <n v="206"/>
    <n v="2475384.6300000004"/>
  </r>
  <r>
    <x v="1"/>
    <x v="5"/>
    <x v="5"/>
    <x v="5"/>
    <x v="3"/>
    <x v="3"/>
    <x v="0"/>
    <n v="3426"/>
    <n v="351.41606599999977"/>
    <n v="2750.964870999976"/>
    <n v="29314216.410000052"/>
    <n v="361"/>
    <n v="4333125.9000000004"/>
  </r>
  <r>
    <x v="1"/>
    <x v="5"/>
    <x v="5"/>
    <x v="5"/>
    <x v="4"/>
    <x v="4"/>
    <x v="0"/>
    <n v="1723"/>
    <n v="290.53832399999988"/>
    <n v="1570.2678460000056"/>
    <n v="15608911.049999999"/>
    <n v="309"/>
    <n v="3090173.5600000024"/>
  </r>
  <r>
    <x v="1"/>
    <x v="5"/>
    <x v="5"/>
    <x v="5"/>
    <x v="5"/>
    <x v="5"/>
    <x v="0"/>
    <n v="470"/>
    <n v="88.564667999999969"/>
    <n v="332.3847270000004"/>
    <n v="4180991.8400000008"/>
    <n v="131"/>
    <n v="1146037.03"/>
  </r>
  <r>
    <x v="1"/>
    <x v="5"/>
    <x v="5"/>
    <x v="5"/>
    <x v="6"/>
    <x v="6"/>
    <x v="0"/>
    <n v="1543"/>
    <n v="203.10144899999995"/>
    <n v="1513.679813000012"/>
    <n v="19005771.569999944"/>
    <n v="218"/>
    <n v="2620800.4799999991"/>
  </r>
  <r>
    <x v="1"/>
    <x v="5"/>
    <x v="5"/>
    <x v="5"/>
    <x v="7"/>
    <x v="7"/>
    <x v="0"/>
    <n v="4231"/>
    <n v="780.78222300000073"/>
    <n v="5993.2219879999975"/>
    <n v="114828018.9800002"/>
    <n v="725"/>
    <n v="17163947.219999988"/>
  </r>
  <r>
    <x v="1"/>
    <x v="5"/>
    <x v="5"/>
    <x v="5"/>
    <x v="8"/>
    <x v="8"/>
    <x v="0"/>
    <n v="230"/>
    <n v="55.743044000000005"/>
    <n v="166.12015600000001"/>
    <n v="3268991.8799999994"/>
    <n v="79"/>
    <n v="1397981.5700000003"/>
  </r>
  <r>
    <x v="1"/>
    <x v="5"/>
    <x v="5"/>
    <x v="5"/>
    <x v="9"/>
    <x v="9"/>
    <x v="0"/>
    <n v="1788"/>
    <n v="362.18397299999975"/>
    <n v="1672.9650130000048"/>
    <n v="20679066.279999971"/>
    <n v="392"/>
    <n v="4439705.1600000011"/>
  </r>
  <r>
    <x v="1"/>
    <x v="5"/>
    <x v="5"/>
    <x v="5"/>
    <x v="10"/>
    <x v="10"/>
    <x v="0"/>
    <n v="2128"/>
    <n v="363.11396599999983"/>
    <n v="2437.5995250000069"/>
    <n v="35745254.789999999"/>
    <n v="386"/>
    <n v="5377256.9999999991"/>
  </r>
  <r>
    <x v="0"/>
    <x v="6"/>
    <x v="7"/>
    <x v="8"/>
    <x v="11"/>
    <x v="11"/>
    <x v="0"/>
    <n v="316"/>
    <n v="68.765301123385868"/>
    <n v="274.63513449897528"/>
    <n v="5862908.1300000018"/>
    <n v="81"/>
    <n v="1478020.0699999998"/>
  </r>
  <r>
    <x v="1"/>
    <x v="5"/>
    <x v="5"/>
    <x v="5"/>
    <x v="12"/>
    <x v="12"/>
    <x v="0"/>
    <n v="2632"/>
    <n v="462.26783599999948"/>
    <n v="2206.3882840000151"/>
    <n v="25973534.209999967"/>
    <n v="562"/>
    <n v="5209056.9600000056"/>
  </r>
  <r>
    <x v="1"/>
    <x v="5"/>
    <x v="5"/>
    <x v="5"/>
    <x v="13"/>
    <x v="13"/>
    <x v="0"/>
    <n v="1185"/>
    <n v="214.14722900000004"/>
    <n v="1066.3397279999965"/>
    <n v="13408656.120000001"/>
    <n v="199"/>
    <n v="2624473.0900000012"/>
  </r>
  <r>
    <x v="1"/>
    <x v="5"/>
    <x v="5"/>
    <x v="5"/>
    <x v="14"/>
    <x v="14"/>
    <x v="0"/>
    <n v="181"/>
    <n v="28.340991999999996"/>
    <n v="155.25736700000002"/>
    <n v="1641268.03"/>
    <n v="26"/>
    <n v="269133.18"/>
  </r>
  <r>
    <x v="1"/>
    <x v="5"/>
    <x v="5"/>
    <x v="5"/>
    <x v="15"/>
    <x v="15"/>
    <x v="0"/>
    <n v="841"/>
    <n v="105.57959499999997"/>
    <n v="705.33883599999706"/>
    <n v="7550518.25"/>
    <n v="136"/>
    <n v="1154148.0200000007"/>
  </r>
  <r>
    <x v="1"/>
    <x v="5"/>
    <x v="5"/>
    <x v="5"/>
    <x v="16"/>
    <x v="16"/>
    <x v="0"/>
    <n v="1734"/>
    <n v="328.32712199999952"/>
    <n v="1829.5776039999932"/>
    <n v="21471592.459999993"/>
    <n v="334"/>
    <n v="3897097.3699999996"/>
  </r>
  <r>
    <x v="1"/>
    <x v="5"/>
    <x v="5"/>
    <x v="5"/>
    <x v="17"/>
    <x v="17"/>
    <x v="0"/>
    <n v="1221"/>
    <n v="225.11819299999985"/>
    <n v="1493.3958110000033"/>
    <n v="15294573.809999987"/>
    <n v="209"/>
    <n v="2433133.4800000014"/>
  </r>
  <r>
    <x v="1"/>
    <x v="5"/>
    <x v="5"/>
    <x v="5"/>
    <x v="18"/>
    <x v="18"/>
    <x v="0"/>
    <n v="2685"/>
    <n v="379.80758200000002"/>
    <n v="2446.319735999984"/>
    <n v="25148910.029999871"/>
    <n v="391"/>
    <n v="4377332.7700000005"/>
  </r>
  <r>
    <x v="1"/>
    <x v="5"/>
    <x v="5"/>
    <x v="5"/>
    <x v="19"/>
    <x v="19"/>
    <x v="0"/>
    <n v="1168"/>
    <n v="242.01050300000006"/>
    <n v="1579.7781860000005"/>
    <n v="19835092.039999969"/>
    <n v="258"/>
    <n v="3069823.0599999991"/>
  </r>
  <r>
    <x v="1"/>
    <x v="5"/>
    <x v="5"/>
    <x v="5"/>
    <x v="20"/>
    <x v="20"/>
    <x v="0"/>
    <n v="997"/>
    <n v="176.10360999999992"/>
    <n v="949.3463009999964"/>
    <n v="13796814.219999997"/>
    <n v="195"/>
    <n v="2619553.5299999989"/>
  </r>
  <r>
    <x v="1"/>
    <x v="5"/>
    <x v="5"/>
    <x v="5"/>
    <x v="21"/>
    <x v="21"/>
    <x v="0"/>
    <n v="800"/>
    <n v="117.36206199999997"/>
    <n v="605.8738949999962"/>
    <n v="6259797.4300000053"/>
    <n v="143"/>
    <n v="1288120.92"/>
  </r>
  <r>
    <x v="1"/>
    <x v="5"/>
    <x v="5"/>
    <x v="5"/>
    <x v="22"/>
    <x v="22"/>
    <x v="0"/>
    <n v="1916"/>
    <n v="375.96194199999985"/>
    <n v="1959.9890430000053"/>
    <n v="33351025.069999956"/>
    <n v="413"/>
    <n v="6285713.8500000024"/>
  </r>
  <r>
    <x v="1"/>
    <x v="5"/>
    <x v="5"/>
    <x v="5"/>
    <x v="23"/>
    <x v="23"/>
    <x v="0"/>
    <n v="155"/>
    <n v="41.615572999999998"/>
    <n v="130.48167100000001"/>
    <n v="1931704.52"/>
    <n v="54"/>
    <n v="636804.39"/>
  </r>
  <r>
    <x v="1"/>
    <x v="5"/>
    <x v="5"/>
    <x v="5"/>
    <x v="24"/>
    <x v="24"/>
    <x v="0"/>
    <n v="544"/>
    <n v="98.674205999999955"/>
    <n v="457.95606699999956"/>
    <n v="6850596.5300000021"/>
    <n v="117"/>
    <n v="1406530.6199999999"/>
  </r>
  <r>
    <x v="1"/>
    <x v="5"/>
    <x v="5"/>
    <x v="5"/>
    <x v="25"/>
    <x v="25"/>
    <x v="0"/>
    <n v="1066"/>
    <n v="172.21362000000002"/>
    <n v="899.7259569999959"/>
    <n v="11470397.120000005"/>
    <n v="201"/>
    <n v="2280000.52"/>
  </r>
  <r>
    <x v="1"/>
    <x v="5"/>
    <x v="5"/>
    <x v="5"/>
    <x v="26"/>
    <x v="26"/>
    <x v="0"/>
    <n v="906"/>
    <n v="179.42531099999982"/>
    <n v="772.9787089999943"/>
    <n v="10225305.02"/>
    <n v="205"/>
    <n v="2357378.7499999981"/>
  </r>
  <r>
    <x v="1"/>
    <x v="5"/>
    <x v="5"/>
    <x v="5"/>
    <x v="27"/>
    <x v="27"/>
    <x v="0"/>
    <n v="843"/>
    <n v="155.25425899999996"/>
    <n v="645.91388599999732"/>
    <n v="7480858.9299999997"/>
    <n v="203"/>
    <n v="1808534.8099999996"/>
  </r>
  <r>
    <x v="1"/>
    <x v="5"/>
    <x v="5"/>
    <x v="5"/>
    <x v="28"/>
    <x v="28"/>
    <x v="0"/>
    <n v="762"/>
    <n v="111.92710200000003"/>
    <n v="634.36495899999727"/>
    <n v="7898962.9500000011"/>
    <n v="130"/>
    <n v="1562371.8100000005"/>
  </r>
  <r>
    <x v="1"/>
    <x v="5"/>
    <x v="5"/>
    <x v="5"/>
    <x v="29"/>
    <x v="29"/>
    <x v="0"/>
    <n v="651"/>
    <n v="184.47701199999992"/>
    <n v="672.70067999999969"/>
    <n v="12333890.960000016"/>
    <n v="188"/>
    <n v="2991485.109999998"/>
  </r>
  <r>
    <x v="1"/>
    <x v="5"/>
    <x v="5"/>
    <x v="5"/>
    <x v="30"/>
    <x v="30"/>
    <x v="0"/>
    <n v="614"/>
    <n v="87.232691000000045"/>
    <n v="426.33149699999984"/>
    <n v="5515946.7700000126"/>
    <n v="115"/>
    <n v="1136331.3299999998"/>
  </r>
  <r>
    <x v="1"/>
    <x v="5"/>
    <x v="5"/>
    <x v="5"/>
    <x v="31"/>
    <x v="31"/>
    <x v="0"/>
    <n v="989"/>
    <n v="250.96648599999995"/>
    <n v="824.27970600000037"/>
    <n v="10878563.21000002"/>
    <n v="293"/>
    <n v="3312258.9099999983"/>
  </r>
  <r>
    <x v="1"/>
    <x v="5"/>
    <x v="5"/>
    <x v="5"/>
    <x v="32"/>
    <x v="32"/>
    <x v="0"/>
    <n v="1775"/>
    <n v="382.47118199999977"/>
    <n v="1745.6362889999998"/>
    <n v="18821878.119999982"/>
    <n v="432"/>
    <n v="4129862.4999999977"/>
  </r>
  <r>
    <x v="1"/>
    <x v="5"/>
    <x v="5"/>
    <x v="5"/>
    <x v="33"/>
    <x v="33"/>
    <x v="0"/>
    <n v="1783"/>
    <n v="180.12284299999996"/>
    <n v="1466.0996860000162"/>
    <n v="16770322.680000028"/>
    <n v="220"/>
    <n v="2274559.7200000007"/>
  </r>
  <r>
    <x v="1"/>
    <x v="5"/>
    <x v="5"/>
    <x v="5"/>
    <x v="34"/>
    <x v="34"/>
    <x v="0"/>
    <n v="33"/>
    <n v="7.7725439999999999"/>
    <n v="23.615777999999995"/>
    <n v="319263.61000000004"/>
    <n v="12"/>
    <n v="102951.46"/>
  </r>
  <r>
    <x v="1"/>
    <x v="5"/>
    <x v="5"/>
    <x v="5"/>
    <x v="35"/>
    <x v="35"/>
    <x v="0"/>
    <n v="1788"/>
    <n v="244.66348000000005"/>
    <n v="1394.7115430000142"/>
    <n v="14982283.440000013"/>
    <n v="275"/>
    <n v="2757082.6500000013"/>
  </r>
  <r>
    <x v="1"/>
    <x v="5"/>
    <x v="5"/>
    <x v="5"/>
    <x v="36"/>
    <x v="36"/>
    <x v="0"/>
    <n v="1307"/>
    <n v="221.44579500000006"/>
    <n v="1114.0812550000035"/>
    <n v="12931800.879999988"/>
    <n v="260"/>
    <n v="2549578.3499999987"/>
  </r>
  <r>
    <x v="1"/>
    <x v="5"/>
    <x v="5"/>
    <x v="5"/>
    <x v="37"/>
    <x v="37"/>
    <x v="0"/>
    <n v="871"/>
    <n v="206.91968799999998"/>
    <n v="910.75567000000092"/>
    <n v="12131192.240000017"/>
    <n v="222"/>
    <n v="2972816.4800000004"/>
  </r>
  <r>
    <x v="1"/>
    <x v="5"/>
    <x v="5"/>
    <x v="5"/>
    <x v="38"/>
    <x v="38"/>
    <x v="0"/>
    <n v="558"/>
    <n v="84.099647000000033"/>
    <n v="472.71548400000052"/>
    <n v="6501958.1899999995"/>
    <n v="110"/>
    <n v="1057218.2399999998"/>
  </r>
  <r>
    <x v="1"/>
    <x v="5"/>
    <x v="5"/>
    <x v="5"/>
    <x v="39"/>
    <x v="39"/>
    <x v="0"/>
    <n v="1033"/>
    <n v="300.72580399999958"/>
    <n v="1174.0266380000007"/>
    <n v="14461620.409999996"/>
    <n v="297"/>
    <n v="3305187.8699999987"/>
  </r>
  <r>
    <x v="1"/>
    <x v="5"/>
    <x v="5"/>
    <x v="5"/>
    <x v="40"/>
    <x v="40"/>
    <x v="0"/>
    <n v="2236"/>
    <n v="321.42068699999987"/>
    <n v="1772.7512090000105"/>
    <n v="21158174.940000072"/>
    <n v="323"/>
    <n v="4129169.3000000031"/>
  </r>
  <r>
    <x v="1"/>
    <x v="5"/>
    <x v="5"/>
    <x v="5"/>
    <x v="41"/>
    <x v="41"/>
    <x v="0"/>
    <n v="262"/>
    <n v="1.2454190000000001"/>
    <n v="429.72185400000001"/>
    <n v="5493798.0800000001"/>
    <n v="1"/>
    <n v="50929.08"/>
  </r>
  <r>
    <x v="1"/>
    <x v="5"/>
    <x v="5"/>
    <x v="5"/>
    <x v="42"/>
    <x v="42"/>
    <x v="0"/>
    <n v="237"/>
    <n v="53.565664999999996"/>
    <n v="169.47830500000009"/>
    <n v="1828430.9200000004"/>
    <n v="75"/>
    <n v="575077.90999999992"/>
  </r>
  <r>
    <x v="1"/>
    <x v="5"/>
    <x v="5"/>
    <x v="5"/>
    <x v="43"/>
    <x v="43"/>
    <x v="0"/>
    <n v="327"/>
    <n v="74.68355200000002"/>
    <n v="318.24566800000036"/>
    <n v="3333169.1900000023"/>
    <n v="86"/>
    <n v="795028.32999999973"/>
  </r>
  <r>
    <x v="1"/>
    <x v="5"/>
    <x v="5"/>
    <x v="5"/>
    <x v="44"/>
    <x v="44"/>
    <x v="0"/>
    <n v="1470"/>
    <n v="291.37219999999979"/>
    <n v="1184.7188100000087"/>
    <n v="13935621.890000002"/>
    <n v="368"/>
    <n v="3446486.6699999967"/>
  </r>
  <r>
    <x v="1"/>
    <x v="5"/>
    <x v="5"/>
    <x v="5"/>
    <x v="45"/>
    <x v="45"/>
    <x v="0"/>
    <n v="1669"/>
    <n v="199.18384500000013"/>
    <n v="1851.3237119999931"/>
    <n v="18291930.890000001"/>
    <n v="217"/>
    <n v="1902218.1700000004"/>
  </r>
  <r>
    <x v="1"/>
    <x v="5"/>
    <x v="5"/>
    <x v="5"/>
    <x v="46"/>
    <x v="46"/>
    <x v="0"/>
    <n v="110"/>
    <n v="2.731973"/>
    <n v="99.115954999999985"/>
    <n v="4998161.0100000016"/>
    <n v="4"/>
    <n v="85494.720000000001"/>
  </r>
  <r>
    <x v="1"/>
    <x v="5"/>
    <x v="5"/>
    <x v="0"/>
    <x v="0"/>
    <x v="0"/>
    <x v="0"/>
    <n v="1712"/>
    <n v="280.17202199999974"/>
    <n v="1539.253826000006"/>
    <n v="16746130.269999998"/>
    <n v="329"/>
    <n v="3027902.2100000018"/>
  </r>
  <r>
    <x v="1"/>
    <x v="5"/>
    <x v="5"/>
    <x v="0"/>
    <x v="1"/>
    <x v="1"/>
    <x v="0"/>
    <n v="2851"/>
    <n v="524.45509100000004"/>
    <n v="4822.1920559999953"/>
    <n v="94693327.950000063"/>
    <n v="461"/>
    <n v="9448525.6000000015"/>
  </r>
  <r>
    <x v="1"/>
    <x v="5"/>
    <x v="5"/>
    <x v="0"/>
    <x v="2"/>
    <x v="2"/>
    <x v="0"/>
    <n v="1407"/>
    <n v="192.22118399999994"/>
    <n v="1234.5875349999994"/>
    <n v="19501154.790000003"/>
    <n v="213"/>
    <n v="2945099"/>
  </r>
  <r>
    <x v="1"/>
    <x v="5"/>
    <x v="5"/>
    <x v="0"/>
    <x v="3"/>
    <x v="3"/>
    <x v="0"/>
    <n v="3438"/>
    <n v="411.35963699999991"/>
    <n v="2902.8036279999842"/>
    <n v="31489314.050000116"/>
    <n v="420"/>
    <n v="4895567.0200000005"/>
  </r>
  <r>
    <x v="1"/>
    <x v="5"/>
    <x v="5"/>
    <x v="0"/>
    <x v="4"/>
    <x v="4"/>
    <x v="0"/>
    <n v="1738"/>
    <n v="298.27808000000005"/>
    <n v="1613.3956220000052"/>
    <n v="16331075.139999993"/>
    <n v="298"/>
    <n v="3025877.5700000008"/>
  </r>
  <r>
    <x v="1"/>
    <x v="5"/>
    <x v="5"/>
    <x v="0"/>
    <x v="5"/>
    <x v="5"/>
    <x v="0"/>
    <n v="520"/>
    <n v="94.045097000000013"/>
    <n v="387.84332300000017"/>
    <n v="4852143.0000000009"/>
    <n v="132"/>
    <n v="976521.76999999955"/>
  </r>
  <r>
    <x v="1"/>
    <x v="5"/>
    <x v="5"/>
    <x v="0"/>
    <x v="6"/>
    <x v="6"/>
    <x v="0"/>
    <n v="1549"/>
    <n v="197.19388000000012"/>
    <n v="1703.1699770000121"/>
    <n v="20613150.029999956"/>
    <n v="218"/>
    <n v="2569627.1600000025"/>
  </r>
  <r>
    <x v="1"/>
    <x v="5"/>
    <x v="5"/>
    <x v="0"/>
    <x v="7"/>
    <x v="7"/>
    <x v="0"/>
    <n v="4395"/>
    <n v="807.79979100000105"/>
    <n v="6457.8271279999917"/>
    <n v="120956618.24000008"/>
    <n v="767"/>
    <n v="15748215.709999997"/>
  </r>
  <r>
    <x v="1"/>
    <x v="5"/>
    <x v="5"/>
    <x v="0"/>
    <x v="8"/>
    <x v="8"/>
    <x v="0"/>
    <n v="255"/>
    <n v="50.911700000000003"/>
    <n v="179.96341999999996"/>
    <n v="3086041.23"/>
    <n v="71"/>
    <n v="1117706.33"/>
  </r>
  <r>
    <x v="1"/>
    <x v="5"/>
    <x v="5"/>
    <x v="0"/>
    <x v="9"/>
    <x v="9"/>
    <x v="0"/>
    <n v="1905"/>
    <n v="389.99064699999985"/>
    <n v="1816.0530490000042"/>
    <n v="21982826.000000045"/>
    <n v="435"/>
    <n v="4961492.0999999987"/>
  </r>
  <r>
    <x v="1"/>
    <x v="5"/>
    <x v="5"/>
    <x v="0"/>
    <x v="10"/>
    <x v="10"/>
    <x v="0"/>
    <n v="2300"/>
    <n v="409.6634569999996"/>
    <n v="2683.7873210000148"/>
    <n v="38514790.749999933"/>
    <n v="396"/>
    <n v="6034288.620000002"/>
  </r>
  <r>
    <x v="0"/>
    <x v="6"/>
    <x v="7"/>
    <x v="9"/>
    <x v="11"/>
    <x v="11"/>
    <x v="0"/>
    <n v="299"/>
    <n v="76.618810023270015"/>
    <n v="259.73805068888203"/>
    <n v="5808779.5500000007"/>
    <n v="84"/>
    <n v="1606605.1299999997"/>
  </r>
  <r>
    <x v="1"/>
    <x v="5"/>
    <x v="5"/>
    <x v="0"/>
    <x v="12"/>
    <x v="12"/>
    <x v="0"/>
    <n v="2629"/>
    <n v="490.67186099999975"/>
    <n v="2285.8837210000129"/>
    <n v="28838677.350000005"/>
    <n v="581"/>
    <n v="5975418.9599999981"/>
  </r>
  <r>
    <x v="1"/>
    <x v="5"/>
    <x v="5"/>
    <x v="0"/>
    <x v="13"/>
    <x v="13"/>
    <x v="0"/>
    <n v="1246"/>
    <n v="191.12413799999996"/>
    <n v="1108.0892510000006"/>
    <n v="14512629.269999998"/>
    <n v="222"/>
    <n v="2596813.67"/>
  </r>
  <r>
    <x v="1"/>
    <x v="5"/>
    <x v="5"/>
    <x v="0"/>
    <x v="14"/>
    <x v="14"/>
    <x v="0"/>
    <n v="221"/>
    <n v="30.190578000000009"/>
    <n v="158.72824399999996"/>
    <n v="1825028.8099999996"/>
    <n v="39"/>
    <n v="367029.84"/>
  </r>
  <r>
    <x v="1"/>
    <x v="5"/>
    <x v="5"/>
    <x v="0"/>
    <x v="15"/>
    <x v="15"/>
    <x v="0"/>
    <n v="838"/>
    <n v="128.92969600000009"/>
    <n v="761.38810199999602"/>
    <n v="8651927.9100000095"/>
    <n v="148"/>
    <n v="1393801.3300000008"/>
  </r>
  <r>
    <x v="1"/>
    <x v="5"/>
    <x v="5"/>
    <x v="0"/>
    <x v="16"/>
    <x v="16"/>
    <x v="0"/>
    <n v="1778"/>
    <n v="323.37887899999987"/>
    <n v="1896.1076319999945"/>
    <n v="21632090.870000031"/>
    <n v="357"/>
    <n v="3890581.7399999988"/>
  </r>
  <r>
    <x v="1"/>
    <x v="5"/>
    <x v="5"/>
    <x v="0"/>
    <x v="17"/>
    <x v="17"/>
    <x v="0"/>
    <n v="1348"/>
    <n v="218.33163899999997"/>
    <n v="1775.7877140000023"/>
    <n v="18475549.329999998"/>
    <n v="203"/>
    <n v="2453919.6100000008"/>
  </r>
  <r>
    <x v="1"/>
    <x v="5"/>
    <x v="5"/>
    <x v="0"/>
    <x v="18"/>
    <x v="18"/>
    <x v="0"/>
    <n v="2771"/>
    <n v="366.07014600000019"/>
    <n v="2689.9354299999991"/>
    <n v="27683199.24000001"/>
    <n v="390"/>
    <n v="4015627.2000000011"/>
  </r>
  <r>
    <x v="1"/>
    <x v="5"/>
    <x v="5"/>
    <x v="0"/>
    <x v="19"/>
    <x v="19"/>
    <x v="0"/>
    <n v="1305"/>
    <n v="252.59914599999991"/>
    <n v="1801.8433220000018"/>
    <n v="23674628.939999986"/>
    <n v="278"/>
    <n v="3423608.07"/>
  </r>
  <r>
    <x v="1"/>
    <x v="5"/>
    <x v="5"/>
    <x v="0"/>
    <x v="20"/>
    <x v="20"/>
    <x v="0"/>
    <n v="1129"/>
    <n v="223.76031999999978"/>
    <n v="1113.719081000002"/>
    <n v="15261920.810000019"/>
    <n v="234"/>
    <n v="2998969.72"/>
  </r>
  <r>
    <x v="1"/>
    <x v="5"/>
    <x v="5"/>
    <x v="0"/>
    <x v="21"/>
    <x v="21"/>
    <x v="0"/>
    <n v="797"/>
    <n v="148.25280399999991"/>
    <n v="647.16371999999581"/>
    <n v="6660397.2599999988"/>
    <n v="169"/>
    <n v="1562411.800000001"/>
  </r>
  <r>
    <x v="1"/>
    <x v="5"/>
    <x v="5"/>
    <x v="0"/>
    <x v="22"/>
    <x v="22"/>
    <x v="0"/>
    <n v="1941"/>
    <n v="361.46871899999979"/>
    <n v="1967.7678310000067"/>
    <n v="30146160.389999941"/>
    <n v="385"/>
    <n v="5657769.0900000073"/>
  </r>
  <r>
    <x v="1"/>
    <x v="5"/>
    <x v="5"/>
    <x v="0"/>
    <x v="23"/>
    <x v="23"/>
    <x v="0"/>
    <n v="195"/>
    <n v="44.433310999999996"/>
    <n v="161.29071499999992"/>
    <n v="2591353.0299999989"/>
    <n v="57"/>
    <n v="746653.69"/>
  </r>
  <r>
    <x v="1"/>
    <x v="5"/>
    <x v="5"/>
    <x v="0"/>
    <x v="24"/>
    <x v="24"/>
    <x v="0"/>
    <n v="577"/>
    <n v="129.30731299999999"/>
    <n v="519.33626800000025"/>
    <n v="7462432.4899999956"/>
    <n v="142"/>
    <n v="1893103.9700000004"/>
  </r>
  <r>
    <x v="1"/>
    <x v="5"/>
    <x v="5"/>
    <x v="0"/>
    <x v="25"/>
    <x v="25"/>
    <x v="0"/>
    <n v="1171"/>
    <n v="201.47228800000002"/>
    <n v="984.5101619999964"/>
    <n v="12991197.660000004"/>
    <n v="240"/>
    <n v="2675620.7300000004"/>
  </r>
  <r>
    <x v="1"/>
    <x v="5"/>
    <x v="5"/>
    <x v="0"/>
    <x v="26"/>
    <x v="26"/>
    <x v="0"/>
    <n v="891"/>
    <n v="163.65127600000005"/>
    <n v="780.66489499999443"/>
    <n v="11318175.840000017"/>
    <n v="192"/>
    <n v="2024814.8099999996"/>
  </r>
  <r>
    <x v="1"/>
    <x v="5"/>
    <x v="5"/>
    <x v="0"/>
    <x v="27"/>
    <x v="27"/>
    <x v="0"/>
    <n v="757"/>
    <n v="149.01102399999982"/>
    <n v="583.17116199999907"/>
    <n v="6760561.9100000095"/>
    <n v="187"/>
    <n v="1873521.86"/>
  </r>
  <r>
    <x v="1"/>
    <x v="5"/>
    <x v="5"/>
    <x v="0"/>
    <x v="28"/>
    <x v="28"/>
    <x v="0"/>
    <n v="803"/>
    <n v="135.850774"/>
    <n v="721.90985999999612"/>
    <n v="9216127.6200000066"/>
    <n v="152"/>
    <n v="1833570.4800000002"/>
  </r>
  <r>
    <x v="1"/>
    <x v="5"/>
    <x v="5"/>
    <x v="0"/>
    <x v="29"/>
    <x v="29"/>
    <x v="0"/>
    <n v="644"/>
    <n v="192.68010000000004"/>
    <n v="695.07702199999926"/>
    <n v="12030789.099999992"/>
    <n v="194"/>
    <n v="2707359.5899999994"/>
  </r>
  <r>
    <x v="1"/>
    <x v="5"/>
    <x v="5"/>
    <x v="0"/>
    <x v="30"/>
    <x v="30"/>
    <x v="0"/>
    <n v="587"/>
    <n v="92.465807000000027"/>
    <n v="460.01066499999973"/>
    <n v="6084787.8000000119"/>
    <n v="109"/>
    <n v="1224453.4099999999"/>
  </r>
  <r>
    <x v="1"/>
    <x v="5"/>
    <x v="5"/>
    <x v="0"/>
    <x v="31"/>
    <x v="31"/>
    <x v="0"/>
    <n v="1112"/>
    <n v="284.09929399999987"/>
    <n v="935.23273499999971"/>
    <n v="12955792.739999989"/>
    <n v="341"/>
    <n v="4412383.2100000018"/>
  </r>
  <r>
    <x v="1"/>
    <x v="5"/>
    <x v="5"/>
    <x v="0"/>
    <x v="32"/>
    <x v="32"/>
    <x v="0"/>
    <n v="1862"/>
    <n v="407.1433569999997"/>
    <n v="1882.5651090000008"/>
    <n v="20915103.900000025"/>
    <n v="445"/>
    <n v="4543007.5799999973"/>
  </r>
  <r>
    <x v="1"/>
    <x v="5"/>
    <x v="5"/>
    <x v="0"/>
    <x v="33"/>
    <x v="33"/>
    <x v="0"/>
    <n v="2005"/>
    <n v="236.40670599999996"/>
    <n v="1648.6945490000173"/>
    <n v="18830223.54999987"/>
    <n v="252"/>
    <n v="2914536.9499999983"/>
  </r>
  <r>
    <x v="1"/>
    <x v="5"/>
    <x v="5"/>
    <x v="0"/>
    <x v="34"/>
    <x v="34"/>
    <x v="0"/>
    <n v="33"/>
    <n v="8.7054169999999989"/>
    <n v="22.144463000000005"/>
    <n v="288517.46000000002"/>
    <n v="13"/>
    <n v="125599.71999999999"/>
  </r>
  <r>
    <x v="1"/>
    <x v="5"/>
    <x v="5"/>
    <x v="0"/>
    <x v="35"/>
    <x v="35"/>
    <x v="0"/>
    <n v="1755"/>
    <n v="260.85592599999978"/>
    <n v="1409.847573000013"/>
    <n v="14809694.559999986"/>
    <n v="271"/>
    <n v="2704808.6800000011"/>
  </r>
  <r>
    <x v="1"/>
    <x v="5"/>
    <x v="5"/>
    <x v="0"/>
    <x v="36"/>
    <x v="36"/>
    <x v="0"/>
    <n v="1484"/>
    <n v="253.19672199999988"/>
    <n v="1267.0049250000066"/>
    <n v="13924547.26000002"/>
    <n v="320"/>
    <n v="2681847.0699999998"/>
  </r>
  <r>
    <x v="1"/>
    <x v="5"/>
    <x v="5"/>
    <x v="0"/>
    <x v="37"/>
    <x v="37"/>
    <x v="0"/>
    <n v="870"/>
    <n v="213.43045399999997"/>
    <n v="931.65109700000028"/>
    <n v="12710434.570000021"/>
    <n v="239"/>
    <n v="3122045.7399999979"/>
  </r>
  <r>
    <x v="1"/>
    <x v="5"/>
    <x v="5"/>
    <x v="0"/>
    <x v="38"/>
    <x v="38"/>
    <x v="0"/>
    <n v="527"/>
    <n v="83.274110000000036"/>
    <n v="451.86375900000002"/>
    <n v="5804406.4100000011"/>
    <n v="96"/>
    <n v="978394.23999999987"/>
  </r>
  <r>
    <x v="1"/>
    <x v="5"/>
    <x v="5"/>
    <x v="0"/>
    <x v="39"/>
    <x v="39"/>
    <x v="0"/>
    <n v="1158"/>
    <n v="309.4006119999998"/>
    <n v="1349.8617930000005"/>
    <n v="19518447.549999997"/>
    <n v="315"/>
    <n v="4444681.1399999978"/>
  </r>
  <r>
    <x v="1"/>
    <x v="5"/>
    <x v="5"/>
    <x v="0"/>
    <x v="40"/>
    <x v="40"/>
    <x v="0"/>
    <n v="2131"/>
    <n v="302.03996899999976"/>
    <n v="1870.740801000009"/>
    <n v="22197279.370000031"/>
    <n v="287"/>
    <n v="3814973.9799999995"/>
  </r>
  <r>
    <x v="1"/>
    <x v="5"/>
    <x v="5"/>
    <x v="0"/>
    <x v="41"/>
    <x v="41"/>
    <x v="0"/>
    <n v="314"/>
    <n v="0"/>
    <n v="535.79659800000115"/>
    <n v="7433797.1399999913"/>
    <n v="0"/>
    <n v="0"/>
  </r>
  <r>
    <x v="1"/>
    <x v="5"/>
    <x v="5"/>
    <x v="0"/>
    <x v="42"/>
    <x v="42"/>
    <x v="0"/>
    <n v="240"/>
    <n v="50.653664999999997"/>
    <n v="171.19695500000012"/>
    <n v="2115606.39"/>
    <n v="79"/>
    <n v="682864.48999999987"/>
  </r>
  <r>
    <x v="1"/>
    <x v="5"/>
    <x v="5"/>
    <x v="0"/>
    <x v="43"/>
    <x v="43"/>
    <x v="0"/>
    <n v="317"/>
    <n v="84.033347000000049"/>
    <n v="335.9091279999999"/>
    <n v="3400795.379999999"/>
    <n v="89"/>
    <n v="723116.50000000035"/>
  </r>
  <r>
    <x v="1"/>
    <x v="5"/>
    <x v="5"/>
    <x v="0"/>
    <x v="44"/>
    <x v="44"/>
    <x v="0"/>
    <n v="1593"/>
    <n v="336.96526699999976"/>
    <n v="1322.0685910000061"/>
    <n v="16709108.760000015"/>
    <n v="376"/>
    <n v="3926118.6500000008"/>
  </r>
  <r>
    <x v="1"/>
    <x v="5"/>
    <x v="5"/>
    <x v="0"/>
    <x v="45"/>
    <x v="45"/>
    <x v="0"/>
    <n v="1681"/>
    <n v="252.28661099999982"/>
    <n v="1951.3744280000092"/>
    <n v="19383901.080000039"/>
    <n v="252"/>
    <n v="2489046.7299999986"/>
  </r>
  <r>
    <x v="1"/>
    <x v="5"/>
    <x v="5"/>
    <x v="0"/>
    <x v="46"/>
    <x v="46"/>
    <x v="0"/>
    <n v="96"/>
    <n v="9.4798939999999998"/>
    <n v="85.846992999999983"/>
    <n v="4410994.12"/>
    <n v="12"/>
    <n v="415279.71"/>
  </r>
  <r>
    <x v="1"/>
    <x v="5"/>
    <x v="5"/>
    <x v="0"/>
    <x v="47"/>
    <x v="47"/>
    <x v="0"/>
    <n v="222"/>
    <n v="41.687575999999993"/>
    <n v="164.04417099999995"/>
    <n v="1597168.409999999"/>
    <n v="58"/>
    <n v="488624.86000000016"/>
  </r>
  <r>
    <x v="1"/>
    <x v="5"/>
    <x v="5"/>
    <x v="2"/>
    <x v="0"/>
    <x v="0"/>
    <x v="0"/>
    <n v="1538"/>
    <n v="278.91957099999985"/>
    <n v="1447.6059110000028"/>
    <n v="17665472.709999945"/>
    <n v="310"/>
    <n v="3501147.1100000003"/>
  </r>
  <r>
    <x v="1"/>
    <x v="5"/>
    <x v="5"/>
    <x v="2"/>
    <x v="1"/>
    <x v="1"/>
    <x v="0"/>
    <n v="2604"/>
    <n v="540.11996499999975"/>
    <n v="4483.5688359999913"/>
    <n v="80947262.079999909"/>
    <n v="412"/>
    <n v="9672111.5299999937"/>
  </r>
  <r>
    <x v="1"/>
    <x v="5"/>
    <x v="5"/>
    <x v="2"/>
    <x v="2"/>
    <x v="2"/>
    <x v="0"/>
    <n v="1316"/>
    <n v="175.56907000000001"/>
    <n v="1207.286997999998"/>
    <n v="18119417.800000031"/>
    <n v="173"/>
    <n v="2672368.4699999988"/>
  </r>
  <r>
    <x v="1"/>
    <x v="5"/>
    <x v="5"/>
    <x v="2"/>
    <x v="3"/>
    <x v="3"/>
    <x v="0"/>
    <n v="3202"/>
    <n v="321.54468899999978"/>
    <n v="2593.0037859999816"/>
    <n v="28409648.960000068"/>
    <n v="336"/>
    <n v="4527490.45"/>
  </r>
  <r>
    <x v="1"/>
    <x v="5"/>
    <x v="5"/>
    <x v="2"/>
    <x v="4"/>
    <x v="4"/>
    <x v="0"/>
    <n v="1668"/>
    <n v="286.86029399999967"/>
    <n v="1523.6995390000056"/>
    <n v="15701708.859999998"/>
    <n v="308"/>
    <n v="3072913.9800000018"/>
  </r>
  <r>
    <x v="1"/>
    <x v="5"/>
    <x v="5"/>
    <x v="2"/>
    <x v="5"/>
    <x v="5"/>
    <x v="0"/>
    <n v="445"/>
    <n v="98.67144500000002"/>
    <n v="346.28758800000008"/>
    <n v="4912935.78"/>
    <n v="113"/>
    <n v="1299263.6099999992"/>
  </r>
  <r>
    <x v="1"/>
    <x v="5"/>
    <x v="5"/>
    <x v="2"/>
    <x v="6"/>
    <x v="6"/>
    <x v="0"/>
    <n v="1471"/>
    <n v="148.44318499999997"/>
    <n v="1478.1571820000145"/>
    <n v="16848045.449999977"/>
    <n v="169"/>
    <n v="1681415.09"/>
  </r>
  <r>
    <x v="1"/>
    <x v="5"/>
    <x v="5"/>
    <x v="2"/>
    <x v="7"/>
    <x v="7"/>
    <x v="0"/>
    <n v="3997"/>
    <n v="810.03649900000028"/>
    <n v="5816.5433820000007"/>
    <n v="105865723.31999981"/>
    <n v="720"/>
    <n v="16132247.980000004"/>
  </r>
  <r>
    <x v="1"/>
    <x v="5"/>
    <x v="5"/>
    <x v="2"/>
    <x v="8"/>
    <x v="8"/>
    <x v="0"/>
    <n v="230"/>
    <n v="48.085459000000021"/>
    <n v="157.45923999999999"/>
    <n v="2339755.6399999992"/>
    <n v="71"/>
    <n v="650582.32999999961"/>
  </r>
  <r>
    <x v="1"/>
    <x v="5"/>
    <x v="5"/>
    <x v="2"/>
    <x v="9"/>
    <x v="9"/>
    <x v="0"/>
    <n v="1757"/>
    <n v="390.6532579999996"/>
    <n v="1619.475151000001"/>
    <n v="21055152.22000004"/>
    <n v="438"/>
    <n v="5374460.2699999958"/>
  </r>
  <r>
    <x v="1"/>
    <x v="5"/>
    <x v="5"/>
    <x v="2"/>
    <x v="10"/>
    <x v="10"/>
    <x v="0"/>
    <n v="2051"/>
    <n v="397.12433299999975"/>
    <n v="2425.2471080000078"/>
    <n v="35658769.089999989"/>
    <n v="358"/>
    <n v="6680673.2000000002"/>
  </r>
  <r>
    <x v="0"/>
    <x v="6"/>
    <x v="7"/>
    <x v="10"/>
    <x v="11"/>
    <x v="11"/>
    <x v="0"/>
    <n v="291"/>
    <n v="72.08303208109173"/>
    <n v="242.08023891398219"/>
    <n v="5485793.2800000049"/>
    <n v="91"/>
    <n v="1753800.6999999995"/>
  </r>
  <r>
    <x v="1"/>
    <x v="5"/>
    <x v="5"/>
    <x v="2"/>
    <x v="12"/>
    <x v="12"/>
    <x v="0"/>
    <n v="2437"/>
    <n v="437.46353699999941"/>
    <n v="2123.6409660000127"/>
    <n v="26515921.159999978"/>
    <n v="511"/>
    <n v="5703097.5000000019"/>
  </r>
  <r>
    <x v="1"/>
    <x v="5"/>
    <x v="5"/>
    <x v="2"/>
    <x v="13"/>
    <x v="13"/>
    <x v="0"/>
    <n v="1092"/>
    <n v="185.72316399999991"/>
    <n v="955.683526999994"/>
    <n v="11908302.760000002"/>
    <n v="184"/>
    <n v="2438049.6199999996"/>
  </r>
  <r>
    <x v="1"/>
    <x v="5"/>
    <x v="5"/>
    <x v="2"/>
    <x v="14"/>
    <x v="14"/>
    <x v="0"/>
    <n v="171"/>
    <n v="17.696290000000005"/>
    <n v="140.91640399999986"/>
    <n v="1378503.9800000004"/>
    <n v="25"/>
    <n v="206004.34"/>
  </r>
  <r>
    <x v="1"/>
    <x v="5"/>
    <x v="5"/>
    <x v="2"/>
    <x v="15"/>
    <x v="15"/>
    <x v="0"/>
    <n v="761"/>
    <n v="147.62613699999997"/>
    <n v="651.38921799999707"/>
    <n v="7204606.0300000012"/>
    <n v="173"/>
    <n v="1714216.5100000014"/>
  </r>
  <r>
    <x v="1"/>
    <x v="5"/>
    <x v="5"/>
    <x v="2"/>
    <x v="16"/>
    <x v="16"/>
    <x v="0"/>
    <n v="1738"/>
    <n v="334.85475099999985"/>
    <n v="1867.5635039999947"/>
    <n v="19928477.780000001"/>
    <n v="349"/>
    <n v="3838907.6600000011"/>
  </r>
  <r>
    <x v="1"/>
    <x v="5"/>
    <x v="5"/>
    <x v="2"/>
    <x v="17"/>
    <x v="17"/>
    <x v="0"/>
    <n v="1207"/>
    <n v="215.61133799999988"/>
    <n v="1510.7406410000006"/>
    <n v="15198270.229999997"/>
    <n v="198"/>
    <n v="2179841.6999999997"/>
  </r>
  <r>
    <x v="1"/>
    <x v="5"/>
    <x v="5"/>
    <x v="2"/>
    <x v="18"/>
    <x v="18"/>
    <x v="0"/>
    <n v="2617"/>
    <n v="324.071551"/>
    <n v="2461.2435239999882"/>
    <n v="22827543.429999914"/>
    <n v="353"/>
    <n v="3294748.8000000012"/>
  </r>
  <r>
    <x v="1"/>
    <x v="5"/>
    <x v="5"/>
    <x v="2"/>
    <x v="19"/>
    <x v="19"/>
    <x v="0"/>
    <n v="1127"/>
    <n v="232.79524299999989"/>
    <n v="1523.1577450000029"/>
    <n v="18798627.629999984"/>
    <n v="244"/>
    <n v="3098309.0699999984"/>
  </r>
  <r>
    <x v="1"/>
    <x v="5"/>
    <x v="5"/>
    <x v="2"/>
    <x v="20"/>
    <x v="20"/>
    <x v="0"/>
    <n v="1060"/>
    <n v="191.71345699999998"/>
    <n v="1077.5465420000062"/>
    <n v="13442286.469999989"/>
    <n v="229"/>
    <n v="2469562.9999999991"/>
  </r>
  <r>
    <x v="1"/>
    <x v="5"/>
    <x v="5"/>
    <x v="2"/>
    <x v="21"/>
    <x v="21"/>
    <x v="0"/>
    <n v="776"/>
    <n v="111.19098199999999"/>
    <n v="577.94909699999539"/>
    <n v="5872131.9499999993"/>
    <n v="126"/>
    <n v="1190865.53"/>
  </r>
  <r>
    <x v="1"/>
    <x v="5"/>
    <x v="5"/>
    <x v="2"/>
    <x v="22"/>
    <x v="22"/>
    <x v="0"/>
    <n v="1766"/>
    <n v="327.30537899999996"/>
    <n v="1795.1276130000024"/>
    <n v="24058058.220000047"/>
    <n v="355"/>
    <n v="4254986.4300000016"/>
  </r>
  <r>
    <x v="1"/>
    <x v="5"/>
    <x v="5"/>
    <x v="2"/>
    <x v="23"/>
    <x v="23"/>
    <x v="0"/>
    <n v="140"/>
    <n v="40.40733400000002"/>
    <n v="114.55665100000009"/>
    <n v="1688456.9300000006"/>
    <n v="49"/>
    <n v="552479.72000000009"/>
  </r>
  <r>
    <x v="1"/>
    <x v="5"/>
    <x v="5"/>
    <x v="2"/>
    <x v="24"/>
    <x v="24"/>
    <x v="0"/>
    <n v="513"/>
    <n v="103.58464900000003"/>
    <n v="461.78062300000005"/>
    <n v="6809311.429999996"/>
    <n v="120"/>
    <n v="1511590.35"/>
  </r>
  <r>
    <x v="1"/>
    <x v="5"/>
    <x v="5"/>
    <x v="2"/>
    <x v="25"/>
    <x v="25"/>
    <x v="0"/>
    <n v="987"/>
    <n v="179.03986599999996"/>
    <n v="886.83384299999761"/>
    <n v="11290536.910000011"/>
    <n v="203"/>
    <n v="2214065.4699999997"/>
  </r>
  <r>
    <x v="1"/>
    <x v="5"/>
    <x v="5"/>
    <x v="2"/>
    <x v="26"/>
    <x v="26"/>
    <x v="0"/>
    <n v="806"/>
    <n v="122.692188"/>
    <n v="672.74104099999795"/>
    <n v="9589672.1800000053"/>
    <n v="147"/>
    <n v="1713367.2200000004"/>
  </r>
  <r>
    <x v="1"/>
    <x v="5"/>
    <x v="5"/>
    <x v="2"/>
    <x v="27"/>
    <x v="27"/>
    <x v="0"/>
    <n v="712"/>
    <n v="141.77780999999999"/>
    <n v="585.97749099999805"/>
    <n v="6885136.0200000023"/>
    <n v="159"/>
    <n v="1606585.0599999989"/>
  </r>
  <r>
    <x v="1"/>
    <x v="5"/>
    <x v="5"/>
    <x v="2"/>
    <x v="28"/>
    <x v="28"/>
    <x v="0"/>
    <n v="738"/>
    <n v="133.54814400000006"/>
    <n v="645.58213499999681"/>
    <n v="8449695.239999989"/>
    <n v="155"/>
    <n v="1998936.6300000004"/>
  </r>
  <r>
    <x v="1"/>
    <x v="5"/>
    <x v="5"/>
    <x v="2"/>
    <x v="29"/>
    <x v="29"/>
    <x v="0"/>
    <n v="572"/>
    <n v="162.53248399999998"/>
    <n v="594.10695299999998"/>
    <n v="8107160.6100000059"/>
    <n v="171"/>
    <n v="2222266.0100000012"/>
  </r>
  <r>
    <x v="1"/>
    <x v="5"/>
    <x v="5"/>
    <x v="2"/>
    <x v="30"/>
    <x v="30"/>
    <x v="0"/>
    <n v="550"/>
    <n v="81.714929999999995"/>
    <n v="413.33668800000009"/>
    <n v="5465802.1699999887"/>
    <n v="95"/>
    <n v="1106043.4100000001"/>
  </r>
  <r>
    <x v="1"/>
    <x v="5"/>
    <x v="5"/>
    <x v="2"/>
    <x v="31"/>
    <x v="31"/>
    <x v="0"/>
    <n v="995"/>
    <n v="238.3967269999998"/>
    <n v="848.26265700000147"/>
    <n v="11005070.160000015"/>
    <n v="295"/>
    <n v="3205687.7199999974"/>
  </r>
  <r>
    <x v="1"/>
    <x v="5"/>
    <x v="5"/>
    <x v="2"/>
    <x v="32"/>
    <x v="32"/>
    <x v="0"/>
    <n v="1783"/>
    <n v="417.33048300000002"/>
    <n v="1740.738752999999"/>
    <n v="19682628.899999999"/>
    <n v="452"/>
    <n v="4993049.620000001"/>
  </r>
  <r>
    <x v="1"/>
    <x v="5"/>
    <x v="5"/>
    <x v="2"/>
    <x v="33"/>
    <x v="33"/>
    <x v="0"/>
    <n v="1778"/>
    <n v="181.25414799999999"/>
    <n v="1488.079185000018"/>
    <n v="17355118.699999988"/>
    <n v="217"/>
    <n v="2466563.0500000012"/>
  </r>
  <r>
    <x v="1"/>
    <x v="5"/>
    <x v="5"/>
    <x v="2"/>
    <x v="34"/>
    <x v="34"/>
    <x v="0"/>
    <n v="30"/>
    <n v="8.7323079999999997"/>
    <n v="21.927751999999995"/>
    <n v="317792.44"/>
    <n v="12"/>
    <n v="128790.65000000002"/>
  </r>
  <r>
    <x v="1"/>
    <x v="5"/>
    <x v="5"/>
    <x v="2"/>
    <x v="35"/>
    <x v="35"/>
    <x v="0"/>
    <n v="1750"/>
    <n v="262.82109699999984"/>
    <n v="1393.3654750000126"/>
    <n v="14480490.040000012"/>
    <n v="296"/>
    <n v="2710045.3799999985"/>
  </r>
  <r>
    <x v="1"/>
    <x v="5"/>
    <x v="5"/>
    <x v="2"/>
    <x v="36"/>
    <x v="36"/>
    <x v="0"/>
    <n v="1320"/>
    <n v="214.41005699999991"/>
    <n v="1104.0371270000037"/>
    <n v="12283544.390000021"/>
    <n v="268"/>
    <n v="2279693.1599999997"/>
  </r>
  <r>
    <x v="1"/>
    <x v="5"/>
    <x v="5"/>
    <x v="2"/>
    <x v="37"/>
    <x v="37"/>
    <x v="0"/>
    <n v="804"/>
    <n v="206.25056999999998"/>
    <n v="898.6985230000007"/>
    <n v="11043828.089999987"/>
    <n v="232"/>
    <n v="2530046.5299999984"/>
  </r>
  <r>
    <x v="1"/>
    <x v="5"/>
    <x v="5"/>
    <x v="2"/>
    <x v="38"/>
    <x v="38"/>
    <x v="0"/>
    <n v="518"/>
    <n v="68.462867000000003"/>
    <n v="463.60381400000063"/>
    <n v="5768788.6999999983"/>
    <n v="85"/>
    <n v="727909.83999999939"/>
  </r>
  <r>
    <x v="1"/>
    <x v="5"/>
    <x v="5"/>
    <x v="2"/>
    <x v="39"/>
    <x v="39"/>
    <x v="0"/>
    <n v="1011"/>
    <n v="321.49782699999963"/>
    <n v="1165.5613780000031"/>
    <n v="14305229.369999982"/>
    <n v="307"/>
    <n v="3563596.180000002"/>
  </r>
  <r>
    <x v="1"/>
    <x v="5"/>
    <x v="5"/>
    <x v="2"/>
    <x v="40"/>
    <x v="40"/>
    <x v="0"/>
    <n v="2006"/>
    <n v="226.61802899999989"/>
    <n v="1635.4636050000172"/>
    <n v="18709033.030000009"/>
    <n v="237"/>
    <n v="2323832.290000001"/>
  </r>
  <r>
    <x v="1"/>
    <x v="5"/>
    <x v="5"/>
    <x v="2"/>
    <x v="41"/>
    <x v="41"/>
    <x v="0"/>
    <n v="275"/>
    <n v="2.3912149999999999"/>
    <n v="471.99016500000096"/>
    <n v="5860251.9400000023"/>
    <n v="1"/>
    <n v="18136.45"/>
  </r>
  <r>
    <x v="1"/>
    <x v="5"/>
    <x v="5"/>
    <x v="2"/>
    <x v="42"/>
    <x v="42"/>
    <x v="0"/>
    <n v="227"/>
    <n v="53.252045000000017"/>
    <n v="166.61759200000014"/>
    <n v="2020054.459999999"/>
    <n v="81"/>
    <n v="671458.52"/>
  </r>
  <r>
    <x v="1"/>
    <x v="5"/>
    <x v="5"/>
    <x v="2"/>
    <x v="43"/>
    <x v="43"/>
    <x v="0"/>
    <n v="277"/>
    <n v="70.642671000000021"/>
    <n v="302.03487300000023"/>
    <n v="2551282.3400000003"/>
    <n v="78"/>
    <n v="585229.73000000021"/>
  </r>
  <r>
    <x v="1"/>
    <x v="5"/>
    <x v="5"/>
    <x v="2"/>
    <x v="44"/>
    <x v="44"/>
    <x v="0"/>
    <n v="1465"/>
    <n v="261.98240699999991"/>
    <n v="1204.8880450000065"/>
    <n v="14494432.739999978"/>
    <n v="316"/>
    <n v="3182523.6499999994"/>
  </r>
  <r>
    <x v="1"/>
    <x v="5"/>
    <x v="5"/>
    <x v="2"/>
    <x v="45"/>
    <x v="45"/>
    <x v="0"/>
    <n v="1583"/>
    <n v="222.26403799999994"/>
    <n v="1814.8993690000154"/>
    <n v="17809275.56000001"/>
    <n v="225"/>
    <n v="2189862.69"/>
  </r>
  <r>
    <x v="1"/>
    <x v="5"/>
    <x v="5"/>
    <x v="2"/>
    <x v="46"/>
    <x v="46"/>
    <x v="0"/>
    <n v="98"/>
    <n v="7.2278420000000008"/>
    <n v="94.918804999999978"/>
    <n v="4537440.0199999996"/>
    <n v="10"/>
    <n v="294745.5"/>
  </r>
  <r>
    <x v="1"/>
    <x v="5"/>
    <x v="5"/>
    <x v="2"/>
    <x v="47"/>
    <x v="47"/>
    <x v="0"/>
    <n v="284"/>
    <n v="40.695177999999991"/>
    <n v="214.44386799999995"/>
    <n v="2402858.4299999992"/>
    <n v="47"/>
    <n v="516696.61999999988"/>
  </r>
  <r>
    <x v="1"/>
    <x v="5"/>
    <x v="5"/>
    <x v="4"/>
    <x v="0"/>
    <x v="0"/>
    <x v="0"/>
    <n v="1743"/>
    <n v="292.21253999999965"/>
    <n v="1588.5169170000052"/>
    <n v="18983538.589999955"/>
    <n v="328"/>
    <n v="3570532.0100000007"/>
  </r>
  <r>
    <x v="1"/>
    <x v="5"/>
    <x v="5"/>
    <x v="4"/>
    <x v="1"/>
    <x v="1"/>
    <x v="0"/>
    <n v="2861"/>
    <n v="577.75014199999998"/>
    <n v="4904.3385299999973"/>
    <n v="89788678.139999881"/>
    <n v="454"/>
    <n v="10704111.16"/>
  </r>
  <r>
    <x v="1"/>
    <x v="5"/>
    <x v="5"/>
    <x v="4"/>
    <x v="2"/>
    <x v="2"/>
    <x v="0"/>
    <n v="1427"/>
    <n v="204.59589999999986"/>
    <n v="1359.8221000000058"/>
    <n v="21299818.660000011"/>
    <n v="228"/>
    <n v="3298040.4099999988"/>
  </r>
  <r>
    <x v="1"/>
    <x v="5"/>
    <x v="5"/>
    <x v="4"/>
    <x v="3"/>
    <x v="3"/>
    <x v="0"/>
    <n v="3196"/>
    <n v="397.21468700000003"/>
    <n v="2711.4001369999878"/>
    <n v="28829261.689999823"/>
    <n v="380"/>
    <n v="4710842.72"/>
  </r>
  <r>
    <x v="1"/>
    <x v="5"/>
    <x v="5"/>
    <x v="4"/>
    <x v="4"/>
    <x v="4"/>
    <x v="0"/>
    <n v="1700"/>
    <n v="332.52349999999973"/>
    <n v="1605.5266650000042"/>
    <n v="17079032.449999996"/>
    <n v="362"/>
    <n v="3718802.3100000015"/>
  </r>
  <r>
    <x v="1"/>
    <x v="5"/>
    <x v="5"/>
    <x v="4"/>
    <x v="5"/>
    <x v="5"/>
    <x v="0"/>
    <n v="535"/>
    <n v="100.943493"/>
    <n v="410.51740900000027"/>
    <n v="5431991.5899999989"/>
    <n v="134"/>
    <n v="1259694.1699999997"/>
  </r>
  <r>
    <x v="1"/>
    <x v="5"/>
    <x v="5"/>
    <x v="4"/>
    <x v="6"/>
    <x v="6"/>
    <x v="0"/>
    <n v="1468"/>
    <n v="160.41519600000001"/>
    <n v="1524.7885440000111"/>
    <n v="17306826.070000023"/>
    <n v="186"/>
    <n v="1756351.6400000006"/>
  </r>
  <r>
    <x v="1"/>
    <x v="5"/>
    <x v="5"/>
    <x v="4"/>
    <x v="7"/>
    <x v="7"/>
    <x v="0"/>
    <n v="4220"/>
    <n v="845.22080000000085"/>
    <n v="6099.8459319999747"/>
    <n v="104290093.50000042"/>
    <n v="802"/>
    <n v="15882018.740000011"/>
  </r>
  <r>
    <x v="1"/>
    <x v="5"/>
    <x v="5"/>
    <x v="4"/>
    <x v="8"/>
    <x v="8"/>
    <x v="0"/>
    <n v="248"/>
    <n v="56.207042000000037"/>
    <n v="182.37006399999993"/>
    <n v="2186484.27"/>
    <n v="78"/>
    <n v="648327.06999999995"/>
  </r>
  <r>
    <x v="1"/>
    <x v="5"/>
    <x v="5"/>
    <x v="4"/>
    <x v="9"/>
    <x v="9"/>
    <x v="0"/>
    <n v="1967"/>
    <n v="435.9243959999996"/>
    <n v="1748.4468840000034"/>
    <n v="22436035.640000023"/>
    <n v="530"/>
    <n v="5787744.8199999975"/>
  </r>
  <r>
    <x v="1"/>
    <x v="5"/>
    <x v="5"/>
    <x v="4"/>
    <x v="10"/>
    <x v="10"/>
    <x v="0"/>
    <n v="2159"/>
    <n v="388.99428500000005"/>
    <n v="2520.8111660000086"/>
    <n v="36600654.589999989"/>
    <n v="381"/>
    <n v="5240321.5299999993"/>
  </r>
  <r>
    <x v="0"/>
    <x v="6"/>
    <x v="7"/>
    <x v="11"/>
    <x v="11"/>
    <x v="11"/>
    <x v="0"/>
    <n v="262"/>
    <n v="73.354806064879256"/>
    <n v="224.52114113782409"/>
    <n v="4611721.1300000008"/>
    <n v="91"/>
    <n v="1541557.1399999997"/>
  </r>
  <r>
    <x v="1"/>
    <x v="5"/>
    <x v="5"/>
    <x v="4"/>
    <x v="12"/>
    <x v="12"/>
    <x v="0"/>
    <n v="2481"/>
    <n v="486.49951299999958"/>
    <n v="2179.783082000009"/>
    <n v="26699511.710000034"/>
    <n v="561"/>
    <n v="6422147.3799999943"/>
  </r>
  <r>
    <x v="1"/>
    <x v="5"/>
    <x v="5"/>
    <x v="4"/>
    <x v="13"/>
    <x v="13"/>
    <x v="0"/>
    <n v="1230"/>
    <n v="206.16392200000001"/>
    <n v="1056.0617739999959"/>
    <n v="13746637.689999988"/>
    <n v="224"/>
    <n v="2723017.6899999995"/>
  </r>
  <r>
    <x v="1"/>
    <x v="5"/>
    <x v="5"/>
    <x v="4"/>
    <x v="14"/>
    <x v="14"/>
    <x v="0"/>
    <n v="217"/>
    <n v="31.251593000000003"/>
    <n v="168.56169999999992"/>
    <n v="2092637.7099999997"/>
    <n v="41"/>
    <n v="462451.07000000007"/>
  </r>
  <r>
    <x v="1"/>
    <x v="5"/>
    <x v="5"/>
    <x v="4"/>
    <x v="15"/>
    <x v="15"/>
    <x v="0"/>
    <n v="891"/>
    <n v="182.77379499999998"/>
    <n v="748.72251899999662"/>
    <n v="7881113.4999999991"/>
    <n v="212"/>
    <n v="1906570.1199999994"/>
  </r>
  <r>
    <x v="1"/>
    <x v="5"/>
    <x v="5"/>
    <x v="4"/>
    <x v="16"/>
    <x v="16"/>
    <x v="0"/>
    <n v="1854"/>
    <n v="398.50498499999975"/>
    <n v="1876.3489669999904"/>
    <n v="22909462.559999958"/>
    <n v="418"/>
    <n v="5438273.6699999999"/>
  </r>
  <r>
    <x v="1"/>
    <x v="5"/>
    <x v="5"/>
    <x v="4"/>
    <x v="17"/>
    <x v="17"/>
    <x v="0"/>
    <n v="1313"/>
    <n v="232.60017999999997"/>
    <n v="1738.3615880000013"/>
    <n v="17427811.959999982"/>
    <n v="237"/>
    <n v="2493485.4199999995"/>
  </r>
  <r>
    <x v="1"/>
    <x v="5"/>
    <x v="5"/>
    <x v="4"/>
    <x v="18"/>
    <x v="18"/>
    <x v="0"/>
    <n v="2743"/>
    <n v="394.31877699999984"/>
    <n v="2570.62420199999"/>
    <n v="23073687.569999993"/>
    <n v="430"/>
    <n v="3747065.2300000023"/>
  </r>
  <r>
    <x v="1"/>
    <x v="5"/>
    <x v="5"/>
    <x v="4"/>
    <x v="19"/>
    <x v="19"/>
    <x v="0"/>
    <n v="1297"/>
    <n v="319.11800899999957"/>
    <n v="1677.7029760000007"/>
    <n v="21341627.939999975"/>
    <n v="349"/>
    <n v="4577501.330000001"/>
  </r>
  <r>
    <x v="1"/>
    <x v="5"/>
    <x v="5"/>
    <x v="4"/>
    <x v="20"/>
    <x v="20"/>
    <x v="0"/>
    <n v="1141"/>
    <n v="217.21475199999981"/>
    <n v="1085.2051020000054"/>
    <n v="14861810.95999999"/>
    <n v="242"/>
    <n v="2933048.2700000023"/>
  </r>
  <r>
    <x v="1"/>
    <x v="5"/>
    <x v="5"/>
    <x v="4"/>
    <x v="21"/>
    <x v="21"/>
    <x v="0"/>
    <n v="836"/>
    <n v="149.08259799999993"/>
    <n v="641.67357699999638"/>
    <n v="7031720.8900000034"/>
    <n v="165"/>
    <n v="1748207.49"/>
  </r>
  <r>
    <x v="1"/>
    <x v="5"/>
    <x v="5"/>
    <x v="4"/>
    <x v="22"/>
    <x v="22"/>
    <x v="0"/>
    <n v="1972"/>
    <n v="386.67085799999961"/>
    <n v="1932.5756860000045"/>
    <n v="33414479.169999965"/>
    <n v="434"/>
    <n v="6284767.1000000034"/>
  </r>
  <r>
    <x v="1"/>
    <x v="5"/>
    <x v="5"/>
    <x v="4"/>
    <x v="23"/>
    <x v="23"/>
    <x v="0"/>
    <n v="191"/>
    <n v="52.823706000000008"/>
    <n v="147.34734700000007"/>
    <n v="2277864.850000002"/>
    <n v="71"/>
    <n v="882291.42999999982"/>
  </r>
  <r>
    <x v="1"/>
    <x v="5"/>
    <x v="5"/>
    <x v="4"/>
    <x v="24"/>
    <x v="24"/>
    <x v="0"/>
    <n v="566"/>
    <n v="136.75617499999993"/>
    <n v="476.51932499999998"/>
    <n v="6747575.879999998"/>
    <n v="153"/>
    <n v="1784910.7500000012"/>
  </r>
  <r>
    <x v="1"/>
    <x v="5"/>
    <x v="5"/>
    <x v="4"/>
    <x v="25"/>
    <x v="25"/>
    <x v="0"/>
    <n v="1188"/>
    <n v="253.23088899999965"/>
    <n v="1018.587229999996"/>
    <n v="12780942.790000001"/>
    <n v="287"/>
    <n v="3269047.4899999998"/>
  </r>
  <r>
    <x v="1"/>
    <x v="5"/>
    <x v="5"/>
    <x v="4"/>
    <x v="26"/>
    <x v="26"/>
    <x v="0"/>
    <n v="990"/>
    <n v="183.83564699999997"/>
    <n v="856.83683299999291"/>
    <n v="12768805.919999981"/>
    <n v="206"/>
    <n v="2635250.350000002"/>
  </r>
  <r>
    <x v="1"/>
    <x v="5"/>
    <x v="5"/>
    <x v="4"/>
    <x v="27"/>
    <x v="27"/>
    <x v="0"/>
    <n v="804"/>
    <n v="178.77863399999984"/>
    <n v="614.88302599999804"/>
    <n v="7906903.6700000037"/>
    <n v="204"/>
    <n v="2384893.3600000003"/>
  </r>
  <r>
    <x v="1"/>
    <x v="5"/>
    <x v="5"/>
    <x v="4"/>
    <x v="28"/>
    <x v="28"/>
    <x v="0"/>
    <n v="863"/>
    <n v="159.94276399999993"/>
    <n v="743.84499499999674"/>
    <n v="10783759.520000016"/>
    <n v="197"/>
    <n v="2444458.4000000008"/>
  </r>
  <r>
    <x v="1"/>
    <x v="5"/>
    <x v="5"/>
    <x v="4"/>
    <x v="29"/>
    <x v="29"/>
    <x v="0"/>
    <n v="624"/>
    <n v="169.71569600000012"/>
    <n v="662.90788699999962"/>
    <n v="12180129.430000002"/>
    <n v="194"/>
    <n v="2178954.870000002"/>
  </r>
  <r>
    <x v="1"/>
    <x v="5"/>
    <x v="5"/>
    <x v="4"/>
    <x v="30"/>
    <x v="30"/>
    <x v="0"/>
    <n v="602"/>
    <n v="116.06346399999997"/>
    <n v="465.28153100000048"/>
    <n v="5671688.5999999875"/>
    <n v="134"/>
    <n v="1361198.0899999994"/>
  </r>
  <r>
    <x v="1"/>
    <x v="5"/>
    <x v="5"/>
    <x v="4"/>
    <x v="31"/>
    <x v="31"/>
    <x v="0"/>
    <n v="1053"/>
    <n v="252.2656030000002"/>
    <n v="945.77894600000059"/>
    <n v="12084508.960000005"/>
    <n v="311"/>
    <n v="3419167.8700000015"/>
  </r>
  <r>
    <x v="1"/>
    <x v="5"/>
    <x v="5"/>
    <x v="4"/>
    <x v="32"/>
    <x v="32"/>
    <x v="0"/>
    <n v="1880"/>
    <n v="474.7006669999999"/>
    <n v="1844.0097539999979"/>
    <n v="23519920.980000012"/>
    <n v="497"/>
    <n v="6826199.520000007"/>
  </r>
  <r>
    <x v="1"/>
    <x v="5"/>
    <x v="5"/>
    <x v="4"/>
    <x v="33"/>
    <x v="33"/>
    <x v="0"/>
    <n v="1834"/>
    <n v="250.53718199999992"/>
    <n v="1557.7851670000132"/>
    <n v="18170585.679999948"/>
    <n v="291"/>
    <n v="3080293.1100000013"/>
  </r>
  <r>
    <x v="1"/>
    <x v="5"/>
    <x v="5"/>
    <x v="4"/>
    <x v="34"/>
    <x v="34"/>
    <x v="0"/>
    <n v="41"/>
    <n v="14.457472000000001"/>
    <n v="27.936829000000003"/>
    <n v="389886.20000000007"/>
    <n v="23"/>
    <n v="228015.13999999996"/>
  </r>
  <r>
    <x v="1"/>
    <x v="5"/>
    <x v="5"/>
    <x v="4"/>
    <x v="35"/>
    <x v="35"/>
    <x v="0"/>
    <n v="1830"/>
    <n v="277.66032799999988"/>
    <n v="1439.4777440000114"/>
    <n v="15441243.879999984"/>
    <n v="314"/>
    <n v="3107453.0500000017"/>
  </r>
  <r>
    <x v="1"/>
    <x v="5"/>
    <x v="5"/>
    <x v="4"/>
    <x v="36"/>
    <x v="36"/>
    <x v="0"/>
    <n v="1439"/>
    <n v="299.66383300000001"/>
    <n v="1204.3905680000069"/>
    <n v="14591537.759999968"/>
    <n v="338"/>
    <n v="3494892.5399999996"/>
  </r>
  <r>
    <x v="1"/>
    <x v="5"/>
    <x v="5"/>
    <x v="4"/>
    <x v="37"/>
    <x v="37"/>
    <x v="0"/>
    <n v="974"/>
    <n v="260.6820469999999"/>
    <n v="1023.5287490000012"/>
    <n v="11962205.759999998"/>
    <n v="279"/>
    <n v="3141971.2199999974"/>
  </r>
  <r>
    <x v="1"/>
    <x v="5"/>
    <x v="5"/>
    <x v="4"/>
    <x v="38"/>
    <x v="38"/>
    <x v="0"/>
    <n v="589"/>
    <n v="122.449062"/>
    <n v="512.63234400000078"/>
    <n v="5680561.0600000024"/>
    <n v="134"/>
    <n v="1271133.2800000003"/>
  </r>
  <r>
    <x v="1"/>
    <x v="5"/>
    <x v="5"/>
    <x v="4"/>
    <x v="39"/>
    <x v="39"/>
    <x v="0"/>
    <n v="1178"/>
    <n v="384.83247199999937"/>
    <n v="1340.8614090000019"/>
    <n v="14914099.559999978"/>
    <n v="386"/>
    <n v="3846245.4899999979"/>
  </r>
  <r>
    <x v="1"/>
    <x v="5"/>
    <x v="5"/>
    <x v="4"/>
    <x v="40"/>
    <x v="40"/>
    <x v="0"/>
    <n v="2095"/>
    <n v="293.69237199999964"/>
    <n v="1875.168690000015"/>
    <n v="21276269.870000064"/>
    <n v="284"/>
    <n v="3283546.62"/>
  </r>
  <r>
    <x v="1"/>
    <x v="5"/>
    <x v="5"/>
    <x v="4"/>
    <x v="41"/>
    <x v="41"/>
    <x v="0"/>
    <n v="287"/>
    <n v="0"/>
    <n v="488.61029400000103"/>
    <n v="5510767.7200000016"/>
    <n v="0"/>
    <n v="0"/>
  </r>
  <r>
    <x v="1"/>
    <x v="5"/>
    <x v="5"/>
    <x v="4"/>
    <x v="42"/>
    <x v="42"/>
    <x v="0"/>
    <n v="254"/>
    <n v="68.758251000000001"/>
    <n v="186.75655300000025"/>
    <n v="2155951.65"/>
    <n v="98"/>
    <n v="789014.87000000011"/>
  </r>
  <r>
    <x v="1"/>
    <x v="5"/>
    <x v="5"/>
    <x v="4"/>
    <x v="43"/>
    <x v="43"/>
    <x v="0"/>
    <n v="333"/>
    <n v="103.60511600000005"/>
    <n v="340.38204599999989"/>
    <n v="2798996.7499999981"/>
    <n v="109"/>
    <n v="835448.62000000011"/>
  </r>
  <r>
    <x v="1"/>
    <x v="5"/>
    <x v="5"/>
    <x v="4"/>
    <x v="44"/>
    <x v="44"/>
    <x v="0"/>
    <n v="1600"/>
    <n v="355.88650999999959"/>
    <n v="1290.8992190000083"/>
    <n v="14281428.920000004"/>
    <n v="408"/>
    <n v="4031545.3499999992"/>
  </r>
  <r>
    <x v="1"/>
    <x v="5"/>
    <x v="5"/>
    <x v="4"/>
    <x v="45"/>
    <x v="45"/>
    <x v="0"/>
    <n v="1702"/>
    <n v="257.40655899999996"/>
    <n v="1874.7163820000128"/>
    <n v="18892482.219999999"/>
    <n v="277"/>
    <n v="2445298.8200000008"/>
  </r>
  <r>
    <x v="1"/>
    <x v="5"/>
    <x v="5"/>
    <x v="4"/>
    <x v="46"/>
    <x v="46"/>
    <x v="0"/>
    <n v="123"/>
    <n v="12.985404000000003"/>
    <n v="128.53381199999995"/>
    <n v="5965041.4099999983"/>
    <n v="16"/>
    <n v="646199.18000000005"/>
  </r>
  <r>
    <x v="1"/>
    <x v="5"/>
    <x v="5"/>
    <x v="4"/>
    <x v="47"/>
    <x v="47"/>
    <x v="0"/>
    <n v="301"/>
    <n v="50.260503"/>
    <n v="241.92309299999994"/>
    <n v="2916711.1900000023"/>
    <n v="63"/>
    <n v="602088.77999999968"/>
  </r>
  <r>
    <x v="1"/>
    <x v="5"/>
    <x v="0"/>
    <x v="6"/>
    <x v="0"/>
    <x v="0"/>
    <x v="0"/>
    <n v="1705"/>
    <n v="335.38313799999969"/>
    <n v="1646.4966880000018"/>
    <n v="19687640.720000032"/>
    <n v="351"/>
    <n v="4105145.8600000013"/>
  </r>
  <r>
    <x v="1"/>
    <x v="5"/>
    <x v="0"/>
    <x v="6"/>
    <x v="1"/>
    <x v="1"/>
    <x v="0"/>
    <n v="2709"/>
    <n v="550.80209799999989"/>
    <n v="4612.0226639999992"/>
    <n v="83283138.819999918"/>
    <n v="438"/>
    <n v="9590127.6100000013"/>
  </r>
  <r>
    <x v="1"/>
    <x v="5"/>
    <x v="0"/>
    <x v="6"/>
    <x v="2"/>
    <x v="2"/>
    <x v="0"/>
    <n v="1388"/>
    <n v="243.80571599999999"/>
    <n v="1374.656245000004"/>
    <n v="19952723.780000079"/>
    <n v="253"/>
    <n v="3662223.7699999991"/>
  </r>
  <r>
    <x v="1"/>
    <x v="5"/>
    <x v="0"/>
    <x v="6"/>
    <x v="3"/>
    <x v="3"/>
    <x v="0"/>
    <n v="3184"/>
    <n v="387.90596900000003"/>
    <n v="2739.0944049999894"/>
    <n v="28529275.200000022"/>
    <n v="393"/>
    <n v="4713197.8599999957"/>
  </r>
  <r>
    <x v="1"/>
    <x v="5"/>
    <x v="0"/>
    <x v="6"/>
    <x v="4"/>
    <x v="4"/>
    <x v="0"/>
    <n v="1804"/>
    <n v="337.27431299999972"/>
    <n v="1655.8311740000022"/>
    <n v="18245423.990000006"/>
    <n v="356"/>
    <n v="3932194.16"/>
  </r>
  <r>
    <x v="1"/>
    <x v="5"/>
    <x v="0"/>
    <x v="6"/>
    <x v="5"/>
    <x v="5"/>
    <x v="0"/>
    <n v="590"/>
    <n v="167.39649599999993"/>
    <n v="464.23953900000043"/>
    <n v="6196366.6699999981"/>
    <n v="202"/>
    <n v="2315893.3099999991"/>
  </r>
  <r>
    <x v="1"/>
    <x v="5"/>
    <x v="0"/>
    <x v="6"/>
    <x v="6"/>
    <x v="6"/>
    <x v="0"/>
    <n v="1680"/>
    <n v="210.95525899999998"/>
    <n v="1819.333146000014"/>
    <n v="21658500.93"/>
    <n v="223"/>
    <n v="2902094.5899999989"/>
  </r>
  <r>
    <x v="1"/>
    <x v="5"/>
    <x v="0"/>
    <x v="6"/>
    <x v="7"/>
    <x v="7"/>
    <x v="0"/>
    <n v="4206"/>
    <n v="858.10760400000152"/>
    <n v="5891.325167"/>
    <n v="98817004.229999959"/>
    <n v="757"/>
    <n v="16604464.990000002"/>
  </r>
  <r>
    <x v="1"/>
    <x v="5"/>
    <x v="0"/>
    <x v="6"/>
    <x v="8"/>
    <x v="8"/>
    <x v="0"/>
    <n v="252"/>
    <n v="77.885434000000032"/>
    <n v="186.362346"/>
    <n v="2642895.0799999987"/>
    <n v="105"/>
    <n v="1178833.4699999997"/>
  </r>
  <r>
    <x v="1"/>
    <x v="5"/>
    <x v="0"/>
    <x v="6"/>
    <x v="9"/>
    <x v="9"/>
    <x v="0"/>
    <n v="1980"/>
    <n v="417.97347399999973"/>
    <n v="1876.7136520000026"/>
    <n v="23718237.560000036"/>
    <n v="481"/>
    <n v="5521749.1199999955"/>
  </r>
  <r>
    <x v="1"/>
    <x v="5"/>
    <x v="0"/>
    <x v="6"/>
    <x v="10"/>
    <x v="10"/>
    <x v="0"/>
    <n v="2159"/>
    <n v="408.51824400000021"/>
    <n v="2438.202867000015"/>
    <n v="36146703.210000008"/>
    <n v="389"/>
    <n v="5754146.5699999966"/>
  </r>
  <r>
    <x v="0"/>
    <x v="7"/>
    <x v="7"/>
    <x v="1"/>
    <x v="11"/>
    <x v="11"/>
    <x v="0"/>
    <n v="284"/>
    <n v="73.36451206475553"/>
    <n v="237.27714197521163"/>
    <n v="5204481.320000004"/>
    <n v="89"/>
    <n v="1732819.7900000003"/>
  </r>
  <r>
    <x v="1"/>
    <x v="5"/>
    <x v="0"/>
    <x v="6"/>
    <x v="12"/>
    <x v="12"/>
    <x v="0"/>
    <n v="2759"/>
    <n v="560.63558799999885"/>
    <n v="2460.2888279999993"/>
    <n v="31618954.33999994"/>
    <n v="633"/>
    <n v="7053637.0799999945"/>
  </r>
  <r>
    <x v="1"/>
    <x v="5"/>
    <x v="0"/>
    <x v="6"/>
    <x v="13"/>
    <x v="13"/>
    <x v="0"/>
    <n v="1222"/>
    <n v="232.78211699999991"/>
    <n v="1117.4564739999994"/>
    <n v="15515655.550000027"/>
    <n v="246"/>
    <n v="3550119.0900000022"/>
  </r>
  <r>
    <x v="1"/>
    <x v="5"/>
    <x v="0"/>
    <x v="6"/>
    <x v="14"/>
    <x v="14"/>
    <x v="0"/>
    <n v="223"/>
    <n v="34.417218999999996"/>
    <n v="172.73160800000005"/>
    <n v="2035911.0700000005"/>
    <n v="44"/>
    <n v="513979.4499999999"/>
  </r>
  <r>
    <x v="1"/>
    <x v="5"/>
    <x v="0"/>
    <x v="6"/>
    <x v="15"/>
    <x v="15"/>
    <x v="0"/>
    <n v="909"/>
    <n v="204.34438099999986"/>
    <n v="821.38361599999644"/>
    <n v="8600194.5600000117"/>
    <n v="221"/>
    <n v="2004789.1599999997"/>
  </r>
  <r>
    <x v="1"/>
    <x v="5"/>
    <x v="0"/>
    <x v="6"/>
    <x v="16"/>
    <x v="16"/>
    <x v="0"/>
    <n v="1806"/>
    <n v="376.22142499999984"/>
    <n v="1940.2586519999934"/>
    <n v="21932430.920000032"/>
    <n v="393"/>
    <n v="4435559.9199999962"/>
  </r>
  <r>
    <x v="1"/>
    <x v="5"/>
    <x v="0"/>
    <x v="6"/>
    <x v="17"/>
    <x v="17"/>
    <x v="0"/>
    <n v="1321"/>
    <n v="275.88794799999994"/>
    <n v="1699.6129280000036"/>
    <n v="17571146.369999997"/>
    <n v="264"/>
    <n v="3024305.82"/>
  </r>
  <r>
    <x v="1"/>
    <x v="5"/>
    <x v="0"/>
    <x v="6"/>
    <x v="18"/>
    <x v="18"/>
    <x v="0"/>
    <n v="2730"/>
    <n v="399.73950999999943"/>
    <n v="2657.7902319999953"/>
    <n v="26685923.439999919"/>
    <n v="411"/>
    <n v="4616319.0700000012"/>
  </r>
  <r>
    <x v="1"/>
    <x v="5"/>
    <x v="0"/>
    <x v="6"/>
    <x v="19"/>
    <x v="19"/>
    <x v="0"/>
    <n v="1230"/>
    <n v="288.2443279999996"/>
    <n v="1633.2011100000043"/>
    <n v="21971501.249999981"/>
    <n v="308"/>
    <n v="4227017.3800000008"/>
  </r>
  <r>
    <x v="1"/>
    <x v="5"/>
    <x v="0"/>
    <x v="6"/>
    <x v="20"/>
    <x v="20"/>
    <x v="0"/>
    <n v="1224"/>
    <n v="236.57994799999966"/>
    <n v="1170.256175000005"/>
    <n v="13863214.37000001"/>
    <n v="275"/>
    <n v="2653266.6700000009"/>
  </r>
  <r>
    <x v="1"/>
    <x v="5"/>
    <x v="0"/>
    <x v="6"/>
    <x v="21"/>
    <x v="21"/>
    <x v="0"/>
    <n v="852"/>
    <n v="140.80135199999987"/>
    <n v="668.56358599999612"/>
    <n v="8341930.8499999968"/>
    <n v="170"/>
    <n v="1764214.9799999997"/>
  </r>
  <r>
    <x v="1"/>
    <x v="5"/>
    <x v="0"/>
    <x v="6"/>
    <x v="22"/>
    <x v="22"/>
    <x v="0"/>
    <n v="1899"/>
    <n v="430.76029099999977"/>
    <n v="1878.1635510000033"/>
    <n v="29349315.120000027"/>
    <n v="461"/>
    <n v="6922975.6700000009"/>
  </r>
  <r>
    <x v="1"/>
    <x v="5"/>
    <x v="0"/>
    <x v="6"/>
    <x v="23"/>
    <x v="23"/>
    <x v="0"/>
    <n v="190"/>
    <n v="48.095044000000016"/>
    <n v="160.54589200000009"/>
    <n v="3256099.15"/>
    <n v="61"/>
    <n v="915771.64000000013"/>
  </r>
  <r>
    <x v="1"/>
    <x v="5"/>
    <x v="0"/>
    <x v="6"/>
    <x v="24"/>
    <x v="24"/>
    <x v="0"/>
    <n v="602"/>
    <n v="123.31524899999997"/>
    <n v="526.05656599999998"/>
    <n v="7886901.1299999962"/>
    <n v="145"/>
    <n v="2036408.9700000004"/>
  </r>
  <r>
    <x v="1"/>
    <x v="5"/>
    <x v="0"/>
    <x v="6"/>
    <x v="25"/>
    <x v="25"/>
    <x v="0"/>
    <n v="1207"/>
    <n v="296.96108600000031"/>
    <n v="1102.0905940000007"/>
    <n v="12416179.100000009"/>
    <n v="309"/>
    <n v="3363351.2999999984"/>
  </r>
  <r>
    <x v="1"/>
    <x v="5"/>
    <x v="0"/>
    <x v="6"/>
    <x v="26"/>
    <x v="26"/>
    <x v="0"/>
    <n v="924"/>
    <n v="197.035844"/>
    <n v="787.13685699999496"/>
    <n v="12024019.369999999"/>
    <n v="229"/>
    <n v="2827157.0100000007"/>
  </r>
  <r>
    <x v="1"/>
    <x v="5"/>
    <x v="0"/>
    <x v="6"/>
    <x v="27"/>
    <x v="27"/>
    <x v="0"/>
    <n v="779"/>
    <n v="160.21874699999992"/>
    <n v="671.01756999999827"/>
    <n v="8856957.0999999996"/>
    <n v="185"/>
    <n v="2413783.9499999997"/>
  </r>
  <r>
    <x v="1"/>
    <x v="5"/>
    <x v="0"/>
    <x v="6"/>
    <x v="28"/>
    <x v="28"/>
    <x v="0"/>
    <n v="870"/>
    <n v="167.83088299999997"/>
    <n v="737.8057909999967"/>
    <n v="9898263.1599999964"/>
    <n v="207"/>
    <n v="2448715.8699999996"/>
  </r>
  <r>
    <x v="1"/>
    <x v="5"/>
    <x v="0"/>
    <x v="6"/>
    <x v="29"/>
    <x v="29"/>
    <x v="0"/>
    <n v="635"/>
    <n v="190.66296400000002"/>
    <n v="687.2674420000011"/>
    <n v="10504397.740000011"/>
    <n v="202"/>
    <n v="2938120.4799999995"/>
  </r>
  <r>
    <x v="1"/>
    <x v="5"/>
    <x v="0"/>
    <x v="6"/>
    <x v="30"/>
    <x v="30"/>
    <x v="0"/>
    <n v="644"/>
    <n v="125.60319500000008"/>
    <n v="495.07102099999958"/>
    <n v="6158238.7899999954"/>
    <n v="158"/>
    <n v="1573927.6400000013"/>
  </r>
  <r>
    <x v="1"/>
    <x v="5"/>
    <x v="0"/>
    <x v="6"/>
    <x v="31"/>
    <x v="31"/>
    <x v="0"/>
    <n v="1075"/>
    <n v="260.11014299999977"/>
    <n v="948.20765900000094"/>
    <n v="11130232.809999978"/>
    <n v="325"/>
    <n v="3264115.2899999996"/>
  </r>
  <r>
    <x v="1"/>
    <x v="5"/>
    <x v="0"/>
    <x v="6"/>
    <x v="32"/>
    <x v="32"/>
    <x v="0"/>
    <n v="1927"/>
    <n v="512.67460799999981"/>
    <n v="1950.900522999998"/>
    <n v="24635093.040000018"/>
    <n v="536"/>
    <n v="6670618.1599999992"/>
  </r>
  <r>
    <x v="1"/>
    <x v="5"/>
    <x v="0"/>
    <x v="6"/>
    <x v="33"/>
    <x v="33"/>
    <x v="0"/>
    <n v="1985"/>
    <n v="256.6360609999997"/>
    <n v="1747.29736400001"/>
    <n v="21011507.910000063"/>
    <n v="282"/>
    <n v="3158387.3400000012"/>
  </r>
  <r>
    <x v="1"/>
    <x v="5"/>
    <x v="0"/>
    <x v="6"/>
    <x v="34"/>
    <x v="34"/>
    <x v="0"/>
    <n v="34"/>
    <n v="7.0536670000000008"/>
    <n v="22.973092000000001"/>
    <n v="330454.01"/>
    <n v="12"/>
    <n v="90603.609999999986"/>
  </r>
  <r>
    <x v="1"/>
    <x v="5"/>
    <x v="0"/>
    <x v="6"/>
    <x v="35"/>
    <x v="35"/>
    <x v="0"/>
    <n v="1837"/>
    <n v="297.63754099999977"/>
    <n v="1557.7889560000083"/>
    <n v="16549033.820000006"/>
    <n v="295"/>
    <n v="3375283.9299999997"/>
  </r>
  <r>
    <x v="1"/>
    <x v="5"/>
    <x v="0"/>
    <x v="6"/>
    <x v="36"/>
    <x v="36"/>
    <x v="0"/>
    <n v="1523"/>
    <n v="306.81485599999985"/>
    <n v="1366.0864799999983"/>
    <n v="15329171.84999997"/>
    <n v="351"/>
    <n v="3313846.4100000011"/>
  </r>
  <r>
    <x v="1"/>
    <x v="5"/>
    <x v="0"/>
    <x v="6"/>
    <x v="37"/>
    <x v="37"/>
    <x v="0"/>
    <n v="954"/>
    <n v="273.3934959999998"/>
    <n v="1080.7280870000009"/>
    <n v="12730682.439999999"/>
    <n v="282"/>
    <n v="3250198.3600000008"/>
  </r>
  <r>
    <x v="1"/>
    <x v="5"/>
    <x v="0"/>
    <x v="6"/>
    <x v="38"/>
    <x v="38"/>
    <x v="0"/>
    <n v="584"/>
    <n v="105.67238000000012"/>
    <n v="512.56889800000022"/>
    <n v="5850937.6700000027"/>
    <n v="123"/>
    <n v="1154601.7100000002"/>
  </r>
  <r>
    <x v="1"/>
    <x v="5"/>
    <x v="0"/>
    <x v="6"/>
    <x v="39"/>
    <x v="39"/>
    <x v="0"/>
    <n v="1139"/>
    <n v="374.2026299999996"/>
    <n v="1268.6779830000003"/>
    <n v="15528599.660000011"/>
    <n v="360"/>
    <n v="4301895.1500000004"/>
  </r>
  <r>
    <x v="1"/>
    <x v="5"/>
    <x v="0"/>
    <x v="6"/>
    <x v="40"/>
    <x v="40"/>
    <x v="0"/>
    <n v="2169"/>
    <n v="327.69547399999988"/>
    <n v="1892.0250970000116"/>
    <n v="21181915.639999952"/>
    <n v="311"/>
    <n v="3805210.6299999994"/>
  </r>
  <r>
    <x v="1"/>
    <x v="5"/>
    <x v="0"/>
    <x v="6"/>
    <x v="41"/>
    <x v="41"/>
    <x v="0"/>
    <n v="258"/>
    <n v="0"/>
    <n v="454.25189200000119"/>
    <n v="5370323.7300000004"/>
    <n v="0"/>
    <n v="0"/>
  </r>
  <r>
    <x v="1"/>
    <x v="5"/>
    <x v="0"/>
    <x v="6"/>
    <x v="42"/>
    <x v="42"/>
    <x v="0"/>
    <n v="256"/>
    <n v="70.370000000000019"/>
    <n v="189.80992500000013"/>
    <n v="2327065.7699999982"/>
    <n v="96"/>
    <n v="880435.00000000012"/>
  </r>
  <r>
    <x v="1"/>
    <x v="5"/>
    <x v="0"/>
    <x v="6"/>
    <x v="43"/>
    <x v="43"/>
    <x v="0"/>
    <n v="371"/>
    <n v="101.779534"/>
    <n v="391.50715700000029"/>
    <n v="3792513.2499999986"/>
    <n v="107"/>
    <n v="983005.6599999998"/>
  </r>
  <r>
    <x v="1"/>
    <x v="5"/>
    <x v="0"/>
    <x v="6"/>
    <x v="44"/>
    <x v="44"/>
    <x v="0"/>
    <n v="1565"/>
    <n v="377.46613399999956"/>
    <n v="1324.6488590000088"/>
    <n v="15815557.039999992"/>
    <n v="429"/>
    <n v="4762123.6500000069"/>
  </r>
  <r>
    <x v="1"/>
    <x v="5"/>
    <x v="0"/>
    <x v="6"/>
    <x v="45"/>
    <x v="45"/>
    <x v="0"/>
    <n v="1750"/>
    <n v="276.9562389999997"/>
    <n v="1971.7921820000142"/>
    <n v="21203052.98999998"/>
    <n v="266"/>
    <n v="3037077.8099999991"/>
  </r>
  <r>
    <x v="1"/>
    <x v="5"/>
    <x v="0"/>
    <x v="6"/>
    <x v="46"/>
    <x v="46"/>
    <x v="0"/>
    <n v="123"/>
    <n v="11.379505000000002"/>
    <n v="113.94303799999997"/>
    <n v="5029380.919999999"/>
    <n v="13"/>
    <n v="462978.72"/>
  </r>
  <r>
    <x v="1"/>
    <x v="5"/>
    <x v="0"/>
    <x v="6"/>
    <x v="47"/>
    <x v="47"/>
    <x v="0"/>
    <n v="380"/>
    <n v="66.247298000000029"/>
    <n v="313.55900899999983"/>
    <n v="3901318.2499999991"/>
    <n v="84"/>
    <n v="853535.81000000017"/>
  </r>
  <r>
    <x v="1"/>
    <x v="5"/>
    <x v="0"/>
    <x v="7"/>
    <x v="0"/>
    <x v="0"/>
    <x v="0"/>
    <n v="1520"/>
    <n v="258.69442799999985"/>
    <n v="1425.3311710000039"/>
    <n v="16728018.98"/>
    <n v="292"/>
    <n v="2898132.6099999994"/>
  </r>
  <r>
    <x v="1"/>
    <x v="5"/>
    <x v="0"/>
    <x v="7"/>
    <x v="1"/>
    <x v="1"/>
    <x v="0"/>
    <n v="2449"/>
    <n v="448.01220399999988"/>
    <n v="4307.2725229999951"/>
    <n v="79229383.200000003"/>
    <n v="396"/>
    <n v="7638173.8600000041"/>
  </r>
  <r>
    <x v="1"/>
    <x v="5"/>
    <x v="0"/>
    <x v="7"/>
    <x v="2"/>
    <x v="2"/>
    <x v="0"/>
    <n v="1273"/>
    <n v="195.36315199999981"/>
    <n v="1168.0499619999996"/>
    <n v="17054408.670000006"/>
    <n v="217"/>
    <n v="2887643.56"/>
  </r>
  <r>
    <x v="1"/>
    <x v="5"/>
    <x v="0"/>
    <x v="7"/>
    <x v="3"/>
    <x v="3"/>
    <x v="0"/>
    <n v="2729"/>
    <n v="338.70343199999991"/>
    <n v="2280.4310509999978"/>
    <n v="25733850.660000008"/>
    <n v="357"/>
    <n v="4065660.0799999982"/>
  </r>
  <r>
    <x v="1"/>
    <x v="5"/>
    <x v="0"/>
    <x v="7"/>
    <x v="4"/>
    <x v="4"/>
    <x v="0"/>
    <n v="1566"/>
    <n v="289.45923800000003"/>
    <n v="1458.6483530000044"/>
    <n v="15461044.389999982"/>
    <n v="303"/>
    <n v="3336315.0399999991"/>
  </r>
  <r>
    <x v="1"/>
    <x v="5"/>
    <x v="0"/>
    <x v="7"/>
    <x v="5"/>
    <x v="5"/>
    <x v="0"/>
    <n v="473"/>
    <n v="106.79570300000003"/>
    <n v="369.44017600000018"/>
    <n v="4567192.299999998"/>
    <n v="144"/>
    <n v="1242509.7"/>
  </r>
  <r>
    <x v="1"/>
    <x v="5"/>
    <x v="0"/>
    <x v="7"/>
    <x v="6"/>
    <x v="6"/>
    <x v="0"/>
    <n v="1355"/>
    <n v="149.86973"/>
    <n v="1547.1722620000082"/>
    <n v="17969859.060000021"/>
    <n v="165"/>
    <n v="1904383.1799999997"/>
  </r>
  <r>
    <x v="1"/>
    <x v="5"/>
    <x v="0"/>
    <x v="7"/>
    <x v="7"/>
    <x v="7"/>
    <x v="0"/>
    <n v="3913"/>
    <n v="795.35985500000209"/>
    <n v="5729.1128189999918"/>
    <n v="100728450.46999989"/>
    <n v="693"/>
    <n v="15504913.339999989"/>
  </r>
  <r>
    <x v="1"/>
    <x v="5"/>
    <x v="0"/>
    <x v="7"/>
    <x v="8"/>
    <x v="8"/>
    <x v="0"/>
    <n v="235"/>
    <n v="74.421631000000005"/>
    <n v="177.97461399999997"/>
    <n v="2797241.8400000003"/>
    <n v="85"/>
    <n v="1275574.5299999998"/>
  </r>
  <r>
    <x v="1"/>
    <x v="5"/>
    <x v="0"/>
    <x v="7"/>
    <x v="9"/>
    <x v="9"/>
    <x v="0"/>
    <n v="1743"/>
    <n v="339.16370999999998"/>
    <n v="1658.0590949999983"/>
    <n v="21838431.359999985"/>
    <n v="390"/>
    <n v="4491235.7200000025"/>
  </r>
  <r>
    <x v="1"/>
    <x v="5"/>
    <x v="0"/>
    <x v="7"/>
    <x v="10"/>
    <x v="10"/>
    <x v="0"/>
    <n v="2043"/>
    <n v="386.8045359999997"/>
    <n v="2453.4873450000132"/>
    <n v="36715060.659999996"/>
    <n v="357"/>
    <n v="5754473.6799999997"/>
  </r>
  <r>
    <x v="0"/>
    <x v="7"/>
    <x v="7"/>
    <x v="3"/>
    <x v="11"/>
    <x v="11"/>
    <x v="0"/>
    <n v="281"/>
    <n v="74.369262051947061"/>
    <n v="236.37942098665567"/>
    <n v="5220408.2299999977"/>
    <n v="88"/>
    <n v="1678373.7300000004"/>
  </r>
  <r>
    <x v="1"/>
    <x v="5"/>
    <x v="0"/>
    <x v="7"/>
    <x v="12"/>
    <x v="12"/>
    <x v="0"/>
    <n v="2430"/>
    <n v="458.74503100000004"/>
    <n v="2132.5112790000071"/>
    <n v="27546225.580000002"/>
    <n v="527"/>
    <n v="6147141.2700000051"/>
  </r>
  <r>
    <x v="1"/>
    <x v="5"/>
    <x v="0"/>
    <x v="7"/>
    <x v="13"/>
    <x v="13"/>
    <x v="0"/>
    <n v="1161"/>
    <n v="226.43304699999999"/>
    <n v="1055.4726139999964"/>
    <n v="14330156.93999997"/>
    <n v="236"/>
    <n v="3528670.94"/>
  </r>
  <r>
    <x v="1"/>
    <x v="5"/>
    <x v="0"/>
    <x v="7"/>
    <x v="14"/>
    <x v="14"/>
    <x v="0"/>
    <n v="188"/>
    <n v="17.415935999999999"/>
    <n v="151.69824400000007"/>
    <n v="1553274.3599999999"/>
    <n v="28"/>
    <n v="149578.83000000002"/>
  </r>
  <r>
    <x v="1"/>
    <x v="5"/>
    <x v="0"/>
    <x v="7"/>
    <x v="15"/>
    <x v="15"/>
    <x v="0"/>
    <n v="756"/>
    <n v="122.76011400000003"/>
    <n v="685.11278999999661"/>
    <n v="6958897.2499999953"/>
    <n v="146"/>
    <n v="1284258.6499999992"/>
  </r>
  <r>
    <x v="1"/>
    <x v="5"/>
    <x v="0"/>
    <x v="7"/>
    <x v="16"/>
    <x v="16"/>
    <x v="0"/>
    <n v="1581"/>
    <n v="274.56381899999963"/>
    <n v="1662.955135999995"/>
    <n v="21012791.020000033"/>
    <n v="293"/>
    <n v="4258097.7499999991"/>
  </r>
  <r>
    <x v="1"/>
    <x v="5"/>
    <x v="0"/>
    <x v="7"/>
    <x v="17"/>
    <x v="17"/>
    <x v="0"/>
    <n v="1194"/>
    <n v="196.81693799999994"/>
    <n v="1524.5044060000014"/>
    <n v="15170829.550000031"/>
    <n v="213"/>
    <n v="2027232.7899999998"/>
  </r>
  <r>
    <x v="1"/>
    <x v="5"/>
    <x v="0"/>
    <x v="7"/>
    <x v="18"/>
    <x v="18"/>
    <x v="0"/>
    <n v="2552"/>
    <n v="410.08109400000018"/>
    <n v="2539.7265309999916"/>
    <n v="25108208.689999834"/>
    <n v="392"/>
    <n v="4421669.03"/>
  </r>
  <r>
    <x v="1"/>
    <x v="5"/>
    <x v="0"/>
    <x v="7"/>
    <x v="19"/>
    <x v="19"/>
    <x v="0"/>
    <n v="1011"/>
    <n v="252.79148199999986"/>
    <n v="1457.6951060000029"/>
    <n v="20433729.279999983"/>
    <n v="237"/>
    <n v="3793098.6800000016"/>
  </r>
  <r>
    <x v="1"/>
    <x v="5"/>
    <x v="0"/>
    <x v="7"/>
    <x v="20"/>
    <x v="20"/>
    <x v="0"/>
    <n v="1097"/>
    <n v="201.72358399999982"/>
    <n v="1048.3612830000022"/>
    <n v="13885432.749999994"/>
    <n v="214"/>
    <n v="2537037.4300000006"/>
  </r>
  <r>
    <x v="1"/>
    <x v="5"/>
    <x v="0"/>
    <x v="7"/>
    <x v="21"/>
    <x v="21"/>
    <x v="0"/>
    <n v="778"/>
    <n v="126.13334499999996"/>
    <n v="613.02831099999582"/>
    <n v="7533879.6100000041"/>
    <n v="153"/>
    <n v="1627856.7100000002"/>
  </r>
  <r>
    <x v="1"/>
    <x v="5"/>
    <x v="0"/>
    <x v="7"/>
    <x v="22"/>
    <x v="22"/>
    <x v="0"/>
    <n v="1700"/>
    <n v="300.73032099999995"/>
    <n v="1847.1296440000017"/>
    <n v="33207533.310000002"/>
    <n v="356"/>
    <n v="5006168.04"/>
  </r>
  <r>
    <x v="1"/>
    <x v="5"/>
    <x v="0"/>
    <x v="7"/>
    <x v="23"/>
    <x v="23"/>
    <x v="0"/>
    <n v="160"/>
    <n v="49.243623000000007"/>
    <n v="146.05069100000014"/>
    <n v="2244819.6"/>
    <n v="59"/>
    <n v="786849.62"/>
  </r>
  <r>
    <x v="1"/>
    <x v="5"/>
    <x v="0"/>
    <x v="7"/>
    <x v="24"/>
    <x v="24"/>
    <x v="0"/>
    <n v="518"/>
    <n v="121.86608199999991"/>
    <n v="449.8289000000002"/>
    <n v="7122509.2800000124"/>
    <n v="135"/>
    <n v="1776917.05"/>
  </r>
  <r>
    <x v="1"/>
    <x v="5"/>
    <x v="0"/>
    <x v="7"/>
    <x v="25"/>
    <x v="25"/>
    <x v="0"/>
    <n v="1112"/>
    <n v="206.61604099999991"/>
    <n v="964.14377999999647"/>
    <n v="12186415.83"/>
    <n v="235"/>
    <n v="2769453.8200000017"/>
  </r>
  <r>
    <x v="1"/>
    <x v="5"/>
    <x v="0"/>
    <x v="7"/>
    <x v="26"/>
    <x v="26"/>
    <x v="0"/>
    <n v="829"/>
    <n v="147.88190400000008"/>
    <n v="749.82026299999586"/>
    <n v="11758437.24000003"/>
    <n v="176"/>
    <n v="2317507.6999999993"/>
  </r>
  <r>
    <x v="1"/>
    <x v="5"/>
    <x v="0"/>
    <x v="7"/>
    <x v="27"/>
    <x v="27"/>
    <x v="0"/>
    <n v="705"/>
    <n v="133.08716000000007"/>
    <n v="552.67810399999746"/>
    <n v="6186456.5600000033"/>
    <n v="150"/>
    <n v="1571654.4699999997"/>
  </r>
  <r>
    <x v="1"/>
    <x v="5"/>
    <x v="0"/>
    <x v="7"/>
    <x v="28"/>
    <x v="28"/>
    <x v="0"/>
    <n v="737"/>
    <n v="140.286858"/>
    <n v="663.1396869999968"/>
    <n v="8344111.3100000024"/>
    <n v="148"/>
    <n v="1705054.2499999995"/>
  </r>
  <r>
    <x v="1"/>
    <x v="5"/>
    <x v="0"/>
    <x v="7"/>
    <x v="29"/>
    <x v="29"/>
    <x v="0"/>
    <n v="482"/>
    <n v="156.95091500000001"/>
    <n v="494.42823699999968"/>
    <n v="9054580.9399999995"/>
    <n v="168"/>
    <n v="2391221.2000000002"/>
  </r>
  <r>
    <x v="1"/>
    <x v="5"/>
    <x v="0"/>
    <x v="7"/>
    <x v="30"/>
    <x v="30"/>
    <x v="0"/>
    <n v="571"/>
    <n v="116.04364099999999"/>
    <n v="446.04091500000027"/>
    <n v="5823982.5700000031"/>
    <n v="141"/>
    <n v="1486651.5899999996"/>
  </r>
  <r>
    <x v="1"/>
    <x v="5"/>
    <x v="0"/>
    <x v="7"/>
    <x v="31"/>
    <x v="31"/>
    <x v="0"/>
    <n v="987"/>
    <n v="273.81848199999979"/>
    <n v="873.74479700000131"/>
    <n v="12055630.659999996"/>
    <n v="303"/>
    <n v="3894352.9699999993"/>
  </r>
  <r>
    <x v="1"/>
    <x v="5"/>
    <x v="0"/>
    <x v="7"/>
    <x v="32"/>
    <x v="32"/>
    <x v="0"/>
    <n v="1712"/>
    <n v="429.82353799999999"/>
    <n v="1803.9227679999947"/>
    <n v="22542486.880000044"/>
    <n v="457"/>
    <n v="5816870.5600000033"/>
  </r>
  <r>
    <x v="1"/>
    <x v="5"/>
    <x v="0"/>
    <x v="7"/>
    <x v="33"/>
    <x v="33"/>
    <x v="0"/>
    <n v="1664"/>
    <n v="208.76136199999996"/>
    <n v="1400.6364020000142"/>
    <n v="16982581.319999974"/>
    <n v="209"/>
    <n v="2620811.8299999987"/>
  </r>
  <r>
    <x v="1"/>
    <x v="5"/>
    <x v="0"/>
    <x v="7"/>
    <x v="34"/>
    <x v="34"/>
    <x v="0"/>
    <n v="33"/>
    <n v="6.7793139999999994"/>
    <n v="22.255897000000001"/>
    <n v="286099.58"/>
    <n v="8"/>
    <n v="74365.509999999995"/>
  </r>
  <r>
    <x v="1"/>
    <x v="5"/>
    <x v="0"/>
    <x v="7"/>
    <x v="35"/>
    <x v="35"/>
    <x v="0"/>
    <n v="1611"/>
    <n v="262.12276899999989"/>
    <n v="1355.1839380000104"/>
    <n v="14421096.87000001"/>
    <n v="278"/>
    <n v="2521432.4799999991"/>
  </r>
  <r>
    <x v="1"/>
    <x v="5"/>
    <x v="0"/>
    <x v="7"/>
    <x v="36"/>
    <x v="36"/>
    <x v="0"/>
    <n v="1378"/>
    <n v="290.32717300000002"/>
    <n v="1246.9915260000048"/>
    <n v="14027440.309999989"/>
    <n v="304"/>
    <n v="3332840.2099999986"/>
  </r>
  <r>
    <x v="1"/>
    <x v="5"/>
    <x v="0"/>
    <x v="7"/>
    <x v="37"/>
    <x v="37"/>
    <x v="0"/>
    <n v="774"/>
    <n v="224.40880099999998"/>
    <n v="868.55930299999955"/>
    <n v="10928146.170000011"/>
    <n v="219"/>
    <n v="2899001.4499999983"/>
  </r>
  <r>
    <x v="1"/>
    <x v="5"/>
    <x v="0"/>
    <x v="7"/>
    <x v="38"/>
    <x v="38"/>
    <x v="0"/>
    <n v="534"/>
    <n v="87.357471000000018"/>
    <n v="492.58032800000018"/>
    <n v="5547383.9499999983"/>
    <n v="96"/>
    <n v="873544.6399999999"/>
  </r>
  <r>
    <x v="1"/>
    <x v="5"/>
    <x v="0"/>
    <x v="7"/>
    <x v="39"/>
    <x v="39"/>
    <x v="0"/>
    <n v="958"/>
    <n v="292.71524099999993"/>
    <n v="1121.1213880000028"/>
    <n v="14411150.170000013"/>
    <n v="278"/>
    <n v="3788035.8100000015"/>
  </r>
  <r>
    <x v="1"/>
    <x v="5"/>
    <x v="0"/>
    <x v="7"/>
    <x v="40"/>
    <x v="40"/>
    <x v="0"/>
    <n v="1845"/>
    <n v="263.40437299999991"/>
    <n v="1567.2992910000153"/>
    <n v="18366429.670000017"/>
    <n v="262"/>
    <n v="3340218.7499999981"/>
  </r>
  <r>
    <x v="1"/>
    <x v="5"/>
    <x v="0"/>
    <x v="7"/>
    <x v="41"/>
    <x v="41"/>
    <x v="0"/>
    <n v="247"/>
    <n v="0"/>
    <n v="415.8309890000005"/>
    <n v="5047346.7200000016"/>
    <n v="0"/>
    <n v="0"/>
  </r>
  <r>
    <x v="1"/>
    <x v="5"/>
    <x v="0"/>
    <x v="7"/>
    <x v="42"/>
    <x v="42"/>
    <x v="0"/>
    <n v="216"/>
    <n v="45.143559000000025"/>
    <n v="155.232619"/>
    <n v="1815973.7900000007"/>
    <n v="70"/>
    <n v="494168.80000000005"/>
  </r>
  <r>
    <x v="1"/>
    <x v="5"/>
    <x v="0"/>
    <x v="7"/>
    <x v="43"/>
    <x v="43"/>
    <x v="0"/>
    <n v="285"/>
    <n v="59.435179999999995"/>
    <n v="333.59055500000005"/>
    <n v="3028298.2000000011"/>
    <n v="60"/>
    <n v="527019.13"/>
  </r>
  <r>
    <x v="1"/>
    <x v="5"/>
    <x v="0"/>
    <x v="7"/>
    <x v="44"/>
    <x v="44"/>
    <x v="0"/>
    <n v="1368"/>
    <n v="252.83327699999973"/>
    <n v="1094.3023430000005"/>
    <n v="13389437.590000011"/>
    <n v="315"/>
    <n v="3283657.0400000024"/>
  </r>
  <r>
    <x v="1"/>
    <x v="5"/>
    <x v="0"/>
    <x v="7"/>
    <x v="45"/>
    <x v="45"/>
    <x v="0"/>
    <n v="1507"/>
    <n v="235.05475999999987"/>
    <n v="1774.1197980000113"/>
    <n v="20135552.379999992"/>
    <n v="222"/>
    <n v="2582680.3699999992"/>
  </r>
  <r>
    <x v="1"/>
    <x v="5"/>
    <x v="0"/>
    <x v="7"/>
    <x v="46"/>
    <x v="46"/>
    <x v="0"/>
    <n v="110"/>
    <n v="7.3665530000000006"/>
    <n v="105.85327599999997"/>
    <n v="4316229.2899999982"/>
    <n v="10"/>
    <n v="222886.91000000003"/>
  </r>
  <r>
    <x v="1"/>
    <x v="5"/>
    <x v="0"/>
    <x v="7"/>
    <x v="47"/>
    <x v="47"/>
    <x v="0"/>
    <n v="380"/>
    <n v="79.464434000000011"/>
    <n v="315.14196700000002"/>
    <n v="3407318.359999998"/>
    <n v="87"/>
    <n v="959836.36000000022"/>
  </r>
  <r>
    <x v="1"/>
    <x v="5"/>
    <x v="0"/>
    <x v="8"/>
    <x v="0"/>
    <x v="0"/>
    <x v="0"/>
    <n v="1754"/>
    <n v="319.08296899999971"/>
    <n v="1582.9122260000015"/>
    <n v="16970396.109999981"/>
    <n v="364"/>
    <n v="3350117.6100000008"/>
  </r>
  <r>
    <x v="1"/>
    <x v="5"/>
    <x v="0"/>
    <x v="8"/>
    <x v="1"/>
    <x v="1"/>
    <x v="0"/>
    <n v="2693"/>
    <n v="540.15873999999985"/>
    <n v="4762.3732909999944"/>
    <n v="92117410.360000193"/>
    <n v="412"/>
    <n v="10234717.18"/>
  </r>
  <r>
    <x v="1"/>
    <x v="5"/>
    <x v="0"/>
    <x v="8"/>
    <x v="2"/>
    <x v="2"/>
    <x v="0"/>
    <n v="1395"/>
    <n v="232.33892199999985"/>
    <n v="1284.1403490000037"/>
    <n v="17930083.300000019"/>
    <n v="245"/>
    <n v="3664959.5200000009"/>
  </r>
  <r>
    <x v="1"/>
    <x v="5"/>
    <x v="0"/>
    <x v="8"/>
    <x v="3"/>
    <x v="3"/>
    <x v="0"/>
    <n v="3132"/>
    <n v="372.33757000000014"/>
    <n v="2608.1506899999822"/>
    <n v="30552679.500000022"/>
    <n v="394"/>
    <n v="4883434.4000000013"/>
  </r>
  <r>
    <x v="1"/>
    <x v="5"/>
    <x v="0"/>
    <x v="8"/>
    <x v="4"/>
    <x v="4"/>
    <x v="0"/>
    <n v="1716"/>
    <n v="339.52323399999972"/>
    <n v="1628.9390490000046"/>
    <n v="17483401.860000025"/>
    <n v="348"/>
    <n v="3675506.9200000004"/>
  </r>
  <r>
    <x v="1"/>
    <x v="5"/>
    <x v="0"/>
    <x v="8"/>
    <x v="5"/>
    <x v="5"/>
    <x v="0"/>
    <n v="525"/>
    <n v="121.29031499999999"/>
    <n v="413.77955100000008"/>
    <n v="5257161.4900000039"/>
    <n v="148"/>
    <n v="1561726.7699999993"/>
  </r>
  <r>
    <x v="1"/>
    <x v="5"/>
    <x v="0"/>
    <x v="8"/>
    <x v="6"/>
    <x v="6"/>
    <x v="0"/>
    <n v="1466"/>
    <n v="179.75326299999992"/>
    <n v="1537.6541420000103"/>
    <n v="19036852.57000003"/>
    <n v="197"/>
    <n v="2561145.6399999997"/>
  </r>
  <r>
    <x v="1"/>
    <x v="5"/>
    <x v="0"/>
    <x v="8"/>
    <x v="7"/>
    <x v="7"/>
    <x v="0"/>
    <n v="4251"/>
    <n v="813.23350000000028"/>
    <n v="6118.7621399999698"/>
    <n v="112060842.45999996"/>
    <n v="733"/>
    <n v="15724116.360000012"/>
  </r>
  <r>
    <x v="1"/>
    <x v="5"/>
    <x v="0"/>
    <x v="8"/>
    <x v="8"/>
    <x v="8"/>
    <x v="0"/>
    <n v="262"/>
    <n v="62.633442000000009"/>
    <n v="185.9202470000001"/>
    <n v="2755876.6199999992"/>
    <n v="80"/>
    <n v="933832.10000000033"/>
  </r>
  <r>
    <x v="1"/>
    <x v="5"/>
    <x v="0"/>
    <x v="8"/>
    <x v="9"/>
    <x v="9"/>
    <x v="0"/>
    <n v="1917"/>
    <n v="455.37459999999999"/>
    <n v="1813.5527440000037"/>
    <n v="22621077.349999994"/>
    <n v="476"/>
    <n v="6388133.4400000088"/>
  </r>
  <r>
    <x v="1"/>
    <x v="5"/>
    <x v="0"/>
    <x v="8"/>
    <x v="10"/>
    <x v="10"/>
    <x v="0"/>
    <n v="2198"/>
    <n v="347.98396299999956"/>
    <n v="2562.978978000016"/>
    <n v="36099239.109999985"/>
    <n v="365"/>
    <n v="4976491.95"/>
  </r>
  <r>
    <x v="0"/>
    <x v="7"/>
    <x v="7"/>
    <x v="5"/>
    <x v="11"/>
    <x v="11"/>
    <x v="0"/>
    <n v="289"/>
    <n v="75.740370034468313"/>
    <n v="244.41885188416953"/>
    <n v="6460226.6100000041"/>
    <n v="92"/>
    <n v="2159280.3600000003"/>
  </r>
  <r>
    <x v="1"/>
    <x v="5"/>
    <x v="0"/>
    <x v="8"/>
    <x v="12"/>
    <x v="12"/>
    <x v="0"/>
    <n v="2542"/>
    <n v="528.57199699999956"/>
    <n v="2277.8432560000106"/>
    <n v="27870932.339999981"/>
    <n v="580"/>
    <n v="6652578.2499999991"/>
  </r>
  <r>
    <x v="1"/>
    <x v="5"/>
    <x v="0"/>
    <x v="8"/>
    <x v="13"/>
    <x v="13"/>
    <x v="0"/>
    <n v="1167"/>
    <n v="212.49302299999999"/>
    <n v="1065.8486839999973"/>
    <n v="13462099.870000005"/>
    <n v="215"/>
    <n v="2913202.7100000004"/>
  </r>
  <r>
    <x v="1"/>
    <x v="5"/>
    <x v="0"/>
    <x v="8"/>
    <x v="14"/>
    <x v="14"/>
    <x v="0"/>
    <n v="216"/>
    <n v="30.64408000000001"/>
    <n v="171.58031199999999"/>
    <n v="1913161.3200000003"/>
    <n v="40"/>
    <n v="415333.26000000007"/>
  </r>
  <r>
    <x v="1"/>
    <x v="5"/>
    <x v="0"/>
    <x v="8"/>
    <x v="15"/>
    <x v="15"/>
    <x v="0"/>
    <n v="801"/>
    <n v="143.51913699999994"/>
    <n v="692.45005199999707"/>
    <n v="7829290.8500000052"/>
    <n v="166"/>
    <n v="1666710.27"/>
  </r>
  <r>
    <x v="1"/>
    <x v="5"/>
    <x v="0"/>
    <x v="8"/>
    <x v="16"/>
    <x v="16"/>
    <x v="0"/>
    <n v="1800"/>
    <n v="357.49420799999979"/>
    <n v="1902.2054679999926"/>
    <n v="24155394.509999957"/>
    <n v="362"/>
    <n v="5193146.8599999947"/>
  </r>
  <r>
    <x v="1"/>
    <x v="5"/>
    <x v="0"/>
    <x v="8"/>
    <x v="17"/>
    <x v="17"/>
    <x v="0"/>
    <n v="1323"/>
    <n v="242.70090499999995"/>
    <n v="1611.5440510000033"/>
    <n v="17441176.62000002"/>
    <n v="257"/>
    <n v="2443629.8600000013"/>
  </r>
  <r>
    <x v="1"/>
    <x v="5"/>
    <x v="0"/>
    <x v="8"/>
    <x v="18"/>
    <x v="18"/>
    <x v="0"/>
    <n v="2671"/>
    <n v="364.31554099999966"/>
    <n v="2537.3805080000011"/>
    <n v="25944861.509999968"/>
    <n v="384"/>
    <n v="4206809.95"/>
  </r>
  <r>
    <x v="1"/>
    <x v="5"/>
    <x v="0"/>
    <x v="8"/>
    <x v="19"/>
    <x v="19"/>
    <x v="0"/>
    <n v="1100"/>
    <n v="286.55087499999962"/>
    <n v="1588.7384760000009"/>
    <n v="22154825.539999995"/>
    <n v="284"/>
    <n v="4280070.0899999989"/>
  </r>
  <r>
    <x v="1"/>
    <x v="5"/>
    <x v="0"/>
    <x v="8"/>
    <x v="20"/>
    <x v="20"/>
    <x v="0"/>
    <n v="1169"/>
    <n v="284.95527699999957"/>
    <n v="1175.2525910000029"/>
    <n v="16475647.170000011"/>
    <n v="288"/>
    <n v="3817520.700000002"/>
  </r>
  <r>
    <x v="1"/>
    <x v="5"/>
    <x v="0"/>
    <x v="8"/>
    <x v="21"/>
    <x v="21"/>
    <x v="0"/>
    <n v="832"/>
    <n v="138.12323600000002"/>
    <n v="664.58157099999585"/>
    <n v="6704363.5000000028"/>
    <n v="163"/>
    <n v="1427733.8300000005"/>
  </r>
  <r>
    <x v="1"/>
    <x v="5"/>
    <x v="0"/>
    <x v="8"/>
    <x v="22"/>
    <x v="22"/>
    <x v="0"/>
    <n v="1816"/>
    <n v="361.95487099999963"/>
    <n v="1885.9211019999991"/>
    <n v="32179512.569999948"/>
    <n v="413"/>
    <n v="5844082.8799999999"/>
  </r>
  <r>
    <x v="1"/>
    <x v="5"/>
    <x v="0"/>
    <x v="8"/>
    <x v="23"/>
    <x v="23"/>
    <x v="0"/>
    <n v="191"/>
    <n v="49.668906000000007"/>
    <n v="160.59184299999993"/>
    <n v="2406410.71"/>
    <n v="70"/>
    <n v="803358.06"/>
  </r>
  <r>
    <x v="1"/>
    <x v="5"/>
    <x v="0"/>
    <x v="8"/>
    <x v="24"/>
    <x v="24"/>
    <x v="0"/>
    <n v="621"/>
    <n v="156.37200999999996"/>
    <n v="533.09397299999978"/>
    <n v="8120816.0899999999"/>
    <n v="172"/>
    <n v="2242393.1400000011"/>
  </r>
  <r>
    <x v="1"/>
    <x v="5"/>
    <x v="0"/>
    <x v="8"/>
    <x v="25"/>
    <x v="25"/>
    <x v="0"/>
    <n v="1241"/>
    <n v="230.38837899999982"/>
    <n v="1035.7291829999958"/>
    <n v="13638531.819999998"/>
    <n v="299"/>
    <n v="3248609.39"/>
  </r>
  <r>
    <x v="1"/>
    <x v="5"/>
    <x v="0"/>
    <x v="8"/>
    <x v="26"/>
    <x v="26"/>
    <x v="0"/>
    <n v="856"/>
    <n v="175.34198900000015"/>
    <n v="715.06892099999618"/>
    <n v="10427694.720000012"/>
    <n v="201"/>
    <n v="2292153.6500000004"/>
  </r>
  <r>
    <x v="1"/>
    <x v="5"/>
    <x v="0"/>
    <x v="8"/>
    <x v="27"/>
    <x v="27"/>
    <x v="0"/>
    <n v="740"/>
    <n v="150.08306600000006"/>
    <n v="612.93274499999791"/>
    <n v="6831756.6899999976"/>
    <n v="168"/>
    <n v="1592853.17"/>
  </r>
  <r>
    <x v="1"/>
    <x v="5"/>
    <x v="0"/>
    <x v="8"/>
    <x v="28"/>
    <x v="28"/>
    <x v="0"/>
    <n v="861"/>
    <n v="151.62366"/>
    <n v="703.88509699999645"/>
    <n v="8677243.6599999964"/>
    <n v="191"/>
    <n v="1859510.9999999998"/>
  </r>
  <r>
    <x v="1"/>
    <x v="5"/>
    <x v="0"/>
    <x v="8"/>
    <x v="29"/>
    <x v="29"/>
    <x v="0"/>
    <n v="603"/>
    <n v="172.36061999999993"/>
    <n v="644.76624499999889"/>
    <n v="10988203.560000002"/>
    <n v="172"/>
    <n v="2777719.7299999991"/>
  </r>
  <r>
    <x v="1"/>
    <x v="5"/>
    <x v="0"/>
    <x v="8"/>
    <x v="30"/>
    <x v="30"/>
    <x v="0"/>
    <n v="606"/>
    <n v="73.243751000000017"/>
    <n v="422.30397400000032"/>
    <n v="5669111.6000000024"/>
    <n v="99"/>
    <n v="1012354.07"/>
  </r>
  <r>
    <x v="1"/>
    <x v="5"/>
    <x v="0"/>
    <x v="8"/>
    <x v="31"/>
    <x v="31"/>
    <x v="0"/>
    <n v="1136"/>
    <n v="289.79404199999982"/>
    <n v="988.46134200000051"/>
    <n v="12228320.110000012"/>
    <n v="352"/>
    <n v="3587638.8400000012"/>
  </r>
  <r>
    <x v="1"/>
    <x v="5"/>
    <x v="0"/>
    <x v="8"/>
    <x v="32"/>
    <x v="32"/>
    <x v="0"/>
    <n v="1819"/>
    <n v="463.9516440000001"/>
    <n v="1863.5004549999983"/>
    <n v="21211130.909999993"/>
    <n v="473"/>
    <n v="5344293.59"/>
  </r>
  <r>
    <x v="1"/>
    <x v="5"/>
    <x v="0"/>
    <x v="8"/>
    <x v="33"/>
    <x v="33"/>
    <x v="0"/>
    <n v="1841"/>
    <n v="231.70772799999975"/>
    <n v="1593.5069810000125"/>
    <n v="19694706.819999956"/>
    <n v="244"/>
    <n v="3033888.7100000004"/>
  </r>
  <r>
    <x v="1"/>
    <x v="5"/>
    <x v="0"/>
    <x v="8"/>
    <x v="34"/>
    <x v="34"/>
    <x v="0"/>
    <n v="37"/>
    <n v="9.4421029999999995"/>
    <n v="25.779825000000002"/>
    <n v="286173.4200000001"/>
    <n v="13"/>
    <n v="102194.19999999998"/>
  </r>
  <r>
    <x v="1"/>
    <x v="5"/>
    <x v="0"/>
    <x v="8"/>
    <x v="35"/>
    <x v="35"/>
    <x v="0"/>
    <n v="1822"/>
    <n v="300.15964499999978"/>
    <n v="1517.5594210000083"/>
    <n v="15935551.729999963"/>
    <n v="297"/>
    <n v="2928157.84"/>
  </r>
  <r>
    <x v="1"/>
    <x v="5"/>
    <x v="0"/>
    <x v="8"/>
    <x v="36"/>
    <x v="36"/>
    <x v="0"/>
    <n v="1451"/>
    <n v="255.57696100000001"/>
    <n v="1242.7009920000062"/>
    <n v="14558105.53999998"/>
    <n v="315"/>
    <n v="3190462.0099999984"/>
  </r>
  <r>
    <x v="1"/>
    <x v="5"/>
    <x v="0"/>
    <x v="8"/>
    <x v="37"/>
    <x v="37"/>
    <x v="0"/>
    <n v="896"/>
    <n v="217.73116699999974"/>
    <n v="952.95789300000047"/>
    <n v="12024738.02"/>
    <n v="232"/>
    <n v="2979827.5499999993"/>
  </r>
  <r>
    <x v="1"/>
    <x v="5"/>
    <x v="0"/>
    <x v="8"/>
    <x v="38"/>
    <x v="38"/>
    <x v="0"/>
    <n v="601"/>
    <n v="74.277170000000041"/>
    <n v="513.20230700000002"/>
    <n v="5132364.42"/>
    <n v="87"/>
    <n v="761550.31"/>
  </r>
  <r>
    <x v="1"/>
    <x v="5"/>
    <x v="0"/>
    <x v="8"/>
    <x v="39"/>
    <x v="39"/>
    <x v="0"/>
    <n v="1112"/>
    <n v="321.31149699999963"/>
    <n v="1256.1454360000021"/>
    <n v="17105787.359999981"/>
    <n v="313"/>
    <n v="4778090.2400000012"/>
  </r>
  <r>
    <x v="1"/>
    <x v="5"/>
    <x v="0"/>
    <x v="8"/>
    <x v="40"/>
    <x v="40"/>
    <x v="0"/>
    <n v="1997"/>
    <n v="272.54301100000004"/>
    <n v="1691.2420930000114"/>
    <n v="19795552.870000027"/>
    <n v="260"/>
    <n v="3289842.8299999987"/>
  </r>
  <r>
    <x v="1"/>
    <x v="5"/>
    <x v="0"/>
    <x v="8"/>
    <x v="41"/>
    <x v="41"/>
    <x v="0"/>
    <n v="266"/>
    <n v="1.6944710000000001"/>
    <n v="439.28035200000039"/>
    <n v="6179125.7399999974"/>
    <n v="1"/>
    <n v="70860.570000000007"/>
  </r>
  <r>
    <x v="1"/>
    <x v="5"/>
    <x v="0"/>
    <x v="8"/>
    <x v="42"/>
    <x v="42"/>
    <x v="0"/>
    <n v="264"/>
    <n v="50.006195999999989"/>
    <n v="183.10744100000008"/>
    <n v="2119350.919999999"/>
    <n v="76"/>
    <n v="648119.31000000029"/>
  </r>
  <r>
    <x v="1"/>
    <x v="5"/>
    <x v="0"/>
    <x v="8"/>
    <x v="43"/>
    <x v="43"/>
    <x v="0"/>
    <n v="298"/>
    <n v="88.706716000000014"/>
    <n v="347.88504199999994"/>
    <n v="3863631.43"/>
    <n v="86"/>
    <n v="918162.16"/>
  </r>
  <r>
    <x v="1"/>
    <x v="5"/>
    <x v="0"/>
    <x v="8"/>
    <x v="44"/>
    <x v="44"/>
    <x v="0"/>
    <n v="1531"/>
    <n v="284.30616599999956"/>
    <n v="1242.4312750000095"/>
    <n v="14118769.820000011"/>
    <n v="350"/>
    <n v="3408921.4100000015"/>
  </r>
  <r>
    <x v="1"/>
    <x v="5"/>
    <x v="0"/>
    <x v="8"/>
    <x v="45"/>
    <x v="45"/>
    <x v="0"/>
    <n v="1599"/>
    <n v="229.26830099999984"/>
    <n v="1821.6760760000141"/>
    <n v="21913475.229999982"/>
    <n v="237"/>
    <n v="2896720.0100000016"/>
  </r>
  <r>
    <x v="1"/>
    <x v="5"/>
    <x v="0"/>
    <x v="8"/>
    <x v="46"/>
    <x v="46"/>
    <x v="0"/>
    <n v="120"/>
    <n v="8.5101729999999982"/>
    <n v="113.35777699999998"/>
    <n v="4330141.1100000013"/>
    <n v="11"/>
    <n v="400742.77999999997"/>
  </r>
  <r>
    <x v="1"/>
    <x v="5"/>
    <x v="0"/>
    <x v="8"/>
    <x v="47"/>
    <x v="47"/>
    <x v="0"/>
    <n v="427"/>
    <n v="89.110570999999993"/>
    <n v="330.66143400000016"/>
    <n v="3858667.879999998"/>
    <n v="100"/>
    <n v="1198138.5199999993"/>
  </r>
  <r>
    <x v="1"/>
    <x v="5"/>
    <x v="0"/>
    <x v="9"/>
    <x v="0"/>
    <x v="0"/>
    <x v="0"/>
    <n v="1795"/>
    <n v="324.82350399999984"/>
    <n v="1618.6599030000034"/>
    <n v="16695136.610000046"/>
    <n v="365"/>
    <n v="3303620.3399999985"/>
  </r>
  <r>
    <x v="1"/>
    <x v="5"/>
    <x v="0"/>
    <x v="9"/>
    <x v="1"/>
    <x v="1"/>
    <x v="0"/>
    <n v="2694"/>
    <n v="570.21278599999994"/>
    <n v="4783.5320889999894"/>
    <n v="90022254.910000235"/>
    <n v="447"/>
    <n v="10691071.419999998"/>
  </r>
  <r>
    <x v="1"/>
    <x v="5"/>
    <x v="0"/>
    <x v="9"/>
    <x v="2"/>
    <x v="2"/>
    <x v="0"/>
    <n v="1319"/>
    <n v="221.60840599999992"/>
    <n v="1254.3601910000007"/>
    <n v="17070403.199999999"/>
    <n v="234"/>
    <n v="3414806.5100000002"/>
  </r>
  <r>
    <x v="1"/>
    <x v="5"/>
    <x v="0"/>
    <x v="9"/>
    <x v="3"/>
    <x v="3"/>
    <x v="0"/>
    <n v="2989"/>
    <n v="368.35363799999988"/>
    <n v="2549.1631309999734"/>
    <n v="30870190.72999993"/>
    <n v="357"/>
    <n v="4709778.0599999977"/>
  </r>
  <r>
    <x v="1"/>
    <x v="5"/>
    <x v="0"/>
    <x v="9"/>
    <x v="4"/>
    <x v="4"/>
    <x v="0"/>
    <n v="1653"/>
    <n v="318.30761499999971"/>
    <n v="1602.4988570000032"/>
    <n v="16661151.029999977"/>
    <n v="332"/>
    <n v="3550308.35"/>
  </r>
  <r>
    <x v="1"/>
    <x v="5"/>
    <x v="0"/>
    <x v="9"/>
    <x v="5"/>
    <x v="5"/>
    <x v="0"/>
    <n v="495"/>
    <n v="136.05483500000003"/>
    <n v="418.62797400000011"/>
    <n v="5157744.3899999997"/>
    <n v="148"/>
    <n v="1488954.5299999998"/>
  </r>
  <r>
    <x v="1"/>
    <x v="5"/>
    <x v="0"/>
    <x v="9"/>
    <x v="6"/>
    <x v="6"/>
    <x v="0"/>
    <n v="1558"/>
    <n v="196.61604400000013"/>
    <n v="1720.4489880000101"/>
    <n v="20199640.510000013"/>
    <n v="207"/>
    <n v="2622949.5800000024"/>
  </r>
  <r>
    <x v="1"/>
    <x v="5"/>
    <x v="0"/>
    <x v="9"/>
    <x v="7"/>
    <x v="7"/>
    <x v="0"/>
    <n v="4134"/>
    <n v="864.33472600000141"/>
    <n v="6121.2075809999769"/>
    <n v="121096389.26999988"/>
    <n v="776"/>
    <n v="18088537.789999999"/>
  </r>
  <r>
    <x v="1"/>
    <x v="5"/>
    <x v="0"/>
    <x v="9"/>
    <x v="8"/>
    <x v="8"/>
    <x v="0"/>
    <n v="238"/>
    <n v="54.045423000000007"/>
    <n v="166.05329799999998"/>
    <n v="2364724.7099999967"/>
    <n v="78"/>
    <n v="771448.39999999956"/>
  </r>
  <r>
    <x v="1"/>
    <x v="5"/>
    <x v="0"/>
    <x v="9"/>
    <x v="9"/>
    <x v="9"/>
    <x v="0"/>
    <n v="1850"/>
    <n v="378.21900200000027"/>
    <n v="1704.5511830000019"/>
    <n v="20986544.119999938"/>
    <n v="446"/>
    <n v="5060673.5200000023"/>
  </r>
  <r>
    <x v="1"/>
    <x v="5"/>
    <x v="0"/>
    <x v="9"/>
    <x v="10"/>
    <x v="10"/>
    <x v="0"/>
    <n v="2042"/>
    <n v="425.65333299999958"/>
    <n v="2457.1375110000154"/>
    <n v="35564791.390000008"/>
    <n v="405"/>
    <n v="6264523.0499999998"/>
  </r>
  <r>
    <x v="0"/>
    <x v="7"/>
    <x v="7"/>
    <x v="0"/>
    <x v="11"/>
    <x v="11"/>
    <x v="0"/>
    <n v="295"/>
    <n v="76.932683019268794"/>
    <n v="257.28879672010504"/>
    <n v="6573281.7199999988"/>
    <n v="92"/>
    <n v="1777305.0100000002"/>
  </r>
  <r>
    <x v="1"/>
    <x v="5"/>
    <x v="0"/>
    <x v="9"/>
    <x v="12"/>
    <x v="12"/>
    <x v="0"/>
    <n v="2654"/>
    <n v="503.76260799999994"/>
    <n v="2285.2394010000085"/>
    <n v="27719974.040000048"/>
    <n v="584"/>
    <n v="6022055.189999992"/>
  </r>
  <r>
    <x v="1"/>
    <x v="5"/>
    <x v="0"/>
    <x v="9"/>
    <x v="13"/>
    <x v="13"/>
    <x v="0"/>
    <n v="1179"/>
    <n v="232.95836900000006"/>
    <n v="1073.6033999999981"/>
    <n v="13461448.920000004"/>
    <n v="234"/>
    <n v="2826973.0300000007"/>
  </r>
  <r>
    <x v="1"/>
    <x v="5"/>
    <x v="0"/>
    <x v="9"/>
    <x v="14"/>
    <x v="14"/>
    <x v="0"/>
    <n v="205"/>
    <n v="36.841169000000001"/>
    <n v="167.04240299999989"/>
    <n v="1753607.2699999989"/>
    <n v="42"/>
    <n v="416963.73"/>
  </r>
  <r>
    <x v="1"/>
    <x v="5"/>
    <x v="0"/>
    <x v="9"/>
    <x v="15"/>
    <x v="15"/>
    <x v="0"/>
    <n v="814"/>
    <n v="141.40205199999994"/>
    <n v="745.3309149999958"/>
    <n v="8354879.1399999922"/>
    <n v="158"/>
    <n v="1715352.0700000012"/>
  </r>
  <r>
    <x v="1"/>
    <x v="5"/>
    <x v="0"/>
    <x v="9"/>
    <x v="16"/>
    <x v="16"/>
    <x v="0"/>
    <n v="1640"/>
    <n v="333.1218409999999"/>
    <n v="1690.2499159999936"/>
    <n v="19464292.29000001"/>
    <n v="361"/>
    <n v="4120704.4600000009"/>
  </r>
  <r>
    <x v="1"/>
    <x v="5"/>
    <x v="0"/>
    <x v="9"/>
    <x v="17"/>
    <x v="17"/>
    <x v="0"/>
    <n v="1229"/>
    <n v="228.98892599999988"/>
    <n v="1630.7707770000009"/>
    <n v="17263102.799999997"/>
    <n v="217"/>
    <n v="2470605.5599999977"/>
  </r>
  <r>
    <x v="1"/>
    <x v="5"/>
    <x v="0"/>
    <x v="9"/>
    <x v="18"/>
    <x v="18"/>
    <x v="0"/>
    <n v="2722"/>
    <n v="377.92579000000001"/>
    <n v="2592.7957449999922"/>
    <n v="25284623.53000005"/>
    <n v="394"/>
    <n v="3987432.7099999995"/>
  </r>
  <r>
    <x v="1"/>
    <x v="5"/>
    <x v="0"/>
    <x v="9"/>
    <x v="19"/>
    <x v="19"/>
    <x v="0"/>
    <n v="1143"/>
    <n v="281.04464299999972"/>
    <n v="1531.9940790000035"/>
    <n v="21309955.509999983"/>
    <n v="273"/>
    <n v="4168195.67"/>
  </r>
  <r>
    <x v="1"/>
    <x v="5"/>
    <x v="0"/>
    <x v="9"/>
    <x v="20"/>
    <x v="20"/>
    <x v="0"/>
    <n v="1148"/>
    <n v="212.25876599999989"/>
    <n v="1142.0907520000053"/>
    <n v="16247493.249999998"/>
    <n v="236"/>
    <n v="3073661.4899999988"/>
  </r>
  <r>
    <x v="1"/>
    <x v="5"/>
    <x v="0"/>
    <x v="9"/>
    <x v="21"/>
    <x v="21"/>
    <x v="0"/>
    <n v="784"/>
    <n v="139.95895500000006"/>
    <n v="619.3300649999951"/>
    <n v="6105740.8299999991"/>
    <n v="153"/>
    <n v="1281605.3800000001"/>
  </r>
  <r>
    <x v="1"/>
    <x v="5"/>
    <x v="0"/>
    <x v="9"/>
    <x v="22"/>
    <x v="22"/>
    <x v="0"/>
    <n v="1887"/>
    <n v="387.18521699999991"/>
    <n v="1875.2444190000035"/>
    <n v="29755980.719999999"/>
    <n v="431"/>
    <n v="5845652.9100000029"/>
  </r>
  <r>
    <x v="1"/>
    <x v="5"/>
    <x v="0"/>
    <x v="9"/>
    <x v="23"/>
    <x v="23"/>
    <x v="0"/>
    <n v="161"/>
    <n v="46.462290999999993"/>
    <n v="139.49693399999998"/>
    <n v="1764805.6199999992"/>
    <n v="57"/>
    <n v="572985.53999999992"/>
  </r>
  <r>
    <x v="1"/>
    <x v="5"/>
    <x v="0"/>
    <x v="9"/>
    <x v="24"/>
    <x v="24"/>
    <x v="0"/>
    <n v="584"/>
    <n v="141.75894800000003"/>
    <n v="478.1484969999994"/>
    <n v="6386821.0499999905"/>
    <n v="162"/>
    <n v="1849337.4499999993"/>
  </r>
  <r>
    <x v="1"/>
    <x v="5"/>
    <x v="0"/>
    <x v="9"/>
    <x v="25"/>
    <x v="25"/>
    <x v="0"/>
    <n v="1231"/>
    <n v="237.04643800000005"/>
    <n v="1068.3113840000017"/>
    <n v="14770683.609999977"/>
    <n v="269"/>
    <n v="3673536.9499999997"/>
  </r>
  <r>
    <x v="1"/>
    <x v="5"/>
    <x v="0"/>
    <x v="9"/>
    <x v="26"/>
    <x v="26"/>
    <x v="0"/>
    <n v="865"/>
    <n v="175.20239599999991"/>
    <n v="756.39451799999529"/>
    <n v="10770798.40999997"/>
    <n v="196"/>
    <n v="2367738.1399999997"/>
  </r>
  <r>
    <x v="1"/>
    <x v="5"/>
    <x v="0"/>
    <x v="9"/>
    <x v="27"/>
    <x v="27"/>
    <x v="0"/>
    <n v="730"/>
    <n v="179.0168729999998"/>
    <n v="593.49981199999797"/>
    <n v="6542723.7699999912"/>
    <n v="204"/>
    <n v="2046520.9600000009"/>
  </r>
  <r>
    <x v="1"/>
    <x v="5"/>
    <x v="0"/>
    <x v="9"/>
    <x v="28"/>
    <x v="28"/>
    <x v="0"/>
    <n v="821"/>
    <n v="141.18205600000005"/>
    <n v="730.92867599999795"/>
    <n v="8748125.8500000015"/>
    <n v="173"/>
    <n v="1817311.8300000005"/>
  </r>
  <r>
    <x v="1"/>
    <x v="5"/>
    <x v="0"/>
    <x v="9"/>
    <x v="29"/>
    <x v="29"/>
    <x v="0"/>
    <n v="546"/>
    <n v="161.02708700000008"/>
    <n v="547.67975299999966"/>
    <n v="10521892.450000005"/>
    <n v="177"/>
    <n v="2740204.2199999997"/>
  </r>
  <r>
    <x v="1"/>
    <x v="5"/>
    <x v="0"/>
    <x v="9"/>
    <x v="30"/>
    <x v="30"/>
    <x v="0"/>
    <n v="600"/>
    <n v="121.371303"/>
    <n v="461.37266900000054"/>
    <n v="6217382.0500000082"/>
    <n v="143"/>
    <n v="1559526.9400000004"/>
  </r>
  <r>
    <x v="1"/>
    <x v="5"/>
    <x v="0"/>
    <x v="9"/>
    <x v="31"/>
    <x v="31"/>
    <x v="0"/>
    <n v="1036"/>
    <n v="276.16517599999986"/>
    <n v="901.35359099999982"/>
    <n v="11849487.429999994"/>
    <n v="332"/>
    <n v="3434045.77"/>
  </r>
  <r>
    <x v="1"/>
    <x v="5"/>
    <x v="0"/>
    <x v="9"/>
    <x v="32"/>
    <x v="32"/>
    <x v="0"/>
    <n v="1795"/>
    <n v="387.69952200000029"/>
    <n v="1843.4000239999959"/>
    <n v="19768917.890000027"/>
    <n v="434"/>
    <n v="4150970.9599999976"/>
  </r>
  <r>
    <x v="1"/>
    <x v="5"/>
    <x v="0"/>
    <x v="9"/>
    <x v="33"/>
    <x v="33"/>
    <x v="0"/>
    <n v="1724"/>
    <n v="245.0976389999999"/>
    <n v="1507.2854160000129"/>
    <n v="17878517.229999945"/>
    <n v="255"/>
    <n v="3294678.7700000009"/>
  </r>
  <r>
    <x v="1"/>
    <x v="5"/>
    <x v="0"/>
    <x v="9"/>
    <x v="34"/>
    <x v="34"/>
    <x v="0"/>
    <n v="46"/>
    <n v="7.9738579999999999"/>
    <n v="29.905468999999993"/>
    <n v="272806.35000000003"/>
    <n v="14"/>
    <n v="78094.84"/>
  </r>
  <r>
    <x v="1"/>
    <x v="5"/>
    <x v="0"/>
    <x v="9"/>
    <x v="35"/>
    <x v="35"/>
    <x v="0"/>
    <n v="1684"/>
    <n v="248.5603269999998"/>
    <n v="1407.2629470000084"/>
    <n v="13380411.95999998"/>
    <n v="268"/>
    <n v="2250036.34"/>
  </r>
  <r>
    <x v="1"/>
    <x v="5"/>
    <x v="0"/>
    <x v="9"/>
    <x v="36"/>
    <x v="36"/>
    <x v="0"/>
    <n v="1470"/>
    <n v="270.15911799999981"/>
    <n v="1248.3735480000082"/>
    <n v="14621438.900000006"/>
    <n v="331"/>
    <n v="3248569.8599999989"/>
  </r>
  <r>
    <x v="1"/>
    <x v="5"/>
    <x v="0"/>
    <x v="9"/>
    <x v="37"/>
    <x v="37"/>
    <x v="0"/>
    <n v="885"/>
    <n v="267.42590999999982"/>
    <n v="963.75022200000114"/>
    <n v="11707367.059999987"/>
    <n v="275"/>
    <n v="3505202.1799999997"/>
  </r>
  <r>
    <x v="1"/>
    <x v="5"/>
    <x v="0"/>
    <x v="9"/>
    <x v="38"/>
    <x v="38"/>
    <x v="0"/>
    <n v="552"/>
    <n v="108.46823200000003"/>
    <n v="478.31111200000004"/>
    <n v="5449483.089999998"/>
    <n v="119"/>
    <n v="1218608.7500000002"/>
  </r>
  <r>
    <x v="1"/>
    <x v="5"/>
    <x v="0"/>
    <x v="9"/>
    <x v="39"/>
    <x v="39"/>
    <x v="0"/>
    <n v="1064"/>
    <n v="286.70493499999981"/>
    <n v="1185.8436550000024"/>
    <n v="14441215.950000012"/>
    <n v="284"/>
    <n v="3339561.3000000003"/>
  </r>
  <r>
    <x v="1"/>
    <x v="5"/>
    <x v="0"/>
    <x v="9"/>
    <x v="40"/>
    <x v="40"/>
    <x v="0"/>
    <n v="1916"/>
    <n v="276.46061900000007"/>
    <n v="1706.6491550000146"/>
    <n v="21080689.020000048"/>
    <n v="255"/>
    <n v="3632433.0500000003"/>
  </r>
  <r>
    <x v="1"/>
    <x v="5"/>
    <x v="0"/>
    <x v="9"/>
    <x v="41"/>
    <x v="41"/>
    <x v="0"/>
    <n v="256"/>
    <n v="0"/>
    <n v="436.14230700000087"/>
    <n v="6267382.9399999995"/>
    <n v="0"/>
    <n v="0"/>
  </r>
  <r>
    <x v="1"/>
    <x v="5"/>
    <x v="0"/>
    <x v="9"/>
    <x v="42"/>
    <x v="42"/>
    <x v="0"/>
    <n v="248"/>
    <n v="63.558700000000037"/>
    <n v="182.99345100000011"/>
    <n v="1826661.0100000009"/>
    <n v="91"/>
    <n v="604936.4099999998"/>
  </r>
  <r>
    <x v="1"/>
    <x v="5"/>
    <x v="0"/>
    <x v="9"/>
    <x v="43"/>
    <x v="43"/>
    <x v="0"/>
    <n v="289"/>
    <n v="81.229892000000021"/>
    <n v="333.26606299999992"/>
    <n v="3888170.7800000012"/>
    <n v="80"/>
    <n v="900124.2799999998"/>
  </r>
  <r>
    <x v="1"/>
    <x v="5"/>
    <x v="0"/>
    <x v="9"/>
    <x v="44"/>
    <x v="44"/>
    <x v="0"/>
    <n v="1576"/>
    <n v="326.47085499999957"/>
    <n v="1313.498125000008"/>
    <n v="16641998.270000005"/>
    <n v="386"/>
    <n v="4300865.5599999987"/>
  </r>
  <r>
    <x v="1"/>
    <x v="5"/>
    <x v="0"/>
    <x v="9"/>
    <x v="45"/>
    <x v="45"/>
    <x v="0"/>
    <n v="1562"/>
    <n v="225.80197999999996"/>
    <n v="1772.2242530000099"/>
    <n v="22621564.77999996"/>
    <n v="238"/>
    <n v="3042562.3599999985"/>
  </r>
  <r>
    <x v="1"/>
    <x v="5"/>
    <x v="0"/>
    <x v="9"/>
    <x v="46"/>
    <x v="46"/>
    <x v="0"/>
    <n v="119"/>
    <n v="6.8367620000000002"/>
    <n v="117.32221499999994"/>
    <n v="4929563.8299999991"/>
    <n v="7"/>
    <n v="296511.27"/>
  </r>
  <r>
    <x v="1"/>
    <x v="5"/>
    <x v="0"/>
    <x v="9"/>
    <x v="47"/>
    <x v="47"/>
    <x v="0"/>
    <n v="421"/>
    <n v="57.25338"/>
    <n v="304.16780599999993"/>
    <n v="3430444.3199999952"/>
    <n v="73"/>
    <n v="715756.45000000042"/>
  </r>
  <r>
    <x v="1"/>
    <x v="5"/>
    <x v="0"/>
    <x v="10"/>
    <x v="0"/>
    <x v="0"/>
    <x v="0"/>
    <n v="1776"/>
    <n v="290.31035800000001"/>
    <n v="1550.6019180000089"/>
    <n v="14700374.150000118"/>
    <n v="339"/>
    <n v="2960396.6000000015"/>
  </r>
  <r>
    <x v="1"/>
    <x v="5"/>
    <x v="0"/>
    <x v="10"/>
    <x v="1"/>
    <x v="1"/>
    <x v="0"/>
    <n v="2670"/>
    <n v="590.46410000000003"/>
    <n v="4748.8645380000025"/>
    <n v="95507265.740000069"/>
    <n v="429"/>
    <n v="13229558.809999991"/>
  </r>
  <r>
    <x v="1"/>
    <x v="5"/>
    <x v="0"/>
    <x v="10"/>
    <x v="2"/>
    <x v="2"/>
    <x v="0"/>
    <n v="1330"/>
    <n v="216.40256199999993"/>
    <n v="1240.1136420000023"/>
    <n v="17188594.290000018"/>
    <n v="246"/>
    <n v="2934371.4"/>
  </r>
  <r>
    <x v="1"/>
    <x v="5"/>
    <x v="0"/>
    <x v="10"/>
    <x v="3"/>
    <x v="3"/>
    <x v="0"/>
    <n v="3254"/>
    <n v="380.59017899999975"/>
    <n v="2622.3309169999857"/>
    <n v="31143397.979999971"/>
    <n v="389"/>
    <n v="5137521.5499999989"/>
  </r>
  <r>
    <x v="1"/>
    <x v="5"/>
    <x v="0"/>
    <x v="10"/>
    <x v="4"/>
    <x v="4"/>
    <x v="0"/>
    <n v="1646"/>
    <n v="289.76495399999965"/>
    <n v="1614.8744270000041"/>
    <n v="16551662.839999987"/>
    <n v="278"/>
    <n v="3012079.3499999987"/>
  </r>
  <r>
    <x v="1"/>
    <x v="5"/>
    <x v="0"/>
    <x v="10"/>
    <x v="5"/>
    <x v="5"/>
    <x v="0"/>
    <n v="495"/>
    <n v="111.614671"/>
    <n v="382.70938400000028"/>
    <n v="4717205.43"/>
    <n v="145"/>
    <n v="1346092.5700000003"/>
  </r>
  <r>
    <x v="1"/>
    <x v="5"/>
    <x v="0"/>
    <x v="10"/>
    <x v="6"/>
    <x v="6"/>
    <x v="0"/>
    <n v="1519"/>
    <n v="210.01067500000013"/>
    <n v="1614.2281000000125"/>
    <n v="18007573.210000016"/>
    <n v="217"/>
    <n v="2922273.4100000006"/>
  </r>
  <r>
    <x v="1"/>
    <x v="5"/>
    <x v="0"/>
    <x v="10"/>
    <x v="7"/>
    <x v="7"/>
    <x v="0"/>
    <n v="4166"/>
    <n v="751.16329400000086"/>
    <n v="6089.1219969999966"/>
    <n v="132073861.99000013"/>
    <n v="737"/>
    <n v="18772049.530000009"/>
  </r>
  <r>
    <x v="1"/>
    <x v="5"/>
    <x v="0"/>
    <x v="10"/>
    <x v="8"/>
    <x v="8"/>
    <x v="0"/>
    <n v="227"/>
    <n v="58.008158000000002"/>
    <n v="166.38270200000002"/>
    <n v="2503214.67"/>
    <n v="84"/>
    <n v="942457.79000000027"/>
  </r>
  <r>
    <x v="1"/>
    <x v="5"/>
    <x v="0"/>
    <x v="10"/>
    <x v="9"/>
    <x v="9"/>
    <x v="0"/>
    <n v="1815"/>
    <n v="388.49516799999947"/>
    <n v="1714.0642740000026"/>
    <n v="20752755.749999974"/>
    <n v="450"/>
    <n v="4951155.5199999986"/>
  </r>
  <r>
    <x v="1"/>
    <x v="5"/>
    <x v="0"/>
    <x v="10"/>
    <x v="10"/>
    <x v="10"/>
    <x v="0"/>
    <n v="2068"/>
    <n v="361.42350699999997"/>
    <n v="2511.186764000015"/>
    <n v="37492996.170000009"/>
    <n v="363"/>
    <n v="5120176.9800000004"/>
  </r>
  <r>
    <x v="0"/>
    <x v="7"/>
    <x v="7"/>
    <x v="2"/>
    <x v="11"/>
    <x v="11"/>
    <x v="0"/>
    <n v="156"/>
    <n v="30.712559608478962"/>
    <n v="117.38085550363895"/>
    <n v="1856793.5799999996"/>
    <n v="43"/>
    <n v="450589.56999999989"/>
  </r>
  <r>
    <x v="1"/>
    <x v="5"/>
    <x v="0"/>
    <x v="10"/>
    <x v="12"/>
    <x v="12"/>
    <x v="0"/>
    <n v="2619"/>
    <n v="538.58494499999983"/>
    <n v="2276.490211000013"/>
    <n v="27533322.310000055"/>
    <n v="603"/>
    <n v="6533205.2199999951"/>
  </r>
  <r>
    <x v="1"/>
    <x v="5"/>
    <x v="0"/>
    <x v="10"/>
    <x v="13"/>
    <x v="13"/>
    <x v="0"/>
    <n v="1186"/>
    <n v="233.12325899999985"/>
    <n v="1175.495811000003"/>
    <n v="15062672.619999975"/>
    <n v="244"/>
    <n v="3094265.6199999996"/>
  </r>
  <r>
    <x v="1"/>
    <x v="5"/>
    <x v="0"/>
    <x v="10"/>
    <x v="14"/>
    <x v="14"/>
    <x v="0"/>
    <n v="221"/>
    <n v="38.553564999999992"/>
    <n v="169.61056399999995"/>
    <n v="1668771.5800000012"/>
    <n v="55"/>
    <n v="459345.4800000001"/>
  </r>
  <r>
    <x v="1"/>
    <x v="5"/>
    <x v="0"/>
    <x v="10"/>
    <x v="15"/>
    <x v="15"/>
    <x v="0"/>
    <n v="813"/>
    <n v="137.05884900000007"/>
    <n v="691.78504599999667"/>
    <n v="8313326.3600000003"/>
    <n v="156"/>
    <n v="1613412.1000000003"/>
  </r>
  <r>
    <x v="1"/>
    <x v="5"/>
    <x v="0"/>
    <x v="10"/>
    <x v="16"/>
    <x v="16"/>
    <x v="0"/>
    <n v="1649"/>
    <n v="309.68462199999965"/>
    <n v="1785.5889289999955"/>
    <n v="20845810.930000022"/>
    <n v="321"/>
    <n v="3514704.6700000027"/>
  </r>
  <r>
    <x v="1"/>
    <x v="5"/>
    <x v="0"/>
    <x v="10"/>
    <x v="17"/>
    <x v="17"/>
    <x v="0"/>
    <n v="1294"/>
    <n v="249.1319019999998"/>
    <n v="1648.6083090000027"/>
    <n v="17620141.819999956"/>
    <n v="236"/>
    <n v="2543440.6100000008"/>
  </r>
  <r>
    <x v="1"/>
    <x v="5"/>
    <x v="0"/>
    <x v="10"/>
    <x v="18"/>
    <x v="18"/>
    <x v="0"/>
    <n v="2783"/>
    <n v="408.85024400000009"/>
    <n v="2531.352978999993"/>
    <n v="24476772.510000065"/>
    <n v="442"/>
    <n v="4201642.92"/>
  </r>
  <r>
    <x v="1"/>
    <x v="5"/>
    <x v="0"/>
    <x v="10"/>
    <x v="19"/>
    <x v="19"/>
    <x v="0"/>
    <n v="1192"/>
    <n v="251.38876399999998"/>
    <n v="1664.7963700000055"/>
    <n v="22388946.279999975"/>
    <n v="256"/>
    <n v="3692378.8599999989"/>
  </r>
  <r>
    <x v="1"/>
    <x v="5"/>
    <x v="0"/>
    <x v="10"/>
    <x v="20"/>
    <x v="20"/>
    <x v="0"/>
    <n v="1162"/>
    <n v="237.86167499999993"/>
    <n v="1155.9262120000024"/>
    <n v="14553527.169999996"/>
    <n v="253"/>
    <n v="3016951.1499999985"/>
  </r>
  <r>
    <x v="1"/>
    <x v="5"/>
    <x v="0"/>
    <x v="10"/>
    <x v="21"/>
    <x v="21"/>
    <x v="0"/>
    <n v="823"/>
    <n v="121.35451800000001"/>
    <n v="628.74601899999686"/>
    <n v="5637212.2199999988"/>
    <n v="152"/>
    <n v="1067843.0300000003"/>
  </r>
  <r>
    <x v="1"/>
    <x v="5"/>
    <x v="0"/>
    <x v="10"/>
    <x v="22"/>
    <x v="22"/>
    <x v="0"/>
    <n v="1859"/>
    <n v="343.31242899999944"/>
    <n v="1809.4724470000033"/>
    <n v="25969504.170000024"/>
    <n v="413"/>
    <n v="5197235.4499999983"/>
  </r>
  <r>
    <x v="1"/>
    <x v="5"/>
    <x v="0"/>
    <x v="10"/>
    <x v="23"/>
    <x v="23"/>
    <x v="0"/>
    <n v="151"/>
    <n v="37.837374000000004"/>
    <n v="117.68905900000003"/>
    <n v="1566750.44"/>
    <n v="52"/>
    <n v="526727.19999999995"/>
  </r>
  <r>
    <x v="1"/>
    <x v="5"/>
    <x v="0"/>
    <x v="10"/>
    <x v="24"/>
    <x v="24"/>
    <x v="0"/>
    <n v="617"/>
    <n v="128.96881000000002"/>
    <n v="501.84485599999999"/>
    <n v="6120814.4700000081"/>
    <n v="144"/>
    <n v="1508391.6100000008"/>
  </r>
  <r>
    <x v="1"/>
    <x v="5"/>
    <x v="0"/>
    <x v="10"/>
    <x v="25"/>
    <x v="25"/>
    <x v="0"/>
    <n v="1110"/>
    <n v="227.17157999999992"/>
    <n v="939.32232599999611"/>
    <n v="12071808.650000021"/>
    <n v="271"/>
    <n v="2935279.6000000015"/>
  </r>
  <r>
    <x v="1"/>
    <x v="5"/>
    <x v="0"/>
    <x v="10"/>
    <x v="26"/>
    <x v="26"/>
    <x v="0"/>
    <n v="880"/>
    <n v="158.14202600000002"/>
    <n v="707.05373999999483"/>
    <n v="9826569.3899999913"/>
    <n v="174"/>
    <n v="1964901.5499999991"/>
  </r>
  <r>
    <x v="1"/>
    <x v="5"/>
    <x v="0"/>
    <x v="10"/>
    <x v="27"/>
    <x v="27"/>
    <x v="0"/>
    <n v="685"/>
    <n v="146.89910500000005"/>
    <n v="572.42415799999765"/>
    <n v="6580570.9900000049"/>
    <n v="175"/>
    <n v="1808593.6099999987"/>
  </r>
  <r>
    <x v="1"/>
    <x v="5"/>
    <x v="0"/>
    <x v="10"/>
    <x v="28"/>
    <x v="28"/>
    <x v="0"/>
    <n v="798"/>
    <n v="130.95564199999995"/>
    <n v="657.09103599999764"/>
    <n v="8417564.9300000053"/>
    <n v="176"/>
    <n v="1788621.9799999993"/>
  </r>
  <r>
    <x v="1"/>
    <x v="5"/>
    <x v="0"/>
    <x v="10"/>
    <x v="29"/>
    <x v="29"/>
    <x v="0"/>
    <n v="598"/>
    <n v="169.77875099999986"/>
    <n v="629.27757700000018"/>
    <n v="12180954.24000001"/>
    <n v="182"/>
    <n v="2564666.4899999993"/>
  </r>
  <r>
    <x v="1"/>
    <x v="5"/>
    <x v="0"/>
    <x v="10"/>
    <x v="30"/>
    <x v="30"/>
    <x v="0"/>
    <n v="616"/>
    <n v="109.81068000000006"/>
    <n v="465.11971200000011"/>
    <n v="5728833.3999999994"/>
    <n v="139"/>
    <n v="1322561.9399999992"/>
  </r>
  <r>
    <x v="1"/>
    <x v="5"/>
    <x v="0"/>
    <x v="10"/>
    <x v="31"/>
    <x v="31"/>
    <x v="0"/>
    <n v="997"/>
    <n v="260.03540100000004"/>
    <n v="844.73548199999971"/>
    <n v="11480646.569999995"/>
    <n v="315"/>
    <n v="3367589.04"/>
  </r>
  <r>
    <x v="1"/>
    <x v="5"/>
    <x v="0"/>
    <x v="10"/>
    <x v="32"/>
    <x v="32"/>
    <x v="0"/>
    <n v="1832"/>
    <n v="452.36895800000019"/>
    <n v="1867.6128510000005"/>
    <n v="19901174.53999998"/>
    <n v="461"/>
    <n v="4965024.1800000062"/>
  </r>
  <r>
    <x v="1"/>
    <x v="5"/>
    <x v="0"/>
    <x v="10"/>
    <x v="33"/>
    <x v="33"/>
    <x v="0"/>
    <n v="1773"/>
    <n v="220.50717899999984"/>
    <n v="1543.6156280000114"/>
    <n v="18967147.269999981"/>
    <n v="240"/>
    <n v="2973067.9800000018"/>
  </r>
  <r>
    <x v="1"/>
    <x v="5"/>
    <x v="0"/>
    <x v="10"/>
    <x v="34"/>
    <x v="34"/>
    <x v="0"/>
    <n v="39"/>
    <n v="8.1450629999999986"/>
    <n v="23.205449000000002"/>
    <n v="221038.52999999997"/>
    <n v="14"/>
    <n v="94442.44"/>
  </r>
  <r>
    <x v="1"/>
    <x v="5"/>
    <x v="0"/>
    <x v="10"/>
    <x v="35"/>
    <x v="35"/>
    <x v="0"/>
    <n v="1860"/>
    <n v="267.0103689999998"/>
    <n v="1504.9701420000108"/>
    <n v="17618189.969999991"/>
    <n v="279"/>
    <n v="2935778.7900000028"/>
  </r>
  <r>
    <x v="1"/>
    <x v="5"/>
    <x v="0"/>
    <x v="10"/>
    <x v="36"/>
    <x v="36"/>
    <x v="0"/>
    <n v="1445"/>
    <n v="274.79900899999996"/>
    <n v="1232.034811000005"/>
    <n v="14806327.530000016"/>
    <n v="325"/>
    <n v="3237641.8999999976"/>
  </r>
  <r>
    <x v="1"/>
    <x v="5"/>
    <x v="0"/>
    <x v="10"/>
    <x v="37"/>
    <x v="37"/>
    <x v="0"/>
    <n v="901"/>
    <n v="230.04394399999978"/>
    <n v="988.12457300000165"/>
    <n v="11808764.759999987"/>
    <n v="238"/>
    <n v="2717106.5500000003"/>
  </r>
  <r>
    <x v="1"/>
    <x v="5"/>
    <x v="0"/>
    <x v="10"/>
    <x v="38"/>
    <x v="38"/>
    <x v="0"/>
    <n v="593"/>
    <n v="102.78539400000004"/>
    <n v="534.3928559999996"/>
    <n v="5867562.8100000024"/>
    <n v="113"/>
    <n v="1093265.74"/>
  </r>
  <r>
    <x v="1"/>
    <x v="5"/>
    <x v="0"/>
    <x v="10"/>
    <x v="39"/>
    <x v="39"/>
    <x v="0"/>
    <n v="1005"/>
    <n v="284.23018899999977"/>
    <n v="1126.4246579999988"/>
    <n v="13279374.730000015"/>
    <n v="283"/>
    <n v="3511299.7699999991"/>
  </r>
  <r>
    <x v="1"/>
    <x v="5"/>
    <x v="0"/>
    <x v="10"/>
    <x v="40"/>
    <x v="40"/>
    <x v="0"/>
    <n v="1974"/>
    <n v="267.59637899999996"/>
    <n v="1671.6288020000159"/>
    <n v="20059776.690000027"/>
    <n v="260"/>
    <n v="3431993.9199999995"/>
  </r>
  <r>
    <x v="1"/>
    <x v="5"/>
    <x v="0"/>
    <x v="10"/>
    <x v="41"/>
    <x v="41"/>
    <x v="0"/>
    <n v="283"/>
    <n v="1.2211860000000001"/>
    <n v="477.82218700000095"/>
    <n v="6737343.6700000074"/>
    <n v="1"/>
    <n v="14120.25"/>
  </r>
  <r>
    <x v="1"/>
    <x v="5"/>
    <x v="0"/>
    <x v="10"/>
    <x v="42"/>
    <x v="42"/>
    <x v="0"/>
    <n v="236"/>
    <n v="52.879198000000024"/>
    <n v="175.74620700000017"/>
    <n v="1475432.7000000002"/>
    <n v="76"/>
    <n v="364500.37"/>
  </r>
  <r>
    <x v="1"/>
    <x v="5"/>
    <x v="0"/>
    <x v="10"/>
    <x v="43"/>
    <x v="43"/>
    <x v="0"/>
    <n v="300"/>
    <n v="83.309011999999996"/>
    <n v="317.68732300000005"/>
    <n v="3475766.3100000024"/>
    <n v="78"/>
    <n v="856346.05999999982"/>
  </r>
  <r>
    <x v="1"/>
    <x v="5"/>
    <x v="0"/>
    <x v="10"/>
    <x v="44"/>
    <x v="44"/>
    <x v="0"/>
    <n v="1440"/>
    <n v="325.25343499999991"/>
    <n v="1206.8153310000057"/>
    <n v="15328954.849999987"/>
    <n v="394"/>
    <n v="4211752.0099999979"/>
  </r>
  <r>
    <x v="1"/>
    <x v="5"/>
    <x v="0"/>
    <x v="10"/>
    <x v="45"/>
    <x v="45"/>
    <x v="0"/>
    <n v="1628"/>
    <n v="231.79932299999979"/>
    <n v="1860.8311820000097"/>
    <n v="23570230.720000014"/>
    <n v="232"/>
    <n v="3142152.0099999993"/>
  </r>
  <r>
    <x v="1"/>
    <x v="5"/>
    <x v="0"/>
    <x v="10"/>
    <x v="46"/>
    <x v="46"/>
    <x v="0"/>
    <n v="96"/>
    <n v="4.1085449999999994"/>
    <n v="87.832372999999933"/>
    <n v="4039674.2499999995"/>
    <n v="4"/>
    <n v="135433.31"/>
  </r>
  <r>
    <x v="1"/>
    <x v="5"/>
    <x v="0"/>
    <x v="10"/>
    <x v="47"/>
    <x v="47"/>
    <x v="0"/>
    <n v="445"/>
    <n v="74.396067000000031"/>
    <n v="365.83617300000026"/>
    <n v="4523767.709999999"/>
    <n v="91"/>
    <n v="1030010.3100000003"/>
  </r>
  <r>
    <x v="1"/>
    <x v="5"/>
    <x v="0"/>
    <x v="11"/>
    <x v="0"/>
    <x v="0"/>
    <x v="0"/>
    <n v="1671"/>
    <n v="284.33322200000009"/>
    <n v="1477.9771600000029"/>
    <n v="15540052.000000024"/>
    <n v="317"/>
    <n v="3052640.9700000016"/>
  </r>
  <r>
    <x v="1"/>
    <x v="5"/>
    <x v="0"/>
    <x v="11"/>
    <x v="1"/>
    <x v="1"/>
    <x v="0"/>
    <n v="2596"/>
    <n v="596.42913099999964"/>
    <n v="4737.8224759999976"/>
    <n v="94251284.509999946"/>
    <n v="435"/>
    <n v="11381537.300000001"/>
  </r>
  <r>
    <x v="1"/>
    <x v="5"/>
    <x v="0"/>
    <x v="11"/>
    <x v="2"/>
    <x v="2"/>
    <x v="0"/>
    <n v="1320"/>
    <n v="197.48432899999992"/>
    <n v="1257.8263810000001"/>
    <n v="19722922.299999986"/>
    <n v="213"/>
    <n v="2752022.5"/>
  </r>
  <r>
    <x v="1"/>
    <x v="5"/>
    <x v="0"/>
    <x v="11"/>
    <x v="3"/>
    <x v="3"/>
    <x v="0"/>
    <n v="3104"/>
    <n v="382.50085999999999"/>
    <n v="2662.511471999991"/>
    <n v="30962371.519999981"/>
    <n v="377"/>
    <n v="4878719.3100000005"/>
  </r>
  <r>
    <x v="1"/>
    <x v="5"/>
    <x v="0"/>
    <x v="11"/>
    <x v="4"/>
    <x v="4"/>
    <x v="0"/>
    <n v="1710"/>
    <n v="298.13594999999987"/>
    <n v="1616.6818650000062"/>
    <n v="18762224.429999985"/>
    <n v="310"/>
    <n v="3354754.9299999992"/>
  </r>
  <r>
    <x v="1"/>
    <x v="5"/>
    <x v="0"/>
    <x v="11"/>
    <x v="5"/>
    <x v="5"/>
    <x v="0"/>
    <n v="505"/>
    <n v="104.13102299999994"/>
    <n v="381.69064500000042"/>
    <n v="5355934.709999999"/>
    <n v="131"/>
    <n v="1574657.4899999995"/>
  </r>
  <r>
    <x v="1"/>
    <x v="5"/>
    <x v="0"/>
    <x v="11"/>
    <x v="6"/>
    <x v="6"/>
    <x v="0"/>
    <n v="1525"/>
    <n v="180.17919900000004"/>
    <n v="1612.4514690000087"/>
    <n v="18632524.260000013"/>
    <n v="205"/>
    <n v="2601778.8399999994"/>
  </r>
  <r>
    <x v="1"/>
    <x v="5"/>
    <x v="0"/>
    <x v="11"/>
    <x v="7"/>
    <x v="7"/>
    <x v="0"/>
    <n v="4209"/>
    <n v="811.94276000000104"/>
    <n v="6068.6175619999703"/>
    <n v="132242532.25000006"/>
    <n v="739"/>
    <n v="19510652.68999999"/>
  </r>
  <r>
    <x v="1"/>
    <x v="5"/>
    <x v="0"/>
    <x v="11"/>
    <x v="8"/>
    <x v="8"/>
    <x v="0"/>
    <n v="253"/>
    <n v="58.771177000000016"/>
    <n v="176.98649599999996"/>
    <n v="2702375.0399999991"/>
    <n v="81"/>
    <n v="909518.30000000051"/>
  </r>
  <r>
    <x v="1"/>
    <x v="5"/>
    <x v="0"/>
    <x v="11"/>
    <x v="9"/>
    <x v="9"/>
    <x v="0"/>
    <n v="1864"/>
    <n v="382.9653119999997"/>
    <n v="1719.5798280000029"/>
    <n v="21073943.769999988"/>
    <n v="419"/>
    <n v="4836836.4100000039"/>
  </r>
  <r>
    <x v="1"/>
    <x v="5"/>
    <x v="0"/>
    <x v="11"/>
    <x v="10"/>
    <x v="10"/>
    <x v="0"/>
    <n v="2154"/>
    <n v="381.80383999999947"/>
    <n v="2462.8251710000136"/>
    <n v="36384056.760000058"/>
    <n v="390"/>
    <n v="5817725.8999999985"/>
  </r>
  <r>
    <x v="0"/>
    <x v="7"/>
    <x v="7"/>
    <x v="4"/>
    <x v="11"/>
    <x v="11"/>
    <x v="0"/>
    <n v="167"/>
    <n v="40.176217487837071"/>
    <n v="121.13074245583569"/>
    <n v="1988810.1699999997"/>
    <n v="54"/>
    <n v="779491.29000000015"/>
  </r>
  <r>
    <x v="1"/>
    <x v="5"/>
    <x v="0"/>
    <x v="11"/>
    <x v="12"/>
    <x v="12"/>
    <x v="0"/>
    <n v="2639"/>
    <n v="476.37868499999956"/>
    <n v="2283.7864190000105"/>
    <n v="27559107.460000046"/>
    <n v="549"/>
    <n v="5795094.1999999965"/>
  </r>
  <r>
    <x v="1"/>
    <x v="5"/>
    <x v="0"/>
    <x v="11"/>
    <x v="13"/>
    <x v="13"/>
    <x v="0"/>
    <n v="1204"/>
    <n v="216.53840399999993"/>
    <n v="1103.7363260000004"/>
    <n v="14344247.170000015"/>
    <n v="234"/>
    <n v="2531655.290000001"/>
  </r>
  <r>
    <x v="1"/>
    <x v="5"/>
    <x v="0"/>
    <x v="11"/>
    <x v="14"/>
    <x v="14"/>
    <x v="0"/>
    <n v="220"/>
    <n v="21.916229999999999"/>
    <n v="184.60040899999993"/>
    <n v="1685199.600000001"/>
    <n v="27"/>
    <n v="242063.13999999998"/>
  </r>
  <r>
    <x v="1"/>
    <x v="5"/>
    <x v="0"/>
    <x v="11"/>
    <x v="15"/>
    <x v="15"/>
    <x v="0"/>
    <n v="849"/>
    <n v="141.86510399999997"/>
    <n v="729.78645499999777"/>
    <n v="8255213.5299999909"/>
    <n v="162"/>
    <n v="1685049.1699999995"/>
  </r>
  <r>
    <x v="1"/>
    <x v="5"/>
    <x v="0"/>
    <x v="11"/>
    <x v="16"/>
    <x v="16"/>
    <x v="0"/>
    <n v="1700"/>
    <n v="304.72003699999971"/>
    <n v="1795.2689509999916"/>
    <n v="20965376.479999997"/>
    <n v="316"/>
    <n v="3871374.1899999985"/>
  </r>
  <r>
    <x v="1"/>
    <x v="5"/>
    <x v="0"/>
    <x v="11"/>
    <x v="17"/>
    <x v="17"/>
    <x v="0"/>
    <n v="1289"/>
    <n v="245.38902999999976"/>
    <n v="1668.085736"/>
    <n v="17619739.409999985"/>
    <n v="232"/>
    <n v="2389050.7100000004"/>
  </r>
  <r>
    <x v="1"/>
    <x v="5"/>
    <x v="0"/>
    <x v="11"/>
    <x v="18"/>
    <x v="18"/>
    <x v="0"/>
    <n v="2729"/>
    <n v="357.20285999999976"/>
    <n v="2501.2332629999928"/>
    <n v="23809132.339999929"/>
    <n v="379"/>
    <n v="3905570.3599999966"/>
  </r>
  <r>
    <x v="1"/>
    <x v="5"/>
    <x v="0"/>
    <x v="11"/>
    <x v="19"/>
    <x v="19"/>
    <x v="0"/>
    <n v="1207"/>
    <n v="277.13126699999992"/>
    <n v="1639.2767350000011"/>
    <n v="21722862.309999961"/>
    <n v="284"/>
    <n v="3924208.8700000029"/>
  </r>
  <r>
    <x v="1"/>
    <x v="5"/>
    <x v="0"/>
    <x v="11"/>
    <x v="20"/>
    <x v="20"/>
    <x v="0"/>
    <n v="1104"/>
    <n v="254.29451699999996"/>
    <n v="1131.6151960000025"/>
    <n v="13996526.250000004"/>
    <n v="245"/>
    <n v="3067846.2800000026"/>
  </r>
  <r>
    <x v="1"/>
    <x v="5"/>
    <x v="0"/>
    <x v="11"/>
    <x v="21"/>
    <x v="21"/>
    <x v="0"/>
    <n v="827"/>
    <n v="145.32421699999998"/>
    <n v="619.96221899999557"/>
    <n v="5368407.1599999955"/>
    <n v="171"/>
    <n v="1199905.4099999995"/>
  </r>
  <r>
    <x v="1"/>
    <x v="5"/>
    <x v="0"/>
    <x v="11"/>
    <x v="22"/>
    <x v="22"/>
    <x v="0"/>
    <n v="1890"/>
    <n v="366.68633299999999"/>
    <n v="1937.3423020000023"/>
    <n v="30609634.990000073"/>
    <n v="394"/>
    <n v="5478514.0200000033"/>
  </r>
  <r>
    <x v="1"/>
    <x v="5"/>
    <x v="0"/>
    <x v="11"/>
    <x v="23"/>
    <x v="23"/>
    <x v="0"/>
    <n v="163"/>
    <n v="43.508882999999997"/>
    <n v="129.44190400000005"/>
    <n v="2294863.73"/>
    <n v="58"/>
    <n v="788606.60000000021"/>
  </r>
  <r>
    <x v="1"/>
    <x v="5"/>
    <x v="0"/>
    <x v="11"/>
    <x v="24"/>
    <x v="24"/>
    <x v="0"/>
    <n v="615"/>
    <n v="132.04900500000005"/>
    <n v="486.05419199999977"/>
    <n v="5739768.110000005"/>
    <n v="157"/>
    <n v="1571941.6699999997"/>
  </r>
  <r>
    <x v="1"/>
    <x v="5"/>
    <x v="0"/>
    <x v="11"/>
    <x v="25"/>
    <x v="25"/>
    <x v="0"/>
    <n v="1159"/>
    <n v="203.98643999999973"/>
    <n v="978.70421999999519"/>
    <n v="12570718.280000001"/>
    <n v="247"/>
    <n v="2803735.6199999987"/>
  </r>
  <r>
    <x v="1"/>
    <x v="5"/>
    <x v="0"/>
    <x v="11"/>
    <x v="26"/>
    <x v="26"/>
    <x v="0"/>
    <n v="863"/>
    <n v="166.64949400000006"/>
    <n v="760.90028199999608"/>
    <n v="12579071.019999996"/>
    <n v="191"/>
    <n v="2156569.1599999997"/>
  </r>
  <r>
    <x v="1"/>
    <x v="5"/>
    <x v="0"/>
    <x v="11"/>
    <x v="27"/>
    <x v="27"/>
    <x v="0"/>
    <n v="627"/>
    <n v="134.87916400000003"/>
    <n v="536.40612499999861"/>
    <n v="6902625.54"/>
    <n v="142"/>
    <n v="1927719.4300000002"/>
  </r>
  <r>
    <x v="1"/>
    <x v="5"/>
    <x v="0"/>
    <x v="11"/>
    <x v="28"/>
    <x v="28"/>
    <x v="0"/>
    <n v="772"/>
    <n v="111.54136200000005"/>
    <n v="674.44436899999869"/>
    <n v="8600376.2899999991"/>
    <n v="138"/>
    <n v="1384470.1899999995"/>
  </r>
  <r>
    <x v="1"/>
    <x v="5"/>
    <x v="0"/>
    <x v="11"/>
    <x v="29"/>
    <x v="29"/>
    <x v="0"/>
    <n v="499"/>
    <n v="144.51767400000006"/>
    <n v="549.83209099999954"/>
    <n v="10604331.020000003"/>
    <n v="146"/>
    <n v="2424465.7799999989"/>
  </r>
  <r>
    <x v="1"/>
    <x v="5"/>
    <x v="0"/>
    <x v="11"/>
    <x v="30"/>
    <x v="30"/>
    <x v="0"/>
    <n v="584"/>
    <n v="98.794341000000031"/>
    <n v="419.2712369999997"/>
    <n v="5891329.6599999983"/>
    <n v="131"/>
    <n v="1398442.8599999999"/>
  </r>
  <r>
    <x v="1"/>
    <x v="5"/>
    <x v="0"/>
    <x v="11"/>
    <x v="31"/>
    <x v="31"/>
    <x v="0"/>
    <n v="982"/>
    <n v="240.93032199999982"/>
    <n v="862.52781699999969"/>
    <n v="11781581.389999988"/>
    <n v="288"/>
    <n v="3329071.1799999997"/>
  </r>
  <r>
    <x v="1"/>
    <x v="5"/>
    <x v="0"/>
    <x v="11"/>
    <x v="32"/>
    <x v="32"/>
    <x v="0"/>
    <n v="1774"/>
    <n v="463.00642899999991"/>
    <n v="1827.6618880000033"/>
    <n v="19180053.04999999"/>
    <n v="442"/>
    <n v="4824188.3599999994"/>
  </r>
  <r>
    <x v="1"/>
    <x v="5"/>
    <x v="0"/>
    <x v="11"/>
    <x v="33"/>
    <x v="33"/>
    <x v="0"/>
    <n v="1838"/>
    <n v="208.44087999999999"/>
    <n v="1538.3043840000141"/>
    <n v="20156939.770000029"/>
    <n v="226"/>
    <n v="2865454.359999998"/>
  </r>
  <r>
    <x v="1"/>
    <x v="5"/>
    <x v="0"/>
    <x v="11"/>
    <x v="34"/>
    <x v="34"/>
    <x v="0"/>
    <n v="45"/>
    <n v="9.2553129999999992"/>
    <n v="25.109684000000001"/>
    <n v="224363.34000000003"/>
    <n v="17"/>
    <n v="61698.790000000008"/>
  </r>
  <r>
    <x v="1"/>
    <x v="5"/>
    <x v="0"/>
    <x v="11"/>
    <x v="35"/>
    <x v="35"/>
    <x v="0"/>
    <n v="1786"/>
    <n v="257.35381299999995"/>
    <n v="1372.1127810000132"/>
    <n v="14777445.110000027"/>
    <n v="267"/>
    <n v="2575422.7100000032"/>
  </r>
  <r>
    <x v="1"/>
    <x v="5"/>
    <x v="0"/>
    <x v="11"/>
    <x v="36"/>
    <x v="36"/>
    <x v="0"/>
    <n v="1367"/>
    <n v="240.03656100000001"/>
    <n v="1223.4441130000048"/>
    <n v="14451064.429999996"/>
    <n v="299"/>
    <n v="2698127.4199999995"/>
  </r>
  <r>
    <x v="1"/>
    <x v="5"/>
    <x v="0"/>
    <x v="11"/>
    <x v="37"/>
    <x v="37"/>
    <x v="0"/>
    <n v="916"/>
    <n v="230.95964299999991"/>
    <n v="985.37959200000205"/>
    <n v="11848596.579999989"/>
    <n v="252"/>
    <n v="2840300.33"/>
  </r>
  <r>
    <x v="1"/>
    <x v="5"/>
    <x v="0"/>
    <x v="11"/>
    <x v="38"/>
    <x v="38"/>
    <x v="0"/>
    <n v="629"/>
    <n v="125.17039700000001"/>
    <n v="540.38839299999972"/>
    <n v="5330747.4799999921"/>
    <n v="129"/>
    <n v="1006573.2599999997"/>
  </r>
  <r>
    <x v="1"/>
    <x v="5"/>
    <x v="0"/>
    <x v="11"/>
    <x v="39"/>
    <x v="39"/>
    <x v="0"/>
    <n v="1083"/>
    <n v="305.09620499999949"/>
    <n v="1200.3795150000012"/>
    <n v="16478900.589999994"/>
    <n v="294"/>
    <n v="4484979.870000002"/>
  </r>
  <r>
    <x v="1"/>
    <x v="5"/>
    <x v="0"/>
    <x v="11"/>
    <x v="40"/>
    <x v="40"/>
    <x v="0"/>
    <n v="1900"/>
    <n v="260.56573199999985"/>
    <n v="1655.6083090000152"/>
    <n v="19386508.759999983"/>
    <n v="238"/>
    <n v="3167955.7299999991"/>
  </r>
  <r>
    <x v="1"/>
    <x v="5"/>
    <x v="0"/>
    <x v="11"/>
    <x v="41"/>
    <x v="41"/>
    <x v="0"/>
    <n v="280"/>
    <n v="0"/>
    <n v="474.56570500000083"/>
    <n v="6931109.9599999981"/>
    <n v="0"/>
    <n v="0"/>
  </r>
  <r>
    <x v="1"/>
    <x v="5"/>
    <x v="0"/>
    <x v="11"/>
    <x v="42"/>
    <x v="42"/>
    <x v="0"/>
    <n v="198"/>
    <n v="48.761611000000002"/>
    <n v="166.426725"/>
    <n v="1432898.0799999998"/>
    <n v="67"/>
    <n v="409290.22"/>
  </r>
  <r>
    <x v="1"/>
    <x v="5"/>
    <x v="0"/>
    <x v="11"/>
    <x v="43"/>
    <x v="43"/>
    <x v="0"/>
    <n v="312"/>
    <n v="77.178761000000009"/>
    <n v="309.30161299999986"/>
    <n v="3663789.2700000014"/>
    <n v="82"/>
    <n v="918940.05999999971"/>
  </r>
  <r>
    <x v="1"/>
    <x v="5"/>
    <x v="0"/>
    <x v="11"/>
    <x v="44"/>
    <x v="44"/>
    <x v="0"/>
    <n v="1443"/>
    <n v="294.0928269999996"/>
    <n v="1200.9237530000048"/>
    <n v="15287077.660000004"/>
    <n v="340"/>
    <n v="3600441.42"/>
  </r>
  <r>
    <x v="1"/>
    <x v="5"/>
    <x v="0"/>
    <x v="11"/>
    <x v="45"/>
    <x v="45"/>
    <x v="0"/>
    <n v="1575"/>
    <n v="186.06535799999995"/>
    <n v="1722.7675570000088"/>
    <n v="22422245.480000045"/>
    <n v="188"/>
    <n v="2556572.0099999988"/>
  </r>
  <r>
    <x v="1"/>
    <x v="5"/>
    <x v="0"/>
    <x v="11"/>
    <x v="46"/>
    <x v="46"/>
    <x v="0"/>
    <n v="109"/>
    <n v="5.3083190000000009"/>
    <n v="91.33853299999997"/>
    <n v="4186223.1599999983"/>
    <n v="6"/>
    <n v="233638.2"/>
  </r>
  <r>
    <x v="1"/>
    <x v="5"/>
    <x v="0"/>
    <x v="11"/>
    <x v="47"/>
    <x v="47"/>
    <x v="0"/>
    <n v="383"/>
    <n v="61.027171000000003"/>
    <n v="297.37903399999999"/>
    <n v="3428628.620000001"/>
    <n v="76"/>
    <n v="829931.24000000011"/>
  </r>
  <r>
    <x v="1"/>
    <x v="0"/>
    <x v="0"/>
    <x v="1"/>
    <x v="0"/>
    <x v="0"/>
    <x v="0"/>
    <n v="1604"/>
    <n v="233.16719599999996"/>
    <n v="1529.007481000004"/>
    <n v="17022741.369999982"/>
    <n v="259"/>
    <n v="2566852.1700000004"/>
  </r>
  <r>
    <x v="1"/>
    <x v="0"/>
    <x v="0"/>
    <x v="1"/>
    <x v="1"/>
    <x v="1"/>
    <x v="0"/>
    <n v="2704"/>
    <n v="484.92455099999967"/>
    <n v="5027.4288379999871"/>
    <n v="98039797.710000038"/>
    <n v="345"/>
    <n v="8378710.3600000031"/>
  </r>
  <r>
    <x v="1"/>
    <x v="0"/>
    <x v="0"/>
    <x v="1"/>
    <x v="2"/>
    <x v="2"/>
    <x v="0"/>
    <n v="1371"/>
    <n v="182.93917800000003"/>
    <n v="1294.826217000003"/>
    <n v="19684763.939999975"/>
    <n v="209"/>
    <n v="2627760.6099999994"/>
  </r>
  <r>
    <x v="1"/>
    <x v="0"/>
    <x v="0"/>
    <x v="1"/>
    <x v="3"/>
    <x v="3"/>
    <x v="0"/>
    <n v="3221"/>
    <n v="299.3506919999997"/>
    <n v="2689.0486749999923"/>
    <n v="31290102.239999931"/>
    <n v="296"/>
    <n v="3926839.7999999966"/>
  </r>
  <r>
    <x v="1"/>
    <x v="0"/>
    <x v="0"/>
    <x v="1"/>
    <x v="4"/>
    <x v="4"/>
    <x v="0"/>
    <n v="1662"/>
    <n v="259.29942799999964"/>
    <n v="1567.5103170000084"/>
    <n v="16958979.970000006"/>
    <n v="268"/>
    <n v="2609976.0800000005"/>
  </r>
  <r>
    <x v="1"/>
    <x v="0"/>
    <x v="0"/>
    <x v="1"/>
    <x v="5"/>
    <x v="5"/>
    <x v="0"/>
    <n v="541"/>
    <n v="101.97878199999997"/>
    <n v="388.94762000000037"/>
    <n v="5555606.1999999974"/>
    <n v="140"/>
    <n v="1554947.6300000006"/>
  </r>
  <r>
    <x v="1"/>
    <x v="0"/>
    <x v="0"/>
    <x v="1"/>
    <x v="6"/>
    <x v="6"/>
    <x v="0"/>
    <n v="1655"/>
    <n v="141.97218900000001"/>
    <n v="1753.6806610000144"/>
    <n v="19998972.110000025"/>
    <n v="158"/>
    <n v="1726071.2699999996"/>
  </r>
  <r>
    <x v="1"/>
    <x v="0"/>
    <x v="0"/>
    <x v="1"/>
    <x v="7"/>
    <x v="7"/>
    <x v="0"/>
    <n v="4288"/>
    <n v="782.57938500000125"/>
    <n v="6306.4895529999985"/>
    <n v="128501544.52999982"/>
    <n v="685"/>
    <n v="16954369.940000005"/>
  </r>
  <r>
    <x v="1"/>
    <x v="0"/>
    <x v="0"/>
    <x v="1"/>
    <x v="8"/>
    <x v="8"/>
    <x v="0"/>
    <n v="240"/>
    <n v="50.315567000000023"/>
    <n v="180.03515700000005"/>
    <n v="2621030.3400000008"/>
    <n v="68"/>
    <n v="736113.63000000012"/>
  </r>
  <r>
    <x v="1"/>
    <x v="0"/>
    <x v="0"/>
    <x v="1"/>
    <x v="9"/>
    <x v="9"/>
    <x v="0"/>
    <n v="1895"/>
    <n v="365.65004400000015"/>
    <n v="1849.2238319999999"/>
    <n v="23693259.270000037"/>
    <n v="413"/>
    <n v="4870070.5399999982"/>
  </r>
  <r>
    <x v="1"/>
    <x v="0"/>
    <x v="0"/>
    <x v="1"/>
    <x v="10"/>
    <x v="10"/>
    <x v="0"/>
    <n v="2128"/>
    <n v="360.93808499999977"/>
    <n v="2422.3345590000126"/>
    <n v="37283092.54999996"/>
    <n v="363"/>
    <n v="5475003.0900000017"/>
  </r>
  <r>
    <x v="1"/>
    <x v="0"/>
    <x v="0"/>
    <x v="1"/>
    <x v="11"/>
    <x v="11"/>
    <x v="0"/>
    <n v="462"/>
    <n v="108.46554300000001"/>
    <n v="370.91353799999968"/>
    <n v="5374031.299999998"/>
    <n v="136"/>
    <n v="1558015.2000000004"/>
  </r>
  <r>
    <x v="1"/>
    <x v="0"/>
    <x v="0"/>
    <x v="1"/>
    <x v="12"/>
    <x v="12"/>
    <x v="0"/>
    <n v="2683"/>
    <n v="515.79126499999995"/>
    <n v="2322.3763920000124"/>
    <n v="29028200.740000013"/>
    <n v="567"/>
    <n v="6753718.8299999954"/>
  </r>
  <r>
    <x v="1"/>
    <x v="0"/>
    <x v="0"/>
    <x v="1"/>
    <x v="13"/>
    <x v="13"/>
    <x v="0"/>
    <n v="1213"/>
    <n v="185.11916499999975"/>
    <n v="1049.1954389999955"/>
    <n v="13612777.819999987"/>
    <n v="195"/>
    <n v="2162652.3200000003"/>
  </r>
  <r>
    <x v="1"/>
    <x v="0"/>
    <x v="0"/>
    <x v="1"/>
    <x v="14"/>
    <x v="14"/>
    <x v="0"/>
    <n v="214"/>
    <n v="20.796314000000002"/>
    <n v="165.54021000000006"/>
    <n v="1613345.9299999995"/>
    <n v="29"/>
    <n v="258244.37999999998"/>
  </r>
  <r>
    <x v="1"/>
    <x v="0"/>
    <x v="0"/>
    <x v="1"/>
    <x v="15"/>
    <x v="15"/>
    <x v="0"/>
    <n v="824"/>
    <n v="138.59880900000002"/>
    <n v="690.15853999999683"/>
    <n v="7562812.7200000007"/>
    <n v="155"/>
    <n v="1425101.4999999995"/>
  </r>
  <r>
    <x v="1"/>
    <x v="0"/>
    <x v="0"/>
    <x v="1"/>
    <x v="16"/>
    <x v="16"/>
    <x v="0"/>
    <n v="1799"/>
    <n v="278.50748000000004"/>
    <n v="1814.6928309999923"/>
    <n v="20778626.679999929"/>
    <n v="313"/>
    <n v="3303698.2100000004"/>
  </r>
  <r>
    <x v="1"/>
    <x v="0"/>
    <x v="0"/>
    <x v="1"/>
    <x v="17"/>
    <x v="17"/>
    <x v="0"/>
    <n v="1330"/>
    <n v="207.21953000000002"/>
    <n v="1602.2722940000001"/>
    <n v="17742757.000000007"/>
    <n v="235"/>
    <n v="2243822.3199999998"/>
  </r>
  <r>
    <x v="1"/>
    <x v="0"/>
    <x v="0"/>
    <x v="1"/>
    <x v="18"/>
    <x v="18"/>
    <x v="0"/>
    <n v="2759"/>
    <n v="333.5547380000001"/>
    <n v="2538.8015309999919"/>
    <n v="24465545.869999979"/>
    <n v="378"/>
    <n v="3657372.4399999976"/>
  </r>
  <r>
    <x v="1"/>
    <x v="0"/>
    <x v="0"/>
    <x v="1"/>
    <x v="19"/>
    <x v="19"/>
    <x v="0"/>
    <n v="1201"/>
    <n v="242.57876599999997"/>
    <n v="1584.2660870000034"/>
    <n v="20997223.350000013"/>
    <n v="248"/>
    <n v="3407331.6199999987"/>
  </r>
  <r>
    <x v="1"/>
    <x v="0"/>
    <x v="0"/>
    <x v="1"/>
    <x v="20"/>
    <x v="20"/>
    <x v="0"/>
    <n v="1191"/>
    <n v="209.35553899999979"/>
    <n v="1156.1188840000029"/>
    <n v="15024366.959999995"/>
    <n v="222"/>
    <n v="2855089.8600000027"/>
  </r>
  <r>
    <x v="1"/>
    <x v="0"/>
    <x v="0"/>
    <x v="1"/>
    <x v="21"/>
    <x v="21"/>
    <x v="0"/>
    <n v="853"/>
    <n v="125.00421499999997"/>
    <n v="645.6556059999956"/>
    <n v="7164001.3099999875"/>
    <n v="152"/>
    <n v="1469672.3200000005"/>
  </r>
  <r>
    <x v="1"/>
    <x v="0"/>
    <x v="0"/>
    <x v="1"/>
    <x v="22"/>
    <x v="22"/>
    <x v="0"/>
    <n v="1910"/>
    <n v="318.64932099999999"/>
    <n v="1894.3221620000063"/>
    <n v="30834832.310000028"/>
    <n v="371"/>
    <n v="5245202.4600000018"/>
  </r>
  <r>
    <x v="1"/>
    <x v="0"/>
    <x v="0"/>
    <x v="1"/>
    <x v="23"/>
    <x v="23"/>
    <x v="0"/>
    <n v="173"/>
    <n v="36.329588999999999"/>
    <n v="133.86408700000004"/>
    <n v="1937093.7199999993"/>
    <n v="52"/>
    <n v="587028.2799999998"/>
  </r>
  <r>
    <x v="1"/>
    <x v="0"/>
    <x v="0"/>
    <x v="1"/>
    <x v="24"/>
    <x v="24"/>
    <x v="0"/>
    <n v="603"/>
    <n v="113.83194299999998"/>
    <n v="480.08112099999965"/>
    <n v="6857822.8999999966"/>
    <n v="137"/>
    <n v="1430051.75"/>
  </r>
  <r>
    <x v="1"/>
    <x v="0"/>
    <x v="0"/>
    <x v="1"/>
    <x v="25"/>
    <x v="25"/>
    <x v="0"/>
    <n v="1154"/>
    <n v="186.06808199999998"/>
    <n v="985.48287399999651"/>
    <n v="13263025.940000011"/>
    <n v="232"/>
    <n v="2829638.3700000015"/>
  </r>
  <r>
    <x v="1"/>
    <x v="0"/>
    <x v="0"/>
    <x v="1"/>
    <x v="26"/>
    <x v="26"/>
    <x v="0"/>
    <n v="927"/>
    <n v="155.38896400000004"/>
    <n v="811.79410099999495"/>
    <n v="11353782.320000011"/>
    <n v="170"/>
    <n v="1990873.3399999994"/>
  </r>
  <r>
    <x v="1"/>
    <x v="0"/>
    <x v="0"/>
    <x v="1"/>
    <x v="27"/>
    <x v="27"/>
    <x v="0"/>
    <n v="695"/>
    <n v="126.80245500000004"/>
    <n v="568.0250789999983"/>
    <n v="6544832.3100000005"/>
    <n v="153"/>
    <n v="1540463.5900000005"/>
  </r>
  <r>
    <x v="1"/>
    <x v="0"/>
    <x v="0"/>
    <x v="1"/>
    <x v="28"/>
    <x v="28"/>
    <x v="0"/>
    <n v="771"/>
    <n v="105.383072"/>
    <n v="665.24248199999772"/>
    <n v="8385807.8600000031"/>
    <n v="118"/>
    <n v="1575750.3299999989"/>
  </r>
  <r>
    <x v="1"/>
    <x v="0"/>
    <x v="0"/>
    <x v="1"/>
    <x v="29"/>
    <x v="29"/>
    <x v="0"/>
    <n v="545"/>
    <n v="134.95630199999999"/>
    <n v="534.09341599999982"/>
    <n v="9842546.1200000085"/>
    <n v="147"/>
    <n v="2358815.2499999995"/>
  </r>
  <r>
    <x v="1"/>
    <x v="0"/>
    <x v="0"/>
    <x v="1"/>
    <x v="30"/>
    <x v="30"/>
    <x v="0"/>
    <n v="643"/>
    <n v="97.230225999999988"/>
    <n v="501.36416499999956"/>
    <n v="6414587.5699999994"/>
    <n v="124"/>
    <n v="1072088.6399999994"/>
  </r>
  <r>
    <x v="1"/>
    <x v="0"/>
    <x v="0"/>
    <x v="1"/>
    <x v="31"/>
    <x v="31"/>
    <x v="0"/>
    <n v="966"/>
    <n v="252.56679300000005"/>
    <n v="849.93953199999805"/>
    <n v="11301895.080000017"/>
    <n v="303"/>
    <n v="3195199.4099999983"/>
  </r>
  <r>
    <x v="1"/>
    <x v="0"/>
    <x v="0"/>
    <x v="1"/>
    <x v="32"/>
    <x v="32"/>
    <x v="0"/>
    <n v="1851"/>
    <n v="421.15890599999989"/>
    <n v="1844.5080790000018"/>
    <n v="22155024.509999957"/>
    <n v="443"/>
    <n v="5227961.559999994"/>
  </r>
  <r>
    <x v="1"/>
    <x v="0"/>
    <x v="0"/>
    <x v="1"/>
    <x v="33"/>
    <x v="33"/>
    <x v="0"/>
    <n v="1918"/>
    <n v="195.23459800000001"/>
    <n v="1655.1463710000151"/>
    <n v="20280279.82000003"/>
    <n v="211"/>
    <n v="2648727.7599999998"/>
  </r>
  <r>
    <x v="1"/>
    <x v="0"/>
    <x v="0"/>
    <x v="1"/>
    <x v="34"/>
    <x v="34"/>
    <x v="0"/>
    <n v="16"/>
    <n v="1.154844"/>
    <n v="13.240843999999999"/>
    <n v="151693.08000000002"/>
    <n v="2"/>
    <n v="16902.04"/>
  </r>
  <r>
    <x v="1"/>
    <x v="0"/>
    <x v="0"/>
    <x v="1"/>
    <x v="35"/>
    <x v="35"/>
    <x v="0"/>
    <n v="1835"/>
    <n v="252.31460599999988"/>
    <n v="1445.4345680000135"/>
    <n v="15369018.039999973"/>
    <n v="287"/>
    <n v="2617976.0799999996"/>
  </r>
  <r>
    <x v="1"/>
    <x v="0"/>
    <x v="0"/>
    <x v="1"/>
    <x v="36"/>
    <x v="36"/>
    <x v="0"/>
    <n v="1440"/>
    <n v="205.36514199999991"/>
    <n v="1244.8948640000062"/>
    <n v="15102966.939999994"/>
    <n v="267"/>
    <n v="2389866.830000001"/>
  </r>
  <r>
    <x v="1"/>
    <x v="0"/>
    <x v="0"/>
    <x v="1"/>
    <x v="37"/>
    <x v="37"/>
    <x v="0"/>
    <n v="962"/>
    <n v="259.66940399999999"/>
    <n v="1009.6083500000008"/>
    <n v="12138552.680000007"/>
    <n v="277"/>
    <n v="3158710.9199999995"/>
  </r>
  <r>
    <x v="1"/>
    <x v="0"/>
    <x v="0"/>
    <x v="1"/>
    <x v="38"/>
    <x v="38"/>
    <x v="0"/>
    <n v="602"/>
    <n v="75.990570000000034"/>
    <n v="518.12122399999964"/>
    <n v="6188549.9200000018"/>
    <n v="87"/>
    <n v="899083.1399999999"/>
  </r>
  <r>
    <x v="1"/>
    <x v="0"/>
    <x v="0"/>
    <x v="1"/>
    <x v="39"/>
    <x v="39"/>
    <x v="0"/>
    <n v="1046"/>
    <n v="293.80380899999972"/>
    <n v="1161.0244430000002"/>
    <n v="15272052.309999995"/>
    <n v="289"/>
    <n v="3726893.1200000034"/>
  </r>
  <r>
    <x v="1"/>
    <x v="0"/>
    <x v="0"/>
    <x v="1"/>
    <x v="40"/>
    <x v="40"/>
    <x v="0"/>
    <n v="1964"/>
    <n v="200.12629799999988"/>
    <n v="1648.9655380000167"/>
    <n v="19532196.709999949"/>
    <n v="189"/>
    <n v="2711800.5700000003"/>
  </r>
  <r>
    <x v="1"/>
    <x v="0"/>
    <x v="0"/>
    <x v="1"/>
    <x v="41"/>
    <x v="41"/>
    <x v="0"/>
    <n v="246"/>
    <n v="0"/>
    <n v="414.88572400000038"/>
    <n v="5267083.9400000004"/>
    <n v="0"/>
    <n v="0"/>
  </r>
  <r>
    <x v="1"/>
    <x v="0"/>
    <x v="0"/>
    <x v="1"/>
    <x v="42"/>
    <x v="42"/>
    <x v="0"/>
    <n v="230"/>
    <n v="52.288791999999994"/>
    <n v="165.45783999999992"/>
    <n v="1527329.8800000006"/>
    <n v="73"/>
    <n v="550588.46000000008"/>
  </r>
  <r>
    <x v="1"/>
    <x v="0"/>
    <x v="0"/>
    <x v="1"/>
    <x v="43"/>
    <x v="43"/>
    <x v="0"/>
    <n v="357"/>
    <n v="80.380030000000048"/>
    <n v="386.63268899999997"/>
    <n v="3862312.4399999967"/>
    <n v="81"/>
    <n v="639893.18999999994"/>
  </r>
  <r>
    <x v="1"/>
    <x v="0"/>
    <x v="0"/>
    <x v="1"/>
    <x v="44"/>
    <x v="44"/>
    <x v="0"/>
    <n v="1473"/>
    <n v="279.2658209999999"/>
    <n v="1184.6147970000045"/>
    <n v="16473941.219999995"/>
    <n v="306"/>
    <n v="3732363.8699999987"/>
  </r>
  <r>
    <x v="1"/>
    <x v="0"/>
    <x v="0"/>
    <x v="1"/>
    <x v="45"/>
    <x v="45"/>
    <x v="0"/>
    <n v="1546"/>
    <n v="191.26645899999986"/>
    <n v="1728.387190000009"/>
    <n v="20598510.14999989"/>
    <n v="193"/>
    <n v="2585702.1300000022"/>
  </r>
  <r>
    <x v="1"/>
    <x v="0"/>
    <x v="0"/>
    <x v="1"/>
    <x v="46"/>
    <x v="46"/>
    <x v="0"/>
    <n v="124"/>
    <n v="4.6730799999999997"/>
    <n v="109.96886999999994"/>
    <n v="6337558.7699999977"/>
    <n v="7"/>
    <n v="224278.5"/>
  </r>
  <r>
    <x v="1"/>
    <x v="0"/>
    <x v="0"/>
    <x v="1"/>
    <x v="47"/>
    <x v="47"/>
    <x v="0"/>
    <n v="467"/>
    <n v="77.452639000000005"/>
    <n v="372.78225899999967"/>
    <n v="3938849.2299999981"/>
    <n v="94"/>
    <n v="832245.87999999966"/>
  </r>
  <r>
    <x v="1"/>
    <x v="0"/>
    <x v="0"/>
    <x v="3"/>
    <x v="0"/>
    <x v="0"/>
    <x v="0"/>
    <n v="1566"/>
    <n v="225.23070399999969"/>
    <n v="1362.3207960000041"/>
    <n v="14334192.360000001"/>
    <n v="270"/>
    <n v="2412412.5100000007"/>
  </r>
  <r>
    <x v="1"/>
    <x v="0"/>
    <x v="0"/>
    <x v="3"/>
    <x v="1"/>
    <x v="1"/>
    <x v="0"/>
    <n v="2602"/>
    <n v="490.99092400000023"/>
    <n v="4664.3692749999927"/>
    <n v="88664960.750000164"/>
    <n v="386"/>
    <n v="8949272.7799999975"/>
  </r>
  <r>
    <x v="1"/>
    <x v="0"/>
    <x v="0"/>
    <x v="3"/>
    <x v="2"/>
    <x v="2"/>
    <x v="0"/>
    <n v="1322"/>
    <n v="196.37491999999995"/>
    <n v="1239.9816599999997"/>
    <n v="18823463.719999976"/>
    <n v="213"/>
    <n v="2847969.6499999994"/>
  </r>
  <r>
    <x v="1"/>
    <x v="0"/>
    <x v="0"/>
    <x v="3"/>
    <x v="3"/>
    <x v="3"/>
    <x v="0"/>
    <n v="3177"/>
    <n v="367.45240299999978"/>
    <n v="2652.6558559999962"/>
    <n v="31219410.400000006"/>
    <n v="323"/>
    <n v="4838494.2399999974"/>
  </r>
  <r>
    <x v="1"/>
    <x v="0"/>
    <x v="0"/>
    <x v="3"/>
    <x v="4"/>
    <x v="4"/>
    <x v="0"/>
    <n v="1672"/>
    <n v="234.17782299999979"/>
    <n v="1502.7737260000097"/>
    <n v="15642379.709999992"/>
    <n v="268"/>
    <n v="2398614.7200000011"/>
  </r>
  <r>
    <x v="1"/>
    <x v="0"/>
    <x v="0"/>
    <x v="3"/>
    <x v="5"/>
    <x v="5"/>
    <x v="0"/>
    <n v="473"/>
    <n v="101.37360899999995"/>
    <n v="359.71084200000024"/>
    <n v="4482458.3400000036"/>
    <n v="123"/>
    <n v="1222906.590000001"/>
  </r>
  <r>
    <x v="1"/>
    <x v="0"/>
    <x v="0"/>
    <x v="3"/>
    <x v="6"/>
    <x v="6"/>
    <x v="0"/>
    <n v="1544"/>
    <n v="159.15089799999998"/>
    <n v="1634.2000860000132"/>
    <n v="19156855.060000055"/>
    <n v="183"/>
    <n v="2272430.3900000015"/>
  </r>
  <r>
    <x v="1"/>
    <x v="0"/>
    <x v="0"/>
    <x v="3"/>
    <x v="7"/>
    <x v="7"/>
    <x v="0"/>
    <n v="4140"/>
    <n v="712.77759800000126"/>
    <n v="6136.0145079999893"/>
    <n v="120245051.4900002"/>
    <n v="684"/>
    <n v="13862400.169999998"/>
  </r>
  <r>
    <x v="1"/>
    <x v="0"/>
    <x v="0"/>
    <x v="3"/>
    <x v="8"/>
    <x v="8"/>
    <x v="0"/>
    <n v="210"/>
    <n v="43.593563999999994"/>
    <n v="153.01033599999994"/>
    <n v="2226842.600000001"/>
    <n v="59"/>
    <n v="577988.57999999996"/>
  </r>
  <r>
    <x v="1"/>
    <x v="0"/>
    <x v="0"/>
    <x v="3"/>
    <x v="9"/>
    <x v="9"/>
    <x v="0"/>
    <n v="1866"/>
    <n v="370.19968699999976"/>
    <n v="1772.9032530000047"/>
    <n v="21975904.550000008"/>
    <n v="385"/>
    <n v="4900648.1900000013"/>
  </r>
  <r>
    <x v="1"/>
    <x v="0"/>
    <x v="0"/>
    <x v="3"/>
    <x v="10"/>
    <x v="10"/>
    <x v="0"/>
    <n v="2043"/>
    <n v="394.46322699999968"/>
    <n v="2332.4911110000116"/>
    <n v="38524050.229999915"/>
    <n v="360"/>
    <n v="6606362.0199999958"/>
  </r>
  <r>
    <x v="1"/>
    <x v="0"/>
    <x v="0"/>
    <x v="3"/>
    <x v="11"/>
    <x v="11"/>
    <x v="0"/>
    <n v="413"/>
    <n v="96.658183999999991"/>
    <n v="331.46873499999924"/>
    <n v="4964880.0199999968"/>
    <n v="108"/>
    <n v="1369744.8399999999"/>
  </r>
  <r>
    <x v="1"/>
    <x v="0"/>
    <x v="0"/>
    <x v="3"/>
    <x v="12"/>
    <x v="12"/>
    <x v="0"/>
    <n v="2574"/>
    <n v="439.3960860000002"/>
    <n v="2106.5942160000145"/>
    <n v="25495813.669999968"/>
    <n v="522"/>
    <n v="5370569.0400000056"/>
  </r>
  <r>
    <x v="1"/>
    <x v="0"/>
    <x v="0"/>
    <x v="3"/>
    <x v="13"/>
    <x v="13"/>
    <x v="0"/>
    <n v="1201"/>
    <n v="175.14823399999997"/>
    <n v="1072.060661999999"/>
    <n v="14132492.800000004"/>
    <n v="195"/>
    <n v="2365688.81"/>
  </r>
  <r>
    <x v="1"/>
    <x v="0"/>
    <x v="0"/>
    <x v="3"/>
    <x v="14"/>
    <x v="14"/>
    <x v="0"/>
    <n v="222"/>
    <n v="29.48971199999999"/>
    <n v="174.58213800000004"/>
    <n v="1774847.9000000001"/>
    <n v="36"/>
    <n v="336183.7699999999"/>
  </r>
  <r>
    <x v="1"/>
    <x v="0"/>
    <x v="0"/>
    <x v="3"/>
    <x v="15"/>
    <x v="15"/>
    <x v="0"/>
    <n v="770"/>
    <n v="159.73334899999992"/>
    <n v="649.67669299999704"/>
    <n v="8026238.9400000004"/>
    <n v="170"/>
    <n v="2111332.8500000006"/>
  </r>
  <r>
    <x v="1"/>
    <x v="0"/>
    <x v="0"/>
    <x v="3"/>
    <x v="16"/>
    <x v="16"/>
    <x v="0"/>
    <n v="1680"/>
    <n v="296.94918000000018"/>
    <n v="1709.4134499999909"/>
    <n v="20849484.249999985"/>
    <n v="292"/>
    <n v="3591811.6099999989"/>
  </r>
  <r>
    <x v="1"/>
    <x v="0"/>
    <x v="0"/>
    <x v="3"/>
    <x v="17"/>
    <x v="17"/>
    <x v="0"/>
    <n v="1271"/>
    <n v="229.22671599999995"/>
    <n v="1573.3029240000003"/>
    <n v="17127500.830000006"/>
    <n v="228"/>
    <n v="2421820.600000001"/>
  </r>
  <r>
    <x v="1"/>
    <x v="0"/>
    <x v="0"/>
    <x v="3"/>
    <x v="18"/>
    <x v="18"/>
    <x v="0"/>
    <n v="2834"/>
    <n v="437.85591300000021"/>
    <n v="2539.0814139999875"/>
    <n v="25098369.760000069"/>
    <n v="437"/>
    <n v="4681003.3700000029"/>
  </r>
  <r>
    <x v="1"/>
    <x v="0"/>
    <x v="0"/>
    <x v="3"/>
    <x v="19"/>
    <x v="19"/>
    <x v="0"/>
    <n v="1091"/>
    <n v="243.14842999999996"/>
    <n v="1438.6662050000011"/>
    <n v="18316832.329999983"/>
    <n v="243"/>
    <n v="3202762.1500000022"/>
  </r>
  <r>
    <x v="1"/>
    <x v="0"/>
    <x v="0"/>
    <x v="3"/>
    <x v="20"/>
    <x v="20"/>
    <x v="0"/>
    <n v="1126"/>
    <n v="205.03234999999981"/>
    <n v="1137.0869970000035"/>
    <n v="14272056.470000006"/>
    <n v="218"/>
    <n v="2397317.9099999997"/>
  </r>
  <r>
    <x v="1"/>
    <x v="0"/>
    <x v="0"/>
    <x v="3"/>
    <x v="21"/>
    <x v="21"/>
    <x v="0"/>
    <n v="883"/>
    <n v="130.61745199999996"/>
    <n v="680.03753099999551"/>
    <n v="8004689.1699999934"/>
    <n v="149"/>
    <n v="1495273.8799999992"/>
  </r>
  <r>
    <x v="1"/>
    <x v="0"/>
    <x v="0"/>
    <x v="3"/>
    <x v="22"/>
    <x v="22"/>
    <x v="0"/>
    <n v="1862"/>
    <n v="354.08731199999977"/>
    <n v="1830.1222510000068"/>
    <n v="29989639.829999976"/>
    <n v="390"/>
    <n v="5746932.3600000003"/>
  </r>
  <r>
    <x v="1"/>
    <x v="0"/>
    <x v="0"/>
    <x v="3"/>
    <x v="23"/>
    <x v="23"/>
    <x v="0"/>
    <n v="157"/>
    <n v="42.27514699999999"/>
    <n v="135.47975399999996"/>
    <n v="2110329.0199999991"/>
    <n v="46"/>
    <n v="756831.33"/>
  </r>
  <r>
    <x v="1"/>
    <x v="0"/>
    <x v="0"/>
    <x v="3"/>
    <x v="24"/>
    <x v="24"/>
    <x v="0"/>
    <n v="597"/>
    <n v="101.87170200000003"/>
    <n v="474.7176760000001"/>
    <n v="6970946.5699999984"/>
    <n v="114"/>
    <n v="1260193.96"/>
  </r>
  <r>
    <x v="1"/>
    <x v="0"/>
    <x v="0"/>
    <x v="3"/>
    <x v="25"/>
    <x v="25"/>
    <x v="0"/>
    <n v="1051"/>
    <n v="189.79505800000001"/>
    <n v="934.07636999999499"/>
    <n v="12207546.969999999"/>
    <n v="202"/>
    <n v="2615186.7600000007"/>
  </r>
  <r>
    <x v="1"/>
    <x v="0"/>
    <x v="0"/>
    <x v="3"/>
    <x v="26"/>
    <x v="26"/>
    <x v="0"/>
    <n v="820"/>
    <n v="143.448891"/>
    <n v="666.01459399999976"/>
    <n v="9582319.4199999925"/>
    <n v="167"/>
    <n v="1978377.1500000018"/>
  </r>
  <r>
    <x v="1"/>
    <x v="0"/>
    <x v="0"/>
    <x v="3"/>
    <x v="27"/>
    <x v="27"/>
    <x v="0"/>
    <n v="742"/>
    <n v="132.620431"/>
    <n v="600.17399599999771"/>
    <n v="6790639.0400000094"/>
    <n v="155"/>
    <n v="1570368.0499999998"/>
  </r>
  <r>
    <x v="1"/>
    <x v="0"/>
    <x v="0"/>
    <x v="3"/>
    <x v="28"/>
    <x v="28"/>
    <x v="0"/>
    <n v="775"/>
    <n v="128.59427500000004"/>
    <n v="668.74919899999702"/>
    <n v="8907578.0500000082"/>
    <n v="155"/>
    <n v="2045878.2800000017"/>
  </r>
  <r>
    <x v="1"/>
    <x v="0"/>
    <x v="0"/>
    <x v="3"/>
    <x v="29"/>
    <x v="29"/>
    <x v="0"/>
    <n v="521"/>
    <n v="132.68579500000004"/>
    <n v="520.90756899999997"/>
    <n v="9880757.4700000044"/>
    <n v="153"/>
    <n v="2251357.6199999996"/>
  </r>
  <r>
    <x v="1"/>
    <x v="0"/>
    <x v="0"/>
    <x v="3"/>
    <x v="30"/>
    <x v="30"/>
    <x v="0"/>
    <n v="565"/>
    <n v="97.814598999999973"/>
    <n v="427.192429"/>
    <n v="5610863.5100000026"/>
    <n v="109"/>
    <n v="1159837.4599999993"/>
  </r>
  <r>
    <x v="1"/>
    <x v="0"/>
    <x v="0"/>
    <x v="3"/>
    <x v="31"/>
    <x v="31"/>
    <x v="0"/>
    <n v="878"/>
    <n v="216.93175200000002"/>
    <n v="762.86760699999923"/>
    <n v="11828886.689999996"/>
    <n v="266"/>
    <n v="3205760.4400000004"/>
  </r>
  <r>
    <x v="1"/>
    <x v="0"/>
    <x v="0"/>
    <x v="3"/>
    <x v="32"/>
    <x v="32"/>
    <x v="0"/>
    <n v="1785"/>
    <n v="384.72457500000013"/>
    <n v="1822.9939260000033"/>
    <n v="20892612.169999927"/>
    <n v="383"/>
    <n v="4323096.9100000011"/>
  </r>
  <r>
    <x v="1"/>
    <x v="0"/>
    <x v="0"/>
    <x v="3"/>
    <x v="33"/>
    <x v="33"/>
    <x v="0"/>
    <n v="1874"/>
    <n v="203.31293499999998"/>
    <n v="1591.6775770000104"/>
    <n v="19823601.920000087"/>
    <n v="218"/>
    <n v="2597789.9100000006"/>
  </r>
  <r>
    <x v="1"/>
    <x v="0"/>
    <x v="0"/>
    <x v="3"/>
    <x v="34"/>
    <x v="34"/>
    <x v="0"/>
    <n v="25"/>
    <n v="4.9398700000000009"/>
    <n v="20.166841000000002"/>
    <n v="286176.51999999996"/>
    <n v="8"/>
    <n v="84802.75"/>
  </r>
  <r>
    <x v="1"/>
    <x v="0"/>
    <x v="0"/>
    <x v="3"/>
    <x v="35"/>
    <x v="35"/>
    <x v="0"/>
    <n v="1828"/>
    <n v="275.16359199999999"/>
    <n v="1494.2567350000102"/>
    <n v="16399611.800000006"/>
    <n v="294"/>
    <n v="3034933.9700000007"/>
  </r>
  <r>
    <x v="1"/>
    <x v="0"/>
    <x v="0"/>
    <x v="3"/>
    <x v="36"/>
    <x v="36"/>
    <x v="0"/>
    <n v="1422"/>
    <n v="275.11644700000011"/>
    <n v="1272.2746880000052"/>
    <n v="15034273.699999997"/>
    <n v="288"/>
    <n v="3125705.4999999991"/>
  </r>
  <r>
    <x v="1"/>
    <x v="0"/>
    <x v="0"/>
    <x v="3"/>
    <x v="37"/>
    <x v="37"/>
    <x v="0"/>
    <n v="869"/>
    <n v="235.28399600000006"/>
    <n v="909.97867300000064"/>
    <n v="11422810.720000008"/>
    <n v="250"/>
    <n v="3082572.5499999975"/>
  </r>
  <r>
    <x v="1"/>
    <x v="0"/>
    <x v="0"/>
    <x v="3"/>
    <x v="38"/>
    <x v="38"/>
    <x v="0"/>
    <n v="513"/>
    <n v="67.312685000000002"/>
    <n v="449.69980700000025"/>
    <n v="5662602.0700000003"/>
    <n v="84"/>
    <n v="853905.24000000022"/>
  </r>
  <r>
    <x v="1"/>
    <x v="0"/>
    <x v="0"/>
    <x v="3"/>
    <x v="39"/>
    <x v="39"/>
    <x v="0"/>
    <n v="1003"/>
    <n v="254.19398699999999"/>
    <n v="1111.8271060000018"/>
    <n v="13766998.170000011"/>
    <n v="279"/>
    <n v="3230015.1199999973"/>
  </r>
  <r>
    <x v="1"/>
    <x v="0"/>
    <x v="0"/>
    <x v="3"/>
    <x v="40"/>
    <x v="40"/>
    <x v="0"/>
    <n v="1885"/>
    <n v="228.57874599999991"/>
    <n v="1619.6065510000167"/>
    <n v="19758264.85999997"/>
    <n v="215"/>
    <n v="2921058.8700000015"/>
  </r>
  <r>
    <x v="1"/>
    <x v="0"/>
    <x v="0"/>
    <x v="3"/>
    <x v="41"/>
    <x v="41"/>
    <x v="0"/>
    <n v="239"/>
    <n v="0"/>
    <n v="397.92689800000028"/>
    <n v="5770352.8299999982"/>
    <n v="0"/>
    <n v="0"/>
  </r>
  <r>
    <x v="1"/>
    <x v="0"/>
    <x v="0"/>
    <x v="3"/>
    <x v="42"/>
    <x v="42"/>
    <x v="0"/>
    <n v="254"/>
    <n v="43.816039999999987"/>
    <n v="200.49118700000005"/>
    <n v="2275011.85"/>
    <n v="67"/>
    <n v="403954.84"/>
  </r>
  <r>
    <x v="1"/>
    <x v="0"/>
    <x v="0"/>
    <x v="3"/>
    <x v="43"/>
    <x v="43"/>
    <x v="0"/>
    <n v="331"/>
    <n v="66.705606000000017"/>
    <n v="352.48626999999971"/>
    <n v="3741510.65"/>
    <n v="68"/>
    <n v="641253.8899999999"/>
  </r>
  <r>
    <x v="1"/>
    <x v="0"/>
    <x v="0"/>
    <x v="3"/>
    <x v="44"/>
    <x v="44"/>
    <x v="0"/>
    <n v="1245"/>
    <n v="259.43125899999995"/>
    <n v="1091.414562000002"/>
    <n v="15014984.770000016"/>
    <n v="273"/>
    <n v="3658922.4099999988"/>
  </r>
  <r>
    <x v="1"/>
    <x v="0"/>
    <x v="0"/>
    <x v="3"/>
    <x v="45"/>
    <x v="45"/>
    <x v="0"/>
    <n v="1526"/>
    <n v="209.20881399999973"/>
    <n v="1682.9070670000083"/>
    <n v="20572700.770000041"/>
    <n v="212"/>
    <n v="2428760.0500000003"/>
  </r>
  <r>
    <x v="1"/>
    <x v="0"/>
    <x v="0"/>
    <x v="3"/>
    <x v="46"/>
    <x v="46"/>
    <x v="0"/>
    <n v="111"/>
    <n v="8.593356"/>
    <n v="96.344566999999984"/>
    <n v="4334427.6500000004"/>
    <n v="12"/>
    <n v="370044.11999999994"/>
  </r>
  <r>
    <x v="1"/>
    <x v="0"/>
    <x v="0"/>
    <x v="3"/>
    <x v="47"/>
    <x v="47"/>
    <x v="0"/>
    <n v="478"/>
    <n v="61.053660000000015"/>
    <n v="380.20536400000003"/>
    <n v="4173317.9999999944"/>
    <n v="74"/>
    <n v="599037.04999999993"/>
  </r>
  <r>
    <x v="1"/>
    <x v="0"/>
    <x v="0"/>
    <x v="5"/>
    <x v="0"/>
    <x v="0"/>
    <x v="0"/>
    <n v="1521"/>
    <n v="273.99370699999974"/>
    <n v="1402.6014390000057"/>
    <n v="15448830.619999953"/>
    <n v="297"/>
    <n v="3013485.1100000003"/>
  </r>
  <r>
    <x v="1"/>
    <x v="0"/>
    <x v="0"/>
    <x v="5"/>
    <x v="1"/>
    <x v="1"/>
    <x v="0"/>
    <n v="2555"/>
    <n v="556.20323099999996"/>
    <n v="4490.3514729999806"/>
    <n v="89206202.459999815"/>
    <n v="422"/>
    <n v="10262885.190000001"/>
  </r>
  <r>
    <x v="1"/>
    <x v="0"/>
    <x v="0"/>
    <x v="5"/>
    <x v="2"/>
    <x v="2"/>
    <x v="0"/>
    <n v="1316"/>
    <n v="219.90893700000012"/>
    <n v="1232.1450669999999"/>
    <n v="18665066.239999998"/>
    <n v="268"/>
    <n v="3415984.7699999982"/>
  </r>
  <r>
    <x v="1"/>
    <x v="0"/>
    <x v="0"/>
    <x v="5"/>
    <x v="3"/>
    <x v="3"/>
    <x v="0"/>
    <n v="3133"/>
    <n v="383.53560699999974"/>
    <n v="2510.20739"/>
    <n v="28373241.589999869"/>
    <n v="371"/>
    <n v="4691101.88"/>
  </r>
  <r>
    <x v="1"/>
    <x v="0"/>
    <x v="0"/>
    <x v="5"/>
    <x v="4"/>
    <x v="4"/>
    <x v="0"/>
    <n v="1607"/>
    <n v="250.51618999999985"/>
    <n v="1453.4525960000055"/>
    <n v="16095437.80000001"/>
    <n v="261"/>
    <n v="2683840.4399999981"/>
  </r>
  <r>
    <x v="1"/>
    <x v="0"/>
    <x v="0"/>
    <x v="5"/>
    <x v="5"/>
    <x v="5"/>
    <x v="0"/>
    <n v="499"/>
    <n v="109.73521200000008"/>
    <n v="367.15594800000042"/>
    <n v="4538705.6199999982"/>
    <n v="138"/>
    <n v="1296390.0799999998"/>
  </r>
  <r>
    <x v="1"/>
    <x v="0"/>
    <x v="0"/>
    <x v="5"/>
    <x v="6"/>
    <x v="6"/>
    <x v="0"/>
    <n v="1524"/>
    <n v="155.57619300000002"/>
    <n v="1652.1274610000119"/>
    <n v="19111718.64999998"/>
    <n v="181"/>
    <n v="2231074.8900000006"/>
  </r>
  <r>
    <x v="1"/>
    <x v="0"/>
    <x v="0"/>
    <x v="5"/>
    <x v="7"/>
    <x v="7"/>
    <x v="0"/>
    <n v="3950"/>
    <n v="751.89504400000123"/>
    <n v="5730.109129999988"/>
    <n v="112567296.91000026"/>
    <n v="699"/>
    <n v="16908388.310000002"/>
  </r>
  <r>
    <x v="1"/>
    <x v="0"/>
    <x v="0"/>
    <x v="5"/>
    <x v="8"/>
    <x v="8"/>
    <x v="0"/>
    <n v="241"/>
    <n v="55.008715999999971"/>
    <n v="164.39258300000014"/>
    <n v="2637151.3699999992"/>
    <n v="78"/>
    <n v="843899.44999999972"/>
  </r>
  <r>
    <x v="1"/>
    <x v="0"/>
    <x v="0"/>
    <x v="5"/>
    <x v="9"/>
    <x v="9"/>
    <x v="0"/>
    <n v="1889"/>
    <n v="370.86624499999976"/>
    <n v="1728.8399840000031"/>
    <n v="20848359.019999973"/>
    <n v="439"/>
    <n v="4536512.6100000003"/>
  </r>
  <r>
    <x v="1"/>
    <x v="0"/>
    <x v="0"/>
    <x v="5"/>
    <x v="10"/>
    <x v="10"/>
    <x v="0"/>
    <n v="2113"/>
    <n v="373.33034099999992"/>
    <n v="2304.0207670000127"/>
    <n v="33481926.279999856"/>
    <n v="356"/>
    <n v="5594876.3599999957"/>
  </r>
  <r>
    <x v="1"/>
    <x v="0"/>
    <x v="0"/>
    <x v="5"/>
    <x v="11"/>
    <x v="11"/>
    <x v="0"/>
    <n v="387"/>
    <n v="76.886194000000032"/>
    <n v="307.27979200000004"/>
    <n v="4280440.7300000051"/>
    <n v="107"/>
    <n v="1278027.9900000005"/>
  </r>
  <r>
    <x v="1"/>
    <x v="0"/>
    <x v="0"/>
    <x v="5"/>
    <x v="12"/>
    <x v="12"/>
    <x v="0"/>
    <n v="2529"/>
    <n v="452.01388499999985"/>
    <n v="2134.0035880000046"/>
    <n v="26237488.650000036"/>
    <n v="535"/>
    <n v="5481339.9799999949"/>
  </r>
  <r>
    <x v="1"/>
    <x v="0"/>
    <x v="0"/>
    <x v="5"/>
    <x v="13"/>
    <x v="13"/>
    <x v="0"/>
    <n v="1158"/>
    <n v="184.81117399999991"/>
    <n v="1036.1636029999966"/>
    <n v="14465636.769999988"/>
    <n v="225"/>
    <n v="2530356.8300000005"/>
  </r>
  <r>
    <x v="1"/>
    <x v="0"/>
    <x v="0"/>
    <x v="5"/>
    <x v="14"/>
    <x v="14"/>
    <x v="0"/>
    <n v="223"/>
    <n v="19.603999999999999"/>
    <n v="165.48640899999995"/>
    <n v="1661623.8899999997"/>
    <n v="28"/>
    <n v="246546.25999999995"/>
  </r>
  <r>
    <x v="1"/>
    <x v="0"/>
    <x v="0"/>
    <x v="5"/>
    <x v="15"/>
    <x v="15"/>
    <x v="0"/>
    <n v="766"/>
    <n v="134.28507999999999"/>
    <n v="659.11241199999756"/>
    <n v="7364848.8099999903"/>
    <n v="151"/>
    <n v="1468493.5899999996"/>
  </r>
  <r>
    <x v="1"/>
    <x v="0"/>
    <x v="0"/>
    <x v="5"/>
    <x v="16"/>
    <x v="16"/>
    <x v="0"/>
    <n v="1667"/>
    <n v="270.03234999999984"/>
    <n v="1655.9132839999904"/>
    <n v="20166333.250000037"/>
    <n v="306"/>
    <n v="3679105.7399999993"/>
  </r>
  <r>
    <x v="1"/>
    <x v="0"/>
    <x v="0"/>
    <x v="5"/>
    <x v="17"/>
    <x v="17"/>
    <x v="0"/>
    <n v="1190"/>
    <n v="179.90585099999996"/>
    <n v="1434.4981909999985"/>
    <n v="16152578.230000008"/>
    <n v="203"/>
    <n v="2029872.0599999996"/>
  </r>
  <r>
    <x v="1"/>
    <x v="0"/>
    <x v="0"/>
    <x v="5"/>
    <x v="18"/>
    <x v="18"/>
    <x v="0"/>
    <n v="2765"/>
    <n v="340.12965899999989"/>
    <n v="2433.1098379999971"/>
    <n v="24086642.959999982"/>
    <n v="384"/>
    <n v="3656343.3099999973"/>
  </r>
  <r>
    <x v="1"/>
    <x v="0"/>
    <x v="0"/>
    <x v="5"/>
    <x v="19"/>
    <x v="19"/>
    <x v="0"/>
    <n v="1113"/>
    <n v="275.06269099999986"/>
    <n v="1475.4863240000029"/>
    <n v="19510225.139999993"/>
    <n v="273"/>
    <n v="3937527.89"/>
  </r>
  <r>
    <x v="1"/>
    <x v="0"/>
    <x v="0"/>
    <x v="5"/>
    <x v="20"/>
    <x v="20"/>
    <x v="0"/>
    <n v="1199"/>
    <n v="221.71268599999976"/>
    <n v="1213.793912000006"/>
    <n v="15020433.590000013"/>
    <n v="217"/>
    <n v="2476252.2499999986"/>
  </r>
  <r>
    <x v="1"/>
    <x v="0"/>
    <x v="0"/>
    <x v="5"/>
    <x v="21"/>
    <x v="21"/>
    <x v="0"/>
    <n v="817"/>
    <n v="129.63807500000004"/>
    <n v="627.18349099999625"/>
    <n v="7350904.6199999936"/>
    <n v="148"/>
    <n v="1756653.8800000004"/>
  </r>
  <r>
    <x v="1"/>
    <x v="0"/>
    <x v="0"/>
    <x v="5"/>
    <x v="22"/>
    <x v="22"/>
    <x v="0"/>
    <n v="1894"/>
    <n v="368.97101599999951"/>
    <n v="1928.174629000004"/>
    <n v="30198996.490000006"/>
    <n v="405"/>
    <n v="5320010.509999997"/>
  </r>
  <r>
    <x v="1"/>
    <x v="0"/>
    <x v="0"/>
    <x v="5"/>
    <x v="23"/>
    <x v="23"/>
    <x v="0"/>
    <n v="163"/>
    <n v="35.912476000000012"/>
    <n v="120.62018000000003"/>
    <n v="1853987.6999999997"/>
    <n v="50"/>
    <n v="509836.03"/>
  </r>
  <r>
    <x v="1"/>
    <x v="0"/>
    <x v="0"/>
    <x v="5"/>
    <x v="24"/>
    <x v="24"/>
    <x v="0"/>
    <n v="541"/>
    <n v="117.05336100000002"/>
    <n v="449.47854899999959"/>
    <n v="6464358.8100000061"/>
    <n v="133"/>
    <n v="1622356.6399999987"/>
  </r>
  <r>
    <x v="1"/>
    <x v="0"/>
    <x v="0"/>
    <x v="5"/>
    <x v="25"/>
    <x v="25"/>
    <x v="0"/>
    <n v="992"/>
    <n v="177.68177799999995"/>
    <n v="879.99853399999665"/>
    <n v="11149631.939999986"/>
    <n v="209"/>
    <n v="2328801.1500000008"/>
  </r>
  <r>
    <x v="1"/>
    <x v="0"/>
    <x v="0"/>
    <x v="5"/>
    <x v="26"/>
    <x v="26"/>
    <x v="0"/>
    <n v="860"/>
    <n v="162.88488499999997"/>
    <n v="735.9996529999961"/>
    <n v="10508745.129999993"/>
    <n v="186"/>
    <n v="2273126.830000001"/>
  </r>
  <r>
    <x v="1"/>
    <x v="0"/>
    <x v="0"/>
    <x v="5"/>
    <x v="27"/>
    <x v="27"/>
    <x v="0"/>
    <n v="652"/>
    <n v="130.07702500000008"/>
    <n v="543.45204099999796"/>
    <n v="6301160.3000000017"/>
    <n v="148"/>
    <n v="1546870.7200000002"/>
  </r>
  <r>
    <x v="1"/>
    <x v="0"/>
    <x v="0"/>
    <x v="5"/>
    <x v="28"/>
    <x v="28"/>
    <x v="0"/>
    <n v="767"/>
    <n v="119.42596300000001"/>
    <n v="629.76180799999702"/>
    <n v="8372661.7600000035"/>
    <n v="158"/>
    <n v="1785264.8399999982"/>
  </r>
  <r>
    <x v="1"/>
    <x v="0"/>
    <x v="0"/>
    <x v="5"/>
    <x v="29"/>
    <x v="29"/>
    <x v="0"/>
    <n v="532"/>
    <n v="138.89393699999994"/>
    <n v="511.23577499999976"/>
    <n v="12309330.730000002"/>
    <n v="147"/>
    <n v="2574759.0200000005"/>
  </r>
  <r>
    <x v="1"/>
    <x v="0"/>
    <x v="0"/>
    <x v="5"/>
    <x v="30"/>
    <x v="30"/>
    <x v="0"/>
    <n v="586"/>
    <n v="96.04334999999999"/>
    <n v="438.13615499999992"/>
    <n v="6148981.1399999997"/>
    <n v="112"/>
    <n v="1428958.3200000008"/>
  </r>
  <r>
    <x v="1"/>
    <x v="0"/>
    <x v="0"/>
    <x v="5"/>
    <x v="31"/>
    <x v="31"/>
    <x v="0"/>
    <n v="956"/>
    <n v="234.46279799999999"/>
    <n v="830.97076199999913"/>
    <n v="9721491.040000014"/>
    <n v="284"/>
    <n v="2582317.5999999992"/>
  </r>
  <r>
    <x v="1"/>
    <x v="0"/>
    <x v="0"/>
    <x v="5"/>
    <x v="32"/>
    <x v="32"/>
    <x v="0"/>
    <n v="1715"/>
    <n v="381.65984500000002"/>
    <n v="1679.0042750000011"/>
    <n v="20231939.479999986"/>
    <n v="420"/>
    <n v="4670576.7200000007"/>
  </r>
  <r>
    <x v="1"/>
    <x v="0"/>
    <x v="0"/>
    <x v="5"/>
    <x v="33"/>
    <x v="33"/>
    <x v="0"/>
    <n v="1857"/>
    <n v="236.08238599999993"/>
    <n v="1541.0094090000146"/>
    <n v="19600059.129999936"/>
    <n v="246"/>
    <n v="3157759.6299999976"/>
  </r>
  <r>
    <x v="1"/>
    <x v="0"/>
    <x v="0"/>
    <x v="5"/>
    <x v="34"/>
    <x v="34"/>
    <x v="0"/>
    <n v="18"/>
    <n v="4.7805929999999996"/>
    <n v="12.489858999999999"/>
    <n v="155860.22999999998"/>
    <n v="6"/>
    <n v="48581.770000000004"/>
  </r>
  <r>
    <x v="1"/>
    <x v="0"/>
    <x v="0"/>
    <x v="5"/>
    <x v="35"/>
    <x v="35"/>
    <x v="0"/>
    <n v="1915"/>
    <n v="322.94828099999984"/>
    <n v="1517.7949250000102"/>
    <n v="15752527.949999981"/>
    <n v="351"/>
    <n v="3111457.3700000006"/>
  </r>
  <r>
    <x v="1"/>
    <x v="0"/>
    <x v="0"/>
    <x v="5"/>
    <x v="36"/>
    <x v="36"/>
    <x v="0"/>
    <n v="1475"/>
    <n v="215.8275439999999"/>
    <n v="1267.8798390000034"/>
    <n v="14638539.000000011"/>
    <n v="264"/>
    <n v="2340897.29"/>
  </r>
  <r>
    <x v="1"/>
    <x v="0"/>
    <x v="0"/>
    <x v="5"/>
    <x v="37"/>
    <x v="37"/>
    <x v="0"/>
    <n v="900"/>
    <n v="216.67733199999998"/>
    <n v="955.20927900000027"/>
    <n v="11839140.359999988"/>
    <n v="246"/>
    <n v="2991780.07"/>
  </r>
  <r>
    <x v="1"/>
    <x v="0"/>
    <x v="0"/>
    <x v="5"/>
    <x v="38"/>
    <x v="38"/>
    <x v="0"/>
    <n v="520"/>
    <n v="98.78994800000001"/>
    <n v="443.47632099999987"/>
    <n v="5729019.4299999997"/>
    <n v="101"/>
    <n v="1280091.1900000002"/>
  </r>
  <r>
    <x v="1"/>
    <x v="0"/>
    <x v="0"/>
    <x v="5"/>
    <x v="39"/>
    <x v="39"/>
    <x v="0"/>
    <n v="1010"/>
    <n v="307.80876999999964"/>
    <n v="1114.0584749999989"/>
    <n v="13886623.229999978"/>
    <n v="312"/>
    <n v="3734405.7000000025"/>
  </r>
  <r>
    <x v="1"/>
    <x v="0"/>
    <x v="0"/>
    <x v="5"/>
    <x v="40"/>
    <x v="40"/>
    <x v="0"/>
    <n v="1886"/>
    <n v="219.9812979999999"/>
    <n v="1547.8172150000185"/>
    <n v="19387091.989999976"/>
    <n v="238"/>
    <n v="2958854.8400000003"/>
  </r>
  <r>
    <x v="1"/>
    <x v="0"/>
    <x v="0"/>
    <x v="5"/>
    <x v="41"/>
    <x v="41"/>
    <x v="0"/>
    <n v="263"/>
    <n v="0"/>
    <n v="430.22129100000018"/>
    <n v="6042982.4500000002"/>
    <n v="0"/>
    <n v="0"/>
  </r>
  <r>
    <x v="1"/>
    <x v="0"/>
    <x v="0"/>
    <x v="5"/>
    <x v="42"/>
    <x v="42"/>
    <x v="0"/>
    <n v="246"/>
    <n v="53.908453000000023"/>
    <n v="201.71087200000011"/>
    <n v="2312305.6900000013"/>
    <n v="73"/>
    <n v="571732.56000000006"/>
  </r>
  <r>
    <x v="1"/>
    <x v="0"/>
    <x v="0"/>
    <x v="5"/>
    <x v="43"/>
    <x v="43"/>
    <x v="0"/>
    <n v="311"/>
    <n v="61.264611000000002"/>
    <n v="324.80258900000007"/>
    <n v="3386482.5300000021"/>
    <n v="68"/>
    <n v="482230.5999999998"/>
  </r>
  <r>
    <x v="1"/>
    <x v="0"/>
    <x v="0"/>
    <x v="5"/>
    <x v="44"/>
    <x v="44"/>
    <x v="0"/>
    <n v="1312"/>
    <n v="303.63701399999979"/>
    <n v="1140.4321320000049"/>
    <n v="15016815.639999997"/>
    <n v="295"/>
    <n v="3734232.96"/>
  </r>
  <r>
    <x v="1"/>
    <x v="0"/>
    <x v="0"/>
    <x v="5"/>
    <x v="45"/>
    <x v="45"/>
    <x v="0"/>
    <n v="1556"/>
    <n v="209.523403"/>
    <n v="1693.5776500000077"/>
    <n v="21411566.06000004"/>
    <n v="205"/>
    <n v="2653109.5800000015"/>
  </r>
  <r>
    <x v="1"/>
    <x v="0"/>
    <x v="0"/>
    <x v="5"/>
    <x v="46"/>
    <x v="46"/>
    <x v="0"/>
    <n v="123"/>
    <n v="3.8202530000000001"/>
    <n v="106.60078499999995"/>
    <n v="5922705.1500000022"/>
    <n v="5"/>
    <n v="98019.03"/>
  </r>
  <r>
    <x v="1"/>
    <x v="0"/>
    <x v="0"/>
    <x v="5"/>
    <x v="47"/>
    <x v="47"/>
    <x v="0"/>
    <n v="433"/>
    <n v="80.620171000000013"/>
    <n v="359.89447300000035"/>
    <n v="3771349.3800000022"/>
    <n v="91"/>
    <n v="850831.50000000023"/>
  </r>
  <r>
    <x v="2"/>
    <x v="8"/>
    <x v="8"/>
    <x v="12"/>
    <x v="48"/>
    <x v="48"/>
    <x v="1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">
  <r>
    <x v="0"/>
    <x v="0"/>
    <x v="0"/>
    <n v="13007.414014802565"/>
    <n v="-122.32561359390549"/>
    <n v="-7.3363960984961141"/>
    <n v="0"/>
    <n v="13007.414014802565"/>
    <n v="26619.50103849114"/>
    <n v="0"/>
    <n v="13007.414014802565"/>
    <n v="346250870.87512112"/>
    <n v="0.99671861092415948"/>
    <n v="345114687.04993123"/>
    <n v="12964.731628549458"/>
    <n v="3290507.2285114108"/>
    <n v="348405194.27844262"/>
    <n v="13088.344284690285"/>
    <n v="1.1125595900638841"/>
    <n v="387621540.12255198"/>
    <n v="14561.562951990003"/>
    <n v="0"/>
    <n v="26619.50103849114"/>
    <n v="387621540.12255198"/>
    <n v="368710793.99844563"/>
    <n v="5.1288832418033392E-2"/>
    <n v="0"/>
    <n v="0"/>
    <n v="368710793.99844563"/>
    <n v="387621540.12255198"/>
  </r>
  <r>
    <x v="1"/>
    <x v="1"/>
    <x v="1"/>
    <n v="15873.943808574768"/>
    <n v="355.07134698588641"/>
    <n v="65.828017604699497"/>
    <n v="0"/>
    <n v="15873.943808574768"/>
    <n v="59461.264530919943"/>
    <n v="2674.2625813638347"/>
    <n v="18548.206389938601"/>
    <n v="1102899806.7262387"/>
    <n v="0.99671861092415948"/>
    <n v="1099280763.3487005"/>
    <n v="18487.34250811422"/>
    <n v="52767109.29482726"/>
    <n v="1152047872.6435277"/>
    <n v="19374.762405943471"/>
    <n v="1.1082787301058081"/>
    <n v="1276790153.3144667"/>
    <n v="21472.637075360784"/>
    <n v="0"/>
    <n v="59461.264530919943"/>
    <n v="1276790153.3144667"/>
    <n v="1363046478.5751929"/>
    <n v="-6.3282013208302956E-2"/>
    <n v="0"/>
    <n v="0"/>
    <n v="1363046478.5751929"/>
    <n v="1276790153.3144667"/>
  </r>
  <r>
    <x v="2"/>
    <x v="2"/>
    <x v="2"/>
    <n v="15588.322562200641"/>
    <n v="-260.15454865853616"/>
    <n v="-26.177881959605838"/>
    <n v="0"/>
    <n v="15588.322562200641"/>
    <n v="17595.788058902563"/>
    <n v="327.03379622990684"/>
    <n v="15915.356358430548"/>
    <n v="280043237.36485124"/>
    <n v="1.0181752931904677"/>
    <n v="285133105.30996513"/>
    <n v="16204.622626475799"/>
    <n v="9943457.707362337"/>
    <n v="295076563.01732749"/>
    <n v="16769.727052266575"/>
    <n v="1.1124197944130276"/>
    <n v="328249009.56783825"/>
    <n v="18654.976319844973"/>
    <n v="0"/>
    <n v="17595.788058902563"/>
    <n v="328249009.56783825"/>
    <n v="347925179.07457805"/>
    <n v="-5.6552875992117224E-2"/>
    <n v="0"/>
    <n v="0"/>
    <n v="347925179.07457805"/>
    <n v="328249009.56783825"/>
  </r>
  <r>
    <x v="3"/>
    <x v="3"/>
    <x v="3"/>
    <n v="0"/>
    <n v="0"/>
    <n v="0"/>
    <n v="0"/>
    <n v="0"/>
    <n v="38081.297805077251"/>
    <n v="59.813880799327308"/>
    <n v="59.813880799327308"/>
    <n v="2277790.2075965754"/>
    <n v="1.0181752931904677"/>
    <n v="2319189.7124460195"/>
    <n v="60.901015619714769"/>
    <n v="1403028.2238295362"/>
    <n v="3722217.9362755558"/>
    <n v="97.743988540728907"/>
    <n v="1.103417335211333"/>
    <n v="4107159.7963210009"/>
    <n v="107.85241136853816"/>
    <n v="0"/>
    <n v="38081.297805077251"/>
    <n v="4107159.7963210009"/>
    <n v="517502465.31461585"/>
    <n v="-0.99206349713943087"/>
    <n v="0"/>
    <n v="0"/>
    <n v="517502465.31461585"/>
    <n v="4107159.7963210009"/>
  </r>
  <r>
    <x v="4"/>
    <x v="4"/>
    <x v="0"/>
    <n v="13007.414014802565"/>
    <n v="-86.666934376909808"/>
    <n v="-5.017610420154119"/>
    <n v="0"/>
    <n v="13007.414014802565"/>
    <n v="25696.740936307477"/>
    <n v="0"/>
    <n v="13007.414014802565"/>
    <n v="334248148.18967664"/>
    <n v="0.99671861092415948"/>
    <n v="333151349.96758711"/>
    <n v="12964.731628549456"/>
    <n v="499976.94573919184"/>
    <n v="333651326.91332632"/>
    <n v="12984.188451769898"/>
    <n v="1.1067037674041424"/>
    <n v="369253180.49436939"/>
    <n v="14369.650276259104"/>
    <n v="0"/>
    <n v="25696.740936307477"/>
    <n v="369253180.49436939"/>
    <n v="360857545.22088104"/>
    <n v="2.3265788355206318E-2"/>
    <n v="0"/>
    <n v="0"/>
    <n v="360857545.22088104"/>
    <n v="369253180.49436939"/>
  </r>
  <r>
    <x v="5"/>
    <x v="5"/>
    <x v="0"/>
    <n v="13007.414014802565"/>
    <n v="-713.66490620463549"/>
    <n v="-11.27042739884082"/>
    <n v="0"/>
    <n v="13007.414014802565"/>
    <n v="7009.3958456196124"/>
    <n v="0"/>
    <n v="13007.414014802565"/>
    <n v="91174113.757611424"/>
    <n v="0.99671861092415948"/>
    <n v="90874936.01672776"/>
    <n v="12964.731628549458"/>
    <n v="0"/>
    <n v="90874936.01672776"/>
    <n v="12964.731628549458"/>
    <n v="1.109223872023541"/>
    <n v="100800648.39836632"/>
    <n v="14380.789816765699"/>
    <n v="0"/>
    <n v="7009.3958456196124"/>
    <n v="100800648.39836632"/>
    <n v="108217974.62571737"/>
    <n v="-6.8540612158050629E-2"/>
    <n v="0"/>
    <n v="0"/>
    <n v="108217974.62571737"/>
    <n v="100800648.39836632"/>
  </r>
  <r>
    <x v="6"/>
    <x v="6"/>
    <x v="2"/>
    <n v="15588.322562200641"/>
    <n v="-470.39273564246923"/>
    <n v="-95.961206147835142"/>
    <n v="0"/>
    <n v="15588.322562200641"/>
    <n v="35673.090260246754"/>
    <n v="181.91035232456531"/>
    <n v="15770.232914525206"/>
    <n v="562572942.18497193"/>
    <n v="0.99671861092415948"/>
    <n v="560726921.47812271"/>
    <n v="15718.484644516024"/>
    <n v="5222205.8638570011"/>
    <n v="565949127.34197974"/>
    <n v="15864.87526629169"/>
    <n v="1.1037457657417868"/>
    <n v="624663952.9289695"/>
    <n v="17510.788899191059"/>
    <n v="0"/>
    <n v="35673.090260246754"/>
    <n v="624663952.9289695"/>
    <n v="538516504.83492351"/>
    <n v="0.15997178790361044"/>
    <n v="0"/>
    <n v="0"/>
    <n v="538516504.83492351"/>
    <n v="624663952.9289695"/>
  </r>
  <r>
    <x v="7"/>
    <x v="7"/>
    <x v="1"/>
    <n v="15873.943808574768"/>
    <n v="740.73064683487507"/>
    <n v="247.5742889387781"/>
    <n v="0"/>
    <n v="15873.943808574768"/>
    <n v="107197.39183395408"/>
    <n v="2451.508278398871"/>
    <n v="18325.452086973637"/>
    <n v="1964440667.9016645"/>
    <n v="0.99671861092415948"/>
    <n v="1957994573.753875"/>
    <n v="18265.319148685601"/>
    <n v="116178105.15508722"/>
    <n v="2074172678.9089622"/>
    <n v="19349.096497812192"/>
    <n v="1.102608290464433"/>
    <n v="2286999991.619844"/>
    <n v="21334.474211484048"/>
    <n v="0"/>
    <n v="107197.39183395408"/>
    <n v="2286999991.619844"/>
    <n v="2271913453.7494617"/>
    <n v="6.6404544792337816E-3"/>
    <n v="0"/>
    <n v="0"/>
    <n v="2271913453.7494617"/>
    <n v="2286999991.619844"/>
  </r>
  <r>
    <x v="8"/>
    <x v="8"/>
    <x v="0"/>
    <n v="13007.414014802565"/>
    <n v="-1615.4801815215708"/>
    <n v="-10.438135413027958"/>
    <n v="0"/>
    <n v="13007.414014802565"/>
    <n v="2867.8460524598017"/>
    <n v="0"/>
    <n v="13007.414014802565"/>
    <n v="37303260.935061835"/>
    <n v="0.99671861092415948"/>
    <n v="37180854.422136292"/>
    <n v="12964.731628549454"/>
    <n v="108600"/>
    <n v="37289454.422136292"/>
    <n v="13002.599770009438"/>
    <n v="1.1194475957315877"/>
    <n v="41743590.099003091"/>
    <n v="14555.729050797159"/>
    <n v="0"/>
    <n v="2867.8460524598017"/>
    <n v="41743590.099003091"/>
    <n v="46170653.566977315"/>
    <n v="-9.5884791008039705E-2"/>
    <n v="0"/>
    <n v="0"/>
    <n v="46170653.566977315"/>
    <n v="41743590.099003091"/>
  </r>
  <r>
    <x v="9"/>
    <x v="9"/>
    <x v="4"/>
    <n v="13037.343858921939"/>
    <n v="-689.34413339987964"/>
    <n v="-80.710172979444138"/>
    <n v="0"/>
    <n v="13037.343858921939"/>
    <n v="25447.521948057743"/>
    <n v="343.90420265043787"/>
    <n v="13381.248061572376"/>
    <n v="340519603.73926818"/>
    <n v="0.99671861092415948"/>
    <n v="339402226.43144858"/>
    <n v="13337.338980362019"/>
    <n v="8508288.3865781873"/>
    <n v="347910514.81802678"/>
    <n v="13671.685421007396"/>
    <n v="1.1128601479295688"/>
    <n v="387175746.98664171"/>
    <n v="15214.673860068819"/>
    <n v="0"/>
    <n v="25447.521948057743"/>
    <n v="387175746.98664171"/>
    <n v="419698004.06819934"/>
    <n v="-7.7489663439697654E-2"/>
    <n v="0"/>
    <n v="0"/>
    <n v="419698004.06819934"/>
    <n v="387175746.98664171"/>
  </r>
  <r>
    <x v="10"/>
    <x v="10"/>
    <x v="2"/>
    <n v="15588.322562200641"/>
    <n v="-644.43067065066452"/>
    <n v="-141.26706856253725"/>
    <n v="0"/>
    <n v="15588.322562200641"/>
    <n v="38332.784912257281"/>
    <n v="394.05813122618474"/>
    <n v="15982.380693426825"/>
    <n v="612649161.50694382"/>
    <n v="0.99671861092415948"/>
    <n v="610638821.24105203"/>
    <n v="15929.936284013487"/>
    <n v="19079670.401033461"/>
    <n v="629718491.64208555"/>
    <n v="16427.673937166172"/>
    <n v="1.1112849031201628"/>
    <n v="699796652.97745013"/>
    <n v="18255.826039753334"/>
    <n v="0"/>
    <n v="38332.784912257281"/>
    <n v="699796652.97745013"/>
    <n v="807990924.62363875"/>
    <n v="-0.13390530555350655"/>
    <n v="0"/>
    <n v="0"/>
    <n v="807990924.62363875"/>
    <n v="699796652.97745013"/>
  </r>
  <r>
    <x v="11"/>
    <x v="11"/>
    <x v="3"/>
    <n v="0"/>
    <n v="0"/>
    <n v="0"/>
    <n v="0"/>
    <n v="0"/>
    <n v="4473.6534036291032"/>
    <n v="0"/>
    <n v="0"/>
    <n v="0"/>
    <n v="0.99671861092415948"/>
    <n v="0"/>
    <n v="0"/>
    <n v="0"/>
    <n v="0"/>
    <n v="0"/>
    <n v="1.124045673216447"/>
    <n v="0"/>
    <n v="0"/>
    <n v="0"/>
    <n v="4473.6534036291032"/>
    <n v="0"/>
    <n v="-1387911.6579789929"/>
    <n v="-1"/>
    <n v="0"/>
    <n v="0"/>
    <n v="-1387911.6579789929"/>
    <n v="0"/>
  </r>
  <r>
    <x v="12"/>
    <x v="12"/>
    <x v="4"/>
    <n v="13037.343858921939"/>
    <n v="-140.81274879698319"/>
    <n v="-21.664967228417666"/>
    <n v="0"/>
    <n v="13037.343858921939"/>
    <n v="33440.23828701747"/>
    <n v="217.48751675759581"/>
    <n v="13254.831375679534"/>
    <n v="443244719.65695918"/>
    <n v="0.99671861092415948"/>
    <n v="441790261.27595282"/>
    <n v="13211.337116801269"/>
    <n v="7850127.5629547518"/>
    <n v="449640388.83890754"/>
    <n v="13446.088062520528"/>
    <n v="1.1136152091745954"/>
    <n v="500726375.67018646"/>
    <n v="14973.76817032383"/>
    <n v="0"/>
    <n v="33440.23828701747"/>
    <n v="500726375.67018646"/>
    <n v="535372097.11053395"/>
    <n v="-6.4713349140410048E-2"/>
    <n v="0"/>
    <n v="0"/>
    <n v="535372097.11053395"/>
    <n v="500726375.67018646"/>
  </r>
  <r>
    <x v="13"/>
    <x v="13"/>
    <x v="0"/>
    <n v="13007.414014802565"/>
    <n v="-1322.0830511497277"/>
    <n v="-56.252798519949302"/>
    <n v="0"/>
    <n v="13007.414014802565"/>
    <n v="18885.128215518962"/>
    <n v="0"/>
    <n v="13007.414014802565"/>
    <n v="245646681.42188472"/>
    <n v="1.0181752931904677"/>
    <n v="250111381.8779929"/>
    <n v="13243.827578171402"/>
    <n v="0"/>
    <n v="250111381.8779929"/>
    <n v="13243.827578171402"/>
    <n v="1.1138669383738617"/>
    <n v="278590799.18489569"/>
    <n v="14751.861676849094"/>
    <n v="0"/>
    <n v="18885.128215518962"/>
    <n v="278590799.18489569"/>
    <n v="300441387.436185"/>
    <n v="-7.2728289659927281E-2"/>
    <n v="0"/>
    <n v="0"/>
    <n v="300441387.436185"/>
    <n v="278590799.18489569"/>
  </r>
  <r>
    <x v="14"/>
    <x v="14"/>
    <x v="0"/>
    <n v="13007.414014802565"/>
    <n v="-467.65872415656639"/>
    <n v="-5.5986950723234816"/>
    <n v="0"/>
    <n v="13007.414014802565"/>
    <n v="5313.6423125061883"/>
    <n v="0"/>
    <n v="13007.414014802565"/>
    <n v="69116745.485340908"/>
    <n v="0.93365670027608294"/>
    <n v="64531312.523665242"/>
    <n v="12144.45924818544"/>
    <n v="0"/>
    <n v="64531312.523665242"/>
    <n v="12144.45924818544"/>
    <n v="1.112653094758054"/>
    <n v="71800964.588255301"/>
    <n v="13512.570166656598"/>
    <n v="0"/>
    <n v="5313.6423125061883"/>
    <n v="71800964.588255301"/>
    <n v="60551506.467737034"/>
    <n v="0.18578329056952847"/>
    <n v="0"/>
    <n v="0"/>
    <n v="60551506.467737034"/>
    <n v="71800964.588255301"/>
  </r>
  <r>
    <x v="15"/>
    <x v="15"/>
    <x v="0"/>
    <n v="13007.414014802565"/>
    <n v="-1037.8653443134635"/>
    <n v="-24.428989327112536"/>
    <n v="0"/>
    <n v="13007.414014802565"/>
    <n v="10447.178896850421"/>
    <n v="0"/>
    <n v="13007.414014802565"/>
    <n v="135890781.19804177"/>
    <n v="1.0181752931904677"/>
    <n v="138360635.98819786"/>
    <n v="13243.8275781714"/>
    <n v="0"/>
    <n v="138360635.98819786"/>
    <n v="13243.8275781714"/>
    <n v="1.1092039030979186"/>
    <n v="153470157.47321942"/>
    <n v="14690.105241663572"/>
    <n v="0"/>
    <n v="10447.178896850421"/>
    <n v="153470157.47321942"/>
    <n v="175022384.52083069"/>
    <n v="-0.12313983212270874"/>
    <n v="0"/>
    <n v="0"/>
    <n v="175022384.52083069"/>
    <n v="153470157.47321942"/>
  </r>
  <r>
    <x v="16"/>
    <x v="16"/>
    <x v="0"/>
    <n v="13007.414014802565"/>
    <n v="-914.50347752416212"/>
    <n v="-68.547003010974748"/>
    <n v="0"/>
    <n v="13007.414014802565"/>
    <n v="33268.839552419995"/>
    <n v="0"/>
    <n v="13007.414014802565"/>
    <n v="432741569.85036576"/>
    <n v="0.97123634700015304"/>
    <n v="420294341.49658078"/>
    <n v="12633.273271655438"/>
    <n v="1895874.1381186121"/>
    <n v="422190215.6346994"/>
    <n v="12690.259754010236"/>
    <n v="1.1145315818768295"/>
    <n v="470544328.88426131"/>
    <n v="14143.695278064895"/>
    <n v="0"/>
    <n v="33268.839552419995"/>
    <n v="470544328.88426131"/>
    <n v="447111194.77019799"/>
    <n v="5.2410081402920916E-2"/>
    <n v="0"/>
    <n v="0"/>
    <n v="447111194.77019799"/>
    <n v="470544328.88426131"/>
  </r>
  <r>
    <x v="17"/>
    <x v="17"/>
    <x v="4"/>
    <n v="13037.343858921939"/>
    <n v="197.41934204358952"/>
    <n v="22.482693392993205"/>
    <n v="0"/>
    <n v="13037.343858921939"/>
    <n v="24752.093740490105"/>
    <n v="19.373503735654179"/>
    <n v="13056.717362657593"/>
    <n v="323181092.10358548"/>
    <n v="1.0181752931904677"/>
    <n v="329055003.20618373"/>
    <n v="13294.027028828967"/>
    <n v="3893601.9149088315"/>
    <n v="332948605.12109256"/>
    <n v="13451.330970698724"/>
    <n v="1.1039909704781965"/>
    <n v="367572253.68699682"/>
    <n v="14850.147932565105"/>
    <n v="0"/>
    <n v="24752.093740490105"/>
    <n v="367572253.68699682"/>
    <n v="342538188.60094124"/>
    <n v="7.3084011999667631E-2"/>
    <n v="0"/>
    <n v="0"/>
    <n v="342538188.60094124"/>
    <n v="367572253.68699682"/>
  </r>
  <r>
    <x v="18"/>
    <x v="18"/>
    <x v="0"/>
    <n v="13007.414014802565"/>
    <n v="486.73379377703947"/>
    <n v="52.667789711315386"/>
    <n v="0"/>
    <n v="13007.414014802565"/>
    <n v="48027.295893169314"/>
    <n v="0"/>
    <n v="13007.414014802565"/>
    <n v="624710921.6938802"/>
    <n v="0.99671861092415948"/>
    <n v="622661002.09987569"/>
    <n v="12964.731628549458"/>
    <n v="0"/>
    <n v="622661002.09987569"/>
    <n v="12964.731628549458"/>
    <n v="1.1002959297555364"/>
    <n v="685111366.22799671"/>
    <n v="14265.041441265836"/>
    <n v="0"/>
    <n v="48027.295893169314"/>
    <n v="685111366.22799671"/>
    <n v="600418061.67072093"/>
    <n v="0.14105722323144065"/>
    <n v="0"/>
    <n v="0"/>
    <n v="600418061.67072093"/>
    <n v="685111366.22799671"/>
  </r>
  <r>
    <x v="19"/>
    <x v="19"/>
    <x v="2"/>
    <n v="15588.322562200641"/>
    <n v="-1140.6421680155368"/>
    <n v="-165.15314225383889"/>
    <n v="0"/>
    <n v="15588.322562200641"/>
    <n v="25318.796560589475"/>
    <n v="329.16136416884177"/>
    <n v="15917.483926369483"/>
    <n v="403011537.28820193"/>
    <n v="0.99671861092415948"/>
    <n v="401689099.63230675"/>
    <n v="15865.252468498629"/>
    <n v="8194567.8891049139"/>
    <n v="409883667.52141166"/>
    <n v="16188.907973589276"/>
    <n v="1.1122294528034189"/>
    <n v="455884687.24039817"/>
    <n v="18005.780256950104"/>
    <n v="0"/>
    <n v="25318.796560589475"/>
    <n v="455884687.24039817"/>
    <n v="427752442.19632149"/>
    <n v="6.5767584866681217E-2"/>
    <n v="0"/>
    <n v="0"/>
    <n v="427752442.19632149"/>
    <n v="455884687.24039817"/>
  </r>
  <r>
    <x v="20"/>
    <x v="20"/>
    <x v="0"/>
    <n v="13007.414014802565"/>
    <n v="-739.73570654954983"/>
    <n v="-36.899036056130434"/>
    <n v="0"/>
    <n v="13007.414014802565"/>
    <n v="22139.763680890428"/>
    <n v="0"/>
    <n v="13007.414014802565"/>
    <n v="287981072.38723099"/>
    <n v="0.99671861092415948"/>
    <n v="287036094.44225067"/>
    <n v="12964.731628549456"/>
    <n v="1723991.1235305152"/>
    <n v="288760085.56578118"/>
    <n v="13042.60017079675"/>
    <n v="1.1170469141508113"/>
    <n v="322558562.5111801"/>
    <n v="14569.196273291354"/>
    <n v="0"/>
    <n v="22139.763680890428"/>
    <n v="322558562.5111801"/>
    <n v="321001887.90953296"/>
    <n v="4.849425066577373E-3"/>
    <n v="0"/>
    <n v="0"/>
    <n v="321001887.90953296"/>
    <n v="322558562.5111801"/>
  </r>
  <r>
    <x v="21"/>
    <x v="21"/>
    <x v="0"/>
    <n v="13007.414014802565"/>
    <n v="253.82973364115909"/>
    <n v="7.583611865291811"/>
    <n v="0"/>
    <n v="13007.414014802565"/>
    <n v="13260.751776303299"/>
    <n v="0"/>
    <n v="13007.414014802565"/>
    <n v="172488088.50190556"/>
    <n v="0.99671861092415948"/>
    <n v="171922087.97258279"/>
    <n v="12964.731628549458"/>
    <n v="0"/>
    <n v="171922087.97258279"/>
    <n v="12964.731628549458"/>
    <n v="1.1067681053450378"/>
    <n v="190277883.57237837"/>
    <n v="14348.95146083657"/>
    <n v="0"/>
    <n v="13260.751776303299"/>
    <n v="190277883.57237837"/>
    <n v="182980923.24185652"/>
    <n v="3.9878257258965988E-2"/>
    <n v="0"/>
    <n v="0"/>
    <n v="182980923.24185652"/>
    <n v="190277883.57237837"/>
  </r>
  <r>
    <x v="22"/>
    <x v="22"/>
    <x v="2"/>
    <n v="15588.322562200641"/>
    <n v="-135.77607264798934"/>
    <n v="-28.845736911935315"/>
    <n v="0"/>
    <n v="15588.322562200641"/>
    <n v="37150.44640207573"/>
    <n v="460.91546718175709"/>
    <n v="16049.238029382399"/>
    <n v="596236357.20472634"/>
    <n v="0.99671861092415948"/>
    <n v="594279873.7355758"/>
    <n v="15996.57423503722"/>
    <n v="22422240.964482512"/>
    <n v="616702114.70005834"/>
    <n v="16600.126631738156"/>
    <n v="1.1128915143911908"/>
    <n v="686322550.35679781"/>
    <n v="18474.140066280615"/>
    <n v="0"/>
    <n v="37150.44640207573"/>
    <n v="686322550.35679781"/>
    <n v="651137459.23030555"/>
    <n v="5.4036349203567147E-2"/>
    <n v="0"/>
    <n v="0"/>
    <n v="651137459.23030555"/>
    <n v="686322550.35679781"/>
  </r>
  <r>
    <x v="23"/>
    <x v="23"/>
    <x v="0"/>
    <n v="13007.414014802565"/>
    <n v="-1765.3040102838263"/>
    <n v="-10.784588086954512"/>
    <n v="0"/>
    <n v="13007.414014802565"/>
    <n v="2711.5561157386974"/>
    <n v="0"/>
    <n v="13007.414014802565"/>
    <n v="35270333.021783136"/>
    <n v="0.99671861092415948"/>
    <n v="35154597.336304203"/>
    <n v="12964.731628549458"/>
    <n v="0"/>
    <n v="35154597.336304203"/>
    <n v="12964.731628549458"/>
    <n v="1.1174005796419912"/>
    <n v="39281767.440667115"/>
    <n v="14486.79863664402"/>
    <n v="0"/>
    <n v="2711.5561157386974"/>
    <n v="39281767.440667115"/>
    <n v="51896602.087173186"/>
    <n v="-0.24307631211223302"/>
    <n v="0"/>
    <n v="0"/>
    <n v="51896602.087173186"/>
    <n v="39281767.440667115"/>
  </r>
  <r>
    <x v="24"/>
    <x v="24"/>
    <x v="0"/>
    <n v="13007.414014802565"/>
    <n v="-842.98736299248185"/>
    <n v="-18.942506675811419"/>
    <n v="0"/>
    <n v="13007.414014802565"/>
    <n v="9973.5765892633008"/>
    <n v="0"/>
    <n v="13007.414014802565"/>
    <n v="129730439.90489022"/>
    <n v="0.99671861092415948"/>
    <n v="129304743.85658233"/>
    <n v="12964.731628549456"/>
    <n v="0"/>
    <n v="129304743.85658233"/>
    <n v="12964.731628549456"/>
    <n v="1.1121720150724883"/>
    <n v="143809117.53340712"/>
    <n v="14419.011700197872"/>
    <n v="0"/>
    <n v="9973.5765892633008"/>
    <n v="143809117.53340712"/>
    <n v="163695078.94233933"/>
    <n v="-0.1214817301620712"/>
    <n v="0"/>
    <n v="0"/>
    <n v="163695078.94233933"/>
    <n v="143809117.53340712"/>
  </r>
  <r>
    <x v="25"/>
    <x v="25"/>
    <x v="0"/>
    <n v="13007.414014802565"/>
    <n v="-724.10568648267156"/>
    <n v="-25.428278398360312"/>
    <n v="0"/>
    <n v="13007.414014802565"/>
    <n v="15586.533665195537"/>
    <n v="0"/>
    <n v="13007.414014802565"/>
    <n v="202740496.43885642"/>
    <n v="0.99671861092415948"/>
    <n v="202075225.98861149"/>
    <n v="12964.731628549458"/>
    <n v="0"/>
    <n v="202075225.98861149"/>
    <n v="12964.731628549458"/>
    <n v="1.1093050072442689"/>
    <n v="224163060.02918395"/>
    <n v="14381.84171312806"/>
    <n v="0"/>
    <n v="15586.533665195537"/>
    <n v="224163060.02918395"/>
    <n v="236445528.84781078"/>
    <n v="-5.1946293416833766E-2"/>
    <n v="0"/>
    <n v="0"/>
    <n v="236445528.84781078"/>
    <n v="224163060.02918395"/>
  </r>
  <r>
    <x v="26"/>
    <x v="26"/>
    <x v="2"/>
    <n v="15588.322562200641"/>
    <n v="-1694.4286266789939"/>
    <n v="-108.00849507758937"/>
    <n v="0"/>
    <n v="15588.322562200641"/>
    <n v="11146.545054053109"/>
    <n v="374.74622262386197"/>
    <n v="15963.068784824503"/>
    <n v="177933065.41099516"/>
    <n v="0.99671861092415948"/>
    <n v="177349197.79392469"/>
    <n v="15910.687745297089"/>
    <n v="3866850.9143537963"/>
    <n v="181216048.70827848"/>
    <n v="16257.598011716165"/>
    <n v="1.1155619773501586"/>
    <n v="202157733.6245898"/>
    <n v="18136.358184914094"/>
    <n v="0"/>
    <n v="11146.545054053109"/>
    <n v="202157733.62458983"/>
    <n v="191973195.94856057"/>
    <n v="5.3051873339433397E-2"/>
    <n v="0"/>
    <n v="0"/>
    <n v="191973195.94856057"/>
    <n v="202157733.62458983"/>
  </r>
  <r>
    <x v="27"/>
    <x v="27"/>
    <x v="0"/>
    <n v="13007.414014802565"/>
    <n v="-726.31025902590022"/>
    <n v="-17.886742516595969"/>
    <n v="0"/>
    <n v="13007.414014802565"/>
    <n v="10930.590367640707"/>
    <n v="0"/>
    <n v="13007.414014802565"/>
    <n v="142178714.33811566"/>
    <n v="0.99671861092415948"/>
    <n v="141712170.65806952"/>
    <n v="12964.731628549458"/>
    <n v="0"/>
    <n v="141712170.65806952"/>
    <n v="12964.731628549458"/>
    <n v="1.1055406163515706"/>
    <n v="156668560.49384114"/>
    <n v="14333.037395459271"/>
    <n v="0"/>
    <n v="10930.590367640707"/>
    <n v="156668560.49384114"/>
    <n v="155992589.33780089"/>
    <n v="4.3333542888785992E-3"/>
    <n v="0"/>
    <n v="0"/>
    <n v="155992589.33780089"/>
    <n v="156668560.49384114"/>
  </r>
  <r>
    <x v="28"/>
    <x v="28"/>
    <x v="0"/>
    <n v="13007.414014802565"/>
    <n v="-529.32962230133558"/>
    <n v="-16.00757061674264"/>
    <n v="0"/>
    <n v="13007.414014802565"/>
    <n v="13422.511048250997"/>
    <n v="0"/>
    <n v="13007.414014802565"/>
    <n v="174592158.3228623"/>
    <n v="0.99671861092415948"/>
    <n v="174019253.52181423"/>
    <n v="12964.731628549456"/>
    <n v="1163900"/>
    <n v="175183153.52181423"/>
    <n v="13051.444166599606"/>
    <n v="1.115210311498205"/>
    <n v="195366059.20830032"/>
    <n v="14555.105114534977"/>
    <n v="0"/>
    <n v="13422.511048250997"/>
    <n v="195366059.20830032"/>
    <n v="218006630.93565437"/>
    <n v="-0.10385267471078219"/>
    <n v="0"/>
    <n v="0"/>
    <n v="218006630.93565437"/>
    <n v="195366059.20830032"/>
  </r>
  <r>
    <x v="29"/>
    <x v="29"/>
    <x v="2"/>
    <n v="15588.322562200641"/>
    <n v="-1299.1586960283701"/>
    <n v="-71.684186893633751"/>
    <n v="0"/>
    <n v="15588.322562200641"/>
    <n v="9648.6554834519866"/>
    <n v="465.27452358132081"/>
    <n v="16053.597085781961"/>
    <n v="154895627.55085894"/>
    <n v="0.99671861092415948"/>
    <n v="154387354.73071811"/>
    <n v="16000.918987676732"/>
    <n v="3775551.6155792619"/>
    <n v="158162906.34629735"/>
    <n v="16392.222379331095"/>
    <n v="1.1188950996267033"/>
    <n v="176967700.85358933"/>
    <n v="18341.177292224744"/>
    <n v="0"/>
    <n v="9648.6554834519866"/>
    <n v="176967700.85358933"/>
    <n v="209879428.41413811"/>
    <n v="-0.15681254618059437"/>
    <n v="0"/>
    <n v="0"/>
    <n v="209879428.41413811"/>
    <n v="176967700.85358933"/>
  </r>
  <r>
    <x v="30"/>
    <x v="30"/>
    <x v="0"/>
    <n v="13007.414014802565"/>
    <n v="-691.80168577459813"/>
    <n v="-14.931006460491494"/>
    <n v="0"/>
    <n v="13007.414014802565"/>
    <n v="9579.4816484068069"/>
    <n v="0"/>
    <n v="13007.414014802565"/>
    <n v="124604283.84803069"/>
    <n v="0.99671861092415948"/>
    <n v="124195408.71220882"/>
    <n v="12964.731628549458"/>
    <n v="0"/>
    <n v="124195408.71220882"/>
    <n v="12964.731628549458"/>
    <n v="1.1029383967251234"/>
    <n v="136979884.96566501"/>
    <n v="14299.300316363835"/>
    <n v="0"/>
    <n v="9579.4816484068069"/>
    <n v="136979884.96566501"/>
    <n v="146495336.70909449"/>
    <n v="-6.4953956604946073E-2"/>
    <n v="0"/>
    <n v="0"/>
    <n v="146495336.70909449"/>
    <n v="136979884.96566501"/>
  </r>
  <r>
    <x v="31"/>
    <x v="31"/>
    <x v="0"/>
    <n v="13007.414014802565"/>
    <n v="-436.41543761015669"/>
    <n v="-16.21942256398815"/>
    <n v="0"/>
    <n v="13007.414014802565"/>
    <n v="16495.664923243414"/>
    <n v="0"/>
    <n v="13007.414014802565"/>
    <n v="214565943.10608345"/>
    <n v="0.99671861092415948"/>
    <n v="213861868.76432773"/>
    <n v="12964.731628549456"/>
    <n v="0"/>
    <n v="213861868.76432773"/>
    <n v="12964.731628549456"/>
    <n v="1.1096904945580046"/>
    <n v="237320482.91618592"/>
    <n v="14386.839452696851"/>
    <n v="0"/>
    <n v="16495.664923243414"/>
    <n v="237320482.91618592"/>
    <n v="267911196.64727661"/>
    <n v="-0.11418228918355156"/>
    <n v="0"/>
    <n v="0"/>
    <n v="267911196.64727661"/>
    <n v="237320482.91618592"/>
  </r>
  <r>
    <x v="32"/>
    <x v="32"/>
    <x v="4"/>
    <n v="13037.343858921939"/>
    <n v="-121.99975109240789"/>
    <n v="-18.282471619228414"/>
    <n v="0"/>
    <n v="13037.343858921939"/>
    <n v="32570.863068870163"/>
    <n v="18.403518335263513"/>
    <n v="13055.747377257203"/>
    <n v="425236960.0864051"/>
    <n v="0.99671861092415948"/>
    <n v="423841592.17093396"/>
    <n v="13012.906390436538"/>
    <n v="650488.00938975799"/>
    <n v="424492080.18032372"/>
    <n v="13032.877860274912"/>
    <n v="1.109420290435795"/>
    <n v="470940126.88134956"/>
    <n v="14458.939140960436"/>
    <n v="0"/>
    <n v="32570.863068870163"/>
    <n v="470940126.88134956"/>
    <n v="451684822.75135535"/>
    <n v="4.2629956022662174E-2"/>
    <n v="0"/>
    <n v="0"/>
    <n v="451684822.75135535"/>
    <n v="470940126.88134956"/>
  </r>
  <r>
    <x v="33"/>
    <x v="33"/>
    <x v="4"/>
    <n v="13037.343858921939"/>
    <n v="-54.046848514295618"/>
    <n v="-8.1175580259356348"/>
    <n v="0"/>
    <n v="13037.343858921939"/>
    <n v="32644.372881643387"/>
    <n v="213.0000886565154"/>
    <n v="13250.343947578454"/>
    <n v="432549168.63477767"/>
    <n v="0.99671861092415948"/>
    <n v="431129806.51805562"/>
    <n v="13206.86441369774"/>
    <n v="7523532.7069142247"/>
    <n v="438653339.22496986"/>
    <n v="13437.333926290059"/>
    <n v="1.1013202840351"/>
    <n v="483097820.14818889"/>
    <n v="14798.808416376254"/>
    <n v="0"/>
    <n v="32644.372881643387"/>
    <n v="483097820.14818889"/>
    <n v="457680358.38583815"/>
    <n v="5.5535399972141741E-2"/>
    <n v="0"/>
    <n v="0"/>
    <n v="457680358.38583815"/>
    <n v="483097820.14818889"/>
  </r>
  <r>
    <x v="34"/>
    <x v="34"/>
    <x v="3"/>
    <n v="0"/>
    <n v="0"/>
    <n v="0"/>
    <n v="0"/>
    <n v="0"/>
    <n v="761.50570848710015"/>
    <n v="0"/>
    <n v="0"/>
    <n v="0"/>
    <n v="0.99671861092415948"/>
    <n v="0"/>
    <n v="0"/>
    <n v="0"/>
    <n v="0"/>
    <n v="0"/>
    <n v="1.1162285486449348"/>
    <n v="0"/>
    <n v="0"/>
    <n v="0"/>
    <n v="761.50570848710015"/>
    <n v="0"/>
    <n v="13700537.261961408"/>
    <n v="-1"/>
    <n v="0"/>
    <n v="0"/>
    <n v="13700537.261961408"/>
    <n v="0"/>
  </r>
  <r>
    <x v="35"/>
    <x v="35"/>
    <x v="0"/>
    <n v="13007.414014802565"/>
    <n v="-4.8434687536519645"/>
    <n v="-0.26134195844662006"/>
    <n v="0"/>
    <n v="13007.414014802565"/>
    <n v="23948.988823237505"/>
    <n v="0"/>
    <n v="13007.414014802565"/>
    <n v="311514412.85972953"/>
    <n v="0.99671861092415948"/>
    <n v="310492212.86840475"/>
    <n v="12964.731628549458"/>
    <n v="0"/>
    <n v="310492212.86840475"/>
    <n v="12964.731628549458"/>
    <n v="1.1000250372583604"/>
    <n v="341549208.02899772"/>
    <n v="14261.529392739762"/>
    <n v="0"/>
    <n v="23948.988823237505"/>
    <n v="341549208.02899772"/>
    <n v="310083750.7349233"/>
    <n v="0.10147406053847963"/>
    <n v="0"/>
    <n v="0"/>
    <n v="310083750.7349233"/>
    <n v="341549208.02899772"/>
  </r>
  <r>
    <x v="36"/>
    <x v="36"/>
    <x v="0"/>
    <n v="13007.414014802565"/>
    <n v="-2.9330680532569486"/>
    <n v="-0.15514181340517133"/>
    <n v="0"/>
    <n v="13007.414014802565"/>
    <n v="23476.927900370822"/>
    <n v="0"/>
    <n v="13007.414014802565"/>
    <n v="305374120.99579281"/>
    <n v="0.99671861092415948"/>
    <n v="304372069.69111282"/>
    <n v="12964.731628549458"/>
    <n v="0"/>
    <n v="304372069.69111282"/>
    <n v="12964.731628549458"/>
    <n v="1.1061154122244721"/>
    <n v="336670637.33600098"/>
    <n v="14340.489469692635"/>
    <n v="0"/>
    <n v="23476.927900370822"/>
    <n v="336670637.33600098"/>
    <n v="322468123.03384435"/>
    <n v="4.4043157408975908E-2"/>
    <n v="0"/>
    <n v="0"/>
    <n v="322468123.03384435"/>
    <n v="336670637.33600098"/>
  </r>
  <r>
    <x v="37"/>
    <x v="37"/>
    <x v="0"/>
    <n v="13007.414014802565"/>
    <n v="628.17756287795009"/>
    <n v="25.023552868394404"/>
    <n v="0"/>
    <n v="13007.414014802565"/>
    <n v="17680.766689321921"/>
    <n v="0"/>
    <n v="13007.414014802565"/>
    <n v="229981052.42714033"/>
    <n v="1.0181752931904677"/>
    <n v="234161025.48325592"/>
    <n v="13243.827578171402"/>
    <n v="0"/>
    <n v="234161025.48325592"/>
    <n v="13243.827578171402"/>
    <n v="1.1087551078753266"/>
    <n v="259627233.06988451"/>
    <n v="14684.161475117657"/>
    <n v="0"/>
    <n v="17680.766689321921"/>
    <n v="259627233.06988451"/>
    <n v="260063804.41883573"/>
    <n v="-1.6787086150908959E-3"/>
    <n v="0"/>
    <n v="0"/>
    <n v="260063804.41883573"/>
    <n v="259627233.06988451"/>
  </r>
  <r>
    <x v="38"/>
    <x v="38"/>
    <x v="3"/>
    <n v="0"/>
    <n v="0"/>
    <n v="0"/>
    <n v="0"/>
    <n v="0"/>
    <n v="4028.0292016780049"/>
    <n v="0"/>
    <n v="0"/>
    <n v="0"/>
    <n v="1.0181752931904677"/>
    <n v="0"/>
    <n v="0"/>
    <n v="500"/>
    <n v="500"/>
    <n v="0.12413018251995515"/>
    <n v="1.1097404270766293"/>
    <n v="554.87021353831472"/>
    <n v="0.137752281762795"/>
    <n v="0"/>
    <n v="4028.0292016780049"/>
    <n v="554.87021353831472"/>
    <n v="88874955.839464456"/>
    <n v="-0.99999375673148527"/>
    <n v="0"/>
    <n v="0"/>
    <n v="88874955.839464456"/>
    <n v="554.87021353831472"/>
  </r>
  <r>
    <x v="39"/>
    <x v="39"/>
    <x v="4"/>
    <n v="13037.343858921939"/>
    <n v="-1335.2714701516206"/>
    <n v="-96.900346919176911"/>
    <n v="0"/>
    <n v="13037.343858921939"/>
    <n v="15772.809770715308"/>
    <n v="257.00627833251923"/>
    <n v="13294.350137254458"/>
    <n v="209689255.74019751"/>
    <n v="0.99671861092415948"/>
    <n v="209001183.7070905"/>
    <n v="13250.726201943671"/>
    <n v="4440696.1405483484"/>
    <n v="213441879.84763885"/>
    <n v="13532.267424154645"/>
    <n v="1.1192514228727357"/>
    <n v="238895127.72010127"/>
    <n v="15146.009569179456"/>
    <n v="0"/>
    <n v="15772.809770715308"/>
    <n v="238895127.72010127"/>
    <n v="271172412.47944635"/>
    <n v="-0.11902864478071329"/>
    <n v="0"/>
    <n v="0"/>
    <n v="271172412.47944635"/>
    <n v="238895127.72010127"/>
  </r>
  <r>
    <x v="40"/>
    <x v="40"/>
    <x v="0"/>
    <n v="13007.414014802565"/>
    <n v="460.89162088648141"/>
    <n v="31.026994370396778"/>
    <n v="0"/>
    <n v="13007.414014802565"/>
    <n v="29879.645227280573"/>
    <n v="0"/>
    <n v="13007.414014802565"/>
    <n v="388656916.08665788"/>
    <n v="1.0181752931904677"/>
    <n v="395720869.48703593"/>
    <n v="13243.827578171402"/>
    <n v="0"/>
    <n v="395720869.48703593"/>
    <n v="13243.827578171402"/>
    <n v="1.103137085322671"/>
    <n v="436534366.5672819"/>
    <n v="14609.757353100007"/>
    <n v="0"/>
    <n v="29879.645227280573"/>
    <n v="436534366.5672819"/>
    <n v="465462446.66788989"/>
    <n v="-6.2149117093539319E-2"/>
    <n v="0"/>
    <n v="0"/>
    <n v="465462446.66788989"/>
    <n v="436534366.5672819"/>
  </r>
  <r>
    <x v="41"/>
    <x v="41"/>
    <x v="4"/>
    <n v="13037.343858921939"/>
    <n v="-599.4315740167666"/>
    <n v="-17.36012458945028"/>
    <n v="0"/>
    <n v="13037.343858921939"/>
    <n v="6294.5766472001997"/>
    <n v="255.17441477061357"/>
    <n v="13292.518273692553"/>
    <n v="83670775.108067051"/>
    <n v="0.99671861092415948"/>
    <n v="83396218.740660325"/>
    <n v="13248.900349438845"/>
    <n v="1779316.0719295214"/>
    <n v="85175534.812589839"/>
    <n v="13531.57481217987"/>
    <n v="1.1063897161544309"/>
    <n v="94237335.784603119"/>
    <n v="14971.195215570133"/>
    <n v="0"/>
    <n v="6294.5766472001997"/>
    <n v="94237335.784603119"/>
    <n v="112879486.6648809"/>
    <n v="-0.16515091830301287"/>
    <n v="0"/>
    <n v="0"/>
    <n v="112879486.6648809"/>
    <n v="94237335.784603119"/>
  </r>
  <r>
    <x v="42"/>
    <x v="42"/>
    <x v="0"/>
    <n v="13007.414014802565"/>
    <n v="-832.3766781061538"/>
    <n v="-7.4160370649866012"/>
    <n v="0"/>
    <n v="13007.414014802565"/>
    <n v="3954.4540239540111"/>
    <n v="0"/>
    <n v="13007.414014802565"/>
    <n v="51437220.692071803"/>
    <n v="1.0181752931904677"/>
    <n v="52372107.259052999"/>
    <n v="13243.8275781714"/>
    <n v="0"/>
    <n v="52372107.259052999"/>
    <n v="13243.8275781714"/>
    <n v="1.1145002778743147"/>
    <n v="58368728.09307798"/>
    <n v="14760.249515991538"/>
    <n v="0"/>
    <n v="3954.4540239540111"/>
    <n v="58368728.09307798"/>
    <n v="52381829.042422429"/>
    <n v="0.11429343266740344"/>
    <n v="0"/>
    <n v="0"/>
    <n v="52381829.042422429"/>
    <n v="58368728.09307798"/>
  </r>
  <r>
    <x v="43"/>
    <x v="43"/>
    <x v="0"/>
    <n v="13007.414014802565"/>
    <n v="-439.21563886215063"/>
    <n v="-8.4897422720141513"/>
    <n v="0"/>
    <n v="13007.414014802565"/>
    <n v="8579.2881249335114"/>
    <n v="0"/>
    <n v="13007.414014802565"/>
    <n v="111594352.59328938"/>
    <n v="0.98428319730495717"/>
    <n v="109840446.1716996"/>
    <n v="12802.979055159178"/>
    <n v="0"/>
    <n v="109840446.1716996"/>
    <n v="12802.979055159178"/>
    <n v="1.1104886126299631"/>
    <n v="121976564.67986684"/>
    <n v="14217.562448494191"/>
    <n v="0"/>
    <n v="8579.2881249335114"/>
    <n v="121976564.67986684"/>
    <n v="109187672.68500334"/>
    <n v="0.11712761780130898"/>
    <n v="0"/>
    <n v="0"/>
    <n v="109187672.68500334"/>
    <n v="121976564.67986684"/>
  </r>
  <r>
    <x v="44"/>
    <x v="44"/>
    <x v="0"/>
    <n v="13007.414014802565"/>
    <n v="-821.69688297004961"/>
    <n v="-29.764396000197205"/>
    <n v="0"/>
    <n v="13007.414014802565"/>
    <n v="16077.553995552473"/>
    <n v="0"/>
    <n v="13007.414014802565"/>
    <n v="209127401.1654942"/>
    <n v="1.0181752931904677"/>
    <n v="212928352.99583763"/>
    <n v="13243.8275781714"/>
    <n v="0"/>
    <n v="212928352.99583763"/>
    <n v="13243.8275781714"/>
    <n v="1.1092283969691177"/>
    <n v="236186175.6628474"/>
    <n v="14690.429634270455"/>
    <n v="0"/>
    <n v="16077.553995552473"/>
    <n v="236186175.6628474"/>
    <n v="280210093.93168741"/>
    <n v="-0.1571103940301759"/>
    <n v="0"/>
    <n v="0"/>
    <n v="280210093.93168741"/>
    <n v="236186175.6628474"/>
  </r>
  <r>
    <x v="45"/>
    <x v="45"/>
    <x v="0"/>
    <n v="13007.414014802565"/>
    <n v="-735.74830048033039"/>
    <n v="-46.438699303786443"/>
    <n v="0"/>
    <n v="13007.414014802565"/>
    <n v="28014.657799435397"/>
    <n v="0"/>
    <n v="13007.414014802565"/>
    <n v="364398252.48027396"/>
    <n v="0.99671861092415948"/>
    <n v="363202520.03532982"/>
    <n v="12964.731628549456"/>
    <n v="0"/>
    <n v="363202520.03532982"/>
    <n v="12964.731628549456"/>
    <n v="1.1043658326230656"/>
    <n v="401108453.44961268"/>
    <n v="14317.806639697614"/>
    <n v="0"/>
    <n v="28014.657799435397"/>
    <n v="401108453.44961268"/>
    <n v="390481566.18922573"/>
    <n v="2.721482441308698E-2"/>
    <n v="0"/>
    <n v="0"/>
    <n v="390481566.18922573"/>
    <n v="401108453.44961268"/>
  </r>
  <r>
    <x v="46"/>
    <x v="46"/>
    <x v="3"/>
    <n v="0"/>
    <n v="0"/>
    <n v="0"/>
    <n v="0"/>
    <n v="0"/>
    <n v="8343.0523646819092"/>
    <n v="0"/>
    <n v="0"/>
    <n v="0"/>
    <n v="1.0181752931904677"/>
    <n v="0"/>
    <n v="0"/>
    <n v="0"/>
    <n v="0"/>
    <n v="0"/>
    <n v="1.1046970005422463"/>
    <n v="0"/>
    <n v="0"/>
    <n v="0"/>
    <n v="8343.0523646819092"/>
    <n v="0"/>
    <n v="117815614.51364455"/>
    <n v="-1"/>
    <n v="0"/>
    <n v="0"/>
    <n v="117815614.51364455"/>
    <n v="0"/>
  </r>
  <r>
    <x v="47"/>
    <x v="47"/>
    <x v="1"/>
    <n v="15873.943808574768"/>
    <n v="-260.15454865853616"/>
    <n v="-14.272536227195301"/>
    <n v="0"/>
    <n v="15873.943808574768"/>
    <n v="17595.788058902563"/>
    <n v="327.03379622990684"/>
    <n v="16200.977604804675"/>
    <n v="285068968.28116995"/>
    <n v="1.0181752931904677"/>
    <n v="290250180.35918438"/>
    <n v="16495.435122744202"/>
    <n v="9943457.707362337"/>
    <n v="300193638.06654674"/>
    <n v="17060.53954853498"/>
    <n v="1.1124197944130276"/>
    <n v="333941345.14208674"/>
    <n v="18978.481897156609"/>
    <n v="0"/>
    <n v="17595.788058902563"/>
    <n v="333941345.14208674"/>
    <n v="347925179.07457805"/>
    <n v="-4.0192072242905552E-2"/>
    <n v="0"/>
    <n v="0"/>
    <n v="347925179.07457805"/>
    <n v="333941345.14208674"/>
  </r>
  <r>
    <x v="48"/>
    <x v="6"/>
    <x v="1"/>
    <n v="15873.943808574768"/>
    <n v="-470.39273564246923"/>
    <n v="-52.319350865120789"/>
    <n v="0"/>
    <n v="15873.943808574768"/>
    <n v="35673.090260246754"/>
    <n v="181.91035232456531"/>
    <n v="16055.854160899333"/>
    <n v="572761934.68712032"/>
    <n v="0.99671861092415948"/>
    <n v="570882479.93158066"/>
    <n v="16003.168656452468"/>
    <n v="5222205.8638570011"/>
    <n v="576104685.79543769"/>
    <n v="16149.559278228135"/>
    <n v="1.1037457657417868"/>
    <n v="635873107.57071686"/>
    <n v="17825.00767194029"/>
    <n v="0"/>
    <n v="35673.090260246754"/>
    <n v="635873107.57071686"/>
    <n v="538516504.83492351"/>
    <n v="0.18078666459004267"/>
    <n v="0"/>
    <n v="0"/>
    <n v="538516504.83492351"/>
    <n v="635873107.57071686"/>
  </r>
  <r>
    <x v="49"/>
    <x v="10"/>
    <x v="1"/>
    <n v="15873.943808574768"/>
    <n v="-644.43067065066452"/>
    <n v="-77.020721419696329"/>
    <n v="0"/>
    <n v="15873.943808574768"/>
    <n v="38332.784912257281"/>
    <n v="394.05813122618474"/>
    <n v="16268.001939800954"/>
    <n v="623597819.31057417"/>
    <n v="0.99671861092415948"/>
    <n v="621551552.23857045"/>
    <n v="16214.620295949937"/>
    <n v="19079670.401033461"/>
    <n v="640631222.63960385"/>
    <n v="16712.357949102618"/>
    <n v="1.1112849031201628"/>
    <n v="711923806.18680358"/>
    <n v="18572.191084377984"/>
    <n v="0"/>
    <n v="38332.784912257281"/>
    <n v="711923806.18680358"/>
    <n v="807990924.62363875"/>
    <n v="-0.11889628399178265"/>
    <n v="0"/>
    <n v="0"/>
    <n v="807990924.62363875"/>
    <n v="711923806.18680358"/>
  </r>
  <r>
    <x v="50"/>
    <x v="48"/>
    <x v="1"/>
    <n v="15873.943808574768"/>
    <n v="-1140.6421680155368"/>
    <n v="-90.043732701151896"/>
    <n v="0"/>
    <n v="15873.943808574768"/>
    <n v="25318.796560589475"/>
    <n v="329.16136416884177"/>
    <n v="16203.10517274361"/>
    <n v="410243123.51853043"/>
    <n v="0.99671861092415948"/>
    <n v="408896956.21457803"/>
    <n v="16149.936480435073"/>
    <n v="8194567.8891049139"/>
    <n v="417091524.10368294"/>
    <n v="16473.59198552572"/>
    <n v="1.1122294528034189"/>
    <n v="463901477.62278324"/>
    <n v="18322.414199768056"/>
    <n v="0"/>
    <n v="25318.796560589475"/>
    <n v="463901477.62278324"/>
    <n v="427752442.19632149"/>
    <n v="8.4509243806656587E-2"/>
    <n v="0"/>
    <n v="0"/>
    <n v="427752442.19632149"/>
    <n v="463901477.62278324"/>
  </r>
  <r>
    <x v="51"/>
    <x v="22"/>
    <x v="1"/>
    <n v="15873.943808574768"/>
    <n v="-135.77607264798934"/>
    <n v="-15.727086924412905"/>
    <n v="0"/>
    <n v="15873.943808574768"/>
    <n v="37150.44640207573"/>
    <n v="460.91546718175709"/>
    <n v="16334.859275756526"/>
    <n v="606847314.00944233"/>
    <n v="0.99671861092415948"/>
    <n v="604856011.86254859"/>
    <n v="16281.258246973664"/>
    <n v="22422240.964482512"/>
    <n v="627278252.82703114"/>
    <n v="16884.810643674602"/>
    <n v="1.1128915143911908"/>
    <n v="698092644.73333502"/>
    <n v="18790.962487447527"/>
    <n v="0"/>
    <n v="37150.44640207573"/>
    <n v="698092644.73333502"/>
    <n v="651137459.23030555"/>
    <n v="7.2112554480484148E-2"/>
    <n v="0"/>
    <n v="0"/>
    <n v="651137459.23030555"/>
    <n v="698092644.73333502"/>
  </r>
  <r>
    <x v="52"/>
    <x v="49"/>
    <x v="4"/>
    <n v="13037.343858921939"/>
    <n v="-128.68870132061059"/>
    <n v="-27.487354790623204"/>
    <n v="0"/>
    <n v="13037.343858921939"/>
    <n v="46424.350169759156"/>
    <n v="49.064557700159881"/>
    <n v="13086.408416622098"/>
    <n v="607528006.79774773"/>
    <n v="1.0181752931904677"/>
    <n v="618570006.44271731"/>
    <n v="13324.25772640441"/>
    <n v="1403028.2238295362"/>
    <n v="619973034.66654682"/>
    <n v="13354.479543590845"/>
    <n v="1.103417335211333"/>
    <n v="684088993.81464446"/>
    <n v="14735.564231123268"/>
    <n v="0"/>
    <n v="46424.350169759156"/>
    <n v="684088993.81464446"/>
    <n v="635318079.82826042"/>
    <n v="7.6766135790701684E-2"/>
    <n v="0"/>
    <n v="0"/>
    <n v="635318079.82826042"/>
    <n v="684088993.8146444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">
  <r>
    <x v="0"/>
    <x v="0"/>
    <x v="0"/>
    <n v="11484.15353575271"/>
    <n v="-108.0004162448344"/>
    <n v="-6.4772520578146118"/>
    <n v="0"/>
    <n v="11484.15353575271"/>
    <n v="26619.50103849114"/>
    <n v="0"/>
    <n v="11484.15353575271"/>
    <n v="305702436.97116095"/>
    <n v="0.99671861092415948"/>
    <n v="304699308.33402598"/>
    <n v="11446.469559795216"/>
    <n v="3290507.2285114108"/>
    <n v="307989815.56253737"/>
    <n v="11570.082215936043"/>
    <n v="1.1125595900638841"/>
    <n v="342657022.94610786"/>
    <n v="12872.405927167239"/>
    <n v="0"/>
    <n v="26619.50103849114"/>
    <n v="342657022.94610786"/>
    <n v="368710793.99844563"/>
    <n v="-7.0661807238677099E-2"/>
    <n v="0"/>
    <n v="0"/>
    <n v="368710793.99844563"/>
    <n v="342657022.94610786"/>
  </r>
  <r>
    <x v="1"/>
    <x v="1"/>
    <x v="1"/>
    <n v="15193.493273003131"/>
    <n v="339.85090201416006"/>
    <n v="63.006241845953213"/>
    <n v="0"/>
    <n v="15193.493273003131"/>
    <n v="59461.264530919943"/>
    <n v="2674.2625813638347"/>
    <n v="17867.755854366966"/>
    <n v="1062439357.4304076"/>
    <n v="0.99671861092415948"/>
    <n v="1058953080.5291924"/>
    <n v="17809.12479549666"/>
    <n v="52767109.29482726"/>
    <n v="1111720189.8240197"/>
    <n v="18696.544693325915"/>
    <n v="1.1082787301058081"/>
    <n v="1232095840.2111526"/>
    <n v="20720.98281008573"/>
    <n v="0"/>
    <n v="59461.264530919943"/>
    <n v="1232095840.2111526"/>
    <n v="1363046478.5751929"/>
    <n v="-9.607202719963337E-2"/>
    <n v="0"/>
    <n v="0"/>
    <n v="1363046478.5751929"/>
    <n v="1232095840.2111526"/>
  </r>
  <r>
    <x v="2"/>
    <x v="2"/>
    <x v="2"/>
    <n v="14354.564228801164"/>
    <n v="-239.5642740412051"/>
    <n v="-24.105998991471253"/>
    <n v="0"/>
    <n v="14354.564228801164"/>
    <n v="17595.788058902563"/>
    <n v="327.03379622990684"/>
    <n v="14681.598025031071"/>
    <n v="258334287.21444917"/>
    <n v="1.0181752931904677"/>
    <n v="263029588.62572229"/>
    <n v="14948.440373640604"/>
    <n v="9943457.707362337"/>
    <n v="272973046.33308464"/>
    <n v="15513.544799431382"/>
    <n v="1.1124197944130276"/>
    <n v="303660620.0821479"/>
    <n v="17257.574316400751"/>
    <n v="0"/>
    <n v="17595.788058902563"/>
    <n v="303660620.0821479"/>
    <n v="347925179.07457805"/>
    <n v="-0.12722436217512734"/>
    <n v="0"/>
    <n v="0"/>
    <n v="347925179.07457805"/>
    <n v="303660620.0821479"/>
  </r>
  <r>
    <x v="3"/>
    <x v="3"/>
    <x v="3"/>
    <n v="0"/>
    <n v="0"/>
    <n v="0"/>
    <n v="0"/>
    <n v="0"/>
    <n v="38081.297805077251"/>
    <n v="59.813880799327308"/>
    <n v="59.813880799327308"/>
    <n v="2277790.2075965754"/>
    <n v="1.0181752931904677"/>
    <n v="2319189.7124460195"/>
    <n v="60.901015619714769"/>
    <n v="1403028.2238295362"/>
    <n v="3722217.9362755558"/>
    <n v="97.743988540728907"/>
    <n v="1.103417335211333"/>
    <n v="4107159.7963210009"/>
    <n v="107.85241136853816"/>
    <n v="0"/>
    <n v="38081.297805077251"/>
    <n v="4107159.7963210009"/>
    <n v="517502465.31461585"/>
    <n v="-0.99206349713943087"/>
    <n v="0"/>
    <n v="0"/>
    <n v="517502465.31461585"/>
    <n v="4107159.7963210009"/>
  </r>
  <r>
    <x v="4"/>
    <x v="4"/>
    <x v="0"/>
    <n v="11484.15353575271"/>
    <n v="-76.517621390752979"/>
    <n v="-4.4300126360294998"/>
    <n v="0"/>
    <n v="11484.15353575271"/>
    <n v="25696.740936307477"/>
    <n v="0"/>
    <n v="11484.15353575271"/>
    <n v="295105318.28101689"/>
    <n v="0.99671861092415948"/>
    <n v="294136962.91338712"/>
    <n v="11446.469559795214"/>
    <n v="499976.94573919184"/>
    <n v="294636939.85912633"/>
    <n v="11465.926383015656"/>
    <n v="1.1067037674041424"/>
    <n v="326075811.35852283"/>
    <n v="12689.383924861979"/>
    <n v="0"/>
    <n v="25696.740936307477"/>
    <n v="326075811.35852283"/>
    <n v="360857545.22088104"/>
    <n v="-9.638632840853667E-2"/>
    <n v="0"/>
    <n v="0"/>
    <n v="360857545.22088104"/>
    <n v="326075811.35852283"/>
  </r>
  <r>
    <x v="5"/>
    <x v="5"/>
    <x v="0"/>
    <n v="11484.15353575271"/>
    <n v="-630.08968166967293"/>
    <n v="-9.9505803778174435"/>
    <n v="0"/>
    <n v="11484.15353575271"/>
    <n v="7009.3958456196124"/>
    <n v="0"/>
    <n v="11484.15353575271"/>
    <n v="80496978.083962828"/>
    <n v="0.99671861092415948"/>
    <n v="80232836.179439932"/>
    <n v="11446.469559795214"/>
    <n v="0"/>
    <n v="80232836.179439932"/>
    <n v="11446.469559795214"/>
    <n v="1.109223872023541"/>
    <n v="88996177.210388809"/>
    <n v="12696.697286115645"/>
    <n v="0"/>
    <n v="7009.3958456196124"/>
    <n v="88996177.210388809"/>
    <n v="108217974.62571737"/>
    <n v="-0.17762111591728691"/>
    <n v="0"/>
    <n v="0"/>
    <n v="108217974.62571737"/>
    <n v="88996177.210388809"/>
  </r>
  <r>
    <x v="6"/>
    <x v="6"/>
    <x v="2"/>
    <n v="14354.564228801164"/>
    <n v="-433.16288263848162"/>
    <n v="-88.366230017751604"/>
    <n v="0"/>
    <n v="14354.564228801164"/>
    <n v="35673.090260246754"/>
    <n v="181.91035232456531"/>
    <n v="14536.474581125729"/>
    <n v="518560969.79828078"/>
    <n v="0.99671861092415948"/>
    <n v="516859369.49682742"/>
    <n v="14488.774752233991"/>
    <n v="5222205.8638570011"/>
    <n v="522081575.36068439"/>
    <n v="14635.165374009655"/>
    <n v="1.1037457657417868"/>
    <n v="576245328.176157"/>
    <n v="16153.501812493972"/>
    <n v="0"/>
    <n v="35673.090260246754"/>
    <n v="576245328.176157"/>
    <n v="538516504.83492351"/>
    <n v="7.0060662955537145E-2"/>
    <n v="0"/>
    <n v="0"/>
    <n v="538516504.83492351"/>
    <n v="576245328.176157"/>
  </r>
  <r>
    <x v="7"/>
    <x v="7"/>
    <x v="1"/>
    <n v="15193.493273003131"/>
    <n v="708.97857744170699"/>
    <n v="236.96179972162719"/>
    <n v="0"/>
    <n v="15193.493273003131"/>
    <n v="107197.39183395408"/>
    <n v="2451.508278398871"/>
    <n v="17645.001551402001"/>
    <n v="1891498145.216368"/>
    <n v="0.99671861092415948"/>
    <n v="1885291403.8656824"/>
    <n v="17587.101436068042"/>
    <n v="116178105.15508722"/>
    <n v="2001469509.0207696"/>
    <n v="18670.878785194633"/>
    <n v="1.102608290464433"/>
    <n v="2206836873.7580786"/>
    <n v="20586.665738812102"/>
    <n v="0"/>
    <n v="107197.39183395408"/>
    <n v="2206836873.7580786"/>
    <n v="2271913453.7494617"/>
    <n v="-2.8643952032584519E-2"/>
    <n v="0"/>
    <n v="0"/>
    <n v="2271913453.7494617"/>
    <n v="2206836873.7580786"/>
  </r>
  <r>
    <x v="8"/>
    <x v="8"/>
    <x v="0"/>
    <n v="11484.15353575271"/>
    <n v="-1426.2959891525354"/>
    <n v="-9.2157556893148609"/>
    <n v="0"/>
    <n v="11484.15353575271"/>
    <n v="2867.8460524598017"/>
    <n v="0"/>
    <n v="11484.15353575271"/>
    <n v="32934784.383350685"/>
    <n v="0.99671861092415948"/>
    <n v="32826712.541659996"/>
    <n v="11446.469559795216"/>
    <n v="108600"/>
    <n v="32935312.541659996"/>
    <n v="11484.337701255199"/>
    <n v="1.1194475957315877"/>
    <n v="36869356.439429685"/>
    <n v="12856.11422823976"/>
    <n v="0"/>
    <n v="2867.8460524598017"/>
    <n v="36869356.439429685"/>
    <n v="46170653.566977315"/>
    <n v="-0.20145474254668572"/>
    <n v="0"/>
    <n v="0"/>
    <n v="46170653.566977315"/>
    <n v="36869356.439429685"/>
  </r>
  <r>
    <x v="9"/>
    <x v="9"/>
    <x v="4"/>
    <n v="11766.366329499982"/>
    <n v="-622.14172521989417"/>
    <n v="-72.841943272329914"/>
    <n v="0"/>
    <n v="11766.366329499982"/>
    <n v="25447.521948057743"/>
    <n v="343.90420265043787"/>
    <n v="12110.27053215042"/>
    <n v="308176375.16381472"/>
    <n v="0.99671861092415948"/>
    <n v="307165128.57292002"/>
    <n v="12070.532022720747"/>
    <n v="8508288.3865781873"/>
    <n v="315673416.95949823"/>
    <n v="12404.878463366123"/>
    <n v="1.1128601479295688"/>
    <n v="351300365.49497962"/>
    <n v="13804.894881789944"/>
    <n v="0"/>
    <n v="25447.521948057743"/>
    <n v="351300365.49497962"/>
    <n v="419698004.06819934"/>
    <n v="-0.16296870109038064"/>
    <n v="0"/>
    <n v="0"/>
    <n v="419698004.06819934"/>
    <n v="351300365.49497962"/>
  </r>
  <r>
    <x v="10"/>
    <x v="10"/>
    <x v="2"/>
    <n v="14354.564228801164"/>
    <n v="-593.42635591179703"/>
    <n v="-130.08630024198868"/>
    <n v="0"/>
    <n v="14354.564228801164"/>
    <n v="38332.784912257281"/>
    <n v="394.05813122618474"/>
    <n v="14748.622360027348"/>
    <n v="565355768.67903674"/>
    <n v="0.99671861092415948"/>
    <n v="563500616.43572998"/>
    <n v="14700.226391731459"/>
    <n v="19079670.401033461"/>
    <n v="582580286.83676338"/>
    <n v="15197.96404488414"/>
    <n v="1.1112849031201628"/>
    <n v="647412677.6171093"/>
    <n v="16889.268001242788"/>
    <n v="0"/>
    <n v="38332.784912257281"/>
    <n v="647412677.61710918"/>
    <n v="807990924.62363875"/>
    <n v="-0.19873768641810763"/>
    <n v="0"/>
    <n v="0"/>
    <n v="807990924.62363875"/>
    <n v="647412677.61710918"/>
  </r>
  <r>
    <x v="11"/>
    <x v="11"/>
    <x v="3"/>
    <n v="0"/>
    <n v="0"/>
    <n v="0"/>
    <n v="0"/>
    <n v="0"/>
    <n v="4473.6534036291032"/>
    <n v="0"/>
    <n v="0"/>
    <n v="0"/>
    <n v="0.99671861092415948"/>
    <n v="0"/>
    <n v="0"/>
    <n v="0"/>
    <n v="0"/>
    <n v="0"/>
    <n v="1.124045673216447"/>
    <n v="0"/>
    <n v="0"/>
    <n v="0"/>
    <n v="4473.6534036291032"/>
    <n v="0"/>
    <n v="-1387911.6579789929"/>
    <n v="-1"/>
    <n v="0"/>
    <n v="0"/>
    <n v="-1387911.6579789929"/>
    <n v="0"/>
  </r>
  <r>
    <x v="12"/>
    <x v="12"/>
    <x v="4"/>
    <n v="11766.366329499982"/>
    <n v="-127.08527167328758"/>
    <n v="-19.552904616512386"/>
    <n v="0"/>
    <n v="11766.366329499982"/>
    <n v="33440.23828701747"/>
    <n v="217.48751675759581"/>
    <n v="11983.853846257578"/>
    <n v="400742928.21564424"/>
    <n v="0.99671861092415948"/>
    <n v="399427934.74877709"/>
    <n v="11944.53015916"/>
    <n v="7850127.5629547518"/>
    <n v="407278062.31173182"/>
    <n v="12179.281104879259"/>
    <n v="1.1136152091745954"/>
    <n v="453551044.55350316"/>
    <n v="13563.032675206314"/>
    <n v="0"/>
    <n v="33440.23828701747"/>
    <n v="453551044.55350316"/>
    <n v="535372097.11053395"/>
    <n v="-0.15283025207818757"/>
    <n v="0"/>
    <n v="0"/>
    <n v="535372097.11053395"/>
    <n v="453551044.55350316"/>
  </r>
  <r>
    <x v="13"/>
    <x v="13"/>
    <x v="0"/>
    <n v="11484.15353575271"/>
    <n v="-1167.2577446325201"/>
    <n v="-49.665196655052902"/>
    <n v="0"/>
    <n v="11484.15353575271"/>
    <n v="18885.128215518962"/>
    <n v="0"/>
    <n v="11484.15353575271"/>
    <n v="216879711.96939534"/>
    <n v="1.0181752931904677"/>
    <n v="220821564.32150328"/>
    <n v="11692.881393309361"/>
    <n v="0"/>
    <n v="220821564.32150328"/>
    <n v="11692.881393309361"/>
    <n v="1.1138669383738617"/>
    <n v="245965839.77771965"/>
    <n v="13024.313998334193"/>
    <n v="0"/>
    <n v="18885.128215518962"/>
    <n v="245965839.77771968"/>
    <n v="300441387.436185"/>
    <n v="-0.18131838666880129"/>
    <n v="0"/>
    <n v="0"/>
    <n v="300441387.436185"/>
    <n v="245965839.77771968"/>
  </r>
  <r>
    <x v="14"/>
    <x v="14"/>
    <x v="0"/>
    <n v="11484.15353575271"/>
    <n v="-412.89256914836136"/>
    <n v="-4.9430481521734597"/>
    <n v="0"/>
    <n v="11484.15353575271"/>
    <n v="5313.6423125061883"/>
    <n v="0"/>
    <n v="11484.15353575271"/>
    <n v="61022684.150893152"/>
    <n v="0.93365670027608294"/>
    <n v="56974237.926312521"/>
    <n v="10722.256895654786"/>
    <n v="0"/>
    <n v="56974237.926312521"/>
    <n v="10722.256895654786"/>
    <n v="1.112653094758054"/>
    <n v="63392562.150193319"/>
    <n v="11930.152317741182"/>
    <n v="0"/>
    <n v="5313.6423125061883"/>
    <n v="63392562.150193319"/>
    <n v="60551506.467737034"/>
    <n v="4.6919653171140441E-2"/>
    <n v="0"/>
    <n v="0"/>
    <n v="60551506.467737034"/>
    <n v="63392562.150193319"/>
  </r>
  <r>
    <x v="15"/>
    <x v="15"/>
    <x v="0"/>
    <n v="11484.15353575271"/>
    <n v="-916.32394801677879"/>
    <n v="-21.568181333857769"/>
    <n v="0"/>
    <n v="11484.15353575271"/>
    <n v="10447.178896850421"/>
    <n v="0"/>
    <n v="11484.15353575271"/>
    <n v="119977006.46690586"/>
    <n v="1.0181752931904677"/>
    <n v="122157623.73555651"/>
    <n v="11692.881393309362"/>
    <n v="0"/>
    <n v="122157623.73555651"/>
    <n v="11692.881393309362"/>
    <n v="1.1092039030979186"/>
    <n v="135497713.04064623"/>
    <n v="12969.789679919773"/>
    <n v="0"/>
    <n v="10447.178896850421"/>
    <n v="135497713.04064623"/>
    <n v="175022384.52083069"/>
    <n v="-0.22582637979932418"/>
    <n v="0"/>
    <n v="0"/>
    <n v="175022384.52083069"/>
    <n v="135497713.04064623"/>
  </r>
  <r>
    <x v="16"/>
    <x v="16"/>
    <x v="0"/>
    <n v="11484.15353575271"/>
    <n v="-807.40863117876745"/>
    <n v="-60.519662563049891"/>
    <n v="0"/>
    <n v="11484.15353575271"/>
    <n v="33268.839552419995"/>
    <n v="0"/>
    <n v="11484.15353575271"/>
    <n v="382064461.37631369"/>
    <n v="0.97123634700015304"/>
    <n v="371074891.78571194"/>
    <n v="11153.827328453353"/>
    <n v="1895874.1381186121"/>
    <n v="372970765.92383057"/>
    <n v="11210.813810808151"/>
    <n v="1.1145315818768295"/>
    <n v="415687697.73889959"/>
    <n v="12494.806050686617"/>
    <n v="0"/>
    <n v="33268.839552419995"/>
    <n v="415687697.73889959"/>
    <n v="447111194.77019799"/>
    <n v="-7.0281168082693912E-2"/>
    <n v="0"/>
    <n v="0"/>
    <n v="447111194.77019799"/>
    <n v="415687697.73889959"/>
  </r>
  <r>
    <x v="17"/>
    <x v="17"/>
    <x v="4"/>
    <n v="11766.366329499982"/>
    <n v="178.17343196206946"/>
    <n v="20.290912734862992"/>
    <n v="0"/>
    <n v="11766.366329499982"/>
    <n v="24752.093740490105"/>
    <n v="19.373503735654179"/>
    <n v="11785.739833235637"/>
    <n v="291721737.15327668"/>
    <n v="1.0181752931904677"/>
    <n v="297023865.25607008"/>
    <n v="11999.949110171268"/>
    <n v="3893601.9149088315"/>
    <n v="300917467.1709789"/>
    <n v="12157.253052041026"/>
    <n v="1.1039909704781965"/>
    <n v="332210166.61592984"/>
    <n v="13421.497595271789"/>
    <n v="0"/>
    <n v="24752.093740490105"/>
    <n v="332210166.61592984"/>
    <n v="342538188.60094124"/>
    <n v="-3.0151446842160978E-2"/>
    <n v="0"/>
    <n v="0"/>
    <n v="342538188.60094124"/>
    <n v="332210166.61592984"/>
  </r>
  <r>
    <x v="18"/>
    <x v="18"/>
    <x v="0"/>
    <n v="11484.15353575271"/>
    <n v="429.7338127635328"/>
    <n v="46.500017816390198"/>
    <n v="0"/>
    <n v="11484.15353575271"/>
    <n v="48027.295893169314"/>
    <n v="0"/>
    <n v="11484.15353575271"/>
    <n v="551552839.94418204"/>
    <n v="0.99671861092415948"/>
    <n v="549742980.48044038"/>
    <n v="11446.469559795216"/>
    <n v="0"/>
    <n v="549742980.48044038"/>
    <n v="11446.469559795216"/>
    <n v="1.1002959297555364"/>
    <n v="604879963.83430588"/>
    <n v="12594.503866713325"/>
    <n v="0"/>
    <n v="48027.295893169314"/>
    <n v="604879963.83430588"/>
    <n v="600418061.67072093"/>
    <n v="7.4313256852553966E-3"/>
    <n v="0"/>
    <n v="0"/>
    <n v="600418061.67072093"/>
    <n v="604879963.83430588"/>
  </r>
  <r>
    <x v="19"/>
    <x v="19"/>
    <x v="2"/>
    <n v="14354.564228801164"/>
    <n v="-1050.3645403490134"/>
    <n v="-152.08187915097827"/>
    <n v="0"/>
    <n v="14354.564228801164"/>
    <n v="25318.796560589475"/>
    <n v="329.16136416884177"/>
    <n v="14683.725592970006"/>
    <n v="371774261.03992862"/>
    <n v="0.99671861092415948"/>
    <n v="370554325.0410735"/>
    <n v="14635.542576216592"/>
    <n v="8194567.8891049139"/>
    <n v="378748892.9301784"/>
    <n v="14959.198081307239"/>
    <n v="1.1122294528034189"/>
    <n v="421255673.93363303"/>
    <n v="16638.060696350305"/>
    <n v="0"/>
    <n v="25318.796560589475"/>
    <n v="421255673.93363303"/>
    <n v="427752442.19632149"/>
    <n v="-1.5188150018104807E-2"/>
    <n v="0"/>
    <n v="0"/>
    <n v="427752442.19632149"/>
    <n v="421255673.93363303"/>
  </r>
  <r>
    <x v="20"/>
    <x v="20"/>
    <x v="0"/>
    <n v="11484.15353575271"/>
    <n v="-653.10740630119687"/>
    <n v="-32.577897106038186"/>
    <n v="0"/>
    <n v="11484.15353575271"/>
    <n v="22139.763680890428"/>
    <n v="0"/>
    <n v="11484.15353575271"/>
    <n v="254256445.35662726"/>
    <n v="0.99671861092415948"/>
    <n v="253422131.03437197"/>
    <n v="11446.469559795216"/>
    <n v="1723991.1235305152"/>
    <n v="255146122.15790248"/>
    <n v="11524.338102042509"/>
    <n v="1.1170469141508113"/>
    <n v="285010188.41403091"/>
    <n v="12873.226314517204"/>
    <n v="0"/>
    <n v="22139.763680890428"/>
    <n v="285010188.41403091"/>
    <n v="321001887.90953296"/>
    <n v="-0.11212301500745536"/>
    <n v="0"/>
    <n v="0"/>
    <n v="321001887.90953296"/>
    <n v="285010188.41403091"/>
  </r>
  <r>
    <x v="21"/>
    <x v="21"/>
    <x v="0"/>
    <n v="11484.15353575271"/>
    <n v="224.1044707085486"/>
    <n v="6.6955171041266413"/>
    <n v="0"/>
    <n v="11484.15353575271"/>
    <n v="13260.751776303299"/>
    <n v="0"/>
    <n v="11484.15353575271"/>
    <n v="152288509.39857256"/>
    <n v="0.99671861092415948"/>
    <n v="151788791.54745606"/>
    <n v="11446.469559795216"/>
    <n v="0"/>
    <n v="151788791.54745606"/>
    <n v="11446.469559795216"/>
    <n v="1.1067681053450378"/>
    <n v="167994993.23359081"/>
    <n v="12668.5874275842"/>
    <n v="0"/>
    <n v="13260.751776303299"/>
    <n v="167994993.23359081"/>
    <n v="182980923.24185652"/>
    <n v="-8.1898865426850653E-2"/>
    <n v="0"/>
    <n v="0"/>
    <n v="182980923.24185652"/>
    <n v="167994993.23359081"/>
  </r>
  <r>
    <x v="22"/>
    <x v="22"/>
    <x v="2"/>
    <n v="14354.564228801164"/>
    <n v="-125.02989643580931"/>
    <n v="-26.562703047570309"/>
    <n v="0"/>
    <n v="14354.564228801164"/>
    <n v="37150.44640207573"/>
    <n v="460.91546718175709"/>
    <n v="14815.479695982922"/>
    <n v="550401684.36665475"/>
    <n v="0.99671861092415948"/>
    <n v="548595602.2922498"/>
    <n v="14766.864342755187"/>
    <n v="22422240.964482512"/>
    <n v="571017843.25673234"/>
    <n v="15370.416739456125"/>
    <n v="1.1128915143911908"/>
    <n v="635480912.32637644"/>
    <n v="17105.606361997034"/>
    <n v="0"/>
    <n v="37150.44640207573"/>
    <n v="635480912.32637644"/>
    <n v="651137459.23030555"/>
    <n v="-2.4044918138232063E-2"/>
    <n v="0"/>
    <n v="0"/>
    <n v="651137459.23030555"/>
    <n v="635480912.32637644"/>
  </r>
  <r>
    <x v="23"/>
    <x v="23"/>
    <x v="0"/>
    <n v="11484.15353575271"/>
    <n v="-1558.5743844478652"/>
    <n v="-9.5216362967681807"/>
    <n v="0"/>
    <n v="11484.15353575271"/>
    <n v="2711.5561157386974"/>
    <n v="0"/>
    <n v="11484.15353575271"/>
    <n v="31139926.753952447"/>
    <n v="0.99671861092415948"/>
    <n v="31037744.538479555"/>
    <n v="11446.469559795218"/>
    <n v="0"/>
    <n v="31037744.538479555"/>
    <n v="11446.469559795218"/>
    <n v="1.1174005796419912"/>
    <n v="34681593.738077104"/>
    <n v="12790.291720969584"/>
    <n v="0"/>
    <n v="2711.5561157386974"/>
    <n v="34681593.738077104"/>
    <n v="51896602.087173186"/>
    <n v="-0.3317174469376476"/>
    <n v="0"/>
    <n v="0"/>
    <n v="51896602.087173186"/>
    <n v="34681593.738077104"/>
  </r>
  <r>
    <x v="24"/>
    <x v="24"/>
    <x v="0"/>
    <n v="11484.15353575271"/>
    <n v="-744.26756112228725"/>
    <n v="-16.724204731968854"/>
    <n v="0"/>
    <n v="11484.15353575271"/>
    <n v="9973.5765892633008"/>
    <n v="0"/>
    <n v="11484.15353575271"/>
    <n v="114538084.85168859"/>
    <n v="0.99671861092415948"/>
    <n v="114162240.83128856"/>
    <n v="11446.469559795216"/>
    <n v="0"/>
    <n v="114162240.83128856"/>
    <n v="11446.469559795216"/>
    <n v="1.1121720150724883"/>
    <n v="126968049.4305249"/>
    <n v="12730.443115783342"/>
    <n v="0"/>
    <n v="9973.5765892633008"/>
    <n v="126968049.4305249"/>
    <n v="163695078.94233933"/>
    <n v="-0.22436245334382543"/>
    <n v="0"/>
    <n v="0"/>
    <n v="163695078.94233933"/>
    <n v="126968049.4305249"/>
  </r>
  <r>
    <x v="25"/>
    <x v="25"/>
    <x v="0"/>
    <n v="11484.15353575271"/>
    <n v="-639.30777249153607"/>
    <n v="-22.450446564114102"/>
    <n v="0"/>
    <n v="11484.15353575271"/>
    <n v="15586.533665195537"/>
    <n v="0"/>
    <n v="11484.15353575271"/>
    <n v="178998145.70128396"/>
    <n v="0.99671861092415948"/>
    <n v="178410783.14138407"/>
    <n v="11446.469559795216"/>
    <n v="0"/>
    <n v="178410783.14138407"/>
    <n v="11446.469559795216"/>
    <n v="1.1093050072442689"/>
    <n v="197911975.08510876"/>
    <n v="12697.625997949937"/>
    <n v="0"/>
    <n v="15586.533665195537"/>
    <n v="197911975.08510876"/>
    <n v="236445528.84781078"/>
    <n v="-0.16297010965051617"/>
    <n v="0"/>
    <n v="0"/>
    <n v="236445528.84781078"/>
    <n v="197911975.08510876"/>
  </r>
  <r>
    <x v="26"/>
    <x v="26"/>
    <x v="2"/>
    <n v="14354.564228801164"/>
    <n v="-1560.320839893453"/>
    <n v="-99.460020387757197"/>
    <n v="0"/>
    <n v="14354.564228801164"/>
    <n v="11146.545054053109"/>
    <n v="374.74622262386197"/>
    <n v="14729.310451425026"/>
    <n v="164180922.5619444"/>
    <n v="0.99671861092415948"/>
    <n v="163642181.07618821"/>
    <n v="14680.977853015056"/>
    <n v="3866850.9143537963"/>
    <n v="167509031.99054199"/>
    <n v="15027.888119434132"/>
    <n v="1.1155619773501586"/>
    <n v="186866706.95138001"/>
    <n v="16764.540585912899"/>
    <n v="0"/>
    <n v="11146.545054053109"/>
    <n v="186866706.95138004"/>
    <n v="191973195.94856057"/>
    <n v="-2.6600010339718483E-2"/>
    <n v="0"/>
    <n v="0"/>
    <n v="191973195.94856057"/>
    <n v="186866706.95138004"/>
  </r>
  <r>
    <x v="27"/>
    <x v="27"/>
    <x v="0"/>
    <n v="11484.15353575271"/>
    <n v="-641.25417394676242"/>
    <n v="-15.792078047281395"/>
    <n v="0"/>
    <n v="11484.15353575271"/>
    <n v="10930.590367640707"/>
    <n v="0"/>
    <n v="11484.15353575271"/>
    <n v="125528578.01840554"/>
    <n v="0.99671861092415948"/>
    <n v="125116669.91379015"/>
    <n v="11446.469559795216"/>
    <n v="0"/>
    <n v="125116669.91379015"/>
    <n v="11446.469559795216"/>
    <n v="1.1055406163515706"/>
    <n v="138321560.37234756"/>
    <n v="12654.537012185494"/>
    <n v="0"/>
    <n v="10930.590367640707"/>
    <n v="138321560.37234756"/>
    <n v="155992589.33780089"/>
    <n v="-0.1132812080398693"/>
    <n v="0"/>
    <n v="0"/>
    <n v="155992589.33780089"/>
    <n v="138321560.37234756"/>
  </r>
  <r>
    <x v="28"/>
    <x v="28"/>
    <x v="0"/>
    <n v="11484.15353575271"/>
    <n v="-467.34136751645474"/>
    <n v="-14.13297051111558"/>
    <n v="0"/>
    <n v="11484.15353575271"/>
    <n v="13422.511048250997"/>
    <n v="0"/>
    <n v="11484.15353575271"/>
    <n v="154146177.7134515"/>
    <n v="0.99671861092415948"/>
    <n v="153640364.12982002"/>
    <n v="11446.469559795216"/>
    <n v="1163900"/>
    <n v="154804264.12982002"/>
    <n v="11533.182097845365"/>
    <n v="1.115210311498205"/>
    <n v="172639311.62146699"/>
    <n v="12861.923599903652"/>
    <n v="0"/>
    <n v="13422.511048250997"/>
    <n v="172639311.62146699"/>
    <n v="218006630.93565437"/>
    <n v="-0.20810063950567514"/>
    <n v="0"/>
    <n v="0"/>
    <n v="218006630.93565437"/>
    <n v="172639311.62146699"/>
  </r>
  <r>
    <x v="29"/>
    <x v="29"/>
    <x v="2"/>
    <n v="14354.564228801164"/>
    <n v="-1196.3350688396392"/>
    <n v="-66.010647447674216"/>
    <n v="0"/>
    <n v="14354.564228801164"/>
    <n v="9648.6554834519866"/>
    <n v="465.27452358132081"/>
    <n v="14819.838752382484"/>
    <n v="142991518.4420495"/>
    <n v="0.99671861092415948"/>
    <n v="142522307.6354959"/>
    <n v="14771.209095394697"/>
    <n v="3775551.6155792619"/>
    <n v="146297859.25107515"/>
    <n v="15162.512487049062"/>
    <n v="1.1188950996267033"/>
    <n v="163691957.80190516"/>
    <n v="16965.260919787896"/>
    <n v="0"/>
    <n v="9648.6554834519866"/>
    <n v="163691957.80190518"/>
    <n v="209879428.41413811"/>
    <n v="-0.22006668762740733"/>
    <n v="0"/>
    <n v="0"/>
    <n v="209879428.41413811"/>
    <n v="163691957.80190518"/>
  </r>
  <r>
    <x v="30"/>
    <x v="30"/>
    <x v="0"/>
    <n v="11484.15353575271"/>
    <n v="-610.78679948887805"/>
    <n v="-13.182479656637778"/>
    <n v="0"/>
    <n v="11484.15353575271"/>
    <n v="9579.4816484068069"/>
    <n v="0"/>
    <n v="11484.15353575271"/>
    <n v="110012238.04322924"/>
    <n v="0.99671861092415948"/>
    <n v="109651245.08710542"/>
    <n v="11446.469559795218"/>
    <n v="0"/>
    <n v="109651245.08710542"/>
    <n v="11446.469559795218"/>
    <n v="1.1029383967251234"/>
    <n v="120938568.45528562"/>
    <n v="12624.750784443466"/>
    <n v="0"/>
    <n v="9579.4816484068069"/>
    <n v="120938568.45528562"/>
    <n v="146495336.70909449"/>
    <n v="-0.17445448317961576"/>
    <n v="0"/>
    <n v="0"/>
    <n v="146495336.70909449"/>
    <n v="120938568.45528562"/>
  </r>
  <r>
    <x v="31"/>
    <x v="31"/>
    <x v="0"/>
    <n v="11484.15353575271"/>
    <n v="-385.30809315242817"/>
    <n v="-14.320013092081089"/>
    <n v="0"/>
    <n v="11484.15353575271"/>
    <n v="16495.664923243414"/>
    <n v="0"/>
    <n v="11484.15353575271"/>
    <n v="189438748.65285781"/>
    <n v="0.99671861092415948"/>
    <n v="188817126.41248742"/>
    <n v="11446.469559795216"/>
    <n v="0"/>
    <n v="188817126.41248742"/>
    <n v="11446.469559795216"/>
    <n v="1.1096904945580046"/>
    <n v="209528570.38969445"/>
    <n v="12702.038466752299"/>
    <n v="0"/>
    <n v="16495.664923243414"/>
    <n v="209528570.38969445"/>
    <n v="267911196.64727661"/>
    <n v="-0.21791782869921217"/>
    <n v="0"/>
    <n v="0"/>
    <n v="267911196.64727661"/>
    <n v="209528570.38969445"/>
  </r>
  <r>
    <x v="32"/>
    <x v="32"/>
    <x v="4"/>
    <n v="11766.366329499982"/>
    <n v="-110.10630531760694"/>
    <n v="-16.500159910510821"/>
    <n v="0"/>
    <n v="11766.366329499982"/>
    <n v="32570.863068870163"/>
    <n v="18.403518335263513"/>
    <n v="11784.769847835247"/>
    <n v="383840125.01199168"/>
    <n v="0.99671861092415948"/>
    <n v="382580596.21890807"/>
    <n v="11746.099432795265"/>
    <n v="650488.00938975799"/>
    <n v="383231084.22829783"/>
    <n v="11766.070902633639"/>
    <n v="1.109420290435795"/>
    <n v="425164340.76858282"/>
    <n v="13053.517798087969"/>
    <n v="0"/>
    <n v="32570.863068870163"/>
    <n v="425164340.76858282"/>
    <n v="451684822.75135535"/>
    <n v="-5.8714574072309733E-2"/>
    <n v="0"/>
    <n v="0"/>
    <n v="451684822.75135535"/>
    <n v="425164340.76858282"/>
  </r>
  <r>
    <x v="33"/>
    <x v="33"/>
    <x v="4"/>
    <n v="11766.366329499982"/>
    <n v="-48.77795856699754"/>
    <n v="-7.3261979178962537"/>
    <n v="0"/>
    <n v="11766.366329499982"/>
    <n v="32644.372881643387"/>
    <n v="213.0000886565154"/>
    <n v="11979.366418156498"/>
    <n v="391058904.24013746"/>
    <n v="0.99671861092415948"/>
    <n v="389775687.82375371"/>
    <n v="11940.057456056469"/>
    <n v="7523532.7069142247"/>
    <n v="397299220.53066796"/>
    <n v="12170.526968648786"/>
    <n v="1.1013202840351"/>
    <n v="437553690.40175903"/>
    <n v="13403.648217969125"/>
    <n v="0"/>
    <n v="32644.372881643387"/>
    <n v="437553690.40175903"/>
    <n v="457680358.38583815"/>
    <n v="-4.3975380667552577E-2"/>
    <n v="0"/>
    <n v="0"/>
    <n v="457680358.38583815"/>
    <n v="437553690.40175903"/>
  </r>
  <r>
    <x v="34"/>
    <x v="34"/>
    <x v="3"/>
    <n v="0"/>
    <n v="0"/>
    <n v="0"/>
    <n v="0"/>
    <n v="0"/>
    <n v="761.50570848710015"/>
    <n v="0"/>
    <n v="0"/>
    <n v="0"/>
    <n v="0.99671861092415948"/>
    <n v="0"/>
    <n v="0"/>
    <n v="0"/>
    <n v="0"/>
    <n v="0"/>
    <n v="1.1162285486449348"/>
    <n v="0"/>
    <n v="0"/>
    <n v="0"/>
    <n v="761.50570848710015"/>
    <n v="0"/>
    <n v="13700537.261961408"/>
    <n v="-1"/>
    <n v="0"/>
    <n v="0"/>
    <n v="13700537.261961408"/>
    <n v="0"/>
  </r>
  <r>
    <x v="35"/>
    <x v="35"/>
    <x v="0"/>
    <n v="11484.15353575271"/>
    <n v="-4.276264194347954"/>
    <n v="-0.23073696068409835"/>
    <n v="0"/>
    <n v="11484.15353575271"/>
    <n v="23948.988823237505"/>
    <n v="0"/>
    <n v="11484.15353575271"/>
    <n v="275033864.67208511"/>
    <n v="0.99671861092415948"/>
    <n v="274131371.55306393"/>
    <n v="11446.469559795214"/>
    <n v="0"/>
    <n v="274131371.55306393"/>
    <n v="11446.469559795214"/>
    <n v="1.1000250372583604"/>
    <n v="301551372.2063446"/>
    <n v="12591.40310399042"/>
    <n v="0"/>
    <n v="23948.988823237505"/>
    <n v="301551372.2063446"/>
    <n v="310083750.7349233"/>
    <n v="-2.7516367782433826E-2"/>
    <n v="0"/>
    <n v="0"/>
    <n v="310083750.7349233"/>
    <n v="301551372.2063446"/>
  </r>
  <r>
    <x v="36"/>
    <x v="36"/>
    <x v="0"/>
    <n v="11484.15353575271"/>
    <n v="-2.5895849717769885"/>
    <n v="-0.13697360620124222"/>
    <n v="0"/>
    <n v="11484.15353575271"/>
    <n v="23476.927900370822"/>
    <n v="0"/>
    <n v="11484.15353575271"/>
    <n v="269612644.555655"/>
    <n v="0.99671861092415948"/>
    <n v="268727940.56910163"/>
    <n v="11446.469559795216"/>
    <n v="0"/>
    <n v="268727940.56910163"/>
    <n v="11446.469559795216"/>
    <n v="1.1061154122244721"/>
    <n v="297244116.7588253"/>
    <n v="12661.116395647758"/>
    <n v="0"/>
    <n v="23476.927900370822"/>
    <n v="297244116.7588253"/>
    <n v="322468123.03384435"/>
    <n v="-7.8221704637675749E-2"/>
    <n v="0"/>
    <n v="0"/>
    <n v="322468123.03384435"/>
    <n v="297244116.7588253"/>
  </r>
  <r>
    <x v="37"/>
    <x v="37"/>
    <x v="0"/>
    <n v="11484.15353575271"/>
    <n v="554.61351284702926"/>
    <n v="22.093117265555758"/>
    <n v="0"/>
    <n v="11484.15353575271"/>
    <n v="17680.766689321921"/>
    <n v="0"/>
    <n v="11484.15353575271"/>
    <n v="203048639.28999507"/>
    <n v="1.0181752931904677"/>
    <n v="206739107.84101626"/>
    <n v="11692.881393309362"/>
    <n v="0"/>
    <n v="206739107.84101626"/>
    <n v="11692.881393309362"/>
    <n v="1.1087551078753266"/>
    <n v="229223041.81631476"/>
    <n v="12964.541970612121"/>
    <n v="0"/>
    <n v="17680.766689321921"/>
    <n v="229223041.81631476"/>
    <n v="260063804.41883573"/>
    <n v="-0.11858921571743053"/>
    <n v="0"/>
    <n v="0"/>
    <n v="260063804.41883573"/>
    <n v="229223041.81631476"/>
  </r>
  <r>
    <x v="38"/>
    <x v="38"/>
    <x v="3"/>
    <n v="0"/>
    <n v="0"/>
    <n v="0"/>
    <n v="0"/>
    <n v="0"/>
    <n v="4028.0292016780049"/>
    <n v="0"/>
    <n v="0"/>
    <n v="0"/>
    <n v="1.0181752931904677"/>
    <n v="0"/>
    <n v="0"/>
    <n v="500"/>
    <n v="500"/>
    <n v="0.12413018251995515"/>
    <n v="1.1097404270766293"/>
    <n v="554.87021353831472"/>
    <n v="0.137752281762795"/>
    <n v="0"/>
    <n v="4028.0292016780049"/>
    <n v="554.87021353831472"/>
    <n v="88874955.839464456"/>
    <n v="-0.99999375673148527"/>
    <n v="0"/>
    <n v="0"/>
    <n v="88874955.839464456"/>
    <n v="554.87021353831472"/>
  </r>
  <r>
    <x v="39"/>
    <x v="39"/>
    <x v="4"/>
    <n v="11766.366329499982"/>
    <n v="-1205.0992469898038"/>
    <n v="-87.453778288313941"/>
    <n v="0"/>
    <n v="11766.366329499982"/>
    <n v="15772.809770715308"/>
    <n v="257.00627833251923"/>
    <n v="12023.372607832502"/>
    <n v="189642368.94577128"/>
    <n v="0.99671861092415948"/>
    <n v="189020078.5479961"/>
    <n v="11983.9192443024"/>
    <n v="4440696.1405483484"/>
    <n v="193460774.68854445"/>
    <n v="12265.460466513372"/>
    <n v="1.1192514228727357"/>
    <n v="216531247.34021512"/>
    <n v="13728.134079334381"/>
    <n v="0"/>
    <n v="15772.809770715308"/>
    <n v="216531247.34021512"/>
    <n v="271172412.47944635"/>
    <n v="-0.20149971982630344"/>
    <n v="0"/>
    <n v="0"/>
    <n v="271172412.47944635"/>
    <n v="216531247.34021512"/>
  </r>
  <r>
    <x v="40"/>
    <x v="40"/>
    <x v="0"/>
    <n v="11484.15353575271"/>
    <n v="406.91794168916692"/>
    <n v="27.393513168495851"/>
    <n v="0"/>
    <n v="11484.15353575271"/>
    <n v="29879.645227280573"/>
    <n v="0"/>
    <n v="11484.15353575271"/>
    <n v="343142433.38391078"/>
    <n v="1.0181752931904677"/>
    <n v="349379147.7167539"/>
    <n v="11692.881393309362"/>
    <n v="0"/>
    <n v="349379147.7167539"/>
    <n v="11692.881393309362"/>
    <n v="1.103137085322671"/>
    <n v="385413094.68477881"/>
    <n v="12898.851099238982"/>
    <n v="0"/>
    <n v="29879.645227280573"/>
    <n v="385413094.68477881"/>
    <n v="465462446.66788989"/>
    <n v="-0.17197811027755527"/>
    <n v="0"/>
    <n v="0"/>
    <n v="465462446.66788989"/>
    <n v="385413094.68477881"/>
  </r>
  <r>
    <x v="41"/>
    <x v="41"/>
    <x v="4"/>
    <n v="11766.366329499982"/>
    <n v="-540.99451281430606"/>
    <n v="-15.66773014930077"/>
    <n v="0"/>
    <n v="11766.366329499982"/>
    <n v="6294.5766472001997"/>
    <n v="255.17441477061357"/>
    <n v="12021.540744270596"/>
    <n v="75670509.632251397"/>
    <n v="0.99671861092415948"/>
    <n v="75422205.248580843"/>
    <n v="11982.093391797574"/>
    <n v="1779316.0719295214"/>
    <n v="77201521.320510358"/>
    <n v="12264.767854538599"/>
    <n v="1.1063897161544309"/>
    <n v="85414969.260489702"/>
    <n v="13569.613025282948"/>
    <n v="0"/>
    <n v="6294.5766472001997"/>
    <n v="85414969.260489702"/>
    <n v="112879486.6648809"/>
    <n v="-0.24330831239451378"/>
    <n v="0"/>
    <n v="0"/>
    <n v="112879486.6648809"/>
    <n v="85414969.260489702"/>
  </r>
  <r>
    <x v="42"/>
    <x v="42"/>
    <x v="0"/>
    <n v="11484.15353575271"/>
    <n v="-734.89946272737097"/>
    <n v="-6.5475665020132547"/>
    <n v="0"/>
    <n v="11484.15353575271"/>
    <n v="3954.4540239540111"/>
    <n v="0"/>
    <n v="11484.15353575271"/>
    <n v="45413557.161162987"/>
    <n v="1.0181752931904677"/>
    <n v="46238961.877389193"/>
    <n v="11692.881393309362"/>
    <n v="0"/>
    <n v="46238961.877389193"/>
    <n v="11692.881393309362"/>
    <n v="1.1145002778743147"/>
    <n v="51533335.860970102"/>
    <n v="13031.719561994689"/>
    <n v="0"/>
    <n v="3954.4540239540111"/>
    <n v="51533335.860970102"/>
    <n v="52381829.042422429"/>
    <n v="-1.619823509341678E-2"/>
    <n v="0"/>
    <n v="0"/>
    <n v="52381829.042422429"/>
    <n v="51533335.860970102"/>
  </r>
  <r>
    <x v="43"/>
    <x v="43"/>
    <x v="0"/>
    <n v="11484.15353575271"/>
    <n v="-387.78037096816541"/>
    <n v="-7.4955332105080572"/>
    <n v="0"/>
    <n v="11484.15353575271"/>
    <n v="8579.2881249335114"/>
    <n v="0"/>
    <n v="11484.15353575271"/>
    <n v="98525862.054196417"/>
    <n v="0.98428319730495717"/>
    <n v="96977350.519931599"/>
    <n v="11303.659360511705"/>
    <n v="0"/>
    <n v="96977350.519931599"/>
    <n v="11303.659360511705"/>
    <n v="1.1104886126299631"/>
    <n v="107692243.43540847"/>
    <n v="12552.585000896339"/>
    <n v="0"/>
    <n v="8579.2881249335114"/>
    <n v="107692243.43540847"/>
    <n v="109187672.68500334"/>
    <n v="-1.3695953149482798E-2"/>
    <n v="0"/>
    <n v="0"/>
    <n v="109187672.68500334"/>
    <n v="107692243.43540847"/>
  </r>
  <r>
    <x v="44"/>
    <x v="44"/>
    <x v="0"/>
    <n v="11484.15353575271"/>
    <n v="-725.47034738331945"/>
    <n v="-26.278774026583243"/>
    <n v="0"/>
    <n v="11484.15353575271"/>
    <n v="16077.553995552473"/>
    <n v="0"/>
    <n v="11484.15353575271"/>
    <n v="184637098.56427905"/>
    <n v="1.0181752931904677"/>
    <n v="187992931.96452212"/>
    <n v="11692.881393309364"/>
    <n v="0"/>
    <n v="187992931.96452212"/>
    <n v="11692.881393309364"/>
    <n v="1.1092283969691177"/>
    <n v="208527098.56453127"/>
    <n v="12970.076083850568"/>
    <n v="0"/>
    <n v="16077.553995552473"/>
    <n v="208527098.56453127"/>
    <n v="280210093.93168741"/>
    <n v="-0.25581874785935366"/>
    <n v="0"/>
    <n v="0"/>
    <n v="280210093.93168741"/>
    <n v="208527098.56453127"/>
  </r>
  <r>
    <x v="45"/>
    <x v="45"/>
    <x v="0"/>
    <n v="11484.15353575271"/>
    <n v="-649.58695377649087"/>
    <n v="-41.000398095918598"/>
    <n v="0"/>
    <n v="11484.15353575271"/>
    <n v="28014.657799435397"/>
    <n v="0"/>
    <n v="11484.15353575271"/>
    <n v="321724631.42028826"/>
    <n v="0.99671861092415948"/>
    <n v="320668927.72931689"/>
    <n v="11446.469559795216"/>
    <n v="0"/>
    <n v="320668927.72931689"/>
    <n v="11446.469559795216"/>
    <n v="1.1043658326230656"/>
    <n v="354135807.36813271"/>
    <n v="12641.089885997819"/>
    <n v="0"/>
    <n v="28014.657799435397"/>
    <n v="354135807.36813271"/>
    <n v="390481566.18922573"/>
    <n v="-9.307932042937983E-2"/>
    <n v="0"/>
    <n v="0"/>
    <n v="390481566.18922573"/>
    <n v="354135807.36813271"/>
  </r>
  <r>
    <x v="46"/>
    <x v="46"/>
    <x v="3"/>
    <n v="0"/>
    <n v="0"/>
    <n v="0"/>
    <n v="0"/>
    <n v="0"/>
    <n v="8343.0523646819092"/>
    <n v="0"/>
    <n v="0"/>
    <n v="0"/>
    <n v="1.0181752931904677"/>
    <n v="0"/>
    <n v="0"/>
    <n v="0"/>
    <n v="0"/>
    <n v="0"/>
    <n v="1.1046970005422463"/>
    <n v="0"/>
    <n v="0"/>
    <n v="0"/>
    <n v="8343.0523646819092"/>
    <n v="0"/>
    <n v="117815614.51364455"/>
    <n v="-1"/>
    <n v="0"/>
    <n v="0"/>
    <n v="117815614.51364455"/>
    <n v="0"/>
  </r>
  <r>
    <x v="47"/>
    <x v="47"/>
    <x v="1"/>
    <n v="15193.493273003131"/>
    <n v="-239.5642740412051"/>
    <n v="-13.14291753738534"/>
    <n v="0"/>
    <n v="15193.493273003131"/>
    <n v="17595.788058902563"/>
    <n v="327.03379622990684"/>
    <n v="15520.527069233038"/>
    <n v="273095904.87268466"/>
    <n v="1.0181752931904677"/>
    <n v="278059503.01286179"/>
    <n v="15802.617199186938"/>
    <n v="9943457.707362337"/>
    <n v="288002960.72022414"/>
    <n v="16367.721624977716"/>
    <n v="1.1124197944130276"/>
    <n v="320380194.35473502"/>
    <n v="18207.777525067377"/>
    <n v="0"/>
    <n v="17595.788058902563"/>
    <n v="320380194.35473502"/>
    <n v="347925179.07457805"/>
    <n v="-7.9169276547066847E-2"/>
    <n v="0"/>
    <n v="0"/>
    <n v="347925179.07457805"/>
    <n v="320380194.35473502"/>
  </r>
  <r>
    <x v="48"/>
    <x v="6"/>
    <x v="1"/>
    <n v="15193.493273003131"/>
    <n v="-433.16288263848162"/>
    <n v="-48.178466888007264"/>
    <n v="0"/>
    <n v="15193.493273003131"/>
    <n v="35673.090260246754"/>
    <n v="181.91035232456531"/>
    <n v="15375.403625327695"/>
    <n v="548488161.31404006"/>
    <n v="0.99671861092415948"/>
    <n v="546688358.25327635"/>
    <n v="15324.950943834907"/>
    <n v="5222205.8638570011"/>
    <n v="551910564.11713338"/>
    <n v="15471.341565610575"/>
    <n v="1.1037457657417868"/>
    <n v="609168948.21244693"/>
    <n v="17076.42774338758"/>
    <n v="0"/>
    <n v="35673.090260246754"/>
    <n v="609168948.21244693"/>
    <n v="538516504.83492351"/>
    <n v="0.13119828778354936"/>
    <n v="0"/>
    <n v="0"/>
    <n v="538516504.83492351"/>
    <n v="609168948.21244693"/>
  </r>
  <r>
    <x v="49"/>
    <x v="10"/>
    <x v="1"/>
    <n v="15193.493273003131"/>
    <n v="-593.42635591179703"/>
    <n v="-70.924814915528174"/>
    <n v="0"/>
    <n v="15193.493273003131"/>
    <n v="38332.784912257281"/>
    <n v="394.05813122618474"/>
    <n v="15587.551404229314"/>
    <n v="597514255.28707623"/>
    <n v="0.99671861092415948"/>
    <n v="595553578.5371182"/>
    <n v="15536.402583332372"/>
    <n v="19079670.401033461"/>
    <n v="614633248.9381516"/>
    <n v="16034.140236485053"/>
    <n v="1.1112849031201628"/>
    <n v="683032650.50066471"/>
    <n v="17818.497979317395"/>
    <n v="0"/>
    <n v="38332.784912257281"/>
    <n v="683032650.50066471"/>
    <n v="807990924.62363875"/>
    <n v="-0.15465306640811527"/>
    <n v="0"/>
    <n v="0"/>
    <n v="807990924.62363875"/>
    <n v="683032650.50066471"/>
  </r>
  <r>
    <x v="50"/>
    <x v="48"/>
    <x v="1"/>
    <n v="15193.493273003131"/>
    <n v="-1050.3645403490134"/>
    <n v="-82.917102805782449"/>
    <n v="0"/>
    <n v="15193.493273003131"/>
    <n v="25318.796560589475"/>
    <n v="329.16136416884177"/>
    <n v="15522.654637171972"/>
    <n v="393014934.83884799"/>
    <n v="0.99671861092415948"/>
    <n v="391725299.92502564"/>
    <n v="15471.718767817512"/>
    <n v="8194567.8891049139"/>
    <n v="399919867.81413054"/>
    <n v="15795.374272908157"/>
    <n v="1.1122294528034189"/>
    <n v="444802655.74412602"/>
    <n v="17568.080484381841"/>
    <n v="0"/>
    <n v="25318.796560589475"/>
    <n v="444802655.74412602"/>
    <n v="427752442.19632149"/>
    <n v="3.9860002809707362E-2"/>
    <n v="0"/>
    <n v="0"/>
    <n v="427752442.19632149"/>
    <n v="444802655.74412602"/>
  </r>
  <r>
    <x v="51"/>
    <x v="22"/>
    <x v="1"/>
    <n v="15193.493273003131"/>
    <n v="-125.02989643580931"/>
    <n v="-14.482345902685346"/>
    <n v="0"/>
    <n v="15193.493273003131"/>
    <n v="37150.44640207573"/>
    <n v="460.91546718175709"/>
    <n v="15654.408740184888"/>
    <n v="581568272.85842454"/>
    <n v="0.99671861092415948"/>
    <n v="579659921.08101141"/>
    <n v="15603.040534356101"/>
    <n v="22422240.964482512"/>
    <n v="602082162.04549396"/>
    <n v="16206.592931057039"/>
    <n v="1.1128915143911908"/>
    <n v="670052129.10673213"/>
    <n v="18036.179750165637"/>
    <n v="0"/>
    <n v="37150.44640207573"/>
    <n v="670052129.10673213"/>
    <n v="651137459.23030555"/>
    <n v="2.9048658786710257E-2"/>
    <n v="0"/>
    <n v="0"/>
    <n v="651137459.23030555"/>
    <n v="670052129.10673213"/>
  </r>
  <r>
    <x v="52"/>
    <x v="49"/>
    <x v="4"/>
    <n v="11766.366329499982"/>
    <n v="-116.14316678237265"/>
    <n v="-24.807682407952775"/>
    <n v="0"/>
    <n v="11766.366329499982"/>
    <n v="46424.350169759156"/>
    <n v="49.064557700159881"/>
    <n v="11815.430887200142"/>
    <n v="548523700.91396749"/>
    <n v="1.0181752931904677"/>
    <n v="558493279.99999928"/>
    <n v="12030.179807746712"/>
    <n v="1403028.2238295362"/>
    <n v="559896308.22382879"/>
    <n v="12060.401624933147"/>
    <n v="1.103417335211333"/>
    <n v="617799292.41500032"/>
    <n v="13307.656222562164"/>
    <n v="0"/>
    <n v="46424.350169759156"/>
    <n v="617799292.41500032"/>
    <n v="635318079.82826042"/>
    <n v="-2.7574829002183887E-2"/>
    <n v="0"/>
    <n v="0"/>
    <n v="635318079.82826042"/>
    <n v="617799292.4150003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3">
  <r>
    <x v="0"/>
    <x v="0"/>
    <x v="0"/>
    <n v="13007.414014802565"/>
    <n v="-122.32561359390549"/>
    <n v="-7.3363960984961141"/>
    <n v="-322.21261623339183"/>
    <n v="12685.201398569174"/>
    <n v="26619.50103849114"/>
    <n v="0"/>
    <n v="12685.201398569174"/>
    <n v="337673731.80268139"/>
    <n v="0.99671861092415948"/>
    <n v="336565692.90794575"/>
    <n v="12643.576317275072"/>
    <n v="3290507.2285114108"/>
    <n v="339856200.13645715"/>
    <n v="12767.188973415898"/>
    <n v="1.1125595900638841"/>
    <n v="378110274.70448607"/>
    <n v="14204.258530531732"/>
    <n v="1204.8376395669477"/>
    <n v="27824.338678058088"/>
    <n v="395224100.02421057"/>
    <n v="368710793.99844563"/>
    <n v="7.1908136288184377E-2"/>
    <n v="0"/>
    <n v="0"/>
    <n v="368710793.99844563"/>
    <n v="395224100.02421057"/>
  </r>
  <r>
    <x v="1"/>
    <x v="1"/>
    <x v="1"/>
    <n v="15873.943808574768"/>
    <n v="355.07134698588641"/>
    <n v="65.828017604699497"/>
    <n v="-317.47887617149536"/>
    <n v="15556.464932403273"/>
    <n v="59461.264530919943"/>
    <n v="2674.2625813638347"/>
    <n v="18230.727513767106"/>
    <n v="1084022111.2872264"/>
    <n v="0.99671861092415948"/>
    <n v="1080465012.973279"/>
    <n v="18170.90540365881"/>
    <n v="52767109.29482726"/>
    <n v="1133232122.2681062"/>
    <n v="19058.325301488061"/>
    <n v="1.1082787301058081"/>
    <n v="1255937057.3824067"/>
    <n v="21121.936563076582"/>
    <n v="-191.60489590827547"/>
    <n v="59269.659635011667"/>
    <n v="1251889990.9258571"/>
    <n v="1363046478.5751929"/>
    <n v="-8.1550034717472686E-2"/>
    <n v="0"/>
    <n v="0"/>
    <n v="1363046478.5751929"/>
    <n v="1251889990.9258571"/>
  </r>
  <r>
    <x v="2"/>
    <x v="2"/>
    <x v="2"/>
    <n v="15588.322562200641"/>
    <n v="-260.15454865853616"/>
    <n v="-26.177881959605838"/>
    <n v="-637.09771780697565"/>
    <n v="14951.224844393666"/>
    <n v="17595.788058902563"/>
    <n v="327.03379622990684"/>
    <n v="15278.258640623573"/>
    <n v="268833000.94950914"/>
    <n v="1.0181752931904677"/>
    <n v="273719119.56103975"/>
    <n v="15555.945470856701"/>
    <n v="9943457.707362337"/>
    <n v="283662577.2684021"/>
    <n v="16121.049896647479"/>
    <n v="1.1124197944130276"/>
    <n v="315551865.8875854"/>
    <n v="17933.375011750748"/>
    <n v="727.08097638651202"/>
    <n v="18322.869035289074"/>
    <n v="328590881.70103461"/>
    <n v="347925179.07457805"/>
    <n v="-5.5570273542631776E-2"/>
    <n v="0"/>
    <n v="0"/>
    <n v="347925179.07457805"/>
    <n v="328590881.70103461"/>
  </r>
  <r>
    <x v="3"/>
    <x v="3"/>
    <x v="3"/>
    <n v="0"/>
    <n v="0"/>
    <n v="0"/>
    <n v="0"/>
    <n v="0"/>
    <n v="38081.297805077251"/>
    <n v="59.813880799327308"/>
    <n v="59.813880799327308"/>
    <n v="2277790.2075965754"/>
    <n v="1.0181752931904677"/>
    <n v="2319189.7124460195"/>
    <n v="60.901015619714769"/>
    <n v="1403028.2238295362"/>
    <n v="3722217.9362755558"/>
    <n v="97.743988540728907"/>
    <n v="1.103417335211333"/>
    <n v="4107159.7963210009"/>
    <n v="107.85241136853816"/>
    <n v="-724.50787177656002"/>
    <n v="37356.789933300694"/>
    <n v="4029019.8752944116"/>
    <n v="517502465.31461585"/>
    <n v="-0.9922144914365868"/>
    <n v="0"/>
    <n v="0"/>
    <n v="517502465.31461585"/>
    <n v="4029019.8752944116"/>
  </r>
  <r>
    <x v="4"/>
    <x v="4"/>
    <x v="0"/>
    <n v="13007.414014802565"/>
    <n v="-86.666934376909808"/>
    <n v="-5.017610420154119"/>
    <n v="-322.21261623339183"/>
    <n v="12685.201398569174"/>
    <n v="25696.740936307477"/>
    <n v="0"/>
    <n v="12685.201398569174"/>
    <n v="325968334.06391734"/>
    <n v="0.99671861092415948"/>
    <n v="324898705.13345009"/>
    <n v="12643.576317275072"/>
    <n v="499976.94573919184"/>
    <n v="325398682.0791893"/>
    <n v="12663.033140495514"/>
    <n v="1.1067037674041424"/>
    <n v="360119947.3653816"/>
    <n v="14014.226483349894"/>
    <n v="390.56318082207378"/>
    <n v="26087.304117129552"/>
    <n v="365593388.23747969"/>
    <n v="360857545.22088104"/>
    <n v="1.3123857542454376E-2"/>
    <n v="0"/>
    <n v="0"/>
    <n v="360857545.22088104"/>
    <n v="365593388.23747969"/>
  </r>
  <r>
    <x v="5"/>
    <x v="5"/>
    <x v="0"/>
    <n v="13007.414014802565"/>
    <n v="-713.66490620463549"/>
    <n v="-11.27042739884082"/>
    <n v="-322.21261623339183"/>
    <n v="12685.201398569174"/>
    <n v="7009.3958456196124"/>
    <n v="0"/>
    <n v="12685.201398569174"/>
    <n v="88915597.983978868"/>
    <n v="0.99671861092415948"/>
    <n v="88623831.31208241"/>
    <n v="12643.576317275072"/>
    <n v="0"/>
    <n v="88623831.31208241"/>
    <n v="12643.576317275072"/>
    <n v="1.109223872023541"/>
    <n v="98303669.321549192"/>
    <n v="14024.556678872999"/>
    <n v="993.6879514372597"/>
    <n v="8003.0837970568718"/>
    <n v="112239702.31759423"/>
    <n v="108217974.62571737"/>
    <n v="3.7163213466029132E-2"/>
    <n v="0"/>
    <n v="0"/>
    <n v="108217974.62571737"/>
    <n v="112239702.31759423"/>
  </r>
  <r>
    <x v="6"/>
    <x v="6"/>
    <x v="2"/>
    <n v="15588.322562200641"/>
    <n v="-470.39273564246923"/>
    <n v="-95.961206147835142"/>
    <n v="-637.09771780697565"/>
    <n v="14951.224844393666"/>
    <n v="35673.090260246754"/>
    <n v="181.91035232456531"/>
    <n v="15133.135196718231"/>
    <n v="539845697.79304647"/>
    <n v="0.99671861092415948"/>
    <n v="538074254.01766884"/>
    <n v="15083.477492200502"/>
    <n v="5222205.8638570011"/>
    <n v="543296459.88152587"/>
    <n v="15229.868113976168"/>
    <n v="1.1037457657417868"/>
    <n v="599661167.13673675"/>
    <n v="16809.90244360705"/>
    <n v="1700.6914531681189"/>
    <n v="37373.781713414872"/>
    <n v="628249624.55116916"/>
    <n v="538516504.83492351"/>
    <n v="0.16663021265012556"/>
    <n v="0"/>
    <n v="0"/>
    <n v="538516504.83492351"/>
    <n v="628249624.55116916"/>
  </r>
  <r>
    <x v="7"/>
    <x v="7"/>
    <x v="1"/>
    <n v="15873.943808574768"/>
    <n v="740.73064683487507"/>
    <n v="247.5742889387781"/>
    <n v="-317.47887617149536"/>
    <n v="15556.464932403273"/>
    <n v="107197.39183395408"/>
    <n v="2451.508278398871"/>
    <n v="18007.973210802142"/>
    <n v="1930407760.4137053"/>
    <n v="0.99671861092415948"/>
    <n v="1924073341.4767661"/>
    <n v="17948.882044230188"/>
    <n v="116178105.15508722"/>
    <n v="2040251446.6318533"/>
    <n v="19032.659393356778"/>
    <n v="1.102608290464433"/>
    <n v="2249598159.688334"/>
    <n v="20985.568036700948"/>
    <n v="166.46303204116344"/>
    <n v="107363.85486599525"/>
    <n v="2253091480.9728293"/>
    <n v="2271913453.7494617"/>
    <n v="-8.2846345865725812E-3"/>
    <n v="0"/>
    <n v="0"/>
    <n v="2271913453.7494617"/>
    <n v="2253091480.9728293"/>
  </r>
  <r>
    <x v="8"/>
    <x v="8"/>
    <x v="0"/>
    <n v="13007.414014802565"/>
    <n v="-1615.4801815215708"/>
    <n v="-10.438135413027958"/>
    <n v="-322.21261623339183"/>
    <n v="12685.201398569174"/>
    <n v="2867.8460524598017"/>
    <n v="0"/>
    <n v="12685.201398569174"/>
    <n v="36379204.755544163"/>
    <n v="0.99671861092415948"/>
    <n v="36259830.430471554"/>
    <n v="12643.576317275072"/>
    <n v="108600"/>
    <n v="36368430.430471554"/>
    <n v="12681.444458735055"/>
    <n v="1.1194475957315877"/>
    <n v="40712552.005922891"/>
    <n v="14196.212509734622"/>
    <n v="2181.4186560639409"/>
    <n v="5049.2647085237422"/>
    <n v="71680434.820106283"/>
    <n v="46170653.566977315"/>
    <n v="0.55251072450432792"/>
    <n v="0"/>
    <n v="0"/>
    <n v="46170653.566977315"/>
    <n v="71680434.820106283"/>
  </r>
  <r>
    <x v="9"/>
    <x v="9"/>
    <x v="4"/>
    <n v="13037.343858921939"/>
    <n v="-689.34413339987964"/>
    <n v="-80.710172979444138"/>
    <n v="-260.74687717843881"/>
    <n v="12776.5969817435"/>
    <n v="25447.521948057743"/>
    <n v="343.90420265043787"/>
    <n v="13120.501184393937"/>
    <n v="333884241.85938233"/>
    <n v="0.99671861092415948"/>
    <n v="332788637.75554967"/>
    <n v="13077.447715137914"/>
    <n v="8508288.3865781873"/>
    <n v="341296926.14212787"/>
    <n v="13411.794155783291"/>
    <n v="1.1128601479295688"/>
    <n v="379815747.71443552"/>
    <n v="14925.451228205919"/>
    <n v="2162.294339153837"/>
    <n v="27609.816287211579"/>
    <n v="412088966.41450185"/>
    <n v="419698004.06819934"/>
    <n v="-1.812979232672518E-2"/>
    <n v="0"/>
    <n v="0"/>
    <n v="419698004.06819934"/>
    <n v="412088966.41450185"/>
  </r>
  <r>
    <x v="10"/>
    <x v="10"/>
    <x v="2"/>
    <n v="15588.322562200641"/>
    <n v="-644.43067065066452"/>
    <n v="-141.26706856253725"/>
    <n v="-637.09771780697565"/>
    <n v="14951.224844393666"/>
    <n v="38332.784912257281"/>
    <n v="394.05813122618474"/>
    <n v="15345.282975619852"/>
    <n v="588227431.72215915"/>
    <n v="0.99671861092415948"/>
    <n v="586297228.65359628"/>
    <n v="15294.929131697969"/>
    <n v="19079670.401033461"/>
    <n v="605376899.0546298"/>
    <n v="15792.666784850653"/>
    <n v="1.1112849031201628"/>
    <n v="672746208.61710882"/>
    <n v="17550.152178011769"/>
    <n v="953.29101332099958"/>
    <n v="39286.075925578283"/>
    <n v="689476610.97082341"/>
    <n v="807990924.62363875"/>
    <n v="-0.14667777822878292"/>
    <n v="0"/>
    <n v="0"/>
    <n v="807990924.62363875"/>
    <n v="689476610.97082341"/>
  </r>
  <r>
    <x v="11"/>
    <x v="11"/>
    <x v="3"/>
    <n v="0"/>
    <n v="0"/>
    <n v="0"/>
    <n v="0"/>
    <n v="0"/>
    <n v="4473.6534036291032"/>
    <n v="0"/>
    <n v="0"/>
    <n v="0"/>
    <n v="0.99671861092415948"/>
    <n v="0"/>
    <n v="0"/>
    <n v="0"/>
    <n v="0"/>
    <n v="0"/>
    <n v="1.124045673216447"/>
    <n v="0"/>
    <n v="0"/>
    <n v="2439.3172481154938"/>
    <n v="6912.9706517445975"/>
    <n v="0"/>
    <n v="-1387911.6579789929"/>
    <n v="-1"/>
    <n v="0"/>
    <n v="0"/>
    <n v="-1387911.6579789929"/>
    <n v="0"/>
  </r>
  <r>
    <x v="12"/>
    <x v="12"/>
    <x v="4"/>
    <n v="13037.343858921939"/>
    <n v="-140.81274879698319"/>
    <n v="-21.664967228417666"/>
    <n v="-260.74687717843881"/>
    <n v="12776.5969817435"/>
    <n v="33440.23828701747"/>
    <n v="217.48751675759581"/>
    <n v="12994.084498501095"/>
    <n v="434525281.95151651"/>
    <n v="0.99671861092415948"/>
    <n v="433099435.43814427"/>
    <n v="12951.445851577164"/>
    <n v="7850127.5629547518"/>
    <n v="440949563.00109899"/>
    <n v="13186.196797296423"/>
    <n v="1.1136152091745954"/>
    <n v="491048139.83691531"/>
    <n v="14684.349304638637"/>
    <n v="405.3492020835422"/>
    <n v="33845.58748910101"/>
    <n v="497000429.11066657"/>
    <n v="535372097.11053395"/>
    <n v="-7.167289480898198E-2"/>
    <n v="0"/>
    <n v="0"/>
    <n v="535372097.11053395"/>
    <n v="497000429.11066657"/>
  </r>
  <r>
    <x v="13"/>
    <x v="13"/>
    <x v="0"/>
    <n v="13007.414014802565"/>
    <n v="-1322.0830511497277"/>
    <n v="-56.252798519949302"/>
    <n v="-322.21261623339183"/>
    <n v="12685.201398569174"/>
    <n v="18885.128215518962"/>
    <n v="0"/>
    <n v="12685.201398569174"/>
    <n v="239561654.8516593"/>
    <n v="1.0181752931904677"/>
    <n v="243915758.16578186"/>
    <n v="12915.758653168301"/>
    <n v="0"/>
    <n v="243915758.16578186"/>
    <n v="12915.758653168301"/>
    <n v="1.1138669383738617"/>
    <n v="271689698.76925868"/>
    <n v="14386.436547780286"/>
    <n v="-56.403839887670834"/>
    <n v="18828.724375631293"/>
    <n v="270878248.50566357"/>
    <n v="300441387.436185"/>
    <n v="-9.8399022793757895E-2"/>
    <n v="0"/>
    <n v="0"/>
    <n v="300441387.436185"/>
    <n v="270878248.50566357"/>
  </r>
  <r>
    <x v="14"/>
    <x v="14"/>
    <x v="0"/>
    <n v="13007.414014802565"/>
    <n v="-467.65872415656639"/>
    <n v="-5.5986950723234816"/>
    <n v="-322.21261623339183"/>
    <n v="12685.201398569174"/>
    <n v="5313.6423125061883"/>
    <n v="0"/>
    <n v="12685.201398569174"/>
    <n v="67404622.894099832"/>
    <n v="0.93365670027608294"/>
    <n v="62932777.794658966"/>
    <n v="11843.623280125646"/>
    <n v="0"/>
    <n v="62932777.794658966"/>
    <n v="11843.623280125646"/>
    <n v="1.112653094758054"/>
    <n v="70022349.974948242"/>
    <n v="13177.844095780336"/>
    <n v="362.83518271962447"/>
    <n v="5676.4774952258131"/>
    <n v="74803735.44529143"/>
    <n v="60551506.467737034"/>
    <n v="0.23537364813785833"/>
    <n v="0"/>
    <n v="0"/>
    <n v="60551506.467737034"/>
    <n v="74803735.44529143"/>
  </r>
  <r>
    <x v="15"/>
    <x v="15"/>
    <x v="0"/>
    <n v="13007.414014802565"/>
    <n v="-1037.8653443134635"/>
    <n v="-24.428989327112536"/>
    <n v="-322.21261623339183"/>
    <n v="12685.201398569174"/>
    <n v="10447.178896850421"/>
    <n v="0"/>
    <n v="12685.201398569174"/>
    <n v="132524568.35342932"/>
    <n v="1.0181752931904677"/>
    <n v="134933241.23819306"/>
    <n v="12915.758653168299"/>
    <n v="0"/>
    <n v="134933241.23819306"/>
    <n v="12915.758653168299"/>
    <n v="1.1092039030979186"/>
    <n v="149668477.83905679"/>
    <n v="14326.209909564996"/>
    <n v="605.22278205736961"/>
    <n v="11052.40167890779"/>
    <n v="158339026.45686159"/>
    <n v="175022384.52083069"/>
    <n v="-9.5321281958557158E-2"/>
    <n v="0"/>
    <n v="0"/>
    <n v="175022384.52083069"/>
    <n v="158339026.45686159"/>
  </r>
  <r>
    <x v="16"/>
    <x v="16"/>
    <x v="0"/>
    <n v="13007.414014802565"/>
    <n v="-914.50347752416212"/>
    <n v="-68.547003010974748"/>
    <n v="-322.21261623339183"/>
    <n v="12685.201398569174"/>
    <n v="33268.839552419995"/>
    <n v="0"/>
    <n v="12685.201398569174"/>
    <n v="422021930.01913154"/>
    <n v="0.97123634700015304"/>
    <n v="409883037.66573554"/>
    <n v="12320.328667307556"/>
    <n v="1895874.1381186121"/>
    <n v="411778911.80385417"/>
    <n v="12377.315149662356"/>
    <n v="1.1145315818768295"/>
    <n v="458940601.95626909"/>
    <n v="13794.908633141233"/>
    <n v="466.31902379702859"/>
    <n v="33735.158576217022"/>
    <n v="465373430.2834447"/>
    <n v="447111194.77019799"/>
    <n v="4.084495250143072E-2"/>
    <n v="0"/>
    <n v="0"/>
    <n v="447111194.77019799"/>
    <n v="465373430.2834447"/>
  </r>
  <r>
    <x v="17"/>
    <x v="17"/>
    <x v="4"/>
    <n v="13037.343858921939"/>
    <n v="197.41934204358952"/>
    <n v="22.482693392993205"/>
    <n v="-260.74687717843881"/>
    <n v="12776.5969817435"/>
    <n v="24752.093740490105"/>
    <n v="19.373503735654179"/>
    <n v="12795.970485479154"/>
    <n v="316727060.95712471"/>
    <n v="1.0181752931904677"/>
    <n v="322483668.15137559"/>
    <n v="13028.541000709309"/>
    <n v="3893601.9149088315"/>
    <n v="326377270.06628442"/>
    <n v="13185.844942579066"/>
    <n v="1.1039909704781965"/>
    <n v="360317559.12250179"/>
    <n v="14557.053754732884"/>
    <n v="-534.043660817709"/>
    <n v="24218.050079672397"/>
    <n v="352543456.84460407"/>
    <n v="342538188.60094124"/>
    <n v="2.9209205211623956E-2"/>
    <n v="0"/>
    <n v="0"/>
    <n v="342538188.60094124"/>
    <n v="352543456.84460407"/>
  </r>
  <r>
    <x v="18"/>
    <x v="18"/>
    <x v="0"/>
    <n v="13007.414014802565"/>
    <n v="486.73379377703947"/>
    <n v="52.667789711315386"/>
    <n v="-322.21261623339183"/>
    <n v="12685.201398569174"/>
    <n v="48027.295893169314"/>
    <n v="0"/>
    <n v="12685.201398569174"/>
    <n v="609235921.0335269"/>
    <n v="0.99671861092415948"/>
    <n v="607236780.93763781"/>
    <n v="12643.57631727507"/>
    <n v="0"/>
    <n v="607236780.93763781"/>
    <n v="12643.57631727507"/>
    <n v="1.1002959297555364"/>
    <n v="668140158.4635371"/>
    <n v="13911.675559451254"/>
    <n v="759.96041962911227"/>
    <n v="48787.256312798425"/>
    <n v="678712481.25944173"/>
    <n v="600418061.67072093"/>
    <n v="0.13039984068910093"/>
    <n v="0"/>
    <n v="0"/>
    <n v="600418061.67072093"/>
    <n v="678712481.25944173"/>
  </r>
  <r>
    <x v="19"/>
    <x v="19"/>
    <x v="2"/>
    <n v="15588.322562200641"/>
    <n v="-1140.6421680155368"/>
    <n v="-165.15314225383889"/>
    <n v="-637.09771780697565"/>
    <n v="14951.224844393666"/>
    <n v="25318.796560589475"/>
    <n v="329.16136416884177"/>
    <n v="15280.386208562508"/>
    <n v="386880989.78183126"/>
    <n v="0.99671861092415948"/>
    <n v="385611482.72831082"/>
    <n v="15230.245316183107"/>
    <n v="8194567.8891049139"/>
    <n v="393806050.61741573"/>
    <n v="15553.900821273754"/>
    <n v="1.1122294528034189"/>
    <n v="438002688.18888378"/>
    <n v="17299.506599403954"/>
    <n v="-9.4041784042938001"/>
    <n v="25309.392382185182"/>
    <n v="437840000.54251671"/>
    <n v="427752442.19632149"/>
    <n v="2.3582701934792061E-2"/>
    <n v="0"/>
    <n v="0"/>
    <n v="427752442.19632149"/>
    <n v="437840000.54251671"/>
  </r>
  <r>
    <x v="20"/>
    <x v="20"/>
    <x v="0"/>
    <n v="13007.414014802565"/>
    <n v="-739.73570654954983"/>
    <n v="-36.899036056130434"/>
    <n v="-322.21261623339183"/>
    <n v="12685.201398569174"/>
    <n v="22139.763680890428"/>
    <n v="0"/>
    <n v="12685.201398569174"/>
    <n v="280847361.20882225"/>
    <n v="0.99671861092415948"/>
    <n v="279925791.74577296"/>
    <n v="12643.57631727507"/>
    <n v="1723991.1235305152"/>
    <n v="281649782.86930346"/>
    <n v="12721.444859522364"/>
    <n v="1.1170469141508113"/>
    <n v="314616020.82540148"/>
    <n v="14210.450723869159"/>
    <n v="495.73313702998212"/>
    <n v="22635.496817920412"/>
    <n v="321660612.14135516"/>
    <n v="321001887.90953296"/>
    <n v="2.0520883416357272E-3"/>
    <n v="0"/>
    <n v="0"/>
    <n v="321001887.90953296"/>
    <n v="321660612.14135516"/>
  </r>
  <r>
    <x v="21"/>
    <x v="21"/>
    <x v="0"/>
    <n v="13007.414014802565"/>
    <n v="253.82973364115909"/>
    <n v="7.583611865291811"/>
    <n v="-322.21261623339183"/>
    <n v="12685.201398569174"/>
    <n v="13260.751776303299"/>
    <n v="0"/>
    <n v="12685.201398569174"/>
    <n v="168215306.97884127"/>
    <n v="0.99671861092415948"/>
    <n v="167663327.10813174"/>
    <n v="12643.576317275072"/>
    <n v="0"/>
    <n v="167663327.10813174"/>
    <n v="12643.576317275072"/>
    <n v="1.1067681053450378"/>
    <n v="185564422.87931228"/>
    <n v="13993.507005455922"/>
    <n v="1418.3369247285068"/>
    <n v="14679.088701031806"/>
    <n v="205411930.57159743"/>
    <n v="182980923.24185652"/>
    <n v="0.12258658953257418"/>
    <n v="0"/>
    <n v="0"/>
    <n v="182980923.24185652"/>
    <n v="205411930.57159743"/>
  </r>
  <r>
    <x v="22"/>
    <x v="22"/>
    <x v="2"/>
    <n v="15588.322562200641"/>
    <n v="-135.77607264798934"/>
    <n v="-28.845736911935315"/>
    <n v="-637.09771780697565"/>
    <n v="14951.224844393666"/>
    <n v="37150.44640207573"/>
    <n v="460.91546718175709"/>
    <n v="15412.140311575424"/>
    <n v="572567892.58645356"/>
    <n v="0.99671861092415948"/>
    <n v="570689074.55854332"/>
    <n v="15361.5670827217"/>
    <n v="22422240.964482512"/>
    <n v="593111315.52302587"/>
    <n v="15965.119479422638"/>
    <n v="1.1128915143911908"/>
    <n v="660068550.13497162"/>
    <n v="17767.445994890957"/>
    <n v="94.282994656500847"/>
    <n v="37244.729396732233"/>
    <n v="661743718.15076756"/>
    <n v="651137459.23030555"/>
    <n v="1.6288817008008438E-2"/>
    <n v="0"/>
    <n v="0"/>
    <n v="651137459.23030555"/>
    <n v="661743718.15076756"/>
  </r>
  <r>
    <x v="23"/>
    <x v="23"/>
    <x v="0"/>
    <n v="13007.414014802565"/>
    <n v="-1765.3040102838263"/>
    <n v="-10.784588086954512"/>
    <n v="-322.21261623339183"/>
    <n v="12685.201398569174"/>
    <n v="2711.5561157386974"/>
    <n v="0"/>
    <n v="12685.201398569174"/>
    <n v="34396635.43166732"/>
    <n v="0.99671861092415948"/>
    <n v="34283766.687916175"/>
    <n v="12643.57631727507"/>
    <n v="0"/>
    <n v="34283766.687916175"/>
    <n v="12643.57631727507"/>
    <n v="1.1174005796419912"/>
    <n v="38308700.769388326"/>
    <n v="14127.939505670918"/>
    <n v="266.38542009618601"/>
    <n v="2977.9415358348833"/>
    <n v="42072177.869699977"/>
    <n v="51896602.087173186"/>
    <n v="-0.18930765835055363"/>
    <n v="0"/>
    <n v="0"/>
    <n v="51896602.087173186"/>
    <n v="42072177.869699977"/>
  </r>
  <r>
    <x v="24"/>
    <x v="24"/>
    <x v="0"/>
    <n v="13007.414014802565"/>
    <n v="-842.98736299248185"/>
    <n v="-18.942506675811419"/>
    <n v="-322.21261623339183"/>
    <n v="12685.201398569174"/>
    <n v="9973.5765892633008"/>
    <n v="0"/>
    <n v="12685.201398569174"/>
    <n v="126516827.69885959"/>
    <n v="0.99671861092415948"/>
    <n v="126101676.76253855"/>
    <n v="12643.576317275072"/>
    <n v="0"/>
    <n v="126101676.76253855"/>
    <n v="12643.576317275072"/>
    <n v="1.1121720150724883"/>
    <n v="140246755.94901207"/>
    <n v="14061.831750506606"/>
    <n v="264.05259032154549"/>
    <n v="10237.629179584846"/>
    <n v="143959819.0473991"/>
    <n v="163695078.94233933"/>
    <n v="-0.12056110679962384"/>
    <n v="0"/>
    <n v="0"/>
    <n v="163695078.94233933"/>
    <n v="143959819.0473991"/>
  </r>
  <r>
    <x v="25"/>
    <x v="25"/>
    <x v="0"/>
    <n v="13007.414014802565"/>
    <n v="-724.10568648267156"/>
    <n v="-25.428278398360312"/>
    <n v="-322.21261623339183"/>
    <n v="12685.201398569174"/>
    <n v="15586.533665195537"/>
    <n v="0"/>
    <n v="12685.201398569174"/>
    <n v="197718318.64858392"/>
    <n v="0.99671861092415948"/>
    <n v="197069527.9176769"/>
    <n v="12643.57631727507"/>
    <n v="0"/>
    <n v="197069527.9176769"/>
    <n v="12643.57631727507"/>
    <n v="1.1093050072442689"/>
    <n v="218610214.09434325"/>
    <n v="14025.582518228292"/>
    <n v="1134.2857304680147"/>
    <n v="16720.819395663551"/>
    <n v="234519232.20627126"/>
    <n v="236445528.84781078"/>
    <n v="-8.1468939206686963E-3"/>
    <n v="0"/>
    <n v="0"/>
    <n v="236445528.84781078"/>
    <n v="234519232.20627126"/>
  </r>
  <r>
    <x v="26"/>
    <x v="26"/>
    <x v="2"/>
    <n v="15588.322562200641"/>
    <n v="-1694.4286266789939"/>
    <n v="-108.00849507758937"/>
    <n v="-637.09771780697565"/>
    <n v="14951.224844393666"/>
    <n v="11146.545054053109"/>
    <n v="374.74622262386197"/>
    <n v="15325.971067017528"/>
    <n v="170831626.99562529"/>
    <n v="0.99671861092415948"/>
    <n v="170271061.96099377"/>
    <n v="15275.680592981569"/>
    <n v="3866850.9143537963"/>
    <n v="174137912.87534755"/>
    <n v="15622.590859400643"/>
    <n v="1.1155619773501586"/>
    <n v="194261634.41885236"/>
    <n v="17427.968350445495"/>
    <n v="364.40782537334178"/>
    <n v="11510.952879426452"/>
    <n v="200612522.46611363"/>
    <n v="191973195.94856057"/>
    <n v="4.5002774865861905E-2"/>
    <n v="0"/>
    <n v="0"/>
    <n v="191973195.94856057"/>
    <n v="200612522.46611363"/>
  </r>
  <r>
    <x v="27"/>
    <x v="27"/>
    <x v="0"/>
    <n v="13007.414014802565"/>
    <n v="-726.31025902590022"/>
    <n v="-17.886742516595969"/>
    <n v="-322.21261623339183"/>
    <n v="12685.201398569174"/>
    <n v="10930.590367640707"/>
    <n v="0"/>
    <n v="12685.201398569174"/>
    <n v="138656740.21878263"/>
    <n v="0.99671861092415948"/>
    <n v="138201753.50613707"/>
    <n v="12643.576317275072"/>
    <n v="0"/>
    <n v="138201753.50613707"/>
    <n v="12643.576317275072"/>
    <n v="1.1055406163515706"/>
    <n v="152787651.75204262"/>
    <n v="13977.987154688406"/>
    <n v="122.35201838229804"/>
    <n v="11052.942386023005"/>
    <n v="154497886.6933406"/>
    <n v="155992589.33780089"/>
    <n v="-9.5818823881660409E-3"/>
    <n v="0"/>
    <n v="0"/>
    <n v="155992589.33780089"/>
    <n v="154497886.6933406"/>
  </r>
  <r>
    <x v="28"/>
    <x v="28"/>
    <x v="0"/>
    <n v="13007.414014802565"/>
    <n v="-529.32962230133558"/>
    <n v="-16.00757061674264"/>
    <n v="-322.21261623339183"/>
    <n v="12685.201398569174"/>
    <n v="13422.511048250997"/>
    <n v="0"/>
    <n v="12685.201398569174"/>
    <n v="170267255.92158374"/>
    <n v="0.99671861092415948"/>
    <n v="169708542.80802932"/>
    <n v="12643.576317275074"/>
    <n v="1163900"/>
    <n v="170872442.80802932"/>
    <n v="12730.288855325221"/>
    <n v="1.115210311498205"/>
    <n v="190558710.1704016"/>
    <n v="14196.949399809368"/>
    <n v="714.85586765847791"/>
    <n v="14137.366915909475"/>
    <n v="200707482.75170583"/>
    <n v="218006630.93565437"/>
    <n v="-7.9351477107384216E-2"/>
    <n v="0"/>
    <n v="0"/>
    <n v="218006630.93565437"/>
    <n v="200707482.75170583"/>
  </r>
  <r>
    <x v="29"/>
    <x v="29"/>
    <x v="2"/>
    <n v="15588.322562200641"/>
    <n v="-1299.1586960283701"/>
    <n v="-71.684186893633751"/>
    <n v="-637.09771780697565"/>
    <n v="14951.224844393666"/>
    <n v="9648.6554834519866"/>
    <n v="465.27452358132081"/>
    <n v="15416.499367974986"/>
    <n v="148748491.16244593"/>
    <n v="0.99671861092415948"/>
    <n v="148260389.48849773"/>
    <n v="15365.911835361212"/>
    <n v="3775551.6155792619"/>
    <n v="152035941.10407698"/>
    <n v="15757.215227015577"/>
    <n v="1.1188950996267033"/>
    <n v="170112269.4684858"/>
    <n v="17630.670901270998"/>
    <n v="-562.7089866109277"/>
    <n v="9085.9464968410593"/>
    <n v="160191332.51236084"/>
    <n v="209879428.41413811"/>
    <n v="-0.23674590824466968"/>
    <n v="0"/>
    <n v="0"/>
    <n v="209879428.41413811"/>
    <n v="160191332.51236084"/>
  </r>
  <r>
    <x v="30"/>
    <x v="30"/>
    <x v="0"/>
    <n v="13007.414014802565"/>
    <n v="-691.80168577459813"/>
    <n v="-14.931006460491494"/>
    <n v="-322.21261623339183"/>
    <n v="12685.201398569174"/>
    <n v="9579.4816484068069"/>
    <n v="0"/>
    <n v="12685.201398569174"/>
    <n v="121517654.00393777"/>
    <n v="0.99671861092415948"/>
    <n v="121118907.30156748"/>
    <n v="12643.576317275072"/>
    <n v="0"/>
    <n v="121118907.30156748"/>
    <n v="12643.576317275072"/>
    <n v="1.1029383967251234"/>
    <n v="133586693.43228967"/>
    <n v="13945.085792247108"/>
    <n v="1079.0445793569211"/>
    <n v="10658.526227763728"/>
    <n v="148634062.66508114"/>
    <n v="146495336.70909449"/>
    <n v="1.4599276700757002E-2"/>
    <n v="0"/>
    <n v="0"/>
    <n v="146495336.70909449"/>
    <n v="148634062.66508114"/>
  </r>
  <r>
    <x v="31"/>
    <x v="31"/>
    <x v="0"/>
    <n v="13007.414014802565"/>
    <n v="-436.41543761015669"/>
    <n v="-16.21942256398815"/>
    <n v="-322.21261623339183"/>
    <n v="12685.201398569174"/>
    <n v="16495.664923243414"/>
    <n v="0"/>
    <n v="12685.201398569174"/>
    <n v="209250831.75465581"/>
    <n v="0.99671861092415948"/>
    <n v="208564198.36122555"/>
    <n v="12643.576317275072"/>
    <n v="0"/>
    <n v="208564198.36122555"/>
    <n v="12643.576317275072"/>
    <n v="1.1096904945580046"/>
    <n v="231441708.42656216"/>
    <n v="14030.45645649885"/>
    <n v="1193.8927726523018"/>
    <n v="17689.557695895717"/>
    <n v="248192568.98698899"/>
    <n v="267911196.64727661"/>
    <n v="-7.3601357117778599E-2"/>
    <n v="0"/>
    <n v="0"/>
    <n v="267911196.64727661"/>
    <n v="248192568.98698899"/>
  </r>
  <r>
    <x v="32"/>
    <x v="32"/>
    <x v="4"/>
    <n v="13037.343858921939"/>
    <n v="-121.99975109240789"/>
    <n v="-18.282471619228414"/>
    <n v="-260.74687717843881"/>
    <n v="12776.5969817435"/>
    <n v="32570.863068870163"/>
    <n v="18.403518335263513"/>
    <n v="12795.000500078764"/>
    <n v="416744209.25419068"/>
    <n v="0.99671861092415948"/>
    <n v="415376709.3585242"/>
    <n v="12753.015125212432"/>
    <n v="650488.00938975799"/>
    <n v="416027197.36791396"/>
    <n v="12772.986595050806"/>
    <n v="1.109420290435795"/>
    <n v="461549014.13310093"/>
    <n v="14170.610498013782"/>
    <n v="851.07744414900185"/>
    <n v="33421.940513019166"/>
    <n v="473609301.09778154"/>
    <n v="451684822.75135535"/>
    <n v="4.8539329289120747E-2"/>
    <n v="0"/>
    <n v="0"/>
    <n v="451684822.75135535"/>
    <n v="473609301.09778154"/>
  </r>
  <r>
    <x v="33"/>
    <x v="33"/>
    <x v="4"/>
    <n v="13037.343858921939"/>
    <n v="-54.046848514295618"/>
    <n v="-8.1175580259356348"/>
    <n v="-260.74687717843881"/>
    <n v="12776.5969817435"/>
    <n v="32644.372881643387"/>
    <n v="213.0000886565154"/>
    <n v="12989.597070400016"/>
    <n v="424037250.34844065"/>
    <n v="0.99671861092415948"/>
    <n v="422645819.14739782"/>
    <n v="12946.973148473635"/>
    <n v="7523532.7069142247"/>
    <n v="430169351.85431206"/>
    <n v="13177.442661065954"/>
    <n v="1.1013202840351"/>
    <n v="473754232.76738584"/>
    <n v="14512.5848943414"/>
    <n v="50.446802261322773"/>
    <n v="32694.819683904709"/>
    <n v="474486346.26785135"/>
    <n v="457680358.38583815"/>
    <n v="3.6719923794163112E-2"/>
    <n v="0"/>
    <n v="0"/>
    <n v="457680358.38583815"/>
    <n v="474486346.26785135"/>
  </r>
  <r>
    <x v="34"/>
    <x v="34"/>
    <x v="3"/>
    <n v="0"/>
    <n v="0"/>
    <n v="0"/>
    <n v="0"/>
    <n v="0"/>
    <n v="761.50570848710015"/>
    <n v="0"/>
    <n v="0"/>
    <n v="0"/>
    <n v="0.99671861092415948"/>
    <n v="0"/>
    <n v="0"/>
    <n v="0"/>
    <n v="0"/>
    <n v="0"/>
    <n v="1.1162285486449348"/>
    <n v="0"/>
    <n v="0"/>
    <n v="335.92990080700838"/>
    <n v="1097.4356092941084"/>
    <n v="0"/>
    <n v="13700537.261961408"/>
    <n v="-1"/>
    <n v="0"/>
    <n v="0"/>
    <n v="13700537.261961408"/>
    <n v="0"/>
  </r>
  <r>
    <x v="35"/>
    <x v="35"/>
    <x v="0"/>
    <n v="13007.414014802565"/>
    <n v="-4.8434687536519645"/>
    <n v="-0.26134195844662006"/>
    <n v="-322.21261623339183"/>
    <n v="12685.201398569174"/>
    <n v="23948.988823237505"/>
    <n v="0"/>
    <n v="12685.201398569174"/>
    <n v="303797746.5148499"/>
    <n v="0.99671861092415948"/>
    <n v="302800867.90817112"/>
    <n v="12643.576317275072"/>
    <n v="0"/>
    <n v="302800867.90817112"/>
    <n v="12643.576317275072"/>
    <n v="1.1000250372583604"/>
    <n v="333088536.00254983"/>
    <n v="13908.250509489435"/>
    <n v="634.05977882530738"/>
    <n v="24583.048602062812"/>
    <n v="341907198.24444366"/>
    <n v="310083750.7349233"/>
    <n v="0.10262855578241759"/>
    <n v="0"/>
    <n v="0"/>
    <n v="310083750.7349233"/>
    <n v="341907198.24444366"/>
  </r>
  <r>
    <x v="36"/>
    <x v="36"/>
    <x v="0"/>
    <n v="13007.414014802565"/>
    <n v="-2.9330680532569486"/>
    <n v="-0.15514181340517133"/>
    <n v="-322.21261623339183"/>
    <n v="12685.201398569174"/>
    <n v="23476.927900370822"/>
    <n v="0"/>
    <n v="12685.201398569174"/>
    <n v="297809558.63589162"/>
    <n v="0.99671861092415948"/>
    <n v="296832329.60350293"/>
    <n v="12643.576317275074"/>
    <n v="0"/>
    <n v="296832329.60350293"/>
    <n v="12643.576317275074"/>
    <n v="1.1061154122244721"/>
    <n v="328330814.620929"/>
    <n v="13985.25463017429"/>
    <n v="-7.7285367275717682"/>
    <n v="23469.199363643249"/>
    <n v="328222729.06687522"/>
    <n v="322468123.03384435"/>
    <n v="1.7845503545871111E-2"/>
    <n v="0"/>
    <n v="0"/>
    <n v="322468123.03384435"/>
    <n v="328222729.06687522"/>
  </r>
  <r>
    <x v="37"/>
    <x v="37"/>
    <x v="0"/>
    <n v="13007.414014802565"/>
    <n v="628.17756287795009"/>
    <n v="25.023552868394404"/>
    <n v="-322.21261623339183"/>
    <n v="12685.201398569174"/>
    <n v="17680.766689321921"/>
    <n v="0"/>
    <n v="12685.201398569174"/>
    <n v="224284086.33516169"/>
    <n v="1.0181752931904677"/>
    <n v="228360515.36225942"/>
    <n v="12915.758653168299"/>
    <n v="0"/>
    <n v="228360515.36225942"/>
    <n v="12915.758653168299"/>
    <n v="1.1087551078753266"/>
    <n v="253195887.84494713"/>
    <n v="14320.413378785301"/>
    <n v="489.73905860272822"/>
    <n v="18170.50574792465"/>
    <n v="260209153.61187536"/>
    <n v="260063804.41883573"/>
    <n v="5.5889820332533091E-4"/>
    <n v="0"/>
    <n v="0"/>
    <n v="260063804.41883573"/>
    <n v="260209153.61187536"/>
  </r>
  <r>
    <x v="38"/>
    <x v="38"/>
    <x v="3"/>
    <n v="0"/>
    <n v="0"/>
    <n v="0"/>
    <n v="0"/>
    <n v="0"/>
    <n v="4028.0292016780049"/>
    <n v="0"/>
    <n v="0"/>
    <n v="0"/>
    <n v="1.0181752931904677"/>
    <n v="0"/>
    <n v="0"/>
    <n v="500"/>
    <n v="500"/>
    <n v="0.12413018251995515"/>
    <n v="1.1097404270766293"/>
    <n v="554.87021353831472"/>
    <n v="0.137752281762795"/>
    <n v="1580.1691353101753"/>
    <n v="5608.19833698818"/>
    <n v="772.5421174984341"/>
    <n v="88874955.839464456"/>
    <n v="-0.99999130753866261"/>
    <n v="0"/>
    <n v="0"/>
    <n v="88874955.839464456"/>
    <n v="772.5421174984341"/>
  </r>
  <r>
    <x v="39"/>
    <x v="39"/>
    <x v="4"/>
    <n v="13037.343858921939"/>
    <n v="-1335.2714701516206"/>
    <n v="-96.900346919176911"/>
    <n v="-260.74687717843881"/>
    <n v="12776.5969817435"/>
    <n v="15772.809770715308"/>
    <n v="257.00627833251923"/>
    <n v="13033.603260076019"/>
    <n v="205576544.84815392"/>
    <n v="0.99671861092415948"/>
    <n v="204901968.21964014"/>
    <n v="12990.834936719564"/>
    <n v="4440696.1405483484"/>
    <n v="209342664.36018848"/>
    <n v="13272.376158930536"/>
    <n v="1.1192514228727357"/>
    <n v="234307074.95311049"/>
    <n v="14855.125900785177"/>
    <n v="1097.0817383053015"/>
    <n v="16869.89150902061"/>
    <n v="250604362.299088"/>
    <n v="271172412.47944635"/>
    <n v="-7.5848608611384205E-2"/>
    <n v="0"/>
    <n v="0"/>
    <n v="271172412.47944635"/>
    <n v="250604362.299088"/>
  </r>
  <r>
    <x v="40"/>
    <x v="40"/>
    <x v="0"/>
    <n v="13007.414014802565"/>
    <n v="460.89162088648141"/>
    <n v="31.026994370396778"/>
    <n v="-322.21261623339183"/>
    <n v="12685.201398569174"/>
    <n v="29879.645227280573"/>
    <n v="0"/>
    <n v="12685.201398569174"/>
    <n v="379029317.42585027"/>
    <n v="1.0181752931904677"/>
    <n v="385918286.39784795"/>
    <n v="12915.758653168299"/>
    <n v="0"/>
    <n v="385918286.39784795"/>
    <n v="12915.758653168299"/>
    <n v="1.103137085322671"/>
    <n v="425720773.62964177"/>
    <n v="14247.852355387146"/>
    <n v="-76.505801672273876"/>
    <n v="29803.1394256083"/>
    <n v="424630730.26308471"/>
    <n v="465462446.66788989"/>
    <n v="-8.7722901594118996E-2"/>
    <n v="0"/>
    <n v="0"/>
    <n v="465462446.66788989"/>
    <n v="424630730.26308471"/>
  </r>
  <r>
    <x v="41"/>
    <x v="41"/>
    <x v="4"/>
    <n v="13037.343858921939"/>
    <n v="-599.4315740167666"/>
    <n v="-17.36012458945028"/>
    <n v="-260.74687717843881"/>
    <n v="12776.5969817435"/>
    <n v="6294.5766472001997"/>
    <n v="255.17441477061357"/>
    <n v="13031.771396514114"/>
    <n v="82029483.904149279"/>
    <n v="0.99671861092415948"/>
    <n v="81760313.251769364"/>
    <n v="12989.009084214742"/>
    <n v="1779316.0719295214"/>
    <n v="83539629.323698878"/>
    <n v="13271.683546955766"/>
    <n v="1.1063897161544309"/>
    <n v="92427386.77509357"/>
    <n v="14683.654192407819"/>
    <n v="306.09742991318365"/>
    <n v="6600.6740771133836"/>
    <n v="96922015.585123554"/>
    <n v="112879486.6648809"/>
    <n v="-0.14136732502276728"/>
    <n v="0"/>
    <n v="0"/>
    <n v="112879486.6648809"/>
    <n v="96922015.585123554"/>
  </r>
  <r>
    <x v="42"/>
    <x v="42"/>
    <x v="0"/>
    <n v="13007.414014802565"/>
    <n v="-832.3766781061538"/>
    <n v="-7.4160370649866012"/>
    <n v="-322.21261623339183"/>
    <n v="12685.201398569174"/>
    <n v="3954.4540239540111"/>
    <n v="0"/>
    <n v="12685.201398569174"/>
    <n v="50163045.715238921"/>
    <n v="1.0181752931904677"/>
    <n v="51074773.778440222"/>
    <n v="12915.758653168299"/>
    <n v="0"/>
    <n v="51074773.778440222"/>
    <n v="12915.758653168299"/>
    <n v="1.1145002778743147"/>
    <n v="56922849.568439387"/>
    <n v="14394.616607913655"/>
    <n v="202.81883900841669"/>
    <n v="4157.272862962428"/>
    <n v="59842348.996827714"/>
    <n v="52381829.042422429"/>
    <n v="0.1424257245458771"/>
    <n v="0"/>
    <n v="0"/>
    <n v="52381829.042422429"/>
    <n v="59842348.996827714"/>
  </r>
  <r>
    <x v="43"/>
    <x v="43"/>
    <x v="0"/>
    <n v="13007.414014802565"/>
    <n v="-439.21563886215063"/>
    <n v="-8.4897422720141513"/>
    <n v="-322.21261623339183"/>
    <n v="12685.201398569174"/>
    <n v="8579.2881249335114"/>
    <n v="0"/>
    <n v="12685.201398569174"/>
    <n v="108829997.72113448"/>
    <n v="0.98428319730495717"/>
    <n v="107119538.11964945"/>
    <n v="12485.830591040982"/>
    <n v="0"/>
    <n v="107119538.11964945"/>
    <n v="12485.830591040982"/>
    <n v="1.1104886126299631"/>
    <n v="118955027.27205198"/>
    <n v="13865.372690577851"/>
    <n v="1831.7751420224267"/>
    <n v="10411.063266955938"/>
    <n v="144353272.30152908"/>
    <n v="109187672.68500334"/>
    <n v="0.3220656577045593"/>
    <n v="0"/>
    <n v="0"/>
    <n v="109187672.68500334"/>
    <n v="144353272.30152908"/>
  </r>
  <r>
    <x v="44"/>
    <x v="44"/>
    <x v="0"/>
    <n v="13007.414014802565"/>
    <n v="-821.69688297004961"/>
    <n v="-29.764396000197205"/>
    <n v="-322.21261623339183"/>
    <n v="12685.201398569174"/>
    <n v="16077.553995552473"/>
    <n v="0"/>
    <n v="12685.201398569174"/>
    <n v="203947010.42995363"/>
    <n v="1.0181752931904677"/>
    <n v="207653807.13983741"/>
    <n v="12915.758653168299"/>
    <n v="0"/>
    <n v="207653807.13983741"/>
    <n v="12915.758653168299"/>
    <n v="1.1092283969691177"/>
    <n v="230335499.61825618"/>
    <n v="14326.526266493884"/>
    <n v="803.8337520326395"/>
    <n v="16881.387747585111"/>
    <n v="241851644.9806461"/>
    <n v="280210093.93168741"/>
    <n v="-0.13689174580696128"/>
    <n v="0"/>
    <n v="0"/>
    <n v="280210093.93168741"/>
    <n v="241851644.9806461"/>
  </r>
  <r>
    <x v="45"/>
    <x v="45"/>
    <x v="0"/>
    <n v="13007.414014802565"/>
    <n v="-735.74830048033039"/>
    <n v="-46.438699303786443"/>
    <n v="-322.21261623339183"/>
    <n v="12685.201398569174"/>
    <n v="28014.657799435397"/>
    <n v="0"/>
    <n v="12685.201398569174"/>
    <n v="355371576.29783469"/>
    <n v="0.99671861092415948"/>
    <n v="354205463.88950676"/>
    <n v="12643.576317275072"/>
    <n v="0"/>
    <n v="354205463.88950676"/>
    <n v="12643.576317275072"/>
    <n v="1.1043658326230656"/>
    <n v="391172412.04797435"/>
    <n v="13963.133686960758"/>
    <n v="0"/>
    <n v="28014.657799435397"/>
    <n v="391172412.04797435"/>
    <n v="390481566.18922573"/>
    <n v="1.76921503744909E-3"/>
    <n v="0"/>
    <n v="0"/>
    <n v="390481566.18922573"/>
    <n v="391172412.04797435"/>
  </r>
  <r>
    <x v="46"/>
    <x v="46"/>
    <x v="3"/>
    <n v="0"/>
    <n v="0"/>
    <n v="0"/>
    <n v="0"/>
    <n v="0"/>
    <n v="8343.0523646819092"/>
    <n v="0"/>
    <n v="0"/>
    <n v="0"/>
    <n v="1.0181752931904677"/>
    <n v="0"/>
    <n v="0"/>
    <n v="0"/>
    <n v="0"/>
    <n v="0"/>
    <n v="1.1046970005422463"/>
    <n v="0"/>
    <n v="0"/>
    <n v="0"/>
    <n v="8343.0523646819092"/>
    <n v="0"/>
    <n v="117815614.51364455"/>
    <n v="-1"/>
    <n v="0"/>
    <n v="0"/>
    <n v="117815614.51364455"/>
    <n v="0"/>
  </r>
  <r>
    <x v="47"/>
    <x v="47"/>
    <x v="1"/>
    <n v="15873.943808574768"/>
    <n v="-260.15454865853616"/>
    <n v="-14.272536227195301"/>
    <n v="-317.47887617149536"/>
    <n v="15556.464932403273"/>
    <n v="17595.788058902563"/>
    <n v="327.03379622990684"/>
    <n v="15883.49872863318"/>
    <n v="279482677.26287776"/>
    <n v="1.0181752931904677"/>
    <n v="284562356.86378741"/>
    <n v="16172.185974916509"/>
    <n v="9943457.707362337"/>
    <n v="294505814.57114977"/>
    <n v="16737.290400707287"/>
    <n v="1.1124197944130276"/>
    <n v="327614097.69867969"/>
    <n v="18618.893146585942"/>
    <n v="727.08097638651202"/>
    <n v="18322.869035289074"/>
    <n v="341151540.70693552"/>
    <n v="347925179.07457805"/>
    <n v="-1.946866388244517E-2"/>
    <n v="0"/>
    <n v="0"/>
    <n v="347925179.07457805"/>
    <n v="341151540.70693552"/>
  </r>
  <r>
    <x v="48"/>
    <x v="6"/>
    <x v="1"/>
    <n v="15873.943808574768"/>
    <n v="-470.39273564246923"/>
    <n v="-52.319350865120789"/>
    <n v="-317.47887617149536"/>
    <n v="15556.464932403273"/>
    <n v="35673.090260246754"/>
    <n v="181.91035232456531"/>
    <n v="15738.375284727837"/>
    <n v="561436482.08173287"/>
    <n v="0.99671861092415948"/>
    <n v="559594190.54265153"/>
    <n v="15686.731551997053"/>
    <n v="5222205.8638570011"/>
    <n v="564816396.40650856"/>
    <n v="15833.122173772721"/>
    <n v="1.1037457657417868"/>
    <n v="623413705.95521843"/>
    <n v="17475.741557774036"/>
    <n v="1700.6914531681189"/>
    <n v="37373.781713414872"/>
    <n v="653134550.26029956"/>
    <n v="538516504.83492351"/>
    <n v="0.21284035753093766"/>
    <n v="0"/>
    <n v="0"/>
    <n v="538516504.83492351"/>
    <n v="653134550.26029956"/>
  </r>
  <r>
    <x v="49"/>
    <x v="10"/>
    <x v="1"/>
    <n v="15873.943808574768"/>
    <n v="-644.43067065066452"/>
    <n v="-77.020721419696329"/>
    <n v="-317.47887617149536"/>
    <n v="15556.464932403273"/>
    <n v="38332.784912257281"/>
    <n v="394.05813122618474"/>
    <n v="15950.523063629458"/>
    <n v="611427969.83610702"/>
    <n v="0.99671861092415948"/>
    <n v="609421636.77522349"/>
    <n v="15898.183191494521"/>
    <n v="19079670.401033461"/>
    <n v="628501307.1762569"/>
    <n v="16395.9208446472"/>
    <n v="1.1112849031201628"/>
    <n v="698444014.2562623"/>
    <n v="18220.539307409621"/>
    <n v="953.29101332099958"/>
    <n v="39286.075925578283"/>
    <n v="715813490.63587797"/>
    <n v="807990924.62363875"/>
    <n v="-0.11408226401886501"/>
    <n v="0"/>
    <n v="0"/>
    <n v="807990924.62363875"/>
    <n v="715813490.63587797"/>
  </r>
  <r>
    <x v="50"/>
    <x v="48"/>
    <x v="1"/>
    <n v="15873.943808574768"/>
    <n v="-1140.6421680155368"/>
    <n v="-90.043732701151896"/>
    <n v="-317.47887617149536"/>
    <n v="15556.464932403273"/>
    <n v="25318.796560589475"/>
    <n v="329.16136416884177"/>
    <n v="15885.626296572114"/>
    <n v="402204940.44045979"/>
    <n v="0.99671861092415948"/>
    <n v="400885149.54264939"/>
    <n v="15833.499375979658"/>
    <n v="8194567.8891049139"/>
    <n v="409079717.43175429"/>
    <n v="16157.154881070304"/>
    <n v="1.1122294528034189"/>
    <n v="454990510.27209729"/>
    <n v="17970.463532232912"/>
    <n v="-9.4041784042938001"/>
    <n v="25309.392382185182"/>
    <n v="454821512.82703227"/>
    <n v="427752442.19632149"/>
    <n v="6.3282094876473405E-2"/>
    <n v="0"/>
    <n v="0"/>
    <n v="427752442.19632149"/>
    <n v="454821512.82703227"/>
  </r>
  <r>
    <x v="51"/>
    <x v="22"/>
    <x v="1"/>
    <n v="15873.943808574768"/>
    <n v="-135.77607264798934"/>
    <n v="-15.727086924412905"/>
    <n v="-317.47887617149536"/>
    <n v="15556.464932403273"/>
    <n v="37150.44640207573"/>
    <n v="460.91546718175709"/>
    <n v="16017.38039958503"/>
    <n v="595052832.03644204"/>
    <n v="0.99671861092415948"/>
    <n v="593100232.1738497"/>
    <n v="15964.821142518251"/>
    <n v="22422240.964482512"/>
    <n v="615522473.13833225"/>
    <n v="16568.373539219188"/>
    <n v="1.1128915143911908"/>
    <n v="685009737.27272964"/>
    <n v="18438.802319060578"/>
    <n v="94.282994656500847"/>
    <n v="37244.729396732233"/>
    <n v="686748202.77324998"/>
    <n v="651137459.23030555"/>
    <n v="5.4690055130661719E-2"/>
    <n v="0"/>
    <n v="0"/>
    <n v="651137459.23030555"/>
    <n v="686748202.77324998"/>
  </r>
  <r>
    <x v="52"/>
    <x v="49"/>
    <x v="4"/>
    <n v="13037.343858921939"/>
    <n v="-128.68870132061059"/>
    <n v="-27.487354790623204"/>
    <n v="-260.74687717843881"/>
    <n v="12776.5969817435"/>
    <n v="46424.350169759156"/>
    <n v="49.064557700159881"/>
    <n v="12825.661539443659"/>
    <n v="595423002.46594477"/>
    <n v="1.0181752931904677"/>
    <n v="606244990.10811186"/>
    <n v="13058.771698284754"/>
    <n v="1403028.2238295362"/>
    <n v="607648018.33194137"/>
    <n v="13088.993515471189"/>
    <n v="1.103417335211333"/>
    <n v="670489357.13427794"/>
    <n v="14442.622345439635"/>
    <n v="-724.50787177656002"/>
    <n v="45699.842297982599"/>
    <n v="660025563.55591083"/>
    <n v="635318079.82826042"/>
    <n v="3.8889942710790493E-2"/>
    <n v="0"/>
    <n v="0"/>
    <n v="635318079.82826042"/>
    <n v="660025563.5559108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2">
  <r>
    <x v="0"/>
    <x v="0"/>
    <x v="0"/>
    <n v="10539.34001860303"/>
    <n v="0"/>
    <n v="0"/>
    <n v="0"/>
    <n v="10378.601846145839"/>
    <n v="26659.658957103959"/>
    <n v="89.069992006359527"/>
    <n v="10467.671838152199"/>
    <n v="359346339.14214897"/>
    <n v="0.99671861092415948"/>
    <n v="358167183.99044466"/>
    <n v="13434.79991873656"/>
    <n v="6632561.2395298136"/>
    <n v="364799745.22997445"/>
    <n v="13683.586343581745"/>
    <n v="1.1196537153887776"/>
    <n v="408449390.11962038"/>
    <n v="15320.878289434439"/>
    <n v="0"/>
    <n v="26659.658957103959"/>
    <n v="408449390.11962038"/>
    <n v="383442518.34440809"/>
    <n v="6.5216741959615243E-2"/>
  </r>
  <r>
    <x v="1"/>
    <x v="1"/>
    <x v="1"/>
    <n v="12771.642324394885"/>
    <n v="0"/>
    <n v="0"/>
    <n v="0"/>
    <n v="12576.85873805299"/>
    <n v="53406.112545307114"/>
    <n v="2904.7925350190649"/>
    <n v="15481.651273072055"/>
    <n v="1017321622.5825095"/>
    <n v="0.99671861092415948"/>
    <n v="1013983394.5235509"/>
    <n v="18986.279775809133"/>
    <n v="59727376.967884332"/>
    <n v="1073710771.4914352"/>
    <n v="20104.641965478237"/>
    <n v="1.1149630516096494"/>
    <n v="1197147838.3282416"/>
    <n v="22415.932957349036"/>
    <n v="0"/>
    <n v="53406.112545307114"/>
    <n v="1197147838.3282416"/>
    <n v="1307714834.2625487"/>
    <n v="-8.4549775713646635E-2"/>
  </r>
  <r>
    <x v="2"/>
    <x v="2"/>
    <x v="0"/>
    <n v="10539.34001860303"/>
    <n v="0"/>
    <n v="0"/>
    <n v="0"/>
    <n v="10378.601846145839"/>
    <n v="16622.361523679996"/>
    <n v="380.94476637289404"/>
    <n v="10759.546612518732"/>
    <n v="249073155.44454941"/>
    <n v="1.0181752931904677"/>
    <n v="253600133.07062903"/>
    <n v="15256.5646409118"/>
    <n v="10600897.780621644"/>
    <n v="264201030.85125068"/>
    <n v="15894.313841921521"/>
    <n v="1.1150592197193865"/>
    <n v="294599795.31005311"/>
    <n v="17723.101190548055"/>
    <n v="0"/>
    <n v="16622.361523679996"/>
    <n v="294599795.31005311"/>
    <n v="380375203.56753546"/>
    <n v="-0.22550210280006588"/>
  </r>
  <r>
    <x v="3"/>
    <x v="3"/>
    <x v="0"/>
    <n v="10539.34001860303"/>
    <n v="0"/>
    <n v="0"/>
    <n v="0"/>
    <n v="10378.601846145839"/>
    <n v="35389.172988776867"/>
    <n v="70.826647410772608"/>
    <n v="10449.428493556612"/>
    <n v="497363001.50952125"/>
    <n v="1.0181752931904677"/>
    <n v="506402719.88404787"/>
    <n v="14309.538119035607"/>
    <n v="1942313.1270902995"/>
    <n v="508345033.01113814"/>
    <n v="14364.422507763942"/>
    <n v="1.1099846191041804"/>
    <n v="564255167.84037018"/>
    <n v="15944.288045931875"/>
    <n v="0"/>
    <n v="35389.172988776867"/>
    <n v="564255167.84037018"/>
    <n v="547219767.1459837"/>
    <n v="3.1130821138341425E-2"/>
  </r>
  <r>
    <x v="4"/>
    <x v="4"/>
    <x v="0"/>
    <n v="10539.34001860303"/>
    <n v="0"/>
    <n v="0"/>
    <n v="0"/>
    <n v="10378.601846145839"/>
    <n v="24661.79924888902"/>
    <n v="0"/>
    <n v="10378.601846145839"/>
    <n v="312420276.34647787"/>
    <n v="0.99671861092415948"/>
    <n v="311395103.86460346"/>
    <n v="12626.617414324763"/>
    <n v="424862.32800000021"/>
    <n v="311819966.19260347"/>
    <n v="12643.844962230423"/>
    <n v="1.1133096880777904"/>
    <n v="347152189.29831451"/>
    <n v="14076.515091004694"/>
    <n v="0"/>
    <n v="24661.79924888902"/>
    <n v="347152189.29831451"/>
    <n v="389282179.80573398"/>
    <n v="-0.10822481144254759"/>
  </r>
  <r>
    <x v="5"/>
    <x v="5"/>
    <x v="0"/>
    <n v="10539.34001860303"/>
    <n v="0"/>
    <n v="0"/>
    <n v="0"/>
    <n v="10378.601846145839"/>
    <n v="6404.5558703010038"/>
    <n v="0"/>
    <n v="10378.601846145839"/>
    <n v="89017728.942839637"/>
    <n v="0.99671861092415948"/>
    <n v="88725627.139530465"/>
    <n v="13853.517548494819"/>
    <n v="0"/>
    <n v="88725627.139530465"/>
    <n v="13853.517548494819"/>
    <n v="1.1180012832443968"/>
    <n v="99195364.99865894"/>
    <n v="15488.250396665979"/>
    <n v="0"/>
    <n v="6404.5558703010038"/>
    <n v="99195364.99865894"/>
    <n v="111736905.45604147"/>
    <n v="-0.11224170211440576"/>
  </r>
  <r>
    <x v="6"/>
    <x v="6"/>
    <x v="0"/>
    <n v="10539.34001860303"/>
    <n v="0"/>
    <n v="0"/>
    <n v="0"/>
    <n v="10378.601846145839"/>
    <n v="37187.68418079293"/>
    <n v="171.73315453928049"/>
    <n v="10550.33500068512"/>
    <n v="500233706.47471863"/>
    <n v="0.99671861092415948"/>
    <n v="498592245.05492526"/>
    <n v="13407.456152175328"/>
    <n v="5003207.6874727393"/>
    <n v="503595452.74239802"/>
    <n v="13541.995524488724"/>
    <n v="1.1102695565875482"/>
    <n v="559126700.01580787"/>
    <n v="15035.265366284661"/>
    <n v="0"/>
    <n v="37187.68418079293"/>
    <n v="559126700.01580787"/>
    <n v="629192420.7775166"/>
    <n v="-0.11135817668484616"/>
  </r>
  <r>
    <x v="7"/>
    <x v="7"/>
    <x v="1"/>
    <n v="12771.642324394885"/>
    <n v="0"/>
    <n v="0"/>
    <n v="0"/>
    <n v="12576.85873805299"/>
    <n v="104111.82276682714"/>
    <n v="2718.743197387912"/>
    <n v="15295.601935440902"/>
    <n v="1881449978.0790854"/>
    <n v="0.99671861092415948"/>
    <n v="1875276208.6742764"/>
    <n v="18012.135018269899"/>
    <n v="121878078.47076836"/>
    <n v="1997154287.1450448"/>
    <n v="19182.780918339588"/>
    <n v="1.106052155233989"/>
    <n v="2208956803.631578"/>
    <n v="21217.156178110941"/>
    <n v="0"/>
    <n v="104111.82276682714"/>
    <n v="2208956803.631578"/>
    <n v="2412318168.0345168"/>
    <n v="-8.4301219921015469E-2"/>
  </r>
  <r>
    <x v="8"/>
    <x v="8"/>
    <x v="2"/>
    <n v="0"/>
    <n v="0"/>
    <n v="0"/>
    <n v="0"/>
    <n v="0"/>
    <n v="1185.4899110060007"/>
    <n v="0"/>
    <n v="0"/>
    <n v="0"/>
    <n v="0.99671861092415948"/>
    <n v="0"/>
    <n v="0"/>
    <n v="62612.30027663122"/>
    <n v="62612.30027663122"/>
    <n v="52.815548825294293"/>
    <n v="1.1237799950517624"/>
    <n v="70362.450495052093"/>
    <n v="59.35305719754534"/>
    <n v="0"/>
    <n v="1185.4899110060007"/>
    <n v="70362.450495052093"/>
    <n v="10339842.959460583"/>
    <n v="-0.99319501749002159"/>
  </r>
  <r>
    <x v="9"/>
    <x v="9"/>
    <x v="0"/>
    <n v="10539.34001860303"/>
    <n v="0"/>
    <n v="0"/>
    <n v="0"/>
    <n v="10378.601846145839"/>
    <n v="24239.679898120015"/>
    <n v="352.12016602018389"/>
    <n v="10730.722012166023"/>
    <n v="347589559.40386057"/>
    <n v="0.99671861092415948"/>
    <n v="346448982.82075649"/>
    <n v="14292.638528103105"/>
    <n v="5944161.5154257026"/>
    <n v="352393144.33618218"/>
    <n v="14537.862951049661"/>
    <n v="1.1208321340194023"/>
    <n v="394973559.98013031"/>
    <n v="16294.503955506596"/>
    <n v="0"/>
    <n v="24239.679898120015"/>
    <n v="394973559.98013031"/>
    <n v="463917929.5748083"/>
    <n v="-0.14861328954857844"/>
  </r>
  <r>
    <x v="10"/>
    <x v="10"/>
    <x v="0"/>
    <n v="10539.34001860303"/>
    <n v="0"/>
    <n v="0"/>
    <n v="0"/>
    <n v="10378.601846145839"/>
    <n v="39233.431532673072"/>
    <n v="423.6700340006721"/>
    <n v="10802.271880146511"/>
    <n v="572791557.53885674"/>
    <n v="0.99671861092415948"/>
    <n v="570912005.57921505"/>
    <n v="14551.671451521319"/>
    <n v="20760568.355981968"/>
    <n v="591672573.935197"/>
    <n v="15080.826499778896"/>
    <n v="1.1214469245143464"/>
    <n v="663529388.35911393"/>
    <n v="16912.346497311497"/>
    <n v="0"/>
    <n v="39233.431532673072"/>
    <n v="663529388.35911381"/>
    <n v="861936517.09345961"/>
    <n v="-0.23018763539964104"/>
  </r>
  <r>
    <x v="11"/>
    <x v="11"/>
    <x v="2"/>
    <n v="0"/>
    <n v="0"/>
    <n v="0"/>
    <n v="0"/>
    <n v="0"/>
    <n v="1608.5265612699982"/>
    <n v="0"/>
    <n v="0"/>
    <n v="12656764.264227461"/>
    <n v="0.99671861092415948"/>
    <n v="12615232.496235337"/>
    <n v="7842.7256347418288"/>
    <n v="0"/>
    <n v="12615232.496235337"/>
    <n v="7842.7256347418288"/>
    <n v="1.1357641348932981"/>
    <n v="14327928.622564549"/>
    <n v="8907.486495748044"/>
    <n v="0"/>
    <n v="1608.5265612699982"/>
    <n v="14327928.622564547"/>
    <n v="19936954.453844346"/>
    <n v="-0.28133814742192176"/>
  </r>
  <r>
    <x v="12"/>
    <x v="12"/>
    <x v="0"/>
    <n v="10539.34001860303"/>
    <n v="0"/>
    <n v="0"/>
    <n v="0"/>
    <n v="10378.601846145839"/>
    <n v="36896.780287905021"/>
    <n v="274.3039558593216"/>
    <n v="10652.90580200516"/>
    <n v="530693694.86732513"/>
    <n v="0.99671861092415948"/>
    <n v="528952282.37437004"/>
    <n v="14336.001088630588"/>
    <n v="10704840.500687411"/>
    <n v="539657122.87505746"/>
    <n v="14626.13048250067"/>
    <n v="1.1215228084765592"/>
    <n v="605237772.06121397"/>
    <n v="16403.538935878762"/>
    <n v="0"/>
    <n v="36896.780287905021"/>
    <n v="605237772.06121397"/>
    <n v="601446348.45018578"/>
    <n v="6.3038434280928701E-3"/>
  </r>
  <r>
    <x v="13"/>
    <x v="13"/>
    <x v="0"/>
    <n v="10539.34001860303"/>
    <n v="0"/>
    <n v="0"/>
    <n v="0"/>
    <n v="10378.601846145839"/>
    <n v="19503.503490301038"/>
    <n v="0"/>
    <n v="10378.601846145839"/>
    <n v="271064197.44740748"/>
    <n v="1.0181752931904677"/>
    <n v="275990868.70945293"/>
    <n v="14150.835456137474"/>
    <n v="0"/>
    <n v="275990868.70945293"/>
    <n v="14150.835456137474"/>
    <n v="1.1206186736274211"/>
    <n v="309280521.22646683"/>
    <n v="15857.690459576659"/>
    <n v="0"/>
    <n v="19503.503490301038"/>
    <n v="309280521.22646683"/>
    <n v="347884597.26089543"/>
    <n v="-0.11096805187232117"/>
  </r>
  <r>
    <x v="14"/>
    <x v="14"/>
    <x v="0"/>
    <n v="10539.34001860303"/>
    <n v="0"/>
    <n v="0"/>
    <n v="0"/>
    <n v="10378.601846145839"/>
    <n v="5661.7590092090077"/>
    <n v="0"/>
    <n v="10378.601846145839"/>
    <n v="74248728.228646502"/>
    <n v="0.99671861092415948"/>
    <n v="74005089.262941971"/>
    <n v="13071.041904568994"/>
    <n v="0"/>
    <n v="74005089.262941971"/>
    <n v="13071.041904568994"/>
    <n v="1.1207568789217148"/>
    <n v="82941712.866657749"/>
    <n v="14649.460129219693"/>
    <n v="0"/>
    <n v="5661.7590092090077"/>
    <n v="82941712.866657749"/>
    <n v="73477074.041108057"/>
    <n v="0.12881077464046164"/>
  </r>
  <r>
    <x v="15"/>
    <x v="15"/>
    <x v="0"/>
    <n v="10539.34001860303"/>
    <n v="0"/>
    <n v="0"/>
    <n v="0"/>
    <n v="10378.601846145839"/>
    <n v="11828.629976083985"/>
    <n v="0"/>
    <n v="10378.601846145839"/>
    <n v="153205057.40039444"/>
    <n v="1.0181752931904677"/>
    <n v="155989604.23690906"/>
    <n v="13187.461654671808"/>
    <n v="0"/>
    <n v="155989604.23690906"/>
    <n v="13187.461654671808"/>
    <n v="1.1159266108518389"/>
    <n v="174072950.38421357"/>
    <n v="14716.239390036493"/>
    <n v="0"/>
    <n v="11828.629976083985"/>
    <n v="174072950.38421357"/>
    <n v="198357034.28269643"/>
    <n v="-0.12242612915795781"/>
  </r>
  <r>
    <x v="16"/>
    <x v="16"/>
    <x v="0"/>
    <n v="10539.34001860303"/>
    <n v="0"/>
    <n v="0"/>
    <n v="0"/>
    <n v="10378.601846145839"/>
    <n v="35575.296562612995"/>
    <n v="37.082155310001518"/>
    <n v="10415.68400145584"/>
    <n v="480439487.75308228"/>
    <n v="0.99671861092415948"/>
    <n v="478862978.86636692"/>
    <n v="13460.547771500982"/>
    <n v="3391532.9223614307"/>
    <n v="482254511.78872836"/>
    <n v="13555.88170403454"/>
    <n v="1.1235285459397526"/>
    <n v="541826710.4028753"/>
    <n v="15230.420059865224"/>
    <n v="0"/>
    <n v="35575.296562612995"/>
    <n v="541826710.4028753"/>
    <n v="513765360.97469074"/>
    <n v="5.4618998398311414E-2"/>
  </r>
  <r>
    <x v="17"/>
    <x v="17"/>
    <x v="0"/>
    <n v="10539.34001860303"/>
    <n v="0"/>
    <n v="0"/>
    <n v="0"/>
    <n v="10378.601846145839"/>
    <n v="24909.085237375984"/>
    <n v="21.184377664013301"/>
    <n v="10399.786223809851"/>
    <n v="299678363.36260319"/>
    <n v="1.0181752931904677"/>
    <n v="305125105.47955805"/>
    <n v="12249.550819382119"/>
    <n v="4332162.9357895656"/>
    <n v="309457268.41534764"/>
    <n v="12423.469808959833"/>
    <n v="1.106961162419857"/>
    <n v="342557177.56432688"/>
    <n v="13752.298581014174"/>
    <n v="0"/>
    <n v="24909.085237375984"/>
    <n v="342557177.56432688"/>
    <n v="393223971.76524913"/>
    <n v="-0.12884970866214085"/>
  </r>
  <r>
    <x v="18"/>
    <x v="18"/>
    <x v="0"/>
    <n v="10539.34001860303"/>
    <n v="0"/>
    <n v="0"/>
    <n v="0"/>
    <n v="10378.601846145839"/>
    <n v="47800.030712699874"/>
    <n v="152.06768021239117"/>
    <n v="10530.66952635823"/>
    <n v="587186994.50253415"/>
    <n v="0.99671861092415948"/>
    <n v="585260205.51329792"/>
    <n v="12243.929486802643"/>
    <n v="6692185.3853537869"/>
    <n v="591952390.89865172"/>
    <n v="12383.933275201376"/>
    <n v="1.1086069567461017"/>
    <n v="656242538.61273301"/>
    <n v="13728.91458076778"/>
    <n v="0"/>
    <n v="47800.030712699874"/>
    <n v="656242538.61273301"/>
    <n v="704906575.99958563"/>
    <n v="-6.9036151801882495E-2"/>
  </r>
  <r>
    <x v="19"/>
    <x v="19"/>
    <x v="0"/>
    <n v="10539.34001860303"/>
    <n v="0"/>
    <n v="0"/>
    <n v="0"/>
    <n v="10378.601846145839"/>
    <n v="26999.26188542712"/>
    <n v="404.22033573985692"/>
    <n v="10782.822181885696"/>
    <n v="379651587.67748576"/>
    <n v="0.99671861092415948"/>
    <n v="378405803.10505533"/>
    <n v="14015.412892057626"/>
    <n v="11826965.054088365"/>
    <n v="390232768.15914369"/>
    <n v="14453.460609964757"/>
    <n v="1.1223202362274129"/>
    <n v="437966132.54404742"/>
    <n v="16221.411326079255"/>
    <n v="0"/>
    <n v="26999.26188542712"/>
    <n v="437966132.54404742"/>
    <n v="478959576.11742043"/>
    <n v="-8.5588524830586543E-2"/>
  </r>
  <r>
    <x v="20"/>
    <x v="20"/>
    <x v="0"/>
    <n v="10539.34001860303"/>
    <n v="0"/>
    <n v="0"/>
    <n v="0"/>
    <n v="10378.601846145839"/>
    <n v="22692.781590576982"/>
    <n v="0"/>
    <n v="10378.601846145839"/>
    <n v="293442000.80516922"/>
    <n v="0.99671861092415948"/>
    <n v="292479103.42933434"/>
    <n v="12888.640480759055"/>
    <n v="1887638.9011087576"/>
    <n v="294366742.33044308"/>
    <n v="12971.822830775263"/>
    <n v="1.1268001645719641"/>
    <n v="331692493.70245624"/>
    <n v="14616.652100515928"/>
    <n v="0"/>
    <n v="22692.781590576982"/>
    <n v="331692493.70245624"/>
    <n v="348926896.50253075"/>
    <n v="-4.9392589028887102E-2"/>
  </r>
  <r>
    <x v="21"/>
    <x v="21"/>
    <x v="0"/>
    <n v="10539.34001860303"/>
    <n v="0"/>
    <n v="0"/>
    <n v="0"/>
    <n v="10378.601846145839"/>
    <n v="14672.575577466996"/>
    <n v="0"/>
    <n v="10378.601846145839"/>
    <n v="192560841.83789444"/>
    <n v="0.99671861092415948"/>
    <n v="191928974.79505292"/>
    <n v="13080.7964683312"/>
    <n v="0"/>
    <n v="191928974.79505292"/>
    <n v="13080.7964683312"/>
    <n v="1.1136722213908725"/>
    <n v="213745967.70927936"/>
    <n v="14567.719660448289"/>
    <n v="0"/>
    <n v="14672.575577466996"/>
    <n v="213745967.70927936"/>
    <n v="206949787.85208052"/>
    <n v="3.2839752713621939E-2"/>
  </r>
  <r>
    <x v="22"/>
    <x v="22"/>
    <x v="0"/>
    <n v="10539.34001860303"/>
    <n v="0"/>
    <n v="0"/>
    <n v="0"/>
    <n v="10378.601846145839"/>
    <n v="35540.799933832066"/>
    <n v="523.78238472766361"/>
    <n v="10902.384230873502"/>
    <n v="506217095.06851733"/>
    <n v="0.99671861092415948"/>
    <n v="504555999.82275575"/>
    <n v="14196.529081002982"/>
    <n v="27533086.321585365"/>
    <n v="532089086.14434111"/>
    <n v="14971.218631402662"/>
    <n v="1.1160480491569686"/>
    <n v="593836986.5691061"/>
    <n v="16708.599347079402"/>
    <n v="0"/>
    <n v="35540.799933832066"/>
    <n v="593836986.5691061"/>
    <n v="701874512.24118495"/>
    <n v="-0.15392712484614901"/>
  </r>
  <r>
    <x v="23"/>
    <x v="23"/>
    <x v="0"/>
    <n v="10539.34001860303"/>
    <n v="0"/>
    <n v="0"/>
    <n v="0"/>
    <n v="10378.601846145839"/>
    <n v="2175.2241478610003"/>
    <n v="0"/>
    <n v="10378.601846145839"/>
    <n v="29248239.481549136"/>
    <n v="0.99671861092415948"/>
    <n v="29152264.628026813"/>
    <n v="13401.958900048807"/>
    <n v="208535.14400062207"/>
    <n v="29360799.772027437"/>
    <n v="13497.827247320367"/>
    <n v="1.1237498376689119"/>
    <n v="32994193.977645256"/>
    <n v="15168.181178059278"/>
    <n v="0"/>
    <n v="2175.2241478610003"/>
    <n v="32994193.977645256"/>
    <n v="52153723.776889794"/>
    <n v="-0.36736647763077757"/>
  </r>
  <r>
    <x v="24"/>
    <x v="24"/>
    <x v="0"/>
    <n v="10539.34001860303"/>
    <n v="0"/>
    <n v="0"/>
    <n v="0"/>
    <n v="10378.601846145839"/>
    <n v="10926.435215269013"/>
    <n v="0"/>
    <n v="10378.601846145839"/>
    <n v="145389475.62590763"/>
    <n v="0.99671861092415948"/>
    <n v="144912396.18884659"/>
    <n v="13262.55025850888"/>
    <n v="0"/>
    <n v="144912396.18884659"/>
    <n v="13262.55025850888"/>
    <n v="1.1182795268578634"/>
    <n v="162052565.84590259"/>
    <n v="14831.238428013943"/>
    <n v="0"/>
    <n v="10926.435215269013"/>
    <n v="162052565.84590259"/>
    <n v="187801683.18495172"/>
    <n v="-0.13710802215596096"/>
  </r>
  <r>
    <x v="25"/>
    <x v="25"/>
    <x v="0"/>
    <n v="10539.34001860303"/>
    <n v="0"/>
    <n v="0"/>
    <n v="0"/>
    <n v="10378.601846145839"/>
    <n v="16462.876928917998"/>
    <n v="0"/>
    <n v="10378.601846145839"/>
    <n v="206834583.09237757"/>
    <n v="0.99671861092415948"/>
    <n v="206155878.35091221"/>
    <n v="12522.469750641667"/>
    <n v="0"/>
    <n v="206155878.35091221"/>
    <n v="12522.469750641667"/>
    <n v="1.1165021686409196"/>
    <n v="230173485.25686708"/>
    <n v="13981.364633331736"/>
    <n v="0"/>
    <n v="16462.876928917998"/>
    <n v="230173485.25686708"/>
    <n v="267259938.27860209"/>
    <n v="-0.13876547776148429"/>
  </r>
  <r>
    <x v="26"/>
    <x v="26"/>
    <x v="0"/>
    <n v="10539.34001860303"/>
    <n v="0"/>
    <n v="0"/>
    <n v="0"/>
    <n v="10378.601846145839"/>
    <n v="11637.098158323013"/>
    <n v="207.43755221556515"/>
    <n v="10586.039398361405"/>
    <n v="181113798.24774534"/>
    <n v="0.99671861092415948"/>
    <n v="180519493.4086912"/>
    <n v="15512.414774948096"/>
    <n v="2491635.0870812247"/>
    <n v="183011128.49577242"/>
    <n v="15726.526149895912"/>
    <n v="1.1252449607173489"/>
    <n v="205932350.09506312"/>
    <n v="17696.194299759984"/>
    <n v="0"/>
    <n v="11637.098158323013"/>
    <n v="205932350.09506312"/>
    <n v="205889135.11789241"/>
    <n v="2.0989440334462373E-4"/>
  </r>
  <r>
    <x v="27"/>
    <x v="27"/>
    <x v="0"/>
    <n v="10539.34001860303"/>
    <n v="0"/>
    <n v="0"/>
    <n v="0"/>
    <n v="10378.601846145839"/>
    <n v="12134.106723412984"/>
    <n v="0"/>
    <n v="10378.601846145839"/>
    <n v="159712593.59651262"/>
    <n v="0.99671861092415948"/>
    <n v="159188514.43661085"/>
    <n v="13119.096284974456"/>
    <n v="0"/>
    <n v="159188514.43661085"/>
    <n v="13119.096284974456"/>
    <n v="1.1148847928711076"/>
    <n v="177476853.94512022"/>
    <n v="14626.280944329865"/>
    <n v="0"/>
    <n v="12134.106723412984"/>
    <n v="177476853.94512022"/>
    <n v="176298783.78661111"/>
    <n v="6.6822364465941586E-3"/>
  </r>
  <r>
    <x v="28"/>
    <x v="28"/>
    <x v="0"/>
    <n v="10539.34001860303"/>
    <n v="0"/>
    <n v="0"/>
    <n v="0"/>
    <n v="10378.601846145839"/>
    <n v="14334.792159748988"/>
    <n v="0"/>
    <n v="10378.601846145839"/>
    <n v="190236970.35030919"/>
    <n v="0.99671861092415948"/>
    <n v="189612728.83398068"/>
    <n v="13227.448763882248"/>
    <n v="832816.30724702065"/>
    <n v="190445545.14122769"/>
    <n v="13285.546314091975"/>
    <n v="1.1240965147015685"/>
    <n v="214079173.53369427"/>
    <n v="14934.236307577057"/>
    <n v="0"/>
    <n v="14334.792159748988"/>
    <n v="214079173.53369427"/>
    <n v="268416796.67069432"/>
    <n v="-0.20243749203096206"/>
  </r>
  <r>
    <x v="29"/>
    <x v="29"/>
    <x v="0"/>
    <n v="10539.34001860303"/>
    <n v="0"/>
    <n v="0"/>
    <n v="0"/>
    <n v="10378.601846145839"/>
    <n v="10658.398211444006"/>
    <n v="458.6754750324082"/>
    <n v="10837.277321178248"/>
    <n v="175209280.5054127"/>
    <n v="0.99671861092415948"/>
    <n v="174634350.68637636"/>
    <n v="16384.671244396752"/>
    <n v="2754406.3071728726"/>
    <n v="177388756.99354923"/>
    <n v="16643.097159110224"/>
    <n v="1.1259331913445376"/>
    <n v="199727889.27038756"/>
    <n v="18739.015498214183"/>
    <n v="0"/>
    <n v="10658.398211444006"/>
    <n v="199727889.27038756"/>
    <n v="247695139.32122138"/>
    <n v="-0.19365438571900229"/>
  </r>
  <r>
    <x v="30"/>
    <x v="30"/>
    <x v="0"/>
    <n v="10539.34001860303"/>
    <n v="0"/>
    <n v="0"/>
    <n v="0"/>
    <n v="10378.601846145839"/>
    <n v="10412.594138032973"/>
    <n v="0"/>
    <n v="10378.601846145839"/>
    <n v="131446747.68487555"/>
    <n v="0.99671861092415948"/>
    <n v="131015419.76296763"/>
    <n v="12582.399546758628"/>
    <n v="0"/>
    <n v="131015419.76296763"/>
    <n v="12582.399546758628"/>
    <n v="1.1205505604288228"/>
    <n v="146809402.04021084"/>
    <n v="14099.214863659747"/>
    <n v="0"/>
    <n v="10412.594138032973"/>
    <n v="146809402.04021084"/>
    <n v="166047924.03270695"/>
    <n v="-0.11586126176866041"/>
  </r>
  <r>
    <x v="31"/>
    <x v="31"/>
    <x v="0"/>
    <n v="10539.34001860303"/>
    <n v="0"/>
    <n v="0"/>
    <n v="0"/>
    <n v="10378.601846145839"/>
    <n v="15965.725843327995"/>
    <n v="0"/>
    <n v="10378.601846145839"/>
    <n v="222901287.70462796"/>
    <n v="0.99671861092415948"/>
    <n v="222169861.8541632"/>
    <n v="13915.425082099038"/>
    <n v="0"/>
    <n v="222169861.8541632"/>
    <n v="13915.425082099038"/>
    <n v="1.120710322524318"/>
    <n v="248988057.53376243"/>
    <n v="15595.160531822197"/>
    <n v="0"/>
    <n v="15965.725843327995"/>
    <n v="248988057.53376243"/>
    <n v="292537198.30604488"/>
    <n v="-0.14886701938918023"/>
  </r>
  <r>
    <x v="32"/>
    <x v="32"/>
    <x v="0"/>
    <n v="10539.34001860303"/>
    <n v="0"/>
    <n v="0"/>
    <n v="0"/>
    <n v="10378.601846145839"/>
    <n v="30943.516611114035"/>
    <n v="21.316398664597084"/>
    <n v="10399.918244810437"/>
    <n v="408763698.26113808"/>
    <n v="0.99671861092415948"/>
    <n v="407422385.52706379"/>
    <n v="13166.647819877369"/>
    <n v="751420.3248961916"/>
    <n v="408173805.85196"/>
    <n v="13190.931431024084"/>
    <n v="1.1174861425645124"/>
    <n v="456128571.79738301"/>
    <n v="14740.683081688088"/>
    <n v="0"/>
    <n v="30943.516611114035"/>
    <n v="456128571.79738301"/>
    <n v="485538387.39230251"/>
    <n v="-6.0571555944055833E-2"/>
  </r>
  <r>
    <x v="33"/>
    <x v="33"/>
    <x v="0"/>
    <n v="10539.34001860303"/>
    <n v="0"/>
    <n v="0"/>
    <n v="0"/>
    <n v="10378.601846145839"/>
    <n v="30637.922123716067"/>
    <n v="249.73659338390533"/>
    <n v="10628.338439529743"/>
    <n v="387325443.05078733"/>
    <n v="0.99671861092415948"/>
    <n v="386054477.57316536"/>
    <n v="12600.543731858696"/>
    <n v="7270460.1939369692"/>
    <n v="393324937.7671023"/>
    <n v="12837.846384583603"/>
    <n v="1.1074866213835981"/>
    <n v="435602106.43360209"/>
    <n v="14217.743118304134"/>
    <n v="0"/>
    <n v="30637.922123716067"/>
    <n v="435602106.43360209"/>
    <n v="479405027.32837516"/>
    <n v="-9.1369339906336999E-2"/>
  </r>
  <r>
    <x v="34"/>
    <x v="34"/>
    <x v="2"/>
    <n v="0"/>
    <n v="0"/>
    <n v="0"/>
    <n v="0"/>
    <n v="0"/>
    <n v="566.52872944799947"/>
    <n v="0"/>
    <n v="0"/>
    <n v="2670061.7726552766"/>
    <n v="0.99671861092415948"/>
    <n v="2661300.2611226663"/>
    <n v="4697.5556980415085"/>
    <n v="0"/>
    <n v="2661300.2611226663"/>
    <n v="4697.5556980415085"/>
    <n v="1.1235285459397526"/>
    <n v="2990046.8126882333"/>
    <n v="5277.8379228915765"/>
    <n v="0"/>
    <n v="566.52872944799947"/>
    <n v="2990046.8126882333"/>
    <n v="6636375.6778513948"/>
    <n v="-0.54944581834518802"/>
  </r>
  <r>
    <x v="35"/>
    <x v="35"/>
    <x v="0"/>
    <n v="10539.34001860303"/>
    <n v="0"/>
    <n v="0"/>
    <n v="0"/>
    <n v="10378.601846145839"/>
    <n v="24559.146065829038"/>
    <n v="0"/>
    <n v="10378.601846145839"/>
    <n v="308955328.84933418"/>
    <n v="0.99671861092415948"/>
    <n v="307941526.20832527"/>
    <n v="12538.771722066802"/>
    <n v="0"/>
    <n v="307941526.20832527"/>
    <n v="12538.771722066802"/>
    <n v="1.1035189993630976"/>
    <n v="339819324.86375618"/>
    <n v="13836.772823977461"/>
    <n v="0"/>
    <n v="24559.146065829038"/>
    <n v="339819324.86375618"/>
    <n v="342063676.63033193"/>
    <n v="-6.5612104409472627E-3"/>
  </r>
  <r>
    <x v="36"/>
    <x v="36"/>
    <x v="0"/>
    <n v="10539.34001860303"/>
    <n v="0"/>
    <n v="0"/>
    <n v="0"/>
    <n v="10378.601846145839"/>
    <n v="24233.031990069048"/>
    <n v="0"/>
    <n v="10378.601846145839"/>
    <n v="303097503.68479675"/>
    <n v="0.99671861092415948"/>
    <n v="302102922.84729093"/>
    <n v="12466.575497902859"/>
    <n v="0"/>
    <n v="302102922.84729093"/>
    <n v="12466.575497902859"/>
    <n v="1.1147926720978587"/>
    <n v="336782124.6095047"/>
    <n v="13897.647011216821"/>
    <n v="0"/>
    <n v="24233.031990069048"/>
    <n v="336782124.6095047"/>
    <n v="357479688.25679171"/>
    <n v="-5.7898572498527923E-2"/>
  </r>
  <r>
    <x v="37"/>
    <x v="37"/>
    <x v="0"/>
    <n v="10539.34001860303"/>
    <n v="0"/>
    <n v="0"/>
    <n v="0"/>
    <n v="10378.601846145839"/>
    <n v="15907.038226505023"/>
    <n v="0"/>
    <n v="10378.601846145839"/>
    <n v="219659582.15448433"/>
    <n v="1.0181752931904677"/>
    <n v="223651959.46223772"/>
    <n v="14059.937260324097"/>
    <n v="0"/>
    <n v="223651959.46223772"/>
    <n v="14059.937260324097"/>
    <n v="1.1175427593245362"/>
    <n v="249940627.90576845"/>
    <n v="15712.581081832452"/>
    <n v="0"/>
    <n v="15907.038226505023"/>
    <n v="249940627.90576845"/>
    <n v="271471178.92933607"/>
    <n v="-7.9310632931579139E-2"/>
  </r>
  <r>
    <x v="38"/>
    <x v="38"/>
    <x v="2"/>
    <n v="0"/>
    <n v="0"/>
    <n v="0"/>
    <n v="0"/>
    <n v="0"/>
    <n v="1984.4844588999965"/>
    <n v="0"/>
    <n v="0"/>
    <n v="7270029.2575966893"/>
    <n v="1.0181752931904677"/>
    <n v="7402164.1708567878"/>
    <n v="3730.0187147647512"/>
    <n v="141502.60406345228"/>
    <n v="7543666.77492024"/>
    <n v="3801.3231804806919"/>
    <n v="1.2317684965243516"/>
    <n v="9292051.081624208"/>
    <n v="4682.3501388238683"/>
    <n v="0"/>
    <n v="1984.4844588999965"/>
    <n v="9292051.081624208"/>
    <n v="38794153.318863943"/>
    <n v="-0.76047805437975935"/>
  </r>
  <r>
    <x v="39"/>
    <x v="39"/>
    <x v="0"/>
    <n v="10539.34001860303"/>
    <n v="0"/>
    <n v="0"/>
    <n v="0"/>
    <n v="10378.601846145839"/>
    <n v="16881.552106553001"/>
    <n v="113.93753221422979"/>
    <n v="10492.539378360068"/>
    <n v="249513607.47384191"/>
    <n v="0.99671861092415948"/>
    <n v="248694856.24800369"/>
    <n v="14731.753021184972"/>
    <n v="1596926.1060957895"/>
    <n v="250291782.35409948"/>
    <n v="14826.348950280608"/>
    <n v="1.1293262174048309"/>
    <n v="282661071.81346834"/>
    <n v="16743.784577944483"/>
    <n v="0"/>
    <n v="16881.552106553001"/>
    <n v="282661071.81346834"/>
    <n v="303444858.6894334"/>
    <n v="-6.8492796238926013E-2"/>
  </r>
  <r>
    <x v="40"/>
    <x v="40"/>
    <x v="0"/>
    <n v="10539.34001860303"/>
    <n v="0"/>
    <n v="0"/>
    <n v="0"/>
    <n v="10378.601846145839"/>
    <n v="29567.442541858047"/>
    <n v="0"/>
    <n v="10378.601846145839"/>
    <n v="384102086.84296942"/>
    <n v="1.0181752931904677"/>
    <n v="391083254.88641089"/>
    <n v="13226.820491246817"/>
    <n v="0"/>
    <n v="391083254.88641089"/>
    <n v="13226.820491246817"/>
    <n v="1.1115105879568932"/>
    <n v="434693178.57889009"/>
    <n v="14701.751021026032"/>
    <n v="0"/>
    <n v="29567.442541858047"/>
    <n v="434693178.57889009"/>
    <n v="498044320.36016619"/>
    <n v="-0.12719980771081385"/>
  </r>
  <r>
    <x v="41"/>
    <x v="41"/>
    <x v="0"/>
    <n v="10539.34001860303"/>
    <n v="0"/>
    <n v="0"/>
    <n v="0"/>
    <n v="10378.601846145839"/>
    <n v="5264.4707007620054"/>
    <n v="238.48799212817485"/>
    <n v="10617.089838274014"/>
    <n v="74287327.15373607"/>
    <n v="0.99671861092415948"/>
    <n v="74043561.529940411"/>
    <n v="14064.768471258276"/>
    <n v="1538688.3210319907"/>
    <n v="75582249.850972399"/>
    <n v="14357.046348464291"/>
    <n v="1.1120223070717381"/>
    <n v="84049147.852950856"/>
    <n v="15965.355803155133"/>
    <n v="0"/>
    <n v="5264.4707007620054"/>
    <n v="84049147.852950856"/>
    <n v="116188893.52768132"/>
    <n v="-0.2766163331013507"/>
  </r>
  <r>
    <x v="42"/>
    <x v="42"/>
    <x v="0"/>
    <n v="10539.34001860303"/>
    <n v="0"/>
    <n v="0"/>
    <n v="0"/>
    <n v="10378.601846145839"/>
    <n v="3719.0107248960016"/>
    <n v="0"/>
    <n v="10378.601846145839"/>
    <n v="49371693.328411736"/>
    <n v="1.0181752931904677"/>
    <n v="50269038.32996548"/>
    <n v="13516.776919585571"/>
    <n v="0"/>
    <n v="50269038.32996548"/>
    <n v="13516.776919585571"/>
    <n v="1.1180896691644482"/>
    <n v="56205292.435566068"/>
    <n v="15112.968634189081"/>
    <n v="0"/>
    <n v="3719.0107248960016"/>
    <n v="56205292.435566068"/>
    <n v="65524512.041859597"/>
    <n v="-0.14222493714016593"/>
  </r>
  <r>
    <x v="43"/>
    <x v="43"/>
    <x v="0"/>
    <n v="10539.34001860303"/>
    <n v="0"/>
    <n v="0"/>
    <n v="0"/>
    <n v="10378.601846145839"/>
    <n v="9011.8464937300014"/>
    <n v="0"/>
    <n v="10378.601846145839"/>
    <n v="112844167.63883591"/>
    <n v="0.99671861092415948"/>
    <n v="112473882.01987351"/>
    <n v="12480.669982353484"/>
    <n v="0"/>
    <n v="112473882.01987351"/>
    <n v="12480.669982353484"/>
    <n v="1.1146605541082666"/>
    <n v="125370199.65498002"/>
    <n v="13911.710518172544"/>
    <n v="0"/>
    <n v="9011.8464937300014"/>
    <n v="125370199.65498002"/>
    <n v="123454716.04708941"/>
    <n v="1.5515677887590673E-2"/>
  </r>
  <r>
    <x v="44"/>
    <x v="44"/>
    <x v="0"/>
    <n v="10539.34001860303"/>
    <n v="0"/>
    <n v="0"/>
    <n v="0"/>
    <n v="10378.601846145839"/>
    <n v="17485.311336287028"/>
    <n v="0"/>
    <n v="10378.601846145839"/>
    <n v="239139877.48247641"/>
    <n v="1.0181752931904677"/>
    <n v="243486314.86925295"/>
    <n v="13925.191847396456"/>
    <n v="0"/>
    <n v="243486314.86925295"/>
    <n v="13925.191847396456"/>
    <n v="1.1171440000317876"/>
    <n v="272009275.74603659"/>
    <n v="15556.444521610516"/>
    <n v="0"/>
    <n v="17485.311336287028"/>
    <n v="272009275.74603659"/>
    <n v="310623280.19533324"/>
    <n v="-0.12431136656922337"/>
  </r>
  <r>
    <x v="45"/>
    <x v="45"/>
    <x v="0"/>
    <n v="10539.34001860303"/>
    <n v="0"/>
    <n v="0"/>
    <n v="0"/>
    <n v="10378.601846145839"/>
    <n v="30821.946526509015"/>
    <n v="0"/>
    <n v="10378.601846145839"/>
    <n v="374647562.13340759"/>
    <n v="0.99671861092415948"/>
    <n v="373418197.71573275"/>
    <n v="12115.334681882183"/>
    <n v="0"/>
    <n v="373418197.71573275"/>
    <n v="12115.334681882183"/>
    <n v="1.1140199775247721"/>
    <n v="415995332.22662151"/>
    <n v="13496.724870015481"/>
    <n v="0"/>
    <n v="30821.946526509015"/>
    <n v="415995332.22662151"/>
    <n v="441501289.78100872"/>
    <n v="-5.7770969518658788E-2"/>
  </r>
  <r>
    <x v="46"/>
    <x v="46"/>
    <x v="0"/>
    <n v="10539.34001860303"/>
    <n v="0"/>
    <n v="0"/>
    <n v="0"/>
    <n v="10378.601846145839"/>
    <n v="9743.687453664008"/>
    <n v="0"/>
    <n v="10378.601846145839"/>
    <n v="135072400.91713816"/>
    <n v="1.0181752931904677"/>
    <n v="137527381.40574756"/>
    <n v="14114.510759890178"/>
    <n v="0"/>
    <n v="137527381.40574756"/>
    <n v="14114.510759890178"/>
    <n v="1.1083143930424924"/>
    <n v="152423576.24943447"/>
    <n v="15643.31542593941"/>
    <n v="0"/>
    <n v="9743.687453664008"/>
    <n v="152423576.24943447"/>
    <n v="146086437.73579153"/>
    <n v="4.3379376017807614E-2"/>
  </r>
  <r>
    <x v="47"/>
    <x v="47"/>
    <x v="1"/>
    <n v="12771.642324394885"/>
    <n v="0"/>
    <n v="0"/>
    <n v="0"/>
    <n v="12576.85873805299"/>
    <n v="16622.361523679996"/>
    <n v="1047.5835053585402"/>
    <n v="13624.442243411529"/>
    <n v="296694486.34886074"/>
    <n v="1.0181752931904677"/>
    <n v="302086995.62624651"/>
    <n v="18173.530589856164"/>
    <n v="10600897.780621644"/>
    <n v="312687893.40686816"/>
    <n v="18811.279790865883"/>
    <n v="1.1150592197193865"/>
    <n v="348665518.4379611"/>
    <n v="20975.690965525977"/>
    <n v="0"/>
    <n v="16622.361523679996"/>
    <n v="348665518.4379611"/>
    <n v="380375203.56753546"/>
    <n v="-8.3364227826024151E-2"/>
  </r>
  <r>
    <x v="48"/>
    <x v="6"/>
    <x v="1"/>
    <n v="12771.642324394885"/>
    <n v="0"/>
    <n v="0"/>
    <n v="0"/>
    <n v="12576.85873805299"/>
    <n v="37187.68418079293"/>
    <n v="472.25959220144938"/>
    <n v="13049.11833025444"/>
    <n v="593157671.77097261"/>
    <n v="0.99671861092415948"/>
    <n v="591211290.66657233"/>
    <n v="15898.040001424102"/>
    <n v="5003207.6874727393"/>
    <n v="596214498.35404503"/>
    <n v="16032.579373737499"/>
    <n v="1.1102695565875482"/>
    <n v="661958806.71861303"/>
    <n v="17800.484792234205"/>
    <n v="0"/>
    <n v="37187.68418079293"/>
    <n v="661958806.71861303"/>
    <n v="629192420.7775166"/>
    <n v="5.2076892313174694E-2"/>
  </r>
  <r>
    <x v="49"/>
    <x v="10"/>
    <x v="1"/>
    <n v="12771.642324394885"/>
    <n v="0"/>
    <n v="0"/>
    <n v="0"/>
    <n v="12576.85873805299"/>
    <n v="39233.431532673072"/>
    <n v="1165.0763536132847"/>
    <n v="13741.935091666275"/>
    <n v="688124632.87713528"/>
    <n v="0.99671861092415948"/>
    <n v="685866628.22399545"/>
    <n v="17481.688484292154"/>
    <n v="20760568.355981968"/>
    <n v="706627196.57997739"/>
    <n v="18010.84353254973"/>
    <n v="1.1214469245143464"/>
    <n v="792444896.38281012"/>
    <n v="20198.205087487"/>
    <n v="0"/>
    <n v="39233.431532673072"/>
    <n v="792444896.38281012"/>
    <n v="861936517.09345961"/>
    <n v="-8.0622666904730411E-2"/>
  </r>
  <r>
    <x v="50"/>
    <x v="48"/>
    <x v="1"/>
    <n v="12771.642324394885"/>
    <n v="0"/>
    <n v="0"/>
    <n v="0"/>
    <n v="12576.85873805299"/>
    <n v="26999.26188542712"/>
    <n v="1111.5904289312639"/>
    <n v="13688.449166984254"/>
    <n v="458101371.58952576"/>
    <n v="0.99671861092415948"/>
    <n v="456598162.75316435"/>
    <n v="16911.505384508815"/>
    <n v="11826965.054088365"/>
    <n v="468425127.80725271"/>
    <n v="17349.553102415946"/>
    <n v="1.1223202362274129"/>
    <n v="525723000.09549195"/>
    <n v="19471.754536343509"/>
    <n v="0"/>
    <n v="26999.26188542712"/>
    <n v="525723000.09549195"/>
    <n v="478959576.11742043"/>
    <n v="9.763542960587368E-2"/>
  </r>
  <r>
    <x v="51"/>
    <x v="22"/>
    <x v="1"/>
    <n v="12771.642324394885"/>
    <n v="0"/>
    <n v="0"/>
    <n v="0"/>
    <n v="12576.85873805299"/>
    <n v="35540.799933832066"/>
    <n v="1440.3814806605105"/>
    <n v="14017.240218713501"/>
    <n v="616921568.55503762"/>
    <n v="0.99671861092415948"/>
    <n v="614897208.85933077"/>
    <n v="17301.16401443167"/>
    <n v="27533086.321585365"/>
    <n v="642430295.18091619"/>
    <n v="18075.853564831352"/>
    <n v="1.1160480491569686"/>
    <n v="716983077.65599704"/>
    <n v="20173.521107877066"/>
    <n v="0"/>
    <n v="35540.799933832066"/>
    <n v="716983077.65599704"/>
    <n v="701874512.24118495"/>
    <n v="2.1526020893062991E-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76">
  <r>
    <x v="0"/>
    <x v="0"/>
    <x v="0"/>
    <x v="0"/>
    <x v="0"/>
    <s v="MSG"/>
    <x v="0"/>
    <x v="0"/>
    <x v="0"/>
    <n v="184.8"/>
    <n v="154.69999999999999"/>
    <x v="0"/>
    <n v="0"/>
    <n v="339.5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PSY"/>
    <x v="1"/>
    <x v="0"/>
    <x v="0"/>
    <n v="0"/>
    <n v="53.9"/>
    <x v="0"/>
    <n v="0"/>
    <n v="53.9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DEF"/>
    <x v="2"/>
    <x v="0"/>
    <x v="0"/>
    <n v="26.3"/>
    <n v="15.4"/>
    <x v="0"/>
    <n v="0"/>
    <n v="41.7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MIS"/>
    <x v="3"/>
    <x v="0"/>
    <x v="0"/>
    <n v="26.9"/>
    <n v="9.1999999999999993"/>
    <x v="0"/>
    <n v="0"/>
    <n v="36.099999999999994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NUR"/>
    <x v="4"/>
    <x v="0"/>
    <x v="0"/>
    <n v="0"/>
    <n v="84"/>
    <x v="0"/>
    <n v="0"/>
    <n v="84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EMG"/>
    <x v="5"/>
    <x v="0"/>
    <x v="0"/>
    <n v="0"/>
    <n v="8094.6"/>
    <x v="0"/>
    <n v="0"/>
    <n v="8094.6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CL"/>
    <x v="6"/>
    <x v="0"/>
    <x v="0"/>
    <n v="0"/>
    <n v="424.2"/>
    <x v="0"/>
    <n v="0"/>
    <n v="424.2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OR"/>
    <x v="7"/>
    <x v="0"/>
    <x v="0"/>
    <n v="0"/>
    <n v="-0.6"/>
    <x v="0"/>
    <n v="0"/>
    <n v="-0.6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ANS"/>
    <x v="8"/>
    <x v="0"/>
    <x v="0"/>
    <n v="0"/>
    <n v="1987.5"/>
    <x v="0"/>
    <n v="0"/>
    <n v="1987.5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LAB"/>
    <x v="9"/>
    <x v="0"/>
    <x v="0"/>
    <n v="0"/>
    <n v="135"/>
    <x v="0"/>
    <n v="0"/>
    <n v="135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IRC"/>
    <x v="10"/>
    <x v="0"/>
    <x v="0"/>
    <n v="0"/>
    <n v="106.3"/>
    <x v="0"/>
    <n v="0"/>
    <n v="106.3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RAD"/>
    <x v="11"/>
    <x v="0"/>
    <x v="0"/>
    <n v="0"/>
    <n v="54.7"/>
    <x v="0"/>
    <n v="0"/>
    <n v="54.7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CAT"/>
    <x v="12"/>
    <x v="0"/>
    <x v="0"/>
    <n v="0"/>
    <n v="30.7"/>
    <x v="0"/>
    <n v="0"/>
    <n v="30.7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RAT"/>
    <x v="13"/>
    <x v="0"/>
    <x v="0"/>
    <n v="0"/>
    <n v="710.9"/>
    <x v="0"/>
    <n v="0"/>
    <n v="710.9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NUC"/>
    <x v="14"/>
    <x v="0"/>
    <x v="0"/>
    <n v="0"/>
    <n v="24"/>
    <x v="0"/>
    <n v="0"/>
    <n v="24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RES"/>
    <x v="15"/>
    <x v="0"/>
    <x v="0"/>
    <n v="0"/>
    <n v="8"/>
    <x v="0"/>
    <n v="0"/>
    <n v="8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PTH"/>
    <x v="16"/>
    <x v="0"/>
    <x v="0"/>
    <n v="0"/>
    <n v="25.6"/>
    <x v="0"/>
    <n v="0"/>
    <n v="25.6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MRI"/>
    <x v="17"/>
    <x v="0"/>
    <x v="0"/>
    <n v="0"/>
    <n v="30.7"/>
    <x v="0"/>
    <n v="0"/>
    <n v="30.7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RHB"/>
    <x v="18"/>
    <x v="0"/>
    <x v="0"/>
    <n v="0"/>
    <n v="4.8"/>
    <x v="0"/>
    <n v="0"/>
    <n v="4.8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0"/>
    <s v="XYZ"/>
    <x v="19"/>
    <x v="0"/>
    <x v="0"/>
    <n v="238.00000000000003"/>
    <n v="11953.600000000002"/>
    <x v="0"/>
    <n v="0"/>
    <n v="12191.600000000002"/>
    <x v="0"/>
    <x v="0"/>
    <x v="0"/>
    <x v="0"/>
    <x v="0"/>
    <m/>
    <m/>
    <x v="0"/>
    <m/>
    <m/>
    <m/>
    <m/>
    <m/>
    <m/>
    <m/>
    <m/>
    <m/>
    <m/>
    <m/>
  </r>
  <r>
    <x v="0"/>
    <x v="0"/>
    <x v="0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407.7"/>
    <n v="743.7"/>
    <n v="468.8"/>
    <n v="1620.2"/>
    <n v="0"/>
    <n v="1620.2"/>
    <n v="5.8"/>
    <n v="1.5"/>
    <n v="7.3"/>
  </r>
  <r>
    <x v="0"/>
    <x v="0"/>
    <x v="0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73.599999999999994"/>
    <n v="134.30000000000001"/>
    <n v="84.6"/>
    <n v="292.5"/>
    <n v="0"/>
    <n v="292.5"/>
    <n v="1"/>
    <n v="0.3"/>
    <n v="1.3"/>
  </r>
  <r>
    <x v="0"/>
    <x v="0"/>
    <x v="0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38.200000000000003"/>
    <n v="69.599999999999994"/>
    <n v="43.9"/>
    <n v="151.69999999999999"/>
    <n v="0"/>
    <n v="151.69999999999999"/>
    <n v="0.5"/>
    <n v="0.1"/>
    <n v="0.6"/>
  </r>
  <r>
    <x v="0"/>
    <x v="0"/>
    <x v="0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38.200000000000003"/>
    <n v="69.599999999999994"/>
    <n v="43.9"/>
    <n v="151.69999999999999"/>
    <n v="0"/>
    <n v="151.69999999999999"/>
    <n v="0.5"/>
    <n v="0.1"/>
    <n v="0.6"/>
  </r>
  <r>
    <x v="0"/>
    <x v="0"/>
    <x v="0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77"/>
    <n v="140.5"/>
    <n v="88.6"/>
    <n v="306.10000000000002"/>
    <n v="0"/>
    <n v="306.10000000000002"/>
    <n v="1.1000000000000001"/>
    <n v="0.3"/>
    <n v="1.4"/>
  </r>
  <r>
    <x v="0"/>
    <x v="0"/>
    <x v="0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75"/>
    <n v="136.80000000000001"/>
    <n v="86.2"/>
    <n v="298"/>
    <n v="0"/>
    <n v="298"/>
    <n v="1.1000000000000001"/>
    <n v="0.3"/>
    <n v="1.4"/>
  </r>
  <r>
    <x v="0"/>
    <x v="0"/>
    <x v="0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38.200000000000003"/>
    <n v="69.599999999999994"/>
    <n v="43.9"/>
    <n v="151.69999999999999"/>
    <n v="0"/>
    <n v="151.69999999999999"/>
    <n v="0.5"/>
    <n v="0.1"/>
    <n v="0.6"/>
  </r>
  <r>
    <x v="0"/>
    <x v="0"/>
    <x v="0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260.7"/>
    <n v="475.6"/>
    <n v="299.8"/>
    <n v="1036.0999999999999"/>
    <n v="0"/>
    <n v="1036.0999999999999"/>
    <n v="3.7"/>
    <n v="1"/>
    <n v="4.7"/>
  </r>
  <r>
    <x v="0"/>
    <x v="0"/>
    <x v="0"/>
    <x v="0"/>
    <x v="1"/>
    <s v="DRF5"/>
    <x v="22"/>
    <x v="1"/>
    <x v="1"/>
    <m/>
    <m/>
    <x v="1"/>
    <m/>
    <m/>
    <x v="0"/>
    <x v="0"/>
    <x v="0"/>
    <x v="0"/>
    <x v="0"/>
    <m/>
    <m/>
    <x v="0"/>
    <m/>
    <m/>
    <n v="159.19999999999999"/>
    <n v="290.39999999999998"/>
    <n v="183"/>
    <n v="632.59999999999991"/>
    <n v="0"/>
    <n v="632.59999999999991"/>
    <n v="2.2999999999999998"/>
    <n v="0.6"/>
    <n v="2.9"/>
  </r>
  <r>
    <x v="0"/>
    <x v="0"/>
    <x v="0"/>
    <x v="0"/>
    <x v="1"/>
    <s v="DRF6"/>
    <x v="23"/>
    <x v="1"/>
    <x v="1"/>
    <m/>
    <m/>
    <x v="1"/>
    <m/>
    <m/>
    <x v="0"/>
    <x v="0"/>
    <x v="0"/>
    <x v="0"/>
    <x v="0"/>
    <m/>
    <m/>
    <x v="0"/>
    <m/>
    <m/>
    <n v="107.4"/>
    <n v="195.8"/>
    <n v="123.5"/>
    <n v="426.7000000000001"/>
    <n v="0"/>
    <n v="426.7000000000001"/>
    <n v="1.5"/>
    <n v="0.4"/>
    <n v="1.9"/>
  </r>
  <r>
    <x v="0"/>
    <x v="0"/>
    <x v="0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1275.2000000000005"/>
    <n v="2325.9"/>
    <n v="1466.2"/>
    <n v="5067.3"/>
    <n v="0"/>
    <n v="5067.2999999999993"/>
    <n v="18"/>
    <n v="4.7"/>
    <n v="22.699999999999996"/>
  </r>
  <r>
    <x v="0"/>
    <x v="1"/>
    <x v="1"/>
    <x v="0"/>
    <x v="0"/>
    <s v="MSG"/>
    <x v="0"/>
    <x v="0"/>
    <x v="0"/>
    <n v="0"/>
    <n v="794.697"/>
    <x v="0"/>
    <n v="4762.6220000000003"/>
    <n v="5557.3190000000004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PED"/>
    <x v="20"/>
    <x v="0"/>
    <x v="0"/>
    <n v="0"/>
    <n v="392.14100000000002"/>
    <x v="0"/>
    <n v="2350.1040000000003"/>
    <n v="2742.2450000000003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PSY"/>
    <x v="1"/>
    <x v="0"/>
    <x v="0"/>
    <n v="0"/>
    <n v="785.30499999999995"/>
    <x v="0"/>
    <n v="4706.3399999999992"/>
    <n v="5491.6449999999995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OBS"/>
    <x v="21"/>
    <x v="0"/>
    <x v="0"/>
    <n v="0"/>
    <n v="210.59"/>
    <x v="0"/>
    <n v="1262.068"/>
    <n v="1472.657999999999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DEF"/>
    <x v="2"/>
    <x v="0"/>
    <x v="0"/>
    <n v="0"/>
    <n v="238.465"/>
    <x v="0"/>
    <n v="1429.124"/>
    <n v="1667.588999999999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MIS"/>
    <x v="3"/>
    <x v="0"/>
    <x v="0"/>
    <n v="0"/>
    <n v="459.40899999999999"/>
    <x v="0"/>
    <n v="2753.239"/>
    <n v="3212.6480000000001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CCU"/>
    <x v="24"/>
    <x v="0"/>
    <x v="0"/>
    <n v="0"/>
    <n v="10.976000000000001"/>
    <x v="0"/>
    <n v="65.776000000000025"/>
    <n v="76.752000000000024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PIC"/>
    <x v="25"/>
    <x v="0"/>
    <x v="0"/>
    <n v="0"/>
    <n v="307.38299999999998"/>
    <x v="0"/>
    <n v="1842.146"/>
    <n v="2149.52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NEO"/>
    <x v="26"/>
    <x v="0"/>
    <x v="0"/>
    <n v="0"/>
    <n v="91.959000000000003"/>
    <x v="0"/>
    <n v="551.11300000000006"/>
    <n v="643.0720000000001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ONC"/>
    <x v="27"/>
    <x v="0"/>
    <x v="0"/>
    <n v="0"/>
    <n v="155.28700000000001"/>
    <x v="0"/>
    <n v="930.63499999999999"/>
    <n v="1085.92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NUR"/>
    <x v="4"/>
    <x v="0"/>
    <x v="0"/>
    <n v="0"/>
    <n v="17.736000000000001"/>
    <x v="0"/>
    <n v="106.295"/>
    <n v="124.03100000000001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EMG"/>
    <x v="5"/>
    <x v="0"/>
    <x v="0"/>
    <n v="0"/>
    <n v="842.10900000000004"/>
    <x v="0"/>
    <n v="5046.7669999999998"/>
    <n v="5888.876000000000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CL"/>
    <x v="6"/>
    <x v="0"/>
    <x v="0"/>
    <n v="0"/>
    <n v="337.31099999999998"/>
    <x v="0"/>
    <n v="2021.509"/>
    <n v="2358.820000000000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DEL"/>
    <x v="28"/>
    <x v="0"/>
    <x v="0"/>
    <n v="0"/>
    <n v="519.12599999999998"/>
    <x v="0"/>
    <n v="3111.125"/>
    <n v="3630.251000000000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OR"/>
    <x v="7"/>
    <x v="0"/>
    <x v="0"/>
    <n v="0"/>
    <n v="1347.5239999999999"/>
    <x v="0"/>
    <n v="8075.7209999999995"/>
    <n v="9423.2450000000008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ANS"/>
    <x v="8"/>
    <x v="0"/>
    <x v="0"/>
    <n v="0"/>
    <n v="2467.8989999999999"/>
    <x v="0"/>
    <n v="14790.138999999999"/>
    <n v="17258.038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LAB"/>
    <x v="9"/>
    <x v="0"/>
    <x v="0"/>
    <n v="0"/>
    <n v="1155.048"/>
    <x v="0"/>
    <n v="6922.2129999999997"/>
    <n v="8077.2610000000004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EKG"/>
    <x v="29"/>
    <x v="0"/>
    <x v="0"/>
    <n v="0"/>
    <n v="58.521999999999998"/>
    <x v="0"/>
    <n v="350.72300000000001"/>
    <n v="409.245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IRC"/>
    <x v="10"/>
    <x v="0"/>
    <x v="0"/>
    <n v="0"/>
    <n v="551.53399999999999"/>
    <x v="0"/>
    <n v="3305.35"/>
    <n v="3856.884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RAD"/>
    <x v="11"/>
    <x v="0"/>
    <x v="0"/>
    <n v="0"/>
    <n v="747.32600000000002"/>
    <x v="0"/>
    <n v="4478.732"/>
    <n v="5226.058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CAT"/>
    <x v="12"/>
    <x v="0"/>
    <x v="0"/>
    <n v="0"/>
    <n v="120.898"/>
    <x v="0"/>
    <n v="724.54499999999996"/>
    <n v="845.44299999999998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RAT"/>
    <x v="13"/>
    <x v="0"/>
    <x v="0"/>
    <n v="0"/>
    <n v="397.11700000000002"/>
    <x v="0"/>
    <n v="2379.9250000000002"/>
    <n v="2777.0420000000004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NUC"/>
    <x v="14"/>
    <x v="0"/>
    <x v="0"/>
    <n v="0"/>
    <n v="54.152999999999999"/>
    <x v="0"/>
    <n v="324.53699999999998"/>
    <n v="378.6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RES"/>
    <x v="15"/>
    <x v="0"/>
    <x v="0"/>
    <n v="0"/>
    <n v="216.511"/>
    <x v="0"/>
    <n v="1297.5530000000001"/>
    <n v="1514.0640000000001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PUL"/>
    <x v="30"/>
    <x v="0"/>
    <x v="0"/>
    <n v="0"/>
    <n v="24.25"/>
    <x v="0"/>
    <n v="145.33199999999999"/>
    <n v="169.5819999999999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EEG"/>
    <x v="31"/>
    <x v="0"/>
    <x v="0"/>
    <n v="0"/>
    <n v="60.491999999999997"/>
    <x v="0"/>
    <n v="362.529"/>
    <n v="423.0210000000000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PTH"/>
    <x v="16"/>
    <x v="0"/>
    <x v="0"/>
    <n v="0"/>
    <n v="103.31699999999999"/>
    <x v="0"/>
    <n v="619.18100000000004"/>
    <n v="722.49800000000005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OTH"/>
    <x v="32"/>
    <x v="0"/>
    <x v="0"/>
    <n v="0"/>
    <n v="39.677999999999997"/>
    <x v="0"/>
    <n v="237.78800000000001"/>
    <n v="277.46600000000001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RDL"/>
    <x v="33"/>
    <x v="0"/>
    <x v="0"/>
    <n v="0"/>
    <n v="39.027000000000001"/>
    <x v="0"/>
    <n v="233.88900000000001"/>
    <n v="272.916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MRI"/>
    <x v="17"/>
    <x v="0"/>
    <x v="0"/>
    <n v="0"/>
    <n v="328.80900000000003"/>
    <x v="0"/>
    <n v="1970.5519999999999"/>
    <n v="2299.3609999999999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OCL"/>
    <x v="34"/>
    <x v="0"/>
    <x v="0"/>
    <n v="0"/>
    <n v="107.63800000000001"/>
    <x v="0"/>
    <n v="645.07400000000007"/>
    <n v="752.71200000000022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0"/>
    <s v="XYZ"/>
    <x v="19"/>
    <x v="0"/>
    <x v="0"/>
    <n v="0"/>
    <n v="12982.236999999999"/>
    <x v="0"/>
    <n v="77802.645999999964"/>
    <n v="90784.882999999973"/>
    <x v="0"/>
    <x v="0"/>
    <x v="0"/>
    <x v="0"/>
    <x v="0"/>
    <m/>
    <m/>
    <x v="0"/>
    <m/>
    <m/>
    <m/>
    <m/>
    <m/>
    <m/>
    <m/>
    <m/>
    <m/>
    <m/>
    <m/>
  </r>
  <r>
    <x v="0"/>
    <x v="1"/>
    <x v="1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3998.3256617776938"/>
    <n v="4762.6220000000003"/>
    <n v="208.25267319240825"/>
    <n v="8969.2003349701026"/>
    <n v="0"/>
    <n v="8969.2003349701026"/>
    <n v="31.820762557141045"/>
    <n v="14.616873187530448"/>
    <n v="46.437635744671496"/>
  </r>
  <r>
    <x v="0"/>
    <x v="1"/>
    <x v="1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1972.9642527687099"/>
    <n v="2350.1040000000003"/>
    <n v="102.761784433904"/>
    <n v="4425.8300372026142"/>
    <n v="0"/>
    <n v="4425.8300372026142"/>
    <n v="15.701879319446729"/>
    <n v="7.2126621178856958"/>
    <n v="22.914541437332424"/>
  </r>
  <r>
    <x v="0"/>
    <x v="1"/>
    <x v="1"/>
    <x v="0"/>
    <x v="1"/>
    <s v="PSY"/>
    <x v="1"/>
    <x v="1"/>
    <x v="1"/>
    <m/>
    <m/>
    <x v="1"/>
    <m/>
    <m/>
    <x v="0"/>
    <x v="0"/>
    <x v="0"/>
    <x v="0"/>
    <x v="0"/>
    <m/>
    <m/>
    <x v="0"/>
    <m/>
    <m/>
    <n v="3951.0756193530888"/>
    <n v="4706.3399999999992"/>
    <n v="205.79165613783348"/>
    <n v="8863.2072754909204"/>
    <n v="0"/>
    <n v="8863.2072754909204"/>
    <n v="31.444722057193445"/>
    <n v="14.444140792412451"/>
    <n v="45.8888628496059"/>
  </r>
  <r>
    <x v="0"/>
    <x v="1"/>
    <x v="1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1059.533662054444"/>
    <n v="1262.068"/>
    <n v="55.185779279938934"/>
    <n v="2376.7874413343829"/>
    <n v="0"/>
    <n v="2376.7874413343829"/>
    <n v="8.4323219101023632"/>
    <n v="3.873387655908195"/>
    <n v="12.305709566010558"/>
  </r>
  <r>
    <x v="0"/>
    <x v="1"/>
    <x v="1"/>
    <x v="0"/>
    <x v="1"/>
    <s v="DEF"/>
    <x v="2"/>
    <x v="1"/>
    <x v="1"/>
    <m/>
    <m/>
    <x v="1"/>
    <m/>
    <m/>
    <x v="0"/>
    <x v="0"/>
    <x v="0"/>
    <x v="0"/>
    <x v="0"/>
    <m/>
    <m/>
    <x v="0"/>
    <m/>
    <m/>
    <n v="1199.7813254272239"/>
    <n v="1429.124"/>
    <n v="62.490574656057639"/>
    <n v="2691.3959000832815"/>
    <n v="0"/>
    <n v="2691.3959000832815"/>
    <n v="9.5484860180041906"/>
    <n v="4.3860974131501527"/>
    <n v="13.934583431154344"/>
  </r>
  <r>
    <x v="0"/>
    <x v="1"/>
    <x v="1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2311.4041956624251"/>
    <n v="2753.239"/>
    <n v="120.38941879507448"/>
    <n v="5185.0326144575001"/>
    <n v="0"/>
    <n v="5185.0326144575001"/>
    <n v="18.395361034961891"/>
    <n v="8.4499132744207266"/>
    <n v="26.845274309382617"/>
  </r>
  <r>
    <x v="0"/>
    <x v="1"/>
    <x v="1"/>
    <x v="0"/>
    <x v="1"/>
    <s v="CCU"/>
    <x v="24"/>
    <x v="1"/>
    <x v="1"/>
    <m/>
    <m/>
    <x v="1"/>
    <m/>
    <m/>
    <x v="0"/>
    <x v="0"/>
    <x v="0"/>
    <x v="0"/>
    <x v="0"/>
    <m/>
    <m/>
    <x v="0"/>
    <m/>
    <m/>
    <n v="55.220603519326858"/>
    <n v="65.776000000000025"/>
    <n v="2.8761634921666146"/>
    <n v="123.87276701149348"/>
    <n v="0"/>
    <n v="123.87276701149348"/>
    <n v="0.43947438540293288"/>
    <n v="0.20187180143159081"/>
    <n v="0.6413461868345236"/>
  </r>
  <r>
    <x v="0"/>
    <x v="1"/>
    <x v="1"/>
    <x v="0"/>
    <x v="1"/>
    <s v="PIC"/>
    <x v="25"/>
    <x v="1"/>
    <x v="1"/>
    <m/>
    <m/>
    <x v="1"/>
    <m/>
    <m/>
    <x v="0"/>
    <x v="0"/>
    <x v="0"/>
    <x v="0"/>
    <x v="0"/>
    <m/>
    <m/>
    <x v="0"/>
    <m/>
    <m/>
    <n v="1546.5217494291378"/>
    <n v="1842.146"/>
    <n v="80.550539328910858"/>
    <n v="3469.2182887580489"/>
    <n v="0"/>
    <n v="3469.2182887580489"/>
    <n v="12.308027294644896"/>
    <n v="5.6536933070291644"/>
    <n v="17.96172060167406"/>
  </r>
  <r>
    <x v="0"/>
    <x v="1"/>
    <x v="1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462.6713993912656"/>
    <n v="551.11300000000006"/>
    <n v="24.098226078479097"/>
    <n v="1037.8826254697449"/>
    <n v="0"/>
    <n v="1037.8826254697449"/>
    <n v="3.6821804893861105"/>
    <n v="1.6914107254499735"/>
    <n v="5.3735912148360843"/>
  </r>
  <r>
    <x v="0"/>
    <x v="1"/>
    <x v="1"/>
    <x v="0"/>
    <x v="1"/>
    <s v="ONC"/>
    <x v="27"/>
    <x v="1"/>
    <x v="1"/>
    <m/>
    <m/>
    <x v="1"/>
    <m/>
    <m/>
    <x v="0"/>
    <x v="0"/>
    <x v="0"/>
    <x v="0"/>
    <x v="0"/>
    <m/>
    <m/>
    <x v="0"/>
    <m/>
    <m/>
    <n v="781.28863280425867"/>
    <n v="930.63499999999999"/>
    <n v="40.693395205829297"/>
    <n v="1752.617028010088"/>
    <n v="0"/>
    <n v="1752.617028010088"/>
    <n v="6.2179027363179165"/>
    <n v="2.8561939970527179"/>
    <n v="9.0740967333706344"/>
  </r>
  <r>
    <x v="0"/>
    <x v="1"/>
    <x v="1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89.236956992159293"/>
    <n v="106.295"/>
    <n v="4.6479042512286481"/>
    <n v="200.17986124338793"/>
    <n v="0"/>
    <n v="200.17986124338793"/>
    <n v="0.71019428129993811"/>
    <n v="0.32622883478611298"/>
    <n v="1.0364231160860513"/>
  </r>
  <r>
    <x v="0"/>
    <x v="1"/>
    <x v="1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4236.8714327488551"/>
    <n v="5046.7669999999998"/>
    <n v="220.67732257962223"/>
    <n v="9504.3157553284782"/>
    <n v="0"/>
    <n v="9504.3157553284782"/>
    <n v="33.719234312367853"/>
    <n v="15.488937236735769"/>
    <n v="49.208171549103618"/>
  </r>
  <r>
    <x v="0"/>
    <x v="1"/>
    <x v="1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1697.1010381464671"/>
    <n v="2021.509"/>
    <n v="88.393457103860896"/>
    <n v="3807.0034952503279"/>
    <n v="0"/>
    <n v="3807.0034952503279"/>
    <n v="13.506415869668308"/>
    <n v="6.2041736275830237"/>
    <n v="19.71058949725133"/>
  </r>
  <r>
    <x v="0"/>
    <x v="1"/>
    <x v="1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2611.8572739861597"/>
    <n v="3111.125"/>
    <n v="136.03850844476213"/>
    <n v="5859.0207824309218"/>
    <n v="0"/>
    <n v="5859.0207824309218"/>
    <n v="20.786523454846144"/>
    <n v="9.5482940842002435"/>
    <n v="30.334817539046387"/>
  </r>
  <r>
    <x v="0"/>
    <x v="1"/>
    <x v="1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6779.745043234374"/>
    <n v="8075.7209999999995"/>
    <n v="353.12281896237363"/>
    <n v="15208.588862196748"/>
    <n v="0"/>
    <n v="15208.588862196748"/>
    <n v="53.956749766800222"/>
    <n v="24.785045759885055"/>
    <n v="78.74179552668528"/>
  </r>
  <r>
    <x v="0"/>
    <x v="1"/>
    <x v="1"/>
    <x v="0"/>
    <x v="1"/>
    <s v="ANS"/>
    <x v="8"/>
    <x v="1"/>
    <x v="1"/>
    <m/>
    <m/>
    <x v="1"/>
    <m/>
    <m/>
    <x v="0"/>
    <x v="0"/>
    <x v="0"/>
    <x v="0"/>
    <x v="0"/>
    <m/>
    <m/>
    <x v="0"/>
    <m/>
    <m/>
    <n v="12416.645887550028"/>
    <n v="14790.138999999999"/>
    <n v="646.72063180970201"/>
    <n v="27853.505519359729"/>
    <n v="0"/>
    <n v="27853.505519359729"/>
    <n v="98.818148886892516"/>
    <n v="45.392135744025417"/>
    <n v="144.21028463091793"/>
  </r>
  <r>
    <x v="0"/>
    <x v="1"/>
    <x v="1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5811.3495171021532"/>
    <n v="6922.2129999999997"/>
    <n v="302.68396678169893"/>
    <n v="13036.246483883851"/>
    <n v="0"/>
    <n v="13036.246483883851"/>
    <n v="46.249752712250547"/>
    <n v="21.244833451806532"/>
    <n v="67.494586164057083"/>
  </r>
  <r>
    <x v="0"/>
    <x v="1"/>
    <x v="1"/>
    <x v="0"/>
    <x v="1"/>
    <s v="EKG"/>
    <x v="29"/>
    <x v="1"/>
    <x v="1"/>
    <m/>
    <m/>
    <x v="1"/>
    <m/>
    <m/>
    <x v="0"/>
    <x v="0"/>
    <x v="0"/>
    <x v="0"/>
    <x v="0"/>
    <m/>
    <m/>
    <x v="0"/>
    <m/>
    <m/>
    <n v="294.43968064039962"/>
    <n v="350.72300000000001"/>
    <n v="15.335882010176148"/>
    <n v="660.49856265057588"/>
    <n v="0"/>
    <n v="660.49856265057588"/>
    <n v="2.343304662405342"/>
    <n v="1.0763958537340164"/>
    <n v="3.4197005161393585"/>
  </r>
  <r>
    <x v="0"/>
    <x v="1"/>
    <x v="1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2774.9137394512236"/>
    <n v="3305.35"/>
    <n v="144.53129959957457"/>
    <n v="6224.7950390507986"/>
    <n v="0"/>
    <n v="6224.7950390507986"/>
    <n v="22.084211914936105"/>
    <n v="10.144386668483005"/>
    <n v="32.228598583419107"/>
  </r>
  <r>
    <x v="0"/>
    <x v="1"/>
    <x v="1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3759.993738504907"/>
    <n v="4478.732"/>
    <n v="195.83916205620463"/>
    <n v="8434.5649005611122"/>
    <n v="0"/>
    <n v="8434.5649005611122"/>
    <n v="29.92399271351649"/>
    <n v="13.745591546186963"/>
    <n v="43.669584259703456"/>
  </r>
  <r>
    <x v="0"/>
    <x v="1"/>
    <x v="1"/>
    <x v="0"/>
    <x v="1"/>
    <s v="CAT"/>
    <x v="12"/>
    <x v="1"/>
    <x v="1"/>
    <m/>
    <m/>
    <x v="1"/>
    <m/>
    <m/>
    <x v="0"/>
    <x v="0"/>
    <x v="0"/>
    <x v="0"/>
    <x v="0"/>
    <m/>
    <m/>
    <x v="0"/>
    <m/>
    <m/>
    <n v="608.27129230708215"/>
    <n v="724.54499999999996"/>
    <n v="31.681792171183481"/>
    <n v="1364.4980844782658"/>
    <n v="0"/>
    <n v="1364.4980844782658"/>
    <n v="4.8409404336072219"/>
    <n v="2.2236877279571803"/>
    <n v="7.0646281615644018"/>
  </r>
  <r>
    <x v="0"/>
    <x v="1"/>
    <x v="1"/>
    <x v="0"/>
    <x v="1"/>
    <s v="RAT"/>
    <x v="13"/>
    <x v="1"/>
    <x v="1"/>
    <m/>
    <m/>
    <x v="1"/>
    <m/>
    <m/>
    <x v="0"/>
    <x v="0"/>
    <x v="0"/>
    <x v="0"/>
    <x v="0"/>
    <m/>
    <m/>
    <x v="0"/>
    <m/>
    <m/>
    <n v="1997.9989001489259"/>
    <n v="2379.9250000000002"/>
    <n v="104.06571329822802"/>
    <n v="4481.9896134471537"/>
    <n v="0"/>
    <n v="4481.9896134471537"/>
    <n v="15.901118110224321"/>
    <n v="7.3041826915614863"/>
    <n v="23.205300801785807"/>
  </r>
  <r>
    <x v="0"/>
    <x v="1"/>
    <x v="1"/>
    <x v="0"/>
    <x v="1"/>
    <s v="NUC"/>
    <x v="14"/>
    <x v="1"/>
    <x v="1"/>
    <m/>
    <m/>
    <x v="1"/>
    <m/>
    <m/>
    <x v="0"/>
    <x v="0"/>
    <x v="0"/>
    <x v="0"/>
    <x v="0"/>
    <m/>
    <m/>
    <x v="0"/>
    <m/>
    <m/>
    <n v="272.45595174747183"/>
    <n v="324.53699999999998"/>
    <n v="14.19086014453505"/>
    <n v="611.18381189200682"/>
    <n v="0"/>
    <n v="611.18381189200682"/>
    <n v="2.1683466733876609"/>
    <n v="0.99602987862892434"/>
    <n v="3.1643765520165852"/>
  </r>
  <r>
    <x v="0"/>
    <x v="1"/>
    <x v="1"/>
    <x v="0"/>
    <x v="1"/>
    <s v="RES"/>
    <x v="15"/>
    <x v="1"/>
    <x v="1"/>
    <m/>
    <m/>
    <x v="1"/>
    <m/>
    <m/>
    <x v="0"/>
    <x v="0"/>
    <x v="0"/>
    <x v="0"/>
    <x v="0"/>
    <m/>
    <m/>
    <x v="0"/>
    <m/>
    <m/>
    <n v="1089.3245526853159"/>
    <n v="1297.5530000000001"/>
    <n v="56.737436932533299"/>
    <n v="2443.6149896178495"/>
    <n v="0"/>
    <n v="2443.6149896178495"/>
    <n v="8.6694133672072518"/>
    <n v="3.9822974205311632"/>
    <n v="12.651710787738416"/>
  </r>
  <r>
    <x v="0"/>
    <x v="1"/>
    <x v="1"/>
    <x v="0"/>
    <x v="1"/>
    <s v="PUL"/>
    <x v="30"/>
    <x v="1"/>
    <x v="1"/>
    <m/>
    <m/>
    <x v="1"/>
    <m/>
    <m/>
    <x v="0"/>
    <x v="0"/>
    <x v="0"/>
    <x v="0"/>
    <x v="0"/>
    <m/>
    <m/>
    <x v="0"/>
    <m/>
    <m/>
    <n v="122.0096188058294"/>
    <n v="145.33199999999999"/>
    <n v="6.3548673672078229"/>
    <n v="273.69648617303721"/>
    <n v="0"/>
    <n v="273.69648617303721"/>
    <n v="0.97101622982391533"/>
    <n v="0.44603591971890683"/>
    <n v="1.4170521495428221"/>
  </r>
  <r>
    <x v="0"/>
    <x v="1"/>
    <x v="1"/>
    <x v="0"/>
    <x v="1"/>
    <s v="EEG"/>
    <x v="31"/>
    <x v="1"/>
    <x v="1"/>
    <m/>
    <m/>
    <x v="1"/>
    <m/>
    <m/>
    <x v="0"/>
    <x v="0"/>
    <x v="0"/>
    <x v="0"/>
    <x v="0"/>
    <m/>
    <m/>
    <x v="0"/>
    <m/>
    <m/>
    <n v="304.35133698232875"/>
    <n v="362.529"/>
    <n v="15.852130335994993"/>
    <n v="682.73246731832376"/>
    <n v="0"/>
    <n v="682.73246731832376"/>
    <n v="2.4221867969997217"/>
    <n v="1.1126333205598973"/>
    <n v="3.5348201175596188"/>
  </r>
  <r>
    <x v="0"/>
    <x v="1"/>
    <x v="1"/>
    <x v="0"/>
    <x v="1"/>
    <s v="PTH"/>
    <x v="16"/>
    <x v="1"/>
    <x v="1"/>
    <m/>
    <m/>
    <x v="1"/>
    <m/>
    <m/>
    <x v="0"/>
    <x v="0"/>
    <x v="0"/>
    <x v="0"/>
    <x v="0"/>
    <m/>
    <m/>
    <x v="0"/>
    <m/>
    <m/>
    <n v="519.81621420745932"/>
    <n v="619.18100000000004"/>
    <n v="27.074612058821263"/>
    <n v="1166.0718262662806"/>
    <n v="0"/>
    <n v="1166.0718262662806"/>
    <n v="4.1369687526386389"/>
    <n v="1.9003171489185664"/>
    <n v="6.0372859015572056"/>
  </r>
  <r>
    <x v="0"/>
    <x v="1"/>
    <x v="1"/>
    <x v="0"/>
    <x v="1"/>
    <s v="OTH"/>
    <x v="32"/>
    <x v="1"/>
    <x v="1"/>
    <m/>
    <m/>
    <x v="1"/>
    <m/>
    <m/>
    <x v="0"/>
    <x v="0"/>
    <x v="0"/>
    <x v="0"/>
    <x v="0"/>
    <m/>
    <m/>
    <x v="0"/>
    <m/>
    <m/>
    <n v="199.62855449901684"/>
    <n v="237.78800000000001"/>
    <n v="10.397647324573551"/>
    <n v="447.81420182359039"/>
    <n v="0"/>
    <n v="447.81420182359039"/>
    <n v="1.5887482335578933"/>
    <n v="0.72979269530265756"/>
    <n v="2.3185409288605507"/>
  </r>
  <r>
    <x v="0"/>
    <x v="1"/>
    <x v="1"/>
    <x v="0"/>
    <x v="1"/>
    <s v="RDL"/>
    <x v="33"/>
    <x v="1"/>
    <x v="1"/>
    <m/>
    <m/>
    <x v="1"/>
    <m/>
    <m/>
    <x v="0"/>
    <x v="0"/>
    <x v="0"/>
    <x v="0"/>
    <x v="0"/>
    <m/>
    <m/>
    <x v="0"/>
    <m/>
    <m/>
    <n v="196.35521170628385"/>
    <n v="233.88900000000001"/>
    <n v="10.227155362555958"/>
    <n v="440.47136706883987"/>
    <n v="0"/>
    <n v="440.47136706883987"/>
    <n v="1.5626972630800715"/>
    <n v="0.71782396963248751"/>
    <n v="2.2805212327125592"/>
  </r>
  <r>
    <x v="0"/>
    <x v="1"/>
    <x v="1"/>
    <x v="0"/>
    <x v="1"/>
    <s v="MRI"/>
    <x v="17"/>
    <x v="1"/>
    <x v="1"/>
    <m/>
    <m/>
    <x v="1"/>
    <m/>
    <m/>
    <x v="0"/>
    <x v="0"/>
    <x v="0"/>
    <x v="0"/>
    <x v="0"/>
    <m/>
    <m/>
    <x v="0"/>
    <m/>
    <m/>
    <n v="1654.3217345111873"/>
    <n v="1970.5519999999999"/>
    <n v="86.165298346178375"/>
    <n v="3711.0390328573658"/>
    <n v="0"/>
    <n v="3711.0390328573658"/>
    <n v="13.165955842524632"/>
    <n v="6.0477836885700276"/>
    <n v="19.21373953109466"/>
  </r>
  <r>
    <x v="0"/>
    <x v="1"/>
    <x v="1"/>
    <x v="0"/>
    <x v="1"/>
    <s v="OCL"/>
    <x v="34"/>
    <x v="1"/>
    <x v="1"/>
    <m/>
    <m/>
    <x v="1"/>
    <m/>
    <m/>
    <x v="0"/>
    <x v="0"/>
    <x v="0"/>
    <x v="0"/>
    <x v="0"/>
    <m/>
    <m/>
    <x v="0"/>
    <m/>
    <m/>
    <n v="541.55336794716379"/>
    <n v="645.07400000000007"/>
    <n v="28.206791064939331"/>
    <n v="1214.8341590121031"/>
    <n v="0"/>
    <n v="1214.8341590121031"/>
    <n v="4.3099643678861668"/>
    <n v="1.9797844122904744"/>
    <n v="6.2897487801766419"/>
  </r>
  <r>
    <x v="0"/>
    <x v="1"/>
    <x v="1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65317.028146092343"/>
    <n v="77802.645999999964"/>
    <n v="3402.0354686065584"/>
    <n v="146521.70961469889"/>
    <n v="0"/>
    <n v="146521.70961469889"/>
    <n v="519.82700244852253"/>
    <n v="238.78263595336904"/>
    <n v="758.60963840189163"/>
  </r>
  <r>
    <x v="0"/>
    <x v="2"/>
    <x v="2"/>
    <x v="0"/>
    <x v="0"/>
    <s v="MSG"/>
    <x v="0"/>
    <x v="0"/>
    <x v="0"/>
    <n v="0"/>
    <n v="388.47474999999997"/>
    <x v="0"/>
    <n v="1165.42425"/>
    <n v="1553.898999999999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NEO"/>
    <x v="26"/>
    <x v="0"/>
    <x v="0"/>
    <n v="0"/>
    <n v="162.94304"/>
    <x v="0"/>
    <n v="0"/>
    <n v="162.94304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EMG"/>
    <x v="5"/>
    <x v="0"/>
    <x v="0"/>
    <n v="0"/>
    <n v="1388.308"/>
    <x v="0"/>
    <n v="0"/>
    <n v="1388.308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ANS"/>
    <x v="8"/>
    <x v="0"/>
    <x v="0"/>
    <n v="0"/>
    <n v="1166.0999999999999"/>
    <x v="0"/>
    <n v="0"/>
    <n v="1166.099999999999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LAB"/>
    <x v="9"/>
    <x v="0"/>
    <x v="0"/>
    <n v="0"/>
    <n v="95.287499999999994"/>
    <x v="0"/>
    <n v="0"/>
    <n v="95.287499999999994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IRC"/>
    <x v="10"/>
    <x v="0"/>
    <x v="0"/>
    <n v="0"/>
    <n v="43.473999999999997"/>
    <x v="0"/>
    <n v="0"/>
    <n v="43.473999999999997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RAD"/>
    <x v="11"/>
    <x v="0"/>
    <x v="0"/>
    <n v="0"/>
    <n v="51.09"/>
    <x v="0"/>
    <n v="0"/>
    <n v="51.0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CAT"/>
    <x v="12"/>
    <x v="0"/>
    <x v="0"/>
    <n v="0"/>
    <n v="40.872"/>
    <x v="0"/>
    <n v="0"/>
    <n v="40.872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PUL"/>
    <x v="30"/>
    <x v="0"/>
    <x v="0"/>
    <n v="0"/>
    <n v="35.700000000000003"/>
    <x v="0"/>
    <n v="0"/>
    <n v="35.700000000000003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PTH"/>
    <x v="16"/>
    <x v="0"/>
    <x v="0"/>
    <n v="0"/>
    <n v="23.554260000000003"/>
    <x v="0"/>
    <n v="0"/>
    <n v="23.554260000000003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OTH"/>
    <x v="32"/>
    <x v="0"/>
    <x v="0"/>
    <n v="0"/>
    <n v="17.665694999999999"/>
    <x v="0"/>
    <n v="0"/>
    <n v="17.66569499999999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STH"/>
    <x v="35"/>
    <x v="0"/>
    <x v="0"/>
    <n v="0"/>
    <n v="17.665694999999999"/>
    <x v="0"/>
    <n v="0"/>
    <n v="17.66569499999999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0"/>
    <s v="XYZ"/>
    <x v="19"/>
    <x v="0"/>
    <x v="0"/>
    <n v="0"/>
    <n v="3431.1349399999999"/>
    <x v="0"/>
    <n v="1165.42425"/>
    <n v="4596.5591899999999"/>
    <x v="0"/>
    <x v="0"/>
    <x v="0"/>
    <x v="0"/>
    <x v="0"/>
    <m/>
    <m/>
    <x v="0"/>
    <m/>
    <m/>
    <m/>
    <m/>
    <m/>
    <m/>
    <m/>
    <m/>
    <m/>
    <m/>
    <m/>
  </r>
  <r>
    <x v="0"/>
    <x v="2"/>
    <x v="2"/>
    <x v="0"/>
    <x v="2"/>
    <s v="MSG"/>
    <x v="0"/>
    <x v="1"/>
    <x v="1"/>
    <m/>
    <m/>
    <x v="1"/>
    <m/>
    <m/>
    <x v="0"/>
    <x v="0"/>
    <x v="0"/>
    <x v="0"/>
    <x v="0"/>
    <n v="54.844848800499989"/>
    <n v="0.37621747999999994"/>
    <x v="0"/>
    <n v="55.221066280499997"/>
    <n v="0.32299999999999995"/>
    <m/>
    <m/>
    <m/>
    <m/>
    <m/>
    <m/>
    <m/>
    <m/>
    <m/>
  </r>
  <r>
    <x v="0"/>
    <x v="2"/>
    <x v="2"/>
    <x v="0"/>
    <x v="2"/>
    <s v="MIS"/>
    <x v="3"/>
    <x v="1"/>
    <x v="1"/>
    <m/>
    <m/>
    <x v="1"/>
    <m/>
    <m/>
    <x v="0"/>
    <x v="0"/>
    <x v="0"/>
    <x v="0"/>
    <x v="0"/>
    <n v="17.998619111"/>
    <n v="0.12346456"/>
    <x v="0"/>
    <n v="18.122083670999999"/>
    <n v="0.106"/>
    <m/>
    <m/>
    <m/>
    <m/>
    <m/>
    <m/>
    <m/>
    <m/>
    <m/>
  </r>
  <r>
    <x v="0"/>
    <x v="2"/>
    <x v="2"/>
    <x v="0"/>
    <x v="2"/>
    <s v="CCU"/>
    <x v="24"/>
    <x v="1"/>
    <x v="1"/>
    <m/>
    <m/>
    <x v="1"/>
    <m/>
    <m/>
    <x v="0"/>
    <x v="0"/>
    <x v="0"/>
    <x v="0"/>
    <x v="0"/>
    <n v="12.225477132000002"/>
    <n v="8.3862720000000016E-2"/>
    <x v="0"/>
    <n v="12.309339852000004"/>
    <n v="7.2000000000000008E-2"/>
    <m/>
    <m/>
    <m/>
    <m/>
    <m/>
    <m/>
    <m/>
    <m/>
    <m/>
  </r>
  <r>
    <x v="0"/>
    <x v="2"/>
    <x v="2"/>
    <x v="0"/>
    <x v="2"/>
    <s v="EMG"/>
    <x v="5"/>
    <x v="1"/>
    <x v="1"/>
    <m/>
    <m/>
    <x v="1"/>
    <m/>
    <m/>
    <x v="0"/>
    <x v="0"/>
    <x v="0"/>
    <x v="0"/>
    <x v="0"/>
    <n v="53.995857332999996"/>
    <n v="0.37039368"/>
    <x v="0"/>
    <n v="54.366251013000003"/>
    <n v="0.318"/>
    <m/>
    <m/>
    <m/>
    <m/>
    <m/>
    <m/>
    <m/>
    <m/>
    <m/>
  </r>
  <r>
    <x v="0"/>
    <x v="2"/>
    <x v="2"/>
    <x v="0"/>
    <x v="2"/>
    <s v="SDS"/>
    <x v="36"/>
    <x v="1"/>
    <x v="1"/>
    <m/>
    <m/>
    <x v="1"/>
    <m/>
    <m/>
    <x v="0"/>
    <x v="0"/>
    <x v="0"/>
    <x v="0"/>
    <x v="0"/>
    <n v="12.565073719000004"/>
    <n v="8.6192240000000017E-2"/>
    <x v="0"/>
    <n v="12.651265959000003"/>
    <n v="7.400000000000001E-2"/>
    <m/>
    <m/>
    <m/>
    <m/>
    <m/>
    <m/>
    <m/>
    <m/>
    <m/>
  </r>
  <r>
    <x v="0"/>
    <x v="2"/>
    <x v="2"/>
    <x v="0"/>
    <x v="2"/>
    <s v="OR"/>
    <x v="7"/>
    <x v="1"/>
    <x v="1"/>
    <m/>
    <m/>
    <x v="1"/>
    <m/>
    <m/>
    <x v="0"/>
    <x v="0"/>
    <x v="0"/>
    <x v="0"/>
    <x v="0"/>
    <n v="18.168417404500001"/>
    <n v="0.12462932000000002"/>
    <x v="0"/>
    <n v="18.293046724500002"/>
    <n v="0.107"/>
    <m/>
    <m/>
    <m/>
    <m/>
    <m/>
    <m/>
    <m/>
    <m/>
    <m/>
  </r>
  <r>
    <x v="0"/>
    <x v="2"/>
    <x v="2"/>
    <x v="0"/>
    <x v="2"/>
    <s v="XYZ"/>
    <x v="19"/>
    <x v="1"/>
    <x v="1"/>
    <m/>
    <m/>
    <x v="1"/>
    <m/>
    <m/>
    <x v="0"/>
    <x v="0"/>
    <x v="0"/>
    <x v="0"/>
    <x v="0"/>
    <n v="169.79829349999997"/>
    <n v="1.1647599999999998"/>
    <x v="1"/>
    <n v="170.96305349999997"/>
    <n v="1"/>
    <m/>
    <m/>
    <m/>
    <m/>
    <m/>
    <m/>
    <m/>
    <m/>
    <m/>
  </r>
  <r>
    <x v="0"/>
    <x v="2"/>
    <x v="2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3172.4153753746205"/>
    <n v="1165.42425"/>
    <n v="608.56529294060851"/>
    <n v="4946.4049183152292"/>
    <n v="64.692007276994332"/>
    <n v="5011.0969255922237"/>
    <n v="51.24190326190844"/>
    <n v="4.2991586538461535"/>
    <n v="55.541061915754597"/>
  </r>
  <r>
    <x v="0"/>
    <x v="2"/>
    <x v="2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88.017483894531068"/>
    <n v="0"/>
    <n v="16.884417559552816"/>
    <n v="104.90190145408388"/>
    <n v="1.6559247732914566"/>
    <n v="106.55782622737534"/>
    <n v="1.4216875350213405"/>
    <n v="0"/>
    <n v="1.4216875350213405"/>
  </r>
  <r>
    <x v="0"/>
    <x v="2"/>
    <x v="2"/>
    <x v="0"/>
    <x v="1"/>
    <s v="CCU"/>
    <x v="24"/>
    <x v="1"/>
    <x v="1"/>
    <m/>
    <m/>
    <x v="1"/>
    <m/>
    <m/>
    <x v="0"/>
    <x v="0"/>
    <x v="0"/>
    <x v="0"/>
    <x v="0"/>
    <m/>
    <m/>
    <x v="0"/>
    <m/>
    <m/>
    <n v="20.995722697908992"/>
    <n v="0"/>
    <n v="4.0276151204329409"/>
    <n v="25.023337818341933"/>
    <n v="0.39500489914351544"/>
    <n v="25.418342717485448"/>
    <n v="0.33912986292756914"/>
    <n v="0"/>
    <n v="0.33912986292756914"/>
  </r>
  <r>
    <x v="0"/>
    <x v="2"/>
    <x v="2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682.06843430232959"/>
    <n v="0"/>
    <n v="83.365272755983213"/>
    <n v="765.43370705831285"/>
    <n v="11.670257637483166"/>
    <n v="777.10396469579598"/>
    <n v="10.019452623272748"/>
    <n v="0"/>
    <n v="10.019452623272748"/>
  </r>
  <r>
    <x v="0"/>
    <x v="2"/>
    <x v="2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11.131633075434705"/>
    <n v="0"/>
    <n v="2.1353841606127406"/>
    <n v="13.267017236047446"/>
    <n v="0.20942597040027672"/>
    <n v="13.476443206447724"/>
    <n v="0.17980182217819698"/>
    <n v="0"/>
    <n v="0.17980182217819698"/>
  </r>
  <r>
    <x v="0"/>
    <x v="2"/>
    <x v="2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7.407430655175702"/>
    <n v="0"/>
    <n v="7.1758774628099466"/>
    <n v="44.583308117985645"/>
    <n v="0.70376802864886912"/>
    <n v="45.287076146634519"/>
    <n v="0.60421720238406973"/>
    <n v="0"/>
    <n v="0.60421720238406973"/>
  </r>
  <r>
    <x v="0"/>
    <x v="2"/>
    <x v="2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4012.0360799999999"/>
    <n v="1165.42425"/>
    <n v="722.15386000000035"/>
    <n v="5899.6141900000002"/>
    <n v="79.326388585961624"/>
    <n v="5978.9405785859635"/>
    <n v="63.806192307692378"/>
    <n v="4.2991586538461535"/>
    <n v="68.10535096153852"/>
  </r>
  <r>
    <x v="0"/>
    <x v="3"/>
    <x v="3"/>
    <x v="0"/>
    <x v="0"/>
    <s v="MSA"/>
    <x v="37"/>
    <x v="0"/>
    <x v="0"/>
    <n v="1128.6600000000001"/>
    <n v="0"/>
    <x v="0"/>
    <n v="0"/>
    <n v="1128.6600000000001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MSG"/>
    <x v="0"/>
    <x v="0"/>
    <x v="0"/>
    <n v="0"/>
    <n v="397.08800000000002"/>
    <x v="0"/>
    <n v="0"/>
    <n v="397.08800000000002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PED"/>
    <x v="20"/>
    <x v="0"/>
    <x v="0"/>
    <n v="0"/>
    <n v="0"/>
    <x v="0"/>
    <n v="116.06"/>
    <n v="116.06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OBS"/>
    <x v="21"/>
    <x v="0"/>
    <x v="0"/>
    <n v="0"/>
    <n v="0"/>
    <x v="0"/>
    <n v="54.68"/>
    <n v="54.68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MIS"/>
    <x v="3"/>
    <x v="0"/>
    <x v="0"/>
    <n v="0"/>
    <n v="295.89999999999998"/>
    <x v="0"/>
    <n v="0"/>
    <n v="295.89999999999998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NEO"/>
    <x v="26"/>
    <x v="0"/>
    <x v="0"/>
    <n v="0"/>
    <n v="59.835000000000001"/>
    <x v="0"/>
    <n v="0"/>
    <n v="59.835000000000001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EMG"/>
    <x v="5"/>
    <x v="0"/>
    <x v="0"/>
    <n v="0"/>
    <n v="-80"/>
    <x v="0"/>
    <n v="0"/>
    <n v="-80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CL"/>
    <x v="6"/>
    <x v="0"/>
    <x v="0"/>
    <n v="0"/>
    <n v="199.03100000000001"/>
    <x v="0"/>
    <n v="37.65"/>
    <n v="236.68100000000001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DEL"/>
    <x v="28"/>
    <x v="0"/>
    <x v="0"/>
    <n v="0"/>
    <n v="295"/>
    <x v="0"/>
    <n v="0"/>
    <n v="295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OR"/>
    <x v="7"/>
    <x v="0"/>
    <x v="0"/>
    <n v="0"/>
    <n v="346.3"/>
    <x v="0"/>
    <n v="2.08"/>
    <n v="348.38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LAB"/>
    <x v="9"/>
    <x v="0"/>
    <x v="0"/>
    <n v="0"/>
    <n v="69.804000000000002"/>
    <x v="0"/>
    <n v="0"/>
    <n v="69.804000000000002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EKG"/>
    <x v="29"/>
    <x v="0"/>
    <x v="0"/>
    <n v="0"/>
    <n v="61.64"/>
    <x v="0"/>
    <n v="0"/>
    <n v="61.64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RAD"/>
    <x v="11"/>
    <x v="0"/>
    <x v="0"/>
    <n v="0"/>
    <n v="1015.854"/>
    <x v="0"/>
    <n v="0"/>
    <n v="1015.854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EEG"/>
    <x v="31"/>
    <x v="0"/>
    <x v="0"/>
    <n v="0"/>
    <n v="20.064"/>
    <x v="0"/>
    <n v="0"/>
    <n v="20.064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OBV"/>
    <x v="38"/>
    <x v="0"/>
    <x v="0"/>
    <n v="0"/>
    <n v="93.41"/>
    <x v="0"/>
    <n v="0"/>
    <n v="93.41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0"/>
    <s v="XYZ"/>
    <x v="19"/>
    <x v="0"/>
    <x v="0"/>
    <n v="1128.6600000000001"/>
    <n v="2773.9259999999999"/>
    <x v="0"/>
    <n v="210.47000000000003"/>
    <n v="4113.0560000000005"/>
    <x v="0"/>
    <x v="0"/>
    <x v="0"/>
    <x v="0"/>
    <x v="0"/>
    <m/>
    <m/>
    <x v="0"/>
    <m/>
    <m/>
    <m/>
    <m/>
    <m/>
    <m/>
    <m/>
    <m/>
    <m/>
    <m/>
    <m/>
  </r>
  <r>
    <x v="0"/>
    <x v="3"/>
    <x v="3"/>
    <x v="0"/>
    <x v="2"/>
    <s v="CL"/>
    <x v="6"/>
    <x v="1"/>
    <x v="1"/>
    <m/>
    <m/>
    <x v="1"/>
    <m/>
    <m/>
    <x v="0"/>
    <x v="0"/>
    <x v="0"/>
    <x v="0"/>
    <x v="0"/>
    <n v="94.55"/>
    <n v="1.8091572"/>
    <x v="1"/>
    <n v="96.359157199999999"/>
    <n v="0.76"/>
    <m/>
    <m/>
    <m/>
    <m/>
    <m/>
    <m/>
    <m/>
    <m/>
    <m/>
  </r>
  <r>
    <x v="0"/>
    <x v="3"/>
    <x v="3"/>
    <x v="0"/>
    <x v="2"/>
    <s v="ORC"/>
    <x v="39"/>
    <x v="1"/>
    <x v="1"/>
    <m/>
    <m/>
    <x v="1"/>
    <m/>
    <m/>
    <x v="0"/>
    <x v="0"/>
    <x v="0"/>
    <x v="0"/>
    <x v="0"/>
    <n v="58.3"/>
    <n v="1.0474068000000001"/>
    <x v="1"/>
    <n v="59.347406799999995"/>
    <n v="0.44"/>
    <m/>
    <m/>
    <m/>
    <m/>
    <m/>
    <m/>
    <m/>
    <m/>
    <m/>
  </r>
  <r>
    <x v="0"/>
    <x v="3"/>
    <x v="3"/>
    <x v="0"/>
    <x v="2"/>
    <s v="IRC"/>
    <x v="10"/>
    <x v="1"/>
    <x v="1"/>
    <m/>
    <m/>
    <x v="1"/>
    <m/>
    <m/>
    <x v="0"/>
    <x v="0"/>
    <x v="0"/>
    <x v="0"/>
    <x v="0"/>
    <n v="148.86000000000001"/>
    <n v="2.9993922"/>
    <x v="1"/>
    <n v="151.8593922"/>
    <n v="1.26"/>
    <m/>
    <m/>
    <m/>
    <m/>
    <m/>
    <m/>
    <m/>
    <m/>
    <m/>
  </r>
  <r>
    <x v="0"/>
    <x v="3"/>
    <x v="3"/>
    <x v="0"/>
    <x v="2"/>
    <s v="XYZ"/>
    <x v="19"/>
    <x v="1"/>
    <x v="1"/>
    <m/>
    <m/>
    <x v="1"/>
    <m/>
    <m/>
    <x v="0"/>
    <x v="0"/>
    <x v="0"/>
    <x v="0"/>
    <x v="0"/>
    <n v="301.71000000000004"/>
    <n v="5.8559561999999996"/>
    <x v="1"/>
    <n v="307.56595620000002"/>
    <n v="2.46"/>
    <m/>
    <m/>
    <m/>
    <m/>
    <m/>
    <m/>
    <m/>
    <m/>
    <m/>
  </r>
  <r>
    <x v="0"/>
    <x v="3"/>
    <x v="3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277"/>
    <n v="116.06"/>
    <n v="0"/>
    <n v="393.06"/>
    <n v="1.1902349999999999"/>
    <n v="394.25023499999998"/>
    <n v="0"/>
    <n v="0.5"/>
    <n v="0.5"/>
  </r>
  <r>
    <x v="0"/>
    <x v="3"/>
    <x v="3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1480.7"/>
    <n v="54.68"/>
    <n v="0"/>
    <n v="1535.38"/>
    <n v="43.776843300000003"/>
    <n v="1579.1568433000002"/>
    <n v="18.09"/>
    <n v="0.3"/>
    <n v="18.39"/>
  </r>
  <r>
    <x v="0"/>
    <x v="3"/>
    <x v="3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81.900000000000006"/>
    <n v="37.65"/>
    <n v="0"/>
    <n v="119.55"/>
    <n v="2.6185170000000002"/>
    <n v="122.16851699999999"/>
    <n v="1"/>
    <n v="0.1"/>
    <n v="1.1000000000000001"/>
  </r>
  <r>
    <x v="0"/>
    <x v="3"/>
    <x v="3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95.2"/>
    <n v="2.08"/>
    <n v="0"/>
    <n v="397.28"/>
    <n v="11.7357171"/>
    <n v="409.01571710000002"/>
    <n v="4.83"/>
    <n v="0.1"/>
    <n v="4.93"/>
  </r>
  <r>
    <x v="0"/>
    <x v="3"/>
    <x v="3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2234.8000000000002"/>
    <n v="210.47000000000003"/>
    <n v="0"/>
    <n v="2445.2700000000004"/>
    <n v="59.321312399999997"/>
    <n v="2504.5913124000003"/>
    <n v="23.92"/>
    <n v="1"/>
    <n v="24.92"/>
  </r>
  <r>
    <x v="0"/>
    <x v="4"/>
    <x v="4"/>
    <x v="1"/>
    <x v="0"/>
    <s v="MSA"/>
    <x v="37"/>
    <x v="0"/>
    <x v="2"/>
    <n v="74.900000000000006"/>
    <n v="0"/>
    <x v="0"/>
    <n v="0"/>
    <n v="178.5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MSG"/>
    <x v="0"/>
    <x v="0"/>
    <x v="0"/>
    <n v="0"/>
    <n v="30.7"/>
    <x v="0"/>
    <n v="0"/>
    <n v="30.7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PSY"/>
    <x v="1"/>
    <x v="0"/>
    <x v="0"/>
    <n v="0"/>
    <n v="35.4"/>
    <x v="0"/>
    <n v="0"/>
    <n v="35.4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CL"/>
    <x v="6"/>
    <x v="0"/>
    <x v="0"/>
    <n v="0"/>
    <n v="75.7"/>
    <x v="0"/>
    <n v="0"/>
    <n v="75.7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OR"/>
    <x v="7"/>
    <x v="0"/>
    <x v="0"/>
    <n v="0"/>
    <n v="283.89999999999998"/>
    <x v="0"/>
    <n v="0"/>
    <n v="283.89999999999998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LAB"/>
    <x v="9"/>
    <x v="0"/>
    <x v="0"/>
    <n v="0"/>
    <n v="289.5"/>
    <x v="0"/>
    <n v="0"/>
    <n v="289.5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EKG"/>
    <x v="29"/>
    <x v="0"/>
    <x v="0"/>
    <n v="0"/>
    <n v="9.1999999999999993"/>
    <x v="0"/>
    <n v="0"/>
    <n v="9.1999999999999993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IRC"/>
    <x v="10"/>
    <x v="0"/>
    <x v="0"/>
    <n v="0"/>
    <n v="133.4"/>
    <x v="0"/>
    <n v="0"/>
    <n v="133.4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0"/>
    <s v="EEG"/>
    <x v="31"/>
    <x v="0"/>
    <x v="0"/>
    <n v="0"/>
    <n v="26.8"/>
    <x v="0"/>
    <n v="0"/>
    <n v="26.8"/>
    <x v="0"/>
    <x v="0"/>
    <x v="0"/>
    <x v="0"/>
    <x v="0"/>
    <m/>
    <m/>
    <x v="0"/>
    <m/>
    <m/>
    <m/>
    <m/>
    <m/>
    <m/>
    <m/>
    <m/>
    <m/>
    <m/>
    <m/>
  </r>
  <r>
    <x v="0"/>
    <x v="4"/>
    <x v="4"/>
    <x v="1"/>
    <x v="2"/>
    <s v="MSG"/>
    <x v="0"/>
    <x v="1"/>
    <x v="1"/>
    <m/>
    <m/>
    <x v="1"/>
    <m/>
    <m/>
    <x v="0"/>
    <x v="0"/>
    <x v="0"/>
    <x v="0"/>
    <x v="0"/>
    <n v="98.3"/>
    <n v="0.66808199999999995"/>
    <x v="1"/>
    <n v="98.968081999999995"/>
    <n v="0.6"/>
    <m/>
    <m/>
    <m/>
    <m/>
    <m/>
    <m/>
    <m/>
    <m/>
    <m/>
  </r>
  <r>
    <x v="0"/>
    <x v="4"/>
    <x v="4"/>
    <x v="1"/>
    <x v="2"/>
    <s v="CL"/>
    <x v="6"/>
    <x v="1"/>
    <x v="1"/>
    <m/>
    <m/>
    <x v="1"/>
    <m/>
    <m/>
    <x v="0"/>
    <x v="0"/>
    <x v="0"/>
    <x v="0"/>
    <x v="0"/>
    <n v="381.5"/>
    <n v="2.5609809999999995"/>
    <x v="1"/>
    <n v="384.06098100000003"/>
    <n v="2.2999999999999998"/>
    <m/>
    <m/>
    <m/>
    <m/>
    <m/>
    <m/>
    <m/>
    <m/>
    <m/>
  </r>
  <r>
    <x v="0"/>
    <x v="4"/>
    <x v="4"/>
    <x v="1"/>
    <x v="2"/>
    <s v="OR"/>
    <x v="7"/>
    <x v="1"/>
    <x v="1"/>
    <m/>
    <m/>
    <x v="1"/>
    <m/>
    <m/>
    <x v="0"/>
    <x v="0"/>
    <x v="0"/>
    <x v="0"/>
    <x v="0"/>
    <n v="219.8"/>
    <n v="1.447511"/>
    <x v="1"/>
    <n v="221.247511"/>
    <n v="1.3"/>
    <m/>
    <m/>
    <m/>
    <m/>
    <m/>
    <m/>
    <m/>
    <m/>
    <m/>
  </r>
  <r>
    <x v="0"/>
    <x v="4"/>
    <x v="4"/>
    <x v="1"/>
    <x v="2"/>
    <s v="XYZ"/>
    <x v="19"/>
    <x v="1"/>
    <x v="1"/>
    <m/>
    <m/>
    <x v="1"/>
    <m/>
    <m/>
    <x v="0"/>
    <x v="0"/>
    <x v="0"/>
    <x v="0"/>
    <x v="0"/>
    <n v="699.6"/>
    <n v="4.6765739999999996"/>
    <x v="1"/>
    <n v="704.27657399999998"/>
    <n v="4.2"/>
    <m/>
    <m/>
    <m/>
    <m/>
    <m/>
    <m/>
    <m/>
    <m/>
    <m/>
  </r>
  <r>
    <x v="0"/>
    <x v="5"/>
    <x v="5"/>
    <x v="1"/>
    <x v="0"/>
    <s v="MSA"/>
    <x v="37"/>
    <x v="0"/>
    <x v="0"/>
    <n v="37.814999999999998"/>
    <n v="0"/>
    <x v="0"/>
    <n v="0"/>
    <n v="37.814999999999998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PSY"/>
    <x v="1"/>
    <x v="0"/>
    <x v="0"/>
    <n v="0"/>
    <n v="92"/>
    <x v="0"/>
    <n v="0"/>
    <n v="92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OR"/>
    <x v="7"/>
    <x v="0"/>
    <x v="0"/>
    <n v="0"/>
    <n v="114.268"/>
    <x v="0"/>
    <n v="0"/>
    <n v="114.268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LAB"/>
    <x v="9"/>
    <x v="0"/>
    <x v="0"/>
    <n v="0"/>
    <n v="69"/>
    <x v="0"/>
    <n v="0"/>
    <n v="69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EKG"/>
    <x v="29"/>
    <x v="0"/>
    <x v="0"/>
    <n v="0"/>
    <n v="6"/>
    <x v="0"/>
    <n v="0"/>
    <n v="6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RAD"/>
    <x v="11"/>
    <x v="0"/>
    <x v="0"/>
    <n v="0"/>
    <n v="30"/>
    <x v="0"/>
    <n v="0"/>
    <n v="30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EEG"/>
    <x v="31"/>
    <x v="0"/>
    <x v="0"/>
    <n v="0"/>
    <n v="6.72"/>
    <x v="0"/>
    <n v="0"/>
    <n v="6.72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0"/>
    <s v="XYZ"/>
    <x v="19"/>
    <x v="0"/>
    <x v="0"/>
    <n v="37.814999999999998"/>
    <n v="317.98800000000006"/>
    <x v="0"/>
    <n v="0"/>
    <n v="355.80300000000005"/>
    <x v="0"/>
    <x v="0"/>
    <x v="0"/>
    <x v="0"/>
    <x v="0"/>
    <m/>
    <m/>
    <x v="0"/>
    <m/>
    <m/>
    <m/>
    <m/>
    <m/>
    <m/>
    <m/>
    <m/>
    <m/>
    <m/>
    <m/>
  </r>
  <r>
    <x v="0"/>
    <x v="5"/>
    <x v="5"/>
    <x v="1"/>
    <x v="2"/>
    <s v="PSY"/>
    <x v="1"/>
    <x v="1"/>
    <x v="1"/>
    <m/>
    <m/>
    <x v="1"/>
    <m/>
    <m/>
    <x v="0"/>
    <x v="0"/>
    <x v="0"/>
    <x v="0"/>
    <x v="0"/>
    <n v="43.60716"/>
    <n v="0"/>
    <x v="0"/>
    <n v="43.60716"/>
    <n v="0.25671153846153849"/>
    <m/>
    <m/>
    <m/>
    <m/>
    <m/>
    <m/>
    <m/>
    <m/>
    <m/>
  </r>
  <r>
    <x v="0"/>
    <x v="5"/>
    <x v="5"/>
    <x v="1"/>
    <x v="2"/>
    <s v="XYZ"/>
    <x v="19"/>
    <x v="1"/>
    <x v="1"/>
    <m/>
    <m/>
    <x v="1"/>
    <m/>
    <m/>
    <x v="0"/>
    <x v="0"/>
    <x v="0"/>
    <x v="0"/>
    <x v="0"/>
    <n v="43.60716"/>
    <n v="0"/>
    <x v="1"/>
    <n v="43.60716"/>
    <n v="0.25671153846153849"/>
    <m/>
    <m/>
    <m/>
    <m/>
    <m/>
    <m/>
    <m/>
    <m/>
    <m/>
  </r>
  <r>
    <x v="0"/>
    <x v="6"/>
    <x v="6"/>
    <x v="0"/>
    <x v="0"/>
    <s v="MSA"/>
    <x v="37"/>
    <x v="0"/>
    <x v="3"/>
    <n v="100.21184"/>
    <n v="0"/>
    <x v="0"/>
    <n v="0"/>
    <n v="737.86944000000005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MSG"/>
    <x v="0"/>
    <x v="0"/>
    <x v="0"/>
    <n v="0"/>
    <n v="1608.3086494240006"/>
    <x v="0"/>
    <n v="541.53021999999987"/>
    <n v="2149.8388694240002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OBS"/>
    <x v="21"/>
    <x v="0"/>
    <x v="0"/>
    <n v="0"/>
    <n v="1524.0489399999999"/>
    <x v="0"/>
    <n v="0"/>
    <n v="1524.0489399999999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NEO"/>
    <x v="26"/>
    <x v="0"/>
    <x v="0"/>
    <n v="0"/>
    <n v="2428.8168799999999"/>
    <x v="0"/>
    <n v="0"/>
    <n v="2428.8168799999999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DEL"/>
    <x v="28"/>
    <x v="0"/>
    <x v="0"/>
    <n v="0"/>
    <n v="767.52814000000012"/>
    <x v="0"/>
    <n v="0"/>
    <n v="767.52814000000012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OR"/>
    <x v="7"/>
    <x v="0"/>
    <x v="0"/>
    <n v="0"/>
    <n v="622.65776000000005"/>
    <x v="0"/>
    <n v="0"/>
    <n v="622.65776000000005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0"/>
    <s v="XYZ"/>
    <x v="19"/>
    <x v="0"/>
    <x v="3"/>
    <n v="100.21184"/>
    <n v="6951.3603694240019"/>
    <x v="0"/>
    <n v="541.53021999999987"/>
    <n v="8230.7600294240019"/>
    <x v="0"/>
    <x v="0"/>
    <x v="0"/>
    <x v="0"/>
    <x v="0"/>
    <m/>
    <m/>
    <x v="0"/>
    <m/>
    <m/>
    <m/>
    <m/>
    <m/>
    <m/>
    <m/>
    <m/>
    <m/>
    <m/>
    <m/>
  </r>
  <r>
    <x v="0"/>
    <x v="6"/>
    <x v="6"/>
    <x v="0"/>
    <x v="2"/>
    <s v="MSG"/>
    <x v="0"/>
    <x v="1"/>
    <x v="1"/>
    <m/>
    <m/>
    <x v="1"/>
    <m/>
    <m/>
    <x v="0"/>
    <x v="0"/>
    <x v="0"/>
    <x v="0"/>
    <x v="0"/>
    <n v="1517.6377679725613"/>
    <n v="9.6334798734178175"/>
    <x v="1"/>
    <n v="1527.2712478459791"/>
    <n v="11.307963040447246"/>
    <m/>
    <m/>
    <m/>
    <m/>
    <m/>
    <m/>
    <m/>
    <m/>
    <m/>
  </r>
  <r>
    <x v="0"/>
    <x v="6"/>
    <x v="6"/>
    <x v="0"/>
    <x v="2"/>
    <s v="NEO"/>
    <x v="26"/>
    <x v="1"/>
    <x v="1"/>
    <m/>
    <m/>
    <x v="1"/>
    <m/>
    <m/>
    <x v="0"/>
    <x v="0"/>
    <x v="0"/>
    <x v="0"/>
    <x v="0"/>
    <n v="2741.6465501291514"/>
    <n v="17.403096719171852"/>
    <x v="1"/>
    <n v="2759.0496468483234"/>
    <n v="20.428087988510484"/>
    <m/>
    <m/>
    <m/>
    <m/>
    <m/>
    <m/>
    <m/>
    <m/>
    <m/>
  </r>
  <r>
    <x v="0"/>
    <x v="6"/>
    <x v="6"/>
    <x v="0"/>
    <x v="2"/>
    <s v="EMG"/>
    <x v="5"/>
    <x v="1"/>
    <x v="1"/>
    <m/>
    <m/>
    <x v="1"/>
    <m/>
    <m/>
    <x v="0"/>
    <x v="0"/>
    <x v="0"/>
    <x v="0"/>
    <x v="0"/>
    <n v="182.85148934674191"/>
    <n v="1.1606828583341888"/>
    <x v="1"/>
    <n v="184.01217220507613"/>
    <n v="1.3624317521999587"/>
    <m/>
    <m/>
    <m/>
    <m/>
    <m/>
    <m/>
    <m/>
    <m/>
    <m/>
  </r>
  <r>
    <x v="0"/>
    <x v="6"/>
    <x v="6"/>
    <x v="0"/>
    <x v="2"/>
    <s v="CL"/>
    <x v="6"/>
    <x v="1"/>
    <x v="1"/>
    <m/>
    <m/>
    <x v="1"/>
    <m/>
    <m/>
    <x v="0"/>
    <x v="0"/>
    <x v="0"/>
    <x v="0"/>
    <x v="0"/>
    <n v="186.01677205732989"/>
    <n v="1.1807750621061484"/>
    <x v="1"/>
    <n v="187.197547119436"/>
    <n v="1.3860163655110205"/>
    <m/>
    <m/>
    <m/>
    <m/>
    <m/>
    <m/>
    <m/>
    <m/>
    <m/>
  </r>
  <r>
    <x v="0"/>
    <x v="6"/>
    <x v="6"/>
    <x v="0"/>
    <x v="2"/>
    <s v="OR"/>
    <x v="7"/>
    <x v="1"/>
    <x v="1"/>
    <m/>
    <m/>
    <x v="1"/>
    <m/>
    <m/>
    <x v="0"/>
    <x v="0"/>
    <x v="0"/>
    <x v="0"/>
    <x v="0"/>
    <n v="6675.8071344845093"/>
    <n v="42.375891682499521"/>
    <x v="1"/>
    <n v="6718.1830261670093"/>
    <n v="49.741632644496569"/>
    <m/>
    <m/>
    <m/>
    <m/>
    <m/>
    <m/>
    <m/>
    <m/>
    <m/>
  </r>
  <r>
    <x v="0"/>
    <x v="6"/>
    <x v="6"/>
    <x v="0"/>
    <x v="2"/>
    <s v="XYZ"/>
    <x v="19"/>
    <x v="1"/>
    <x v="1"/>
    <m/>
    <m/>
    <x v="1"/>
    <m/>
    <m/>
    <x v="0"/>
    <x v="0"/>
    <x v="0"/>
    <x v="0"/>
    <x v="0"/>
    <n v="11303.959713990294"/>
    <n v="71.753926195529516"/>
    <x v="1"/>
    <n v="11375.713640185824"/>
    <n v="84.226131791165287"/>
    <m/>
    <m/>
    <m/>
    <m/>
    <m/>
    <m/>
    <m/>
    <m/>
    <m/>
  </r>
  <r>
    <x v="0"/>
    <x v="6"/>
    <x v="6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2528.5879934754653"/>
    <n v="541.53021999999987"/>
    <n v="0"/>
    <n v="3070.1182134754654"/>
    <n v="24.449057530961539"/>
    <n v="3094.5672710064268"/>
    <n v="28.158771634615388"/>
    <n v="0.54"/>
    <n v="28.698771634615387"/>
  </r>
  <r>
    <x v="0"/>
    <x v="6"/>
    <x v="6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240.67816800000003"/>
    <n v="0"/>
    <n v="0"/>
    <n v="240.67816800000003"/>
    <n v="2.1863248920000005"/>
    <n v="242.86449289199999"/>
    <n v="2.5663500000000004"/>
    <n v="0"/>
    <n v="2.5663500000000004"/>
  </r>
  <r>
    <x v="0"/>
    <x v="6"/>
    <x v="6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305.55289274727392"/>
    <n v="0"/>
    <n v="0"/>
    <n v="305.55289274727392"/>
    <n v="2.9016415678846159"/>
    <n v="308.45453431515853"/>
    <n v="3.4060024038461543"/>
    <n v="0"/>
    <n v="3.4060024038461543"/>
  </r>
  <r>
    <x v="0"/>
    <x v="6"/>
    <x v="6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5.1878625000000005"/>
    <n v="0"/>
    <n v="0"/>
    <n v="5.1878625000000005"/>
    <n v="4.6003680000000005E-2"/>
    <n v="5.2338661800000006"/>
    <n v="5.4000000000000006E-2"/>
    <n v="0"/>
    <n v="5.4000000000000006E-2"/>
  </r>
  <r>
    <x v="0"/>
    <x v="6"/>
    <x v="6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25.9393125"/>
    <n v="0"/>
    <n v="0"/>
    <n v="25.9393125"/>
    <n v="0.23001840000000001"/>
    <n v="26.169330899999999"/>
    <n v="0.27"/>
    <n v="0"/>
    <n v="0.27"/>
  </r>
  <r>
    <x v="0"/>
    <x v="6"/>
    <x v="6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494.29644825000003"/>
    <n v="0"/>
    <n v="0"/>
    <n v="494.29644825000003"/>
    <n v="4.1238465480000004"/>
    <n v="498.42029479799999"/>
    <n v="4.8406500000000001"/>
    <n v="0"/>
    <n v="4.8406500000000001"/>
  </r>
  <r>
    <x v="0"/>
    <x v="6"/>
    <x v="6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504.49542000000002"/>
    <n v="0"/>
    <n v="0"/>
    <n v="504.49542000000002"/>
    <n v="4.5601147800000001"/>
    <n v="509.05553478000002"/>
    <n v="5.3527500000000003"/>
    <n v="0"/>
    <n v="5.3527500000000003"/>
  </r>
  <r>
    <x v="0"/>
    <x v="6"/>
    <x v="6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56.93937"/>
    <n v="0"/>
    <n v="0"/>
    <n v="356.93937"/>
    <n v="3.2049230400000006"/>
    <n v="360.14429303999998"/>
    <n v="3.7620000000000009"/>
    <n v="0"/>
    <n v="3.7620000000000009"/>
  </r>
  <r>
    <x v="0"/>
    <x v="6"/>
    <x v="6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4461.6774674727394"/>
    <n v="541.53021999999987"/>
    <n v="0"/>
    <n v="5003.2076874727391"/>
    <n v="41.701930438846162"/>
    <n v="5044.9096179115859"/>
    <n v="48.410524038461546"/>
    <n v="0.54"/>
    <n v="48.950524038461552"/>
  </r>
  <r>
    <x v="0"/>
    <x v="7"/>
    <x v="7"/>
    <x v="0"/>
    <x v="0"/>
    <s v="MSG"/>
    <x v="0"/>
    <x v="0"/>
    <x v="0"/>
    <n v="1040.528"/>
    <n v="5709.6356363161649"/>
    <x v="0"/>
    <n v="20047.764790859241"/>
    <n v="26797.9284271754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PED"/>
    <x v="20"/>
    <x v="0"/>
    <x v="0"/>
    <n v="176.76564775876199"/>
    <n v="752.81246615328973"/>
    <x v="0"/>
    <n v="2523.1485008797649"/>
    <n v="3452.7266147918167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PSY"/>
    <x v="1"/>
    <x v="0"/>
    <x v="0"/>
    <n v="41.637"/>
    <n v="248.7692342032274"/>
    <x v="0"/>
    <n v="1096.6354836239336"/>
    <n v="1387.0417178271607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OBS"/>
    <x v="21"/>
    <x v="0"/>
    <x v="0"/>
    <n v="0"/>
    <n v="68.073661237667721"/>
    <x v="0"/>
    <n v="138.21016069465821"/>
    <n v="206.28382193232591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MIS"/>
    <x v="3"/>
    <x v="0"/>
    <x v="0"/>
    <n v="0"/>
    <n v="320.86659000000003"/>
    <x v="0"/>
    <n v="866.36640999999986"/>
    <n v="1187.2329999999999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ONC"/>
    <x v="27"/>
    <x v="0"/>
    <x v="0"/>
    <n v="54.701999999999998"/>
    <n v="421.22500443284525"/>
    <x v="0"/>
    <n v="855.21440293941316"/>
    <n v="1331.1414073722583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NUR"/>
    <x v="4"/>
    <x v="0"/>
    <x v="0"/>
    <n v="0"/>
    <n v="30.113160000000001"/>
    <x v="0"/>
    <n v="61.138840000000002"/>
    <n v="91.251999999999995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EMG"/>
    <x v="5"/>
    <x v="0"/>
    <x v="0"/>
    <n v="73.540000000000006"/>
    <n v="495.80887335206489"/>
    <x v="0"/>
    <n v="6788.5443881990859"/>
    <n v="7357.8932615511521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CL"/>
    <x v="6"/>
    <x v="0"/>
    <x v="0"/>
    <n v="0"/>
    <n v="689.48143985136312"/>
    <x v="0"/>
    <n v="4025.9796463734033"/>
    <n v="4715.4610862247664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PDC"/>
    <x v="40"/>
    <x v="0"/>
    <x v="0"/>
    <n v="0"/>
    <n v="43.922433576780001"/>
    <x v="0"/>
    <n v="89.175849989220012"/>
    <n v="133.0982835660000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SDS"/>
    <x v="36"/>
    <x v="0"/>
    <x v="0"/>
    <n v="0"/>
    <n v="28.01172"/>
    <x v="0"/>
    <n v="56.872280000000003"/>
    <n v="84.884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DEL"/>
    <x v="28"/>
    <x v="0"/>
    <x v="0"/>
    <n v="0"/>
    <n v="37.45335"/>
    <x v="0"/>
    <n v="76.041650000000004"/>
    <n v="113.495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OR"/>
    <x v="7"/>
    <x v="0"/>
    <x v="0"/>
    <n v="0"/>
    <n v="275.16396625967639"/>
    <x v="0"/>
    <n v="558.6662345272216"/>
    <n v="833.83020078689788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ANS"/>
    <x v="8"/>
    <x v="0"/>
    <x v="0"/>
    <n v="71.106999999999999"/>
    <n v="599.17505999999992"/>
    <x v="0"/>
    <n v="8470.0879399999976"/>
    <n v="9140.369999999997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LAB"/>
    <x v="9"/>
    <x v="0"/>
    <x v="0"/>
    <n v="34.786999999999999"/>
    <n v="303.88578000000001"/>
    <x v="0"/>
    <n v="2507.5922199999995"/>
    <n v="2846.2649999999994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EKG"/>
    <x v="29"/>
    <x v="0"/>
    <x v="0"/>
    <n v="0"/>
    <n v="55.178200222945129"/>
    <x v="0"/>
    <n v="815.00581507951358"/>
    <n v="870.1840153024587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IRC"/>
    <x v="10"/>
    <x v="0"/>
    <x v="0"/>
    <n v="0"/>
    <n v="490.89084000000008"/>
    <x v="0"/>
    <n v="1383.8356104029101"/>
    <n v="1874.7264504029099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RAD"/>
    <x v="11"/>
    <x v="0"/>
    <x v="0"/>
    <n v="54.073"/>
    <n v="307.77436669137967"/>
    <x v="0"/>
    <n v="4262.252386477041"/>
    <n v="4624.099753168420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CAT"/>
    <x v="12"/>
    <x v="0"/>
    <x v="0"/>
    <n v="0"/>
    <n v="54.560550000000006"/>
    <x v="0"/>
    <n v="110.77445000000002"/>
    <n v="165.33500000000004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RAT"/>
    <x v="13"/>
    <x v="0"/>
    <x v="0"/>
    <n v="26.495999999999999"/>
    <n v="242.46337444563903"/>
    <x v="0"/>
    <n v="573.28844071139019"/>
    <n v="842.2478151570293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NUC"/>
    <x v="14"/>
    <x v="0"/>
    <x v="0"/>
    <n v="0"/>
    <n v="54.560550000000006"/>
    <x v="0"/>
    <n v="248.55390040290985"/>
    <n v="303.1144504029098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RES"/>
    <x v="15"/>
    <x v="0"/>
    <x v="0"/>
    <n v="0"/>
    <n v="41.520994106876323"/>
    <x v="0"/>
    <n v="84.300200156385259"/>
    <n v="125.8211942632615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PUL"/>
    <x v="30"/>
    <x v="0"/>
    <x v="0"/>
    <n v="0"/>
    <n v="27.433890000000002"/>
    <x v="0"/>
    <n v="55.699109999999997"/>
    <n v="83.13299999999999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EEG"/>
    <x v="31"/>
    <x v="0"/>
    <x v="0"/>
    <n v="0"/>
    <n v="124.59876"/>
    <x v="0"/>
    <n v="252.97324000000009"/>
    <n v="377.5720000000000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PTH"/>
    <x v="16"/>
    <x v="0"/>
    <x v="0"/>
    <n v="0"/>
    <n v="56.201787576000001"/>
    <x v="0"/>
    <n v="114.10665962400002"/>
    <n v="170.3084472000000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OTH"/>
    <x v="32"/>
    <x v="0"/>
    <x v="0"/>
    <n v="0"/>
    <n v="31.223215320000001"/>
    <x v="0"/>
    <n v="63.392588680000017"/>
    <n v="94.615804000000011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STH"/>
    <x v="35"/>
    <x v="0"/>
    <x v="0"/>
    <n v="0"/>
    <n v="65.236683656501825"/>
    <x v="0"/>
    <n v="132.45023651471584"/>
    <n v="197.68692017121765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LEU"/>
    <x v="41"/>
    <x v="0"/>
    <x v="0"/>
    <n v="0"/>
    <n v="12.26547889301092"/>
    <x v="0"/>
    <n v="24.902638964597937"/>
    <n v="37.168117857608856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MRI"/>
    <x v="17"/>
    <x v="0"/>
    <x v="0"/>
    <n v="0"/>
    <n v="240.68879999999999"/>
    <x v="0"/>
    <n v="1039.7890016116394"/>
    <n v="1280.4778016116393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RHB"/>
    <x v="18"/>
    <x v="0"/>
    <x v="0"/>
    <n v="16.763000000000002"/>
    <n v="57.144779999999997"/>
    <x v="0"/>
    <n v="638.81222000000002"/>
    <n v="712.72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OCL"/>
    <x v="34"/>
    <x v="0"/>
    <x v="0"/>
    <n v="0"/>
    <n v="112.39866000000001"/>
    <x v="0"/>
    <n v="228.20334"/>
    <n v="340.60199999999998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0"/>
    <s v="XYZ"/>
    <x v="19"/>
    <x v="0"/>
    <x v="0"/>
    <n v="1590.3986477587621"/>
    <n v="11998.539306295432"/>
    <x v="0"/>
    <n v="58189.778636711024"/>
    <n v="71778.716590765223"/>
    <x v="0"/>
    <x v="0"/>
    <x v="0"/>
    <x v="0"/>
    <x v="0"/>
    <m/>
    <m/>
    <x v="0"/>
    <m/>
    <m/>
    <m/>
    <m/>
    <m/>
    <m/>
    <m/>
    <m/>
    <m/>
    <m/>
    <m/>
  </r>
  <r>
    <x v="0"/>
    <x v="7"/>
    <x v="7"/>
    <x v="0"/>
    <x v="2"/>
    <s v="MSG"/>
    <x v="0"/>
    <x v="1"/>
    <x v="1"/>
    <m/>
    <m/>
    <x v="1"/>
    <m/>
    <m/>
    <x v="0"/>
    <x v="0"/>
    <x v="0"/>
    <x v="0"/>
    <x v="0"/>
    <n v="26775.319740600575"/>
    <n v="0"/>
    <x v="0"/>
    <n v="26775.319740600575"/>
    <n v="136.34321153846153"/>
    <m/>
    <m/>
    <m/>
    <m/>
    <m/>
    <m/>
    <m/>
    <m/>
    <m/>
  </r>
  <r>
    <x v="0"/>
    <x v="7"/>
    <x v="7"/>
    <x v="0"/>
    <x v="2"/>
    <s v="PED"/>
    <x v="20"/>
    <x v="1"/>
    <x v="1"/>
    <m/>
    <m/>
    <x v="1"/>
    <m/>
    <m/>
    <x v="0"/>
    <x v="0"/>
    <x v="0"/>
    <x v="0"/>
    <x v="0"/>
    <n v="2870.3900616209444"/>
    <n v="0"/>
    <x v="0"/>
    <n v="2870.3900616209444"/>
    <n v="15.518846153846152"/>
    <m/>
    <m/>
    <m/>
    <m/>
    <m/>
    <m/>
    <m/>
    <m/>
    <m/>
  </r>
  <r>
    <x v="0"/>
    <x v="7"/>
    <x v="7"/>
    <x v="0"/>
    <x v="2"/>
    <s v="PSY"/>
    <x v="1"/>
    <x v="1"/>
    <x v="1"/>
    <m/>
    <m/>
    <x v="1"/>
    <m/>
    <m/>
    <x v="0"/>
    <x v="0"/>
    <x v="0"/>
    <x v="0"/>
    <x v="0"/>
    <n v="211.06606984216319"/>
    <n v="0"/>
    <x v="0"/>
    <n v="211.06606984216319"/>
    <n v="1.3730769230769233"/>
    <m/>
    <m/>
    <m/>
    <m/>
    <m/>
    <m/>
    <m/>
    <m/>
    <m/>
  </r>
  <r>
    <x v="0"/>
    <x v="7"/>
    <x v="7"/>
    <x v="0"/>
    <x v="2"/>
    <s v="MIS"/>
    <x v="3"/>
    <x v="1"/>
    <x v="1"/>
    <m/>
    <m/>
    <x v="1"/>
    <m/>
    <m/>
    <x v="0"/>
    <x v="0"/>
    <x v="0"/>
    <x v="0"/>
    <x v="0"/>
    <n v="4415.9494614924906"/>
    <n v="0"/>
    <x v="0"/>
    <n v="4415.9494614924906"/>
    <n v="23.544315111695344"/>
    <m/>
    <m/>
    <m/>
    <m/>
    <m/>
    <m/>
    <m/>
    <m/>
    <m/>
  </r>
  <r>
    <x v="0"/>
    <x v="7"/>
    <x v="7"/>
    <x v="0"/>
    <x v="2"/>
    <s v="PIC"/>
    <x v="25"/>
    <x v="1"/>
    <x v="1"/>
    <m/>
    <m/>
    <x v="1"/>
    <m/>
    <m/>
    <x v="0"/>
    <x v="0"/>
    <x v="0"/>
    <x v="0"/>
    <x v="0"/>
    <n v="161.64646043123253"/>
    <n v="0"/>
    <x v="0"/>
    <n v="161.64646043123253"/>
    <n v="0.82884615384615401"/>
    <m/>
    <m/>
    <m/>
    <m/>
    <m/>
    <m/>
    <m/>
    <m/>
    <m/>
  </r>
  <r>
    <x v="0"/>
    <x v="7"/>
    <x v="7"/>
    <x v="0"/>
    <x v="2"/>
    <s v="NEO"/>
    <x v="26"/>
    <x v="1"/>
    <x v="1"/>
    <m/>
    <m/>
    <x v="1"/>
    <m/>
    <m/>
    <x v="0"/>
    <x v="0"/>
    <x v="0"/>
    <x v="0"/>
    <x v="0"/>
    <n v="3369.3778661103729"/>
    <n v="0"/>
    <x v="0"/>
    <n v="3369.3778661103729"/>
    <n v="14.607052884615385"/>
    <m/>
    <m/>
    <m/>
    <m/>
    <m/>
    <m/>
    <m/>
    <m/>
    <m/>
  </r>
  <r>
    <x v="0"/>
    <x v="7"/>
    <x v="7"/>
    <x v="0"/>
    <x v="2"/>
    <s v="ONC"/>
    <x v="27"/>
    <x v="1"/>
    <x v="1"/>
    <m/>
    <m/>
    <x v="1"/>
    <m/>
    <m/>
    <x v="0"/>
    <x v="0"/>
    <x v="0"/>
    <x v="0"/>
    <x v="0"/>
    <n v="1783.1969335239717"/>
    <n v="0"/>
    <x v="0"/>
    <n v="1783.1969335239717"/>
    <n v="12.237259615384616"/>
    <m/>
    <m/>
    <m/>
    <m/>
    <m/>
    <m/>
    <m/>
    <m/>
    <m/>
  </r>
  <r>
    <x v="0"/>
    <x v="7"/>
    <x v="7"/>
    <x v="0"/>
    <x v="2"/>
    <s v="EMG"/>
    <x v="5"/>
    <x v="1"/>
    <x v="1"/>
    <m/>
    <m/>
    <x v="1"/>
    <m/>
    <m/>
    <x v="0"/>
    <x v="0"/>
    <x v="0"/>
    <x v="0"/>
    <x v="0"/>
    <n v="2008.7712135008776"/>
    <n v="0"/>
    <x v="0"/>
    <n v="2008.7712135008776"/>
    <n v="15.003365384615384"/>
    <m/>
    <m/>
    <m/>
    <m/>
    <m/>
    <m/>
    <m/>
    <m/>
    <m/>
  </r>
  <r>
    <x v="0"/>
    <x v="7"/>
    <x v="7"/>
    <x v="0"/>
    <x v="2"/>
    <s v="CL"/>
    <x v="6"/>
    <x v="1"/>
    <x v="1"/>
    <m/>
    <m/>
    <x v="1"/>
    <m/>
    <m/>
    <x v="0"/>
    <x v="0"/>
    <x v="0"/>
    <x v="0"/>
    <x v="0"/>
    <n v="5266.4642161725878"/>
    <n v="0"/>
    <x v="0"/>
    <n v="5266.4642161725878"/>
    <n v="28.22"/>
    <m/>
    <m/>
    <m/>
    <m/>
    <m/>
    <m/>
    <m/>
    <m/>
    <m/>
  </r>
  <r>
    <x v="0"/>
    <x v="7"/>
    <x v="7"/>
    <x v="0"/>
    <x v="2"/>
    <s v="SDS"/>
    <x v="36"/>
    <x v="1"/>
    <x v="1"/>
    <m/>
    <m/>
    <x v="1"/>
    <m/>
    <m/>
    <x v="0"/>
    <x v="0"/>
    <x v="0"/>
    <x v="0"/>
    <x v="0"/>
    <n v="1777.999007997402"/>
    <n v="0"/>
    <x v="0"/>
    <n v="1777.999007997402"/>
    <n v="8.8346153846153843"/>
    <m/>
    <m/>
    <m/>
    <m/>
    <m/>
    <m/>
    <m/>
    <m/>
    <m/>
  </r>
  <r>
    <x v="0"/>
    <x v="7"/>
    <x v="7"/>
    <x v="0"/>
    <x v="2"/>
    <s v="OR"/>
    <x v="7"/>
    <x v="1"/>
    <x v="1"/>
    <m/>
    <m/>
    <x v="1"/>
    <m/>
    <m/>
    <x v="0"/>
    <x v="0"/>
    <x v="0"/>
    <x v="0"/>
    <x v="0"/>
    <n v="16.597534608637073"/>
    <n v="0"/>
    <x v="0"/>
    <n v="16.597534608637073"/>
    <n v="0.1"/>
    <m/>
    <m/>
    <m/>
    <m/>
    <m/>
    <m/>
    <m/>
    <m/>
    <m/>
  </r>
  <r>
    <x v="0"/>
    <x v="7"/>
    <x v="7"/>
    <x v="0"/>
    <x v="2"/>
    <s v="ANS"/>
    <x v="8"/>
    <x v="1"/>
    <x v="1"/>
    <m/>
    <m/>
    <x v="1"/>
    <m/>
    <m/>
    <x v="0"/>
    <x v="0"/>
    <x v="0"/>
    <x v="0"/>
    <x v="0"/>
    <n v="1636.4629804571089"/>
    <n v="0"/>
    <x v="0"/>
    <n v="1636.4629804571089"/>
    <n v="9.1325721153846153"/>
    <m/>
    <m/>
    <m/>
    <m/>
    <m/>
    <m/>
    <m/>
    <m/>
    <m/>
  </r>
  <r>
    <x v="0"/>
    <x v="7"/>
    <x v="7"/>
    <x v="0"/>
    <x v="2"/>
    <s v="EKG"/>
    <x v="29"/>
    <x v="1"/>
    <x v="1"/>
    <m/>
    <m/>
    <x v="1"/>
    <m/>
    <m/>
    <x v="0"/>
    <x v="0"/>
    <x v="0"/>
    <x v="0"/>
    <x v="0"/>
    <n v="4.9209151483899554"/>
    <n v="0"/>
    <x v="0"/>
    <n v="4.9209151483899554"/>
    <n v="3.3653846153846152E-2"/>
    <m/>
    <m/>
    <m/>
    <m/>
    <m/>
    <m/>
    <m/>
    <m/>
    <m/>
  </r>
  <r>
    <x v="0"/>
    <x v="7"/>
    <x v="7"/>
    <x v="0"/>
    <x v="2"/>
    <s v="IRC"/>
    <x v="10"/>
    <x v="1"/>
    <x v="1"/>
    <m/>
    <m/>
    <x v="1"/>
    <m/>
    <m/>
    <x v="0"/>
    <x v="0"/>
    <x v="0"/>
    <x v="0"/>
    <x v="0"/>
    <n v="534.89486084293162"/>
    <n v="0"/>
    <x v="0"/>
    <n v="534.89486084293162"/>
    <n v="2.2980769230769229"/>
    <m/>
    <m/>
    <m/>
    <m/>
    <m/>
    <m/>
    <m/>
    <m/>
    <m/>
  </r>
  <r>
    <x v="0"/>
    <x v="7"/>
    <x v="7"/>
    <x v="0"/>
    <x v="2"/>
    <s v="RAT"/>
    <x v="13"/>
    <x v="1"/>
    <x v="1"/>
    <m/>
    <m/>
    <x v="1"/>
    <m/>
    <m/>
    <x v="0"/>
    <x v="0"/>
    <x v="0"/>
    <x v="0"/>
    <x v="0"/>
    <n v="522.38794739617572"/>
    <n v="0"/>
    <x v="0"/>
    <n v="522.38794739617572"/>
    <n v="2.8384615384615386"/>
    <m/>
    <m/>
    <m/>
    <m/>
    <m/>
    <m/>
    <m/>
    <m/>
    <m/>
  </r>
  <r>
    <x v="0"/>
    <x v="7"/>
    <x v="7"/>
    <x v="0"/>
    <x v="2"/>
    <s v="OTH"/>
    <x v="32"/>
    <x v="1"/>
    <x v="1"/>
    <m/>
    <m/>
    <x v="1"/>
    <m/>
    <m/>
    <x v="0"/>
    <x v="0"/>
    <x v="0"/>
    <x v="0"/>
    <x v="0"/>
    <n v="153.636122898"/>
    <n v="0"/>
    <x v="0"/>
    <n v="153.636122898"/>
    <n v="1.25"/>
    <m/>
    <m/>
    <m/>
    <m/>
    <m/>
    <m/>
    <m/>
    <m/>
    <m/>
  </r>
  <r>
    <x v="0"/>
    <x v="7"/>
    <x v="7"/>
    <x v="0"/>
    <x v="2"/>
    <s v="STH"/>
    <x v="35"/>
    <x v="1"/>
    <x v="1"/>
    <m/>
    <m/>
    <x v="1"/>
    <m/>
    <m/>
    <x v="0"/>
    <x v="0"/>
    <x v="0"/>
    <x v="0"/>
    <x v="0"/>
    <n v="126.36199999999999"/>
    <n v="0"/>
    <x v="0"/>
    <n v="126.36199999999999"/>
    <n v="1"/>
    <m/>
    <m/>
    <m/>
    <m/>
    <m/>
    <m/>
    <m/>
    <m/>
    <m/>
  </r>
  <r>
    <x v="0"/>
    <x v="7"/>
    <x v="7"/>
    <x v="0"/>
    <x v="2"/>
    <s v="RHB"/>
    <x v="18"/>
    <x v="1"/>
    <x v="1"/>
    <m/>
    <m/>
    <x v="1"/>
    <m/>
    <m/>
    <x v="0"/>
    <x v="0"/>
    <x v="0"/>
    <x v="0"/>
    <x v="0"/>
    <n v="130.69499999999999"/>
    <n v="0"/>
    <x v="0"/>
    <n v="130.69499999999999"/>
    <n v="1"/>
    <m/>
    <m/>
    <m/>
    <m/>
    <m/>
    <m/>
    <m/>
    <m/>
    <m/>
  </r>
  <r>
    <x v="0"/>
    <x v="7"/>
    <x v="7"/>
    <x v="0"/>
    <x v="2"/>
    <s v="OCL"/>
    <x v="34"/>
    <x v="1"/>
    <x v="1"/>
    <m/>
    <m/>
    <x v="1"/>
    <m/>
    <m/>
    <x v="0"/>
    <x v="0"/>
    <x v="0"/>
    <x v="0"/>
    <x v="0"/>
    <n v="2453.7557097721328"/>
    <n v="0"/>
    <x v="0"/>
    <n v="2453.7557097721328"/>
    <n v="14.238461538461538"/>
    <m/>
    <m/>
    <m/>
    <m/>
    <m/>
    <m/>
    <m/>
    <m/>
    <m/>
  </r>
  <r>
    <x v="0"/>
    <x v="7"/>
    <x v="7"/>
    <x v="0"/>
    <x v="2"/>
    <s v="XYZ"/>
    <x v="19"/>
    <x v="1"/>
    <x v="1"/>
    <m/>
    <m/>
    <x v="1"/>
    <m/>
    <m/>
    <x v="0"/>
    <x v="0"/>
    <x v="0"/>
    <x v="0"/>
    <x v="0"/>
    <n v="54219.894102416001"/>
    <n v="0"/>
    <x v="1"/>
    <n v="54219.894102416001"/>
    <n v="288.40181511169538"/>
    <m/>
    <m/>
    <m/>
    <m/>
    <m/>
    <m/>
    <m/>
    <m/>
    <m/>
  </r>
  <r>
    <x v="0"/>
    <x v="7"/>
    <x v="7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0"/>
    <n v="20047.764790859237"/>
    <n v="25533.767315639736"/>
    <n v="45581.532106498969"/>
    <n v="0"/>
    <n v="45581.532106498969"/>
    <n v="336.96253471803089"/>
    <n v="44.815775806742437"/>
    <n v="381.77831052477336"/>
  </r>
  <r>
    <x v="0"/>
    <x v="7"/>
    <x v="7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0"/>
    <n v="2523.1485008797649"/>
    <n v="3289.8482517479888"/>
    <n v="5812.9967526277542"/>
    <n v="0"/>
    <n v="5812.9967526277542"/>
    <n v="43.41527797457767"/>
    <n v="6.7477148957331492"/>
    <n v="50.162992870310816"/>
  </r>
  <r>
    <x v="0"/>
    <x v="7"/>
    <x v="7"/>
    <x v="0"/>
    <x v="1"/>
    <s v="PSY"/>
    <x v="1"/>
    <x v="1"/>
    <x v="1"/>
    <m/>
    <m/>
    <x v="1"/>
    <m/>
    <m/>
    <x v="0"/>
    <x v="0"/>
    <x v="0"/>
    <x v="0"/>
    <x v="0"/>
    <m/>
    <m/>
    <x v="0"/>
    <m/>
    <m/>
    <n v="0"/>
    <n v="1096.6354836239336"/>
    <n v="1321.6096377124688"/>
    <n v="2418.2451213364025"/>
    <n v="0"/>
    <n v="2418.2451213364025"/>
    <n v="17.440941163374678"/>
    <n v="3.0885066999999999"/>
    <n v="20.529447863374681"/>
  </r>
  <r>
    <x v="0"/>
    <x v="7"/>
    <x v="7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0"/>
    <n v="138.21016069465821"/>
    <n v="196.55262251015921"/>
    <n v="334.76278320481737"/>
    <n v="0"/>
    <n v="334.76278320481737"/>
    <n v="2.5938542114751844"/>
    <n v="0.19180402697791177"/>
    <n v="2.7856582384530961"/>
  </r>
  <r>
    <x v="0"/>
    <x v="7"/>
    <x v="7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0"/>
    <n v="866.36640999999986"/>
    <n v="1131.2266638008991"/>
    <n v="1997.593073800899"/>
    <n v="0"/>
    <n v="1997.593073800899"/>
    <n v="14.928506211517597"/>
    <n v="2.5770000000000004"/>
    <n v="17.505506211517599"/>
  </r>
  <r>
    <x v="0"/>
    <x v="7"/>
    <x v="7"/>
    <x v="0"/>
    <x v="1"/>
    <s v="ONC"/>
    <x v="27"/>
    <x v="1"/>
    <x v="1"/>
    <m/>
    <m/>
    <x v="1"/>
    <m/>
    <m/>
    <x v="0"/>
    <x v="0"/>
    <x v="0"/>
    <x v="0"/>
    <x v="0"/>
    <m/>
    <m/>
    <x v="0"/>
    <m/>
    <m/>
    <n v="0"/>
    <n v="855.21440293941316"/>
    <n v="1268.3463593995059"/>
    <n v="2123.5607623389192"/>
    <n v="0"/>
    <n v="2123.5607623389192"/>
    <n v="16.738039431489049"/>
    <n v="1.7722149784032797"/>
    <n v="18.51025440989233"/>
  </r>
  <r>
    <x v="0"/>
    <x v="7"/>
    <x v="7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0"/>
    <n v="61.138840000000002"/>
    <n v="86.947293012542332"/>
    <n v="148.08613301254235"/>
    <n v="0"/>
    <n v="148.08613301254235"/>
    <n v="1.1474209770225423"/>
    <n v="0.23449999999999999"/>
    <n v="1.3819209770225422"/>
  </r>
  <r>
    <x v="0"/>
    <x v="7"/>
    <x v="7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0"/>
    <n v="6788.5443881990859"/>
    <n v="7010.793203076084"/>
    <n v="13799.337591275167"/>
    <n v="0"/>
    <n v="13799.337591275167"/>
    <n v="92.519627788942714"/>
    <n v="19.978500000000004"/>
    <n v="112.49812778894272"/>
  </r>
  <r>
    <x v="0"/>
    <x v="7"/>
    <x v="7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0"/>
    <n v="4025.9796463734033"/>
    <n v="4493.0146928640024"/>
    <n v="8518.9943392374043"/>
    <n v="0"/>
    <n v="8518.9943392374043"/>
    <n v="59.293154853239386"/>
    <n v="12.256419769872636"/>
    <n v="71.549574623112022"/>
  </r>
  <r>
    <x v="0"/>
    <x v="7"/>
    <x v="7"/>
    <x v="0"/>
    <x v="1"/>
    <s v="PDC"/>
    <x v="40"/>
    <x v="1"/>
    <x v="1"/>
    <m/>
    <m/>
    <x v="1"/>
    <m/>
    <m/>
    <x v="0"/>
    <x v="0"/>
    <x v="0"/>
    <x v="0"/>
    <x v="0"/>
    <m/>
    <m/>
    <x v="0"/>
    <m/>
    <m/>
    <n v="0"/>
    <n v="89.175849989220012"/>
    <n v="126.81952681233784"/>
    <n v="215.99537680155785"/>
    <n v="0"/>
    <n v="215.99537680155785"/>
    <n v="1.6736045518928149"/>
    <n v="0.30150000000000005"/>
    <n v="1.9751045518928148"/>
  </r>
  <r>
    <x v="0"/>
    <x v="7"/>
    <x v="7"/>
    <x v="0"/>
    <x v="1"/>
    <s v="SDS"/>
    <x v="36"/>
    <x v="1"/>
    <x v="1"/>
    <m/>
    <m/>
    <x v="1"/>
    <m/>
    <m/>
    <x v="0"/>
    <x v="0"/>
    <x v="0"/>
    <x v="0"/>
    <x v="0"/>
    <m/>
    <m/>
    <x v="0"/>
    <m/>
    <m/>
    <n v="0"/>
    <n v="56.872280000000003"/>
    <n v="80.879696007502773"/>
    <n v="137.75197600750278"/>
    <n v="0"/>
    <n v="137.75197600750278"/>
    <n v="1.0673484659358861"/>
    <n v="0.13400000000000001"/>
    <n v="1.2013484659358862"/>
  </r>
  <r>
    <x v="0"/>
    <x v="7"/>
    <x v="7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0"/>
    <n v="76.041650000000004"/>
    <n v="108.14100535285245"/>
    <n v="184.18265535285249"/>
    <n v="0"/>
    <n v="184.18265535285249"/>
    <n v="1.4271089267870667"/>
    <n v="0.16750000000000001"/>
    <n v="1.5946089267870669"/>
  </r>
  <r>
    <x v="0"/>
    <x v="7"/>
    <x v="7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0"/>
    <n v="558.6662345272216"/>
    <n v="794.49523068563349"/>
    <n v="1353.1614652128551"/>
    <n v="0"/>
    <n v="1353.1614652128551"/>
    <n v="10.48474842916106"/>
    <n v="1.3065"/>
    <n v="11.79124842916106"/>
  </r>
  <r>
    <x v="0"/>
    <x v="7"/>
    <x v="7"/>
    <x v="0"/>
    <x v="1"/>
    <s v="ANS"/>
    <x v="8"/>
    <x v="1"/>
    <x v="1"/>
    <m/>
    <m/>
    <x v="1"/>
    <m/>
    <m/>
    <x v="0"/>
    <x v="0"/>
    <x v="0"/>
    <x v="0"/>
    <x v="0"/>
    <m/>
    <m/>
    <x v="0"/>
    <m/>
    <m/>
    <n v="0"/>
    <n v="8470.0879399999976"/>
    <n v="8709.1836741446914"/>
    <n v="17179.271614144687"/>
    <n v="0"/>
    <n v="17179.271614144687"/>
    <n v="114.93284832932464"/>
    <n v="20.008936360137223"/>
    <n v="134.94178468946183"/>
  </r>
  <r>
    <x v="0"/>
    <x v="7"/>
    <x v="7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0"/>
    <n v="2507.5922199999995"/>
    <n v="2711.9957584090621"/>
    <n v="5219.5879784090612"/>
    <n v="0"/>
    <n v="5219.5879784090612"/>
    <n v="35.789507815336272"/>
    <n v="6.7605083455625143"/>
    <n v="42.550016160898785"/>
  </r>
  <r>
    <x v="0"/>
    <x v="7"/>
    <x v="7"/>
    <x v="0"/>
    <x v="1"/>
    <s v="EKG"/>
    <x v="29"/>
    <x v="1"/>
    <x v="1"/>
    <m/>
    <m/>
    <x v="1"/>
    <m/>
    <m/>
    <x v="0"/>
    <x v="0"/>
    <x v="0"/>
    <x v="0"/>
    <x v="0"/>
    <m/>
    <m/>
    <x v="0"/>
    <m/>
    <m/>
    <n v="0"/>
    <n v="815.00581507951358"/>
    <n v="829.13409627551732"/>
    <n v="1644.139911355031"/>
    <n v="0"/>
    <n v="1644.139911355031"/>
    <n v="10.941868594964999"/>
    <n v="2.8685"/>
    <n v="13.810368594965"/>
  </r>
  <r>
    <x v="0"/>
    <x v="7"/>
    <x v="7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0"/>
    <n v="1383.8356104029101"/>
    <n v="1786.2884101339721"/>
    <n v="3170.1240205368822"/>
    <n v="0"/>
    <n v="3170.1240205368822"/>
    <n v="23.573186947916863"/>
    <n v="3.5794999999999999"/>
    <n v="27.152686947916862"/>
  </r>
  <r>
    <x v="0"/>
    <x v="7"/>
    <x v="7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0"/>
    <n v="4262.252386477041"/>
    <n v="4405.9632244549084"/>
    <n v="8668.2156109319494"/>
    <n v="0"/>
    <n v="8668.2156109319494"/>
    <n v="58.144359100405531"/>
    <n v="7.8059999999999983"/>
    <n v="65.950359100405535"/>
  </r>
  <r>
    <x v="0"/>
    <x v="7"/>
    <x v="7"/>
    <x v="0"/>
    <x v="1"/>
    <s v="CAT"/>
    <x v="12"/>
    <x v="1"/>
    <x v="1"/>
    <m/>
    <m/>
    <x v="1"/>
    <m/>
    <m/>
    <x v="0"/>
    <x v="0"/>
    <x v="0"/>
    <x v="0"/>
    <x v="0"/>
    <m/>
    <m/>
    <x v="0"/>
    <m/>
    <m/>
    <n v="0"/>
    <n v="110.77445000000002"/>
    <n v="157.53551363508404"/>
    <n v="268.30996363508405"/>
    <n v="0"/>
    <n v="268.30996363508405"/>
    <n v="2.0789554994523085"/>
    <n v="0.20100000000000001"/>
    <n v="2.279955499452309"/>
  </r>
  <r>
    <x v="0"/>
    <x v="7"/>
    <x v="7"/>
    <x v="0"/>
    <x v="1"/>
    <s v="RAT"/>
    <x v="13"/>
    <x v="1"/>
    <x v="1"/>
    <m/>
    <m/>
    <x v="1"/>
    <m/>
    <m/>
    <x v="0"/>
    <x v="0"/>
    <x v="0"/>
    <x v="0"/>
    <x v="0"/>
    <m/>
    <m/>
    <x v="0"/>
    <m/>
    <m/>
    <n v="0"/>
    <n v="573.28844071139019"/>
    <n v="802.51575388629067"/>
    <n v="1375.8041945976811"/>
    <n v="0"/>
    <n v="1375.8041945976811"/>
    <n v="10.590593203026565"/>
    <n v="0.65250000000000008"/>
    <n v="11.243093203026564"/>
  </r>
  <r>
    <x v="0"/>
    <x v="7"/>
    <x v="7"/>
    <x v="0"/>
    <x v="1"/>
    <s v="NUC"/>
    <x v="14"/>
    <x v="1"/>
    <x v="1"/>
    <m/>
    <m/>
    <x v="1"/>
    <m/>
    <m/>
    <x v="0"/>
    <x v="0"/>
    <x v="0"/>
    <x v="0"/>
    <x v="0"/>
    <m/>
    <m/>
    <x v="0"/>
    <m/>
    <m/>
    <n v="0"/>
    <n v="248.55390040290985"/>
    <n v="288.81537868230316"/>
    <n v="537.36927908521295"/>
    <n v="0"/>
    <n v="537.36927908521295"/>
    <n v="3.8114219834190775"/>
    <n v="0.45100000000000001"/>
    <n v="4.2624219834190775"/>
  </r>
  <r>
    <x v="0"/>
    <x v="7"/>
    <x v="7"/>
    <x v="0"/>
    <x v="1"/>
    <s v="RES"/>
    <x v="15"/>
    <x v="1"/>
    <x v="1"/>
    <m/>
    <m/>
    <x v="1"/>
    <m/>
    <m/>
    <x v="0"/>
    <x v="0"/>
    <x v="0"/>
    <x v="0"/>
    <x v="0"/>
    <m/>
    <m/>
    <x v="0"/>
    <m/>
    <m/>
    <n v="0"/>
    <n v="84.300200156385259"/>
    <n v="119.88572573528047"/>
    <n v="204.18592589166576"/>
    <n v="0"/>
    <n v="204.18592589166576"/>
    <n v="1.5821009693123953"/>
    <n v="0.20100000000000001"/>
    <n v="1.7831009693123954"/>
  </r>
  <r>
    <x v="0"/>
    <x v="7"/>
    <x v="7"/>
    <x v="0"/>
    <x v="1"/>
    <s v="PUL"/>
    <x v="30"/>
    <x v="1"/>
    <x v="1"/>
    <m/>
    <m/>
    <x v="1"/>
    <m/>
    <m/>
    <x v="0"/>
    <x v="0"/>
    <x v="0"/>
    <x v="0"/>
    <x v="0"/>
    <m/>
    <m/>
    <x v="0"/>
    <m/>
    <m/>
    <n v="0"/>
    <n v="55.699109999999997"/>
    <n v="79.211297396349465"/>
    <n v="134.91040739634946"/>
    <n v="0"/>
    <n v="134.91040739634946"/>
    <n v="1.045331040227228"/>
    <n v="0.16750000000000001"/>
    <n v="1.212831040227228"/>
  </r>
  <r>
    <x v="0"/>
    <x v="7"/>
    <x v="7"/>
    <x v="0"/>
    <x v="1"/>
    <s v="EEG"/>
    <x v="31"/>
    <x v="1"/>
    <x v="1"/>
    <m/>
    <m/>
    <x v="1"/>
    <m/>
    <m/>
    <x v="0"/>
    <x v="0"/>
    <x v="0"/>
    <x v="0"/>
    <x v="0"/>
    <m/>
    <m/>
    <x v="0"/>
    <m/>
    <m/>
    <n v="0"/>
    <n v="252.97324000000009"/>
    <n v="359.76047996023794"/>
    <n v="612.73371996023798"/>
    <n v="0"/>
    <n v="612.73371996023798"/>
    <n v="4.7476661677152867"/>
    <n v="0.871"/>
    <n v="5.6186661677152863"/>
  </r>
  <r>
    <x v="0"/>
    <x v="7"/>
    <x v="7"/>
    <x v="0"/>
    <x v="1"/>
    <s v="PTH"/>
    <x v="16"/>
    <x v="1"/>
    <x v="1"/>
    <m/>
    <m/>
    <x v="1"/>
    <m/>
    <m/>
    <x v="0"/>
    <x v="0"/>
    <x v="0"/>
    <x v="0"/>
    <x v="0"/>
    <m/>
    <m/>
    <x v="0"/>
    <m/>
    <m/>
    <n v="0"/>
    <n v="114.10665962400002"/>
    <n v="162.27434424680553"/>
    <n v="276.38100387080556"/>
    <n v="0"/>
    <n v="276.38100387080556"/>
    <n v="2.1414926235196607"/>
    <n v="0.15075"/>
    <n v="2.2922426235196607"/>
  </r>
  <r>
    <x v="0"/>
    <x v="7"/>
    <x v="7"/>
    <x v="0"/>
    <x v="1"/>
    <s v="OTH"/>
    <x v="32"/>
    <x v="1"/>
    <x v="1"/>
    <m/>
    <m/>
    <x v="1"/>
    <m/>
    <m/>
    <x v="0"/>
    <x v="0"/>
    <x v="0"/>
    <x v="0"/>
    <x v="0"/>
    <m/>
    <m/>
    <x v="0"/>
    <m/>
    <m/>
    <n v="0"/>
    <n v="63.392588680000017"/>
    <n v="90.152413470447499"/>
    <n v="153.54500215044752"/>
    <n v="0"/>
    <n v="153.54500215044752"/>
    <n v="1.1897181241775892"/>
    <n v="8.3750000000000005E-2"/>
    <n v="1.2734681241775891"/>
  </r>
  <r>
    <x v="0"/>
    <x v="7"/>
    <x v="7"/>
    <x v="0"/>
    <x v="1"/>
    <s v="STH"/>
    <x v="35"/>
    <x v="1"/>
    <x v="1"/>
    <m/>
    <m/>
    <x v="1"/>
    <m/>
    <m/>
    <x v="0"/>
    <x v="0"/>
    <x v="0"/>
    <x v="0"/>
    <x v="0"/>
    <m/>
    <m/>
    <x v="0"/>
    <m/>
    <m/>
    <n v="0"/>
    <n v="132.45023651471584"/>
    <n v="188.36126959270948"/>
    <n v="320.81150610742532"/>
    <n v="0"/>
    <n v="320.81150610742532"/>
    <n v="2.485755041943583"/>
    <n v="0.29312499999999997"/>
    <n v="2.7788800419435833"/>
  </r>
  <r>
    <x v="0"/>
    <x v="7"/>
    <x v="7"/>
    <x v="0"/>
    <x v="1"/>
    <s v="LEU"/>
    <x v="41"/>
    <x v="1"/>
    <x v="1"/>
    <m/>
    <m/>
    <x v="1"/>
    <m/>
    <m/>
    <x v="0"/>
    <x v="0"/>
    <x v="0"/>
    <x v="0"/>
    <x v="0"/>
    <m/>
    <m/>
    <x v="0"/>
    <m/>
    <m/>
    <n v="0"/>
    <n v="24.902638964597937"/>
    <n v="35.414755118684788"/>
    <n v="60.317394083282721"/>
    <n v="0"/>
    <n v="60.317394083282721"/>
    <n v="0.46735937958912194"/>
    <n v="6.7000000000000004E-2"/>
    <n v="0.53435937958912194"/>
  </r>
  <r>
    <x v="0"/>
    <x v="7"/>
    <x v="7"/>
    <x v="0"/>
    <x v="1"/>
    <s v="MRI"/>
    <x v="17"/>
    <x v="1"/>
    <x v="1"/>
    <m/>
    <m/>
    <x v="1"/>
    <m/>
    <m/>
    <x v="0"/>
    <x v="0"/>
    <x v="0"/>
    <x v="0"/>
    <x v="0"/>
    <m/>
    <m/>
    <x v="0"/>
    <m/>
    <m/>
    <n v="0"/>
    <n v="1039.7890016116394"/>
    <n v="1220.0727503263847"/>
    <n v="2259.8617519380241"/>
    <n v="0"/>
    <n v="2259.8617519380241"/>
    <n v="16.10098507628221"/>
    <n v="1.536"/>
    <n v="17.636985076282212"/>
  </r>
  <r>
    <x v="0"/>
    <x v="7"/>
    <x v="7"/>
    <x v="0"/>
    <x v="1"/>
    <s v="RHB"/>
    <x v="18"/>
    <x v="1"/>
    <x v="1"/>
    <m/>
    <m/>
    <x v="1"/>
    <m/>
    <m/>
    <x v="0"/>
    <x v="0"/>
    <x v="0"/>
    <x v="0"/>
    <x v="0"/>
    <m/>
    <m/>
    <x v="0"/>
    <m/>
    <m/>
    <n v="0"/>
    <n v="638.81222000000002"/>
    <n v="679.09826278765593"/>
    <n v="1317.9104827876558"/>
    <n v="0"/>
    <n v="1317.9104827876558"/>
    <n v="8.9618844380781404"/>
    <n v="1.7428750000000004"/>
    <n v="10.70475943807814"/>
  </r>
  <r>
    <x v="0"/>
    <x v="7"/>
    <x v="7"/>
    <x v="0"/>
    <x v="1"/>
    <s v="OCL"/>
    <x v="34"/>
    <x v="1"/>
    <x v="1"/>
    <m/>
    <m/>
    <x v="1"/>
    <m/>
    <m/>
    <x v="0"/>
    <x v="0"/>
    <x v="0"/>
    <x v="0"/>
    <x v="0"/>
    <m/>
    <m/>
    <x v="0"/>
    <m/>
    <m/>
    <n v="0"/>
    <n v="228.20334"/>
    <n v="324.53449671961096"/>
    <n v="552.73783671961098"/>
    <n v="0"/>
    <n v="552.73783671961098"/>
    <n v="4.2827979618620073"/>
    <n v="0.63650000000000007"/>
    <n v="4.9192979618620072"/>
  </r>
  <r>
    <x v="0"/>
    <x v="7"/>
    <x v="7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0"/>
    <n v="58189.778636711024"/>
    <n v="68392.639103597743"/>
    <n v="126582.41774030877"/>
    <n v="0"/>
    <n v="126582.41774030872"/>
    <n v="902.5599999999996"/>
    <n v="141.64938088342916"/>
    <n v="1044.2093808834293"/>
  </r>
  <r>
    <x v="0"/>
    <x v="8"/>
    <x v="8"/>
    <x v="1"/>
    <x v="0"/>
    <s v="MSG"/>
    <x v="0"/>
    <x v="0"/>
    <x v="0"/>
    <n v="0"/>
    <n v="8.5826020615367842"/>
    <x v="0"/>
    <n v="0"/>
    <n v="8.5826020615367842"/>
    <x v="0"/>
    <x v="0"/>
    <x v="0"/>
    <x v="0"/>
    <x v="0"/>
    <m/>
    <m/>
    <x v="0"/>
    <m/>
    <m/>
    <m/>
    <m/>
    <m/>
    <m/>
    <m/>
    <m/>
    <m/>
    <m/>
    <m/>
  </r>
  <r>
    <x v="0"/>
    <x v="8"/>
    <x v="8"/>
    <x v="1"/>
    <x v="0"/>
    <s v="EMG"/>
    <x v="5"/>
    <x v="0"/>
    <x v="0"/>
    <n v="0"/>
    <n v="110"/>
    <x v="0"/>
    <n v="0"/>
    <n v="110"/>
    <x v="0"/>
    <x v="0"/>
    <x v="0"/>
    <x v="0"/>
    <x v="0"/>
    <m/>
    <m/>
    <x v="0"/>
    <m/>
    <m/>
    <m/>
    <m/>
    <m/>
    <m/>
    <m/>
    <m/>
    <m/>
    <m/>
    <m/>
  </r>
  <r>
    <x v="0"/>
    <x v="8"/>
    <x v="8"/>
    <x v="1"/>
    <x v="0"/>
    <s v="XYZ"/>
    <x v="19"/>
    <x v="0"/>
    <x v="0"/>
    <n v="0"/>
    <n v="118.5826020615368"/>
    <x v="0"/>
    <n v="0"/>
    <n v="118.5826020615368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MSG"/>
    <x v="0"/>
    <x v="0"/>
    <x v="0"/>
    <n v="0"/>
    <n v="466.06349999999998"/>
    <x v="0"/>
    <n v="63.807800000000007"/>
    <n v="529.87130000000002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OBS"/>
    <x v="21"/>
    <x v="0"/>
    <x v="0"/>
    <n v="0"/>
    <n v="108.6"/>
    <x v="0"/>
    <n v="70"/>
    <n v="178.6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MIS"/>
    <x v="3"/>
    <x v="0"/>
    <x v="0"/>
    <n v="0"/>
    <n v="155.39999999999998"/>
    <x v="0"/>
    <n v="25.5"/>
    <n v="180.9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EMG"/>
    <x v="5"/>
    <x v="0"/>
    <x v="0"/>
    <n v="0"/>
    <n v="45.4"/>
    <x v="0"/>
    <n v="0.3"/>
    <n v="45.7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CL"/>
    <x v="6"/>
    <x v="0"/>
    <x v="0"/>
    <n v="0"/>
    <n v="390.5"/>
    <x v="0"/>
    <n v="47.9"/>
    <n v="438.4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OR"/>
    <x v="7"/>
    <x v="0"/>
    <x v="0"/>
    <n v="0"/>
    <n v="497.1"/>
    <x v="0"/>
    <n v="369"/>
    <n v="866.1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ANS"/>
    <x v="8"/>
    <x v="0"/>
    <x v="0"/>
    <n v="0"/>
    <n v="142.6"/>
    <x v="0"/>
    <n v="21.7"/>
    <n v="164.29999999999998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EKG"/>
    <x v="29"/>
    <x v="0"/>
    <x v="0"/>
    <n v="0"/>
    <n v="59.9"/>
    <x v="0"/>
    <n v="16"/>
    <n v="75.900000000000006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IRC"/>
    <x v="10"/>
    <x v="0"/>
    <x v="0"/>
    <n v="0"/>
    <n v="287.2"/>
    <x v="0"/>
    <n v="76.900000000000006"/>
    <n v="364.1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RAD"/>
    <x v="11"/>
    <x v="0"/>
    <x v="0"/>
    <n v="0"/>
    <n v="87.1"/>
    <x v="0"/>
    <n v="1.5"/>
    <n v="88.6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RAT"/>
    <x v="13"/>
    <x v="0"/>
    <x v="0"/>
    <n v="0"/>
    <n v="78.400000000000006"/>
    <x v="0"/>
    <n v="4.9000000000000004"/>
    <n v="83.300000000000011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PUL"/>
    <x v="30"/>
    <x v="0"/>
    <x v="0"/>
    <n v="0"/>
    <n v="5.3"/>
    <x v="0"/>
    <n v="0"/>
    <n v="5.3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EEG"/>
    <x v="31"/>
    <x v="0"/>
    <x v="0"/>
    <n v="0"/>
    <n v="48.3"/>
    <x v="0"/>
    <n v="12.7"/>
    <n v="61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RDL"/>
    <x v="33"/>
    <x v="0"/>
    <x v="0"/>
    <n v="0"/>
    <n v="1"/>
    <x v="0"/>
    <n v="7.1"/>
    <n v="8.1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OBV"/>
    <x v="38"/>
    <x v="0"/>
    <x v="0"/>
    <n v="0"/>
    <n v="93.436500000000038"/>
    <x v="0"/>
    <n v="12.792199999999999"/>
    <n v="106.22870000000005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0"/>
    <s v="XYZ"/>
    <x v="19"/>
    <x v="0"/>
    <x v="0"/>
    <n v="0"/>
    <n v="2466.3000000000002"/>
    <x v="0"/>
    <n v="730.10000000000014"/>
    <n v="3196.4000000000005"/>
    <x v="0"/>
    <x v="0"/>
    <x v="0"/>
    <x v="0"/>
    <x v="0"/>
    <m/>
    <m/>
    <x v="0"/>
    <m/>
    <m/>
    <m/>
    <m/>
    <m/>
    <m/>
    <m/>
    <m/>
    <m/>
    <m/>
    <m/>
  </r>
  <r>
    <x v="0"/>
    <x v="9"/>
    <x v="9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2508.6026973290391"/>
    <n v="63.807800000000007"/>
    <n v="0"/>
    <n v="2572.4104973290391"/>
    <n v="78.501529990754733"/>
    <n v="2650.9120273197937"/>
    <n v="31.5"/>
    <n v="0.22304502594560649"/>
    <n v="31.723045025945609"/>
  </r>
  <r>
    <x v="0"/>
    <x v="9"/>
    <x v="9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0"/>
    <n v="70"/>
    <n v="0"/>
    <n v="70"/>
    <n v="0.34352781850961539"/>
    <n v="70.343527818509614"/>
    <n v="0"/>
    <n v="0.13882211538461539"/>
    <n v="0.13882211538461539"/>
  </r>
  <r>
    <x v="0"/>
    <x v="9"/>
    <x v="9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526.48255968440958"/>
    <n v="25.5"/>
    <n v="0"/>
    <n v="551.98255968440958"/>
    <n v="16.671055388512993"/>
    <n v="568.65361507292255"/>
    <n v="6.7"/>
    <n v="3.6895966003658721E-2"/>
    <n v="6.7368959660036589"/>
  </r>
  <r>
    <x v="0"/>
    <x v="9"/>
    <x v="9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267.90055752915674"/>
    <n v="0"/>
    <n v="0"/>
    <n v="267.90055752915674"/>
    <n v="6.4339340000000007"/>
    <n v="274.33449152915676"/>
    <n v="2.6"/>
    <n v="0"/>
    <n v="2.6"/>
  </r>
  <r>
    <x v="0"/>
    <x v="9"/>
    <x v="9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179.01766227415612"/>
    <n v="0"/>
    <n v="0"/>
    <n v="179.01766227415612"/>
    <n v="4.2068029999999998"/>
    <n v="183.22446527415613"/>
    <n v="1.7"/>
    <n v="0"/>
    <n v="1.7"/>
  </r>
  <r>
    <x v="0"/>
    <x v="9"/>
    <x v="9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118.31759534048081"/>
    <n v="0.3"/>
    <n v="0"/>
    <n v="118.6175953404808"/>
    <n v="3.9617234134615393"/>
    <n v="122.57931875394232"/>
    <n v="1.6"/>
    <n v="9.6153846153846159E-4"/>
    <n v="1.6009615384615383"/>
  </r>
  <r>
    <x v="0"/>
    <x v="9"/>
    <x v="9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108.98176102675808"/>
    <n v="47.9"/>
    <n v="0"/>
    <n v="156.88176102675808"/>
    <n v="2.9012076795349282"/>
    <n v="159.78296870629302"/>
    <n v="1.1000000000000001"/>
    <n v="7.2399338692440932E-2"/>
    <n v="1.172399338692441"/>
  </r>
  <r>
    <x v="0"/>
    <x v="9"/>
    <x v="9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467.66988104301441"/>
    <n v="369"/>
    <n v="0"/>
    <n v="836.66988104301436"/>
    <n v="17.221151029574703"/>
    <n v="853.89103207258916"/>
    <n v="6.1"/>
    <n v="0.85919365615099963"/>
    <n v="6.9591936561509993"/>
  </r>
  <r>
    <x v="0"/>
    <x v="9"/>
    <x v="9"/>
    <x v="0"/>
    <x v="1"/>
    <s v="ANS"/>
    <x v="8"/>
    <x v="1"/>
    <x v="1"/>
    <m/>
    <m/>
    <x v="1"/>
    <m/>
    <m/>
    <x v="0"/>
    <x v="0"/>
    <x v="0"/>
    <x v="0"/>
    <x v="0"/>
    <m/>
    <m/>
    <x v="0"/>
    <m/>
    <m/>
    <n v="74.475959363854983"/>
    <n v="21.7"/>
    <n v="0"/>
    <n v="96.175959363854986"/>
    <n v="2.5424032836538464"/>
    <n v="98.718362647508826"/>
    <n v="1"/>
    <n v="2.7403846153846154E-2"/>
    <n v="1.0274038461538462"/>
  </r>
  <r>
    <x v="0"/>
    <x v="9"/>
    <x v="9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152.13164139880575"/>
    <n v="0"/>
    <n v="0"/>
    <n v="152.13164139880575"/>
    <n v="4.9491800000000001"/>
    <n v="157.08082139880577"/>
    <n v="2"/>
    <n v="0"/>
    <n v="2"/>
  </r>
  <r>
    <x v="0"/>
    <x v="9"/>
    <x v="9"/>
    <x v="0"/>
    <x v="1"/>
    <s v="EKG"/>
    <x v="29"/>
    <x v="1"/>
    <x v="1"/>
    <m/>
    <m/>
    <x v="1"/>
    <m/>
    <m/>
    <x v="0"/>
    <x v="0"/>
    <x v="0"/>
    <x v="0"/>
    <x v="0"/>
    <m/>
    <m/>
    <x v="0"/>
    <m/>
    <m/>
    <n v="78.101283225383881"/>
    <n v="16"/>
    <n v="0"/>
    <n v="94.101283225383881"/>
    <n v="2.5409681394572781"/>
    <n v="96.642251364841172"/>
    <n v="1"/>
    <n v="2.6823893839900019E-2"/>
    <n v="1.0268238938398999"/>
  </r>
  <r>
    <x v="0"/>
    <x v="9"/>
    <x v="9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4.5968278067323345"/>
    <n v="76.900000000000006"/>
    <n v="0"/>
    <n v="81.496827806732341"/>
    <n v="0.56564582333391988"/>
    <n v="82.062473630066279"/>
    <n v="0.1"/>
    <n v="0.12858163305190751"/>
    <n v="0.22858163305190751"/>
  </r>
  <r>
    <x v="0"/>
    <x v="9"/>
    <x v="9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0"/>
    <n v="1.5"/>
    <n v="0"/>
    <n v="1.5"/>
    <n v="5.6511069711538469E-3"/>
    <n v="1.5056511069711538"/>
    <n v="0"/>
    <n v="2.2836538461538463E-3"/>
    <n v="2.2836538461538463E-3"/>
  </r>
  <r>
    <x v="0"/>
    <x v="9"/>
    <x v="9"/>
    <x v="0"/>
    <x v="1"/>
    <s v="RAT"/>
    <x v="13"/>
    <x v="1"/>
    <x v="1"/>
    <m/>
    <m/>
    <x v="1"/>
    <m/>
    <m/>
    <x v="0"/>
    <x v="0"/>
    <x v="0"/>
    <x v="0"/>
    <x v="0"/>
    <m/>
    <m/>
    <x v="0"/>
    <m/>
    <m/>
    <n v="0"/>
    <n v="4.9000000000000004"/>
    <n v="0"/>
    <n v="4.9000000000000004"/>
    <n v="7.4807752073152434E-2"/>
    <n v="4.9748077520731524"/>
    <n v="0"/>
    <n v="3.023036223097662E-2"/>
    <n v="3.023036223097662E-2"/>
  </r>
  <r>
    <x v="0"/>
    <x v="9"/>
    <x v="9"/>
    <x v="0"/>
    <x v="1"/>
    <s v="NUC"/>
    <x v="14"/>
    <x v="1"/>
    <x v="1"/>
    <m/>
    <m/>
    <x v="1"/>
    <m/>
    <m/>
    <x v="0"/>
    <x v="0"/>
    <x v="0"/>
    <x v="0"/>
    <x v="0"/>
    <m/>
    <m/>
    <x v="0"/>
    <m/>
    <m/>
    <n v="11.907927067939877"/>
    <n v="0"/>
    <n v="0"/>
    <n v="11.907927067939877"/>
    <n v="0.49491800000000002"/>
    <n v="12.402845067939875"/>
    <n v="0.2"/>
    <n v="0"/>
    <n v="0.2"/>
  </r>
  <r>
    <x v="0"/>
    <x v="9"/>
    <x v="9"/>
    <x v="0"/>
    <x v="1"/>
    <s v="PUL"/>
    <x v="30"/>
    <x v="1"/>
    <x v="1"/>
    <m/>
    <m/>
    <x v="1"/>
    <m/>
    <m/>
    <x v="0"/>
    <x v="0"/>
    <x v="0"/>
    <x v="0"/>
    <x v="0"/>
    <m/>
    <m/>
    <x v="0"/>
    <m/>
    <m/>
    <n v="94.146355319382877"/>
    <n v="0"/>
    <n v="0"/>
    <n v="94.146355319382877"/>
    <n v="2.9695079999999998"/>
    <n v="97.115863319382882"/>
    <n v="1.2"/>
    <n v="0"/>
    <n v="1.2"/>
  </r>
  <r>
    <x v="0"/>
    <x v="9"/>
    <x v="9"/>
    <x v="0"/>
    <x v="1"/>
    <s v="EEG"/>
    <x v="31"/>
    <x v="1"/>
    <x v="1"/>
    <m/>
    <m/>
    <x v="1"/>
    <m/>
    <m/>
    <x v="0"/>
    <x v="0"/>
    <x v="0"/>
    <x v="0"/>
    <x v="0"/>
    <m/>
    <m/>
    <x v="0"/>
    <m/>
    <m/>
    <n v="43.472168501167523"/>
    <n v="12.7"/>
    <n v="0"/>
    <n v="56.172168501167519"/>
    <n v="1.5573261105769232"/>
    <n v="57.729494611744443"/>
    <n v="0.6"/>
    <n v="2.9326923076923077E-2"/>
    <n v="0.62932692307692306"/>
  </r>
  <r>
    <x v="0"/>
    <x v="9"/>
    <x v="9"/>
    <x v="0"/>
    <x v="1"/>
    <s v="RDL"/>
    <x v="33"/>
    <x v="1"/>
    <x v="1"/>
    <m/>
    <m/>
    <x v="1"/>
    <m/>
    <m/>
    <x v="0"/>
    <x v="0"/>
    <x v="0"/>
    <x v="0"/>
    <x v="0"/>
    <m/>
    <m/>
    <x v="0"/>
    <m/>
    <m/>
    <n v="51.855539497445399"/>
    <n v="7.1"/>
    <n v="0"/>
    <n v="58.9555394974454"/>
    <n v="1.7628539857464809"/>
    <n v="60.718393483191882"/>
    <n v="0.7"/>
    <n v="1.2382247461794015E-2"/>
    <n v="0.71238224746179402"/>
  </r>
  <r>
    <x v="0"/>
    <x v="9"/>
    <x v="9"/>
    <x v="0"/>
    <x v="1"/>
    <s v="OBV"/>
    <x v="38"/>
    <x v="1"/>
    <x v="1"/>
    <m/>
    <m/>
    <x v="1"/>
    <m/>
    <m/>
    <x v="0"/>
    <x v="0"/>
    <x v="0"/>
    <x v="0"/>
    <x v="0"/>
    <m/>
    <m/>
    <x v="0"/>
    <m/>
    <m/>
    <n v="526.40109901797769"/>
    <n v="12.792199999999999"/>
    <n v="0"/>
    <n v="539.19329901797767"/>
    <n v="16.442948037762353"/>
    <n v="555.63624705574"/>
    <n v="6.6"/>
    <n v="4.4716109643356886E-2"/>
    <n v="6.6447161096433565"/>
  </r>
  <r>
    <x v="0"/>
    <x v="9"/>
    <x v="9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5214.0615154257039"/>
    <n v="730.10000000000014"/>
    <n v="0"/>
    <n v="5944.1615154257042"/>
    <n v="164.14714255992365"/>
    <n v="6108.3086579856299"/>
    <n v="64.700000000000017"/>
    <n v="1.6330663099437177"/>
    <n v="66.333066309943732"/>
  </r>
  <r>
    <x v="0"/>
    <x v="10"/>
    <x v="10"/>
    <x v="0"/>
    <x v="0"/>
    <s v="MSG"/>
    <x v="0"/>
    <x v="2"/>
    <x v="0"/>
    <n v="645.08415467640475"/>
    <n v="4247.6667576713298"/>
    <x v="0"/>
    <n v="1905.6044988801457"/>
    <n v="6907.0043272389921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PED"/>
    <x v="20"/>
    <x v="3"/>
    <x v="0"/>
    <n v="29.964951387728991"/>
    <n v="338.54420619920523"/>
    <x v="0"/>
    <n v="378.64235355483663"/>
    <n v="818.18401982730143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PSY"/>
    <x v="1"/>
    <x v="0"/>
    <x v="0"/>
    <n v="2.3930392640255103"/>
    <n v="473.63531445581617"/>
    <x v="0"/>
    <n v="64.126134590629547"/>
    <n v="540.15448831047127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OBS"/>
    <x v="21"/>
    <x v="0"/>
    <x v="0"/>
    <n v="88.197815643992556"/>
    <n v="349.57878294259496"/>
    <x v="0"/>
    <n v="520.02781483665046"/>
    <n v="957.80441342323797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MIS"/>
    <x v="3"/>
    <x v="4"/>
    <x v="0"/>
    <n v="1016.6505221733788"/>
    <n v="410.43964757734994"/>
    <x v="0"/>
    <n v="81.901749161611406"/>
    <n v="1557.824011898299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PIC"/>
    <x v="25"/>
    <x v="5"/>
    <x v="0"/>
    <n v="6.0132829582960694"/>
    <n v="9.0199244374441037"/>
    <x v="0"/>
    <n v="4.5099622187220518"/>
    <n v="22.549811093610259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NEO"/>
    <x v="26"/>
    <x v="0"/>
    <x v="0"/>
    <n v="3.0066414791480347"/>
    <n v="0"/>
    <x v="0"/>
    <n v="10"/>
    <n v="13.006641479148035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EMG"/>
    <x v="5"/>
    <x v="0"/>
    <x v="0"/>
    <n v="85.034229199729026"/>
    <n v="3810.5437198303298"/>
    <x v="0"/>
    <n v="18.800467338151904"/>
    <n v="3914.3784163682103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CL"/>
    <x v="6"/>
    <x v="6"/>
    <x v="0"/>
    <n v="1483.7789801323306"/>
    <n v="4427.5930785934406"/>
    <x v="0"/>
    <n v="3851.1400089479598"/>
    <n v="10009.649193949674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DEL"/>
    <x v="28"/>
    <x v="7"/>
    <x v="0"/>
    <n v="0.29179664373107267"/>
    <n v="8.217469931193218"/>
    <x v="0"/>
    <n v="1.4589832186553633"/>
    <n v="10.260046437310727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OR"/>
    <x v="7"/>
    <x v="0"/>
    <x v="0"/>
    <n v="377.61604304636211"/>
    <n v="4022.8507729941134"/>
    <x v="0"/>
    <n v="1408.6913913430058"/>
    <n v="5809.1582073834816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ORC"/>
    <x v="39"/>
    <x v="0"/>
    <x v="0"/>
    <n v="0"/>
    <n v="2.3325047320753605"/>
    <x v="0"/>
    <n v="2.3325047320753605"/>
    <n v="4.6650094641507209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ANS"/>
    <x v="8"/>
    <x v="0"/>
    <x v="0"/>
    <n v="0"/>
    <n v="176.43993582806061"/>
    <x v="0"/>
    <n v="0"/>
    <n v="176.43993582806061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LAB"/>
    <x v="9"/>
    <x v="0"/>
    <x v="0"/>
    <n v="0"/>
    <n v="0"/>
    <x v="0"/>
    <n v="5"/>
    <n v="5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EKG"/>
    <x v="29"/>
    <x v="0"/>
    <x v="0"/>
    <n v="0"/>
    <n v="0"/>
    <x v="0"/>
    <n v="22"/>
    <n v="22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IRC"/>
    <x v="10"/>
    <x v="8"/>
    <x v="0"/>
    <n v="177.59906182276401"/>
    <n v="499.539923896191"/>
    <x v="0"/>
    <n v="2.3325047320753605"/>
    <n v="777.13567642294811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RAD"/>
    <x v="11"/>
    <x v="0"/>
    <x v="0"/>
    <n v="0"/>
    <n v="968.90441346891203"/>
    <x v="0"/>
    <n v="35.74683895623216"/>
    <n v="1004.6512524251442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CAT"/>
    <x v="12"/>
    <x v="0"/>
    <x v="0"/>
    <n v="0"/>
    <n v="10.35"/>
    <x v="0"/>
    <n v="0"/>
    <n v="10.35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RAT"/>
    <x v="13"/>
    <x v="9"/>
    <x v="0"/>
    <n v="13.153465304834114"/>
    <n v="209.42516386936879"/>
    <x v="0"/>
    <n v="0"/>
    <n v="235.73209447903704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RES"/>
    <x v="15"/>
    <x v="0"/>
    <x v="0"/>
    <n v="0"/>
    <n v="3.7729513131598842"/>
    <x v="0"/>
    <n v="0"/>
    <n v="3.7729513131598842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PUL"/>
    <x v="30"/>
    <x v="0"/>
    <x v="0"/>
    <n v="0"/>
    <n v="3.7729513131598842"/>
    <x v="0"/>
    <n v="0"/>
    <n v="3.7729513131598842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EEG"/>
    <x v="31"/>
    <x v="0"/>
    <x v="0"/>
    <n v="0"/>
    <n v="46.197349999999993"/>
    <x v="0"/>
    <n v="1"/>
    <n v="47.197349999999993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MRI"/>
    <x v="17"/>
    <x v="0"/>
    <x v="0"/>
    <n v="0"/>
    <n v="203.774"/>
    <x v="0"/>
    <n v="2"/>
    <n v="205.774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RHB"/>
    <x v="18"/>
    <x v="0"/>
    <x v="0"/>
    <n v="2.3930392640255103"/>
    <n v="144.78309311586506"/>
    <x v="0"/>
    <n v="308.42336985591481"/>
    <n v="455.59950223580529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0"/>
    <s v="XYZ"/>
    <x v="19"/>
    <x v="10"/>
    <x v="0"/>
    <n v="3931.177022996751"/>
    <n v="20367.381962169609"/>
    <x v="0"/>
    <n v="8623.7385823666682"/>
    <n v="33512.064300891201"/>
    <x v="0"/>
    <x v="0"/>
    <x v="0"/>
    <x v="0"/>
    <x v="0"/>
    <m/>
    <m/>
    <x v="0"/>
    <m/>
    <m/>
    <m/>
    <m/>
    <m/>
    <m/>
    <m/>
    <m/>
    <m/>
    <m/>
    <m/>
  </r>
  <r>
    <x v="0"/>
    <x v="10"/>
    <x v="10"/>
    <x v="0"/>
    <x v="2"/>
    <s v="MSG"/>
    <x v="0"/>
    <x v="1"/>
    <x v="1"/>
    <m/>
    <m/>
    <x v="1"/>
    <m/>
    <m/>
    <x v="0"/>
    <x v="0"/>
    <x v="0"/>
    <x v="0"/>
    <x v="0"/>
    <n v="11.083885687341338"/>
    <n v="4.6537576651415502E-2"/>
    <x v="0"/>
    <n v="11.130423263992752"/>
    <n v="7.1025879325135835E-2"/>
    <m/>
    <m/>
    <m/>
    <m/>
    <m/>
    <m/>
    <m/>
    <m/>
    <m/>
  </r>
  <r>
    <x v="0"/>
    <x v="10"/>
    <x v="10"/>
    <x v="0"/>
    <x v="2"/>
    <s v="CL"/>
    <x v="6"/>
    <x v="1"/>
    <x v="1"/>
    <m/>
    <m/>
    <x v="1"/>
    <m/>
    <m/>
    <x v="0"/>
    <x v="0"/>
    <x v="0"/>
    <x v="0"/>
    <x v="0"/>
    <n v="96.397760441348098"/>
    <n v="0.33805962931034489"/>
    <x v="0"/>
    <n v="96.735820070658448"/>
    <n v="0.51594827586206904"/>
    <m/>
    <m/>
    <m/>
    <m/>
    <m/>
    <m/>
    <m/>
    <m/>
    <m/>
  </r>
  <r>
    <x v="0"/>
    <x v="10"/>
    <x v="10"/>
    <x v="0"/>
    <x v="2"/>
    <s v="XYZ"/>
    <x v="19"/>
    <x v="1"/>
    <x v="1"/>
    <m/>
    <m/>
    <x v="1"/>
    <m/>
    <m/>
    <x v="0"/>
    <x v="0"/>
    <x v="0"/>
    <x v="0"/>
    <x v="0"/>
    <n v="107.48164612868943"/>
    <n v="0.38459720596176039"/>
    <x v="1"/>
    <n v="107.8662433346512"/>
    <n v="0.58697415518720486"/>
    <m/>
    <m/>
    <m/>
    <m/>
    <m/>
    <m/>
    <m/>
    <m/>
    <m/>
  </r>
  <r>
    <x v="0"/>
    <x v="10"/>
    <x v="10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2538.9955990919543"/>
    <n v="1905.6044988801457"/>
    <n v="0"/>
    <n v="4444.6000979720993"/>
    <n v="25.06822119379644"/>
    <n v="4469.6683191658958"/>
    <n v="33.647929903846155"/>
    <n v="4.6113130890362903"/>
    <n v="38.259242992882449"/>
  </r>
  <r>
    <x v="0"/>
    <x v="10"/>
    <x v="10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62.420340043992852"/>
    <n v="378.64235355483663"/>
    <n v="0"/>
    <n v="441.06269359882941"/>
    <n v="1.4751146741160053"/>
    <n v="442.53780827294543"/>
    <n v="0.81924605769230763"/>
    <n v="1.4320812432386849"/>
    <n v="2.2513273009309929"/>
  </r>
  <r>
    <x v="0"/>
    <x v="10"/>
    <x v="10"/>
    <x v="0"/>
    <x v="1"/>
    <s v="PSY"/>
    <x v="1"/>
    <x v="1"/>
    <x v="1"/>
    <m/>
    <m/>
    <x v="1"/>
    <m/>
    <m/>
    <x v="0"/>
    <x v="0"/>
    <x v="0"/>
    <x v="0"/>
    <x v="0"/>
    <m/>
    <m/>
    <x v="0"/>
    <m/>
    <m/>
    <n v="330"/>
    <n v="64.126134590629547"/>
    <n v="0"/>
    <n v="394.12613459062953"/>
    <n v="3.3689178182548791"/>
    <n v="397.49505240888442"/>
    <n v="5"/>
    <n v="0.14165901262916189"/>
    <n v="5.1416590126291615"/>
  </r>
  <r>
    <x v="0"/>
    <x v="10"/>
    <x v="10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62.420340043992852"/>
    <n v="520.02781483665046"/>
    <n v="0"/>
    <n v="582.44815488064341"/>
    <n v="1.3820168024798849"/>
    <n v="583.83017168312324"/>
    <n v="0.81924605769230763"/>
    <n v="1.2899948117559457"/>
    <n v="2.1092408694482536"/>
  </r>
  <r>
    <x v="0"/>
    <x v="10"/>
    <x v="10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1428.1650730394699"/>
    <n v="81.901749161611406"/>
    <n v="0"/>
    <n v="1510.0668222010815"/>
    <n v="13.094072513992796"/>
    <n v="1523.1608947150744"/>
    <n v="19.630854615384649"/>
    <n v="0.35338352446577626"/>
    <n v="19.984238139850422"/>
  </r>
  <r>
    <x v="0"/>
    <x v="10"/>
    <x v="10"/>
    <x v="0"/>
    <x v="1"/>
    <s v="PIC"/>
    <x v="25"/>
    <x v="1"/>
    <x v="1"/>
    <m/>
    <m/>
    <x v="1"/>
    <m/>
    <m/>
    <x v="0"/>
    <x v="0"/>
    <x v="0"/>
    <x v="0"/>
    <x v="0"/>
    <m/>
    <m/>
    <x v="0"/>
    <m/>
    <m/>
    <n v="31.210170021996426"/>
    <n v="4.5099622187220518"/>
    <n v="0"/>
    <n v="35.72013224071847"/>
    <n v="0.33391520096057692"/>
    <n v="36.054047441679046"/>
    <n v="0.40962302884615381"/>
    <n v="0.1"/>
    <n v="0.50962302884615385"/>
  </r>
  <r>
    <x v="0"/>
    <x v="10"/>
    <x v="10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62.420340043992852"/>
    <n v="10"/>
    <n v="0"/>
    <n v="72.420340043992837"/>
    <n v="0.66783040192115384"/>
    <n v="73.088170445913988"/>
    <n v="0.81924605769230763"/>
    <n v="0.2"/>
    <n v="1.0192460576923077"/>
  </r>
  <r>
    <x v="0"/>
    <x v="10"/>
    <x v="10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1192.8890505649492"/>
    <n v="18.800467338151904"/>
    <n v="0"/>
    <n v="1211.6895179031012"/>
    <n v="9.4387210225228753"/>
    <n v="1221.1282389256239"/>
    <n v="14.310399951923101"/>
    <n v="9.5022688598979027E-2"/>
    <n v="14.405422640522078"/>
  </r>
  <r>
    <x v="0"/>
    <x v="10"/>
    <x v="10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3253.196694518344"/>
    <n v="3851.1400089479598"/>
    <n v="0"/>
    <n v="7104.3367034663042"/>
    <n v="34.157312053087885"/>
    <n v="7138.4940155193917"/>
    <n v="42.680279519230766"/>
    <n v="9.4507788322967912"/>
    <n v="52.131058351527557"/>
  </r>
  <r>
    <x v="0"/>
    <x v="10"/>
    <x v="10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156.05085010998209"/>
    <n v="1.4589832186553633"/>
    <n v="0"/>
    <n v="157.50983332863746"/>
    <n v="1.3431114943133742"/>
    <n v="158.85294482295083"/>
    <n v="2.0481151442307692"/>
    <n v="1.7482517482517485E-3"/>
    <n v="2.0498633959790209"/>
  </r>
  <r>
    <x v="0"/>
    <x v="10"/>
    <x v="10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1393.9442360594769"/>
    <n v="1408.6913913430058"/>
    <n v="0"/>
    <n v="2802.6356274024824"/>
    <n v="13.428169358525579"/>
    <n v="2816.0637967610078"/>
    <n v="18.181083942307701"/>
    <n v="2.3130544517058809"/>
    <n v="20.494138394013586"/>
  </r>
  <r>
    <x v="0"/>
    <x v="10"/>
    <x v="10"/>
    <x v="0"/>
    <x v="1"/>
    <s v="ORC"/>
    <x v="39"/>
    <x v="1"/>
    <x v="1"/>
    <m/>
    <m/>
    <x v="1"/>
    <m/>
    <m/>
    <x v="0"/>
    <x v="0"/>
    <x v="0"/>
    <x v="0"/>
    <x v="0"/>
    <m/>
    <m/>
    <x v="0"/>
    <m/>
    <m/>
    <n v="5"/>
    <n v="2.3325047320753605"/>
    <n v="0"/>
    <n v="7.3325047320753596"/>
    <n v="9.9814519475524485E-2"/>
    <n v="7.4323192515508847"/>
    <n v="0.15"/>
    <n v="2.3374125874125878E-3"/>
    <n v="0.15233741258741257"/>
  </r>
  <r>
    <x v="0"/>
    <x v="10"/>
    <x v="10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31.210170021996426"/>
    <n v="5"/>
    <n v="0"/>
    <n v="36.210170021996419"/>
    <n v="0.26839320096057695"/>
    <n v="36.478563222956993"/>
    <n v="0.40962302884615381"/>
    <n v="0"/>
    <n v="0.40962302884615381"/>
  </r>
  <r>
    <x v="0"/>
    <x v="10"/>
    <x v="10"/>
    <x v="0"/>
    <x v="1"/>
    <s v="EKG"/>
    <x v="29"/>
    <x v="1"/>
    <x v="1"/>
    <m/>
    <m/>
    <x v="1"/>
    <m/>
    <m/>
    <x v="0"/>
    <x v="0"/>
    <x v="0"/>
    <x v="0"/>
    <x v="0"/>
    <m/>
    <m/>
    <x v="0"/>
    <m/>
    <m/>
    <n v="203.78814124901427"/>
    <n v="22"/>
    <n v="0"/>
    <n v="225.78814124901427"/>
    <n v="1.5688672732596154"/>
    <n v="227.3570085222739"/>
    <n v="2.2944129807692306"/>
    <n v="0.1"/>
    <n v="2.3944129807692307"/>
  </r>
  <r>
    <x v="0"/>
    <x v="10"/>
    <x v="10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5"/>
    <n v="2.3325047320753605"/>
    <n v="0"/>
    <n v="7.3325047320753596"/>
    <n v="9.9814519475524485E-2"/>
    <n v="7.4323192515508847"/>
    <n v="0.15"/>
    <n v="2.3374125874125878E-3"/>
    <n v="0.15233741258741257"/>
  </r>
  <r>
    <x v="0"/>
    <x v="10"/>
    <x v="10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285.553324358579"/>
    <n v="35.74683895623216"/>
    <n v="0"/>
    <n v="321.30016331481119"/>
    <n v="2.5209144706423081"/>
    <n v="323.8210777854535"/>
    <n v="3.7474321153846151"/>
    <n v="0.1"/>
    <n v="3.847432115384616"/>
  </r>
  <r>
    <x v="0"/>
    <x v="10"/>
    <x v="10"/>
    <x v="0"/>
    <x v="1"/>
    <s v="EEG"/>
    <x v="31"/>
    <x v="1"/>
    <x v="1"/>
    <m/>
    <m/>
    <x v="1"/>
    <m/>
    <m/>
    <x v="0"/>
    <x v="0"/>
    <x v="0"/>
    <x v="0"/>
    <x v="0"/>
    <m/>
    <m/>
    <x v="0"/>
    <m/>
    <m/>
    <n v="1.2101700219964222"/>
    <n v="1"/>
    <n v="0"/>
    <n v="2.2101700219964222"/>
    <n v="0.26839320096057695"/>
    <n v="2.4785632229569989"/>
    <n v="0.40962302884615381"/>
    <n v="0"/>
    <n v="0.40962302884615381"/>
  </r>
  <r>
    <x v="0"/>
    <x v="10"/>
    <x v="10"/>
    <x v="0"/>
    <x v="1"/>
    <s v="MRI"/>
    <x v="17"/>
    <x v="1"/>
    <x v="1"/>
    <m/>
    <m/>
    <x v="1"/>
    <m/>
    <m/>
    <x v="0"/>
    <x v="0"/>
    <x v="0"/>
    <x v="0"/>
    <x v="0"/>
    <m/>
    <m/>
    <x v="0"/>
    <m/>
    <m/>
    <n v="15.37565333660039"/>
    <n v="2"/>
    <n v="0"/>
    <n v="17.37565333660039"/>
    <n v="0.14075574644230768"/>
    <n v="17.516409083042699"/>
    <n v="0.21482211538461535"/>
    <n v="0"/>
    <n v="0.21482211538461535"/>
  </r>
  <r>
    <x v="0"/>
    <x v="10"/>
    <x v="10"/>
    <x v="0"/>
    <x v="1"/>
    <s v="RHB"/>
    <x v="18"/>
    <x v="1"/>
    <x v="1"/>
    <m/>
    <m/>
    <x v="1"/>
    <m/>
    <m/>
    <x v="0"/>
    <x v="0"/>
    <x v="0"/>
    <x v="0"/>
    <x v="0"/>
    <m/>
    <m/>
    <x v="0"/>
    <m/>
    <m/>
    <n v="718.18736724223641"/>
    <n v="308.42336985591476"/>
    <n v="0"/>
    <n v="1026.6107370981513"/>
    <n v="6.6949875269605768"/>
    <n v="1033.3057246251119"/>
    <n v="9.2025384134615376"/>
    <n v="1.0153846153846151"/>
    <n v="10.217923028846151"/>
  </r>
  <r>
    <x v="0"/>
    <x v="10"/>
    <x v="10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11777.037519768581"/>
    <n v="8623.7385823666682"/>
    <n v="0"/>
    <n v="20400.776102135249"/>
    <n v="115.41934299214846"/>
    <n v="20516.195445127396"/>
    <n v="154.9444759615385"/>
    <n v="21.209095346035198"/>
    <n v="176.15357130757369"/>
  </r>
  <r>
    <x v="0"/>
    <x v="11"/>
    <x v="11"/>
    <x v="1"/>
    <x v="0"/>
    <s v="EMG"/>
    <x v="5"/>
    <x v="0"/>
    <x v="4"/>
    <n v="0"/>
    <n v="64.569511131107518"/>
    <x v="0"/>
    <n v="0"/>
    <n v="233.7137396311075"/>
    <x v="0"/>
    <x v="0"/>
    <x v="0"/>
    <x v="0"/>
    <x v="0"/>
    <m/>
    <m/>
    <x v="0"/>
    <m/>
    <m/>
    <m/>
    <m/>
    <m/>
    <m/>
    <m/>
    <m/>
    <m/>
    <m/>
    <m/>
  </r>
  <r>
    <x v="0"/>
    <x v="11"/>
    <x v="11"/>
    <x v="1"/>
    <x v="0"/>
    <s v="CL"/>
    <x v="6"/>
    <x v="0"/>
    <x v="0"/>
    <n v="0"/>
    <n v="179.89708000000002"/>
    <x v="0"/>
    <n v="0"/>
    <n v="179.89708000000002"/>
    <x v="0"/>
    <x v="0"/>
    <x v="0"/>
    <x v="0"/>
    <x v="0"/>
    <m/>
    <m/>
    <x v="0"/>
    <m/>
    <m/>
    <m/>
    <m/>
    <m/>
    <m/>
    <m/>
    <m/>
    <m/>
    <m/>
    <m/>
  </r>
  <r>
    <x v="0"/>
    <x v="11"/>
    <x v="11"/>
    <x v="1"/>
    <x v="0"/>
    <s v="RES"/>
    <x v="15"/>
    <x v="0"/>
    <x v="0"/>
    <n v="0"/>
    <n v="14.90832"/>
    <x v="0"/>
    <n v="0"/>
    <n v="14.90832"/>
    <x v="0"/>
    <x v="0"/>
    <x v="0"/>
    <x v="0"/>
    <x v="0"/>
    <m/>
    <m/>
    <x v="0"/>
    <m/>
    <m/>
    <m/>
    <m/>
    <m/>
    <m/>
    <m/>
    <m/>
    <m/>
    <m/>
    <m/>
  </r>
  <r>
    <x v="0"/>
    <x v="11"/>
    <x v="11"/>
    <x v="1"/>
    <x v="0"/>
    <s v="RDL"/>
    <x v="33"/>
    <x v="0"/>
    <x v="0"/>
    <n v="0"/>
    <n v="12"/>
    <x v="0"/>
    <n v="0"/>
    <n v="12"/>
    <x v="0"/>
    <x v="0"/>
    <x v="0"/>
    <x v="0"/>
    <x v="0"/>
    <m/>
    <m/>
    <x v="0"/>
    <m/>
    <m/>
    <m/>
    <m/>
    <m/>
    <m/>
    <m/>
    <m/>
    <m/>
    <m/>
    <m/>
  </r>
  <r>
    <x v="0"/>
    <x v="11"/>
    <x v="11"/>
    <x v="1"/>
    <x v="0"/>
    <s v="XYZ"/>
    <x v="19"/>
    <x v="0"/>
    <x v="4"/>
    <n v="0"/>
    <n v="271.37491113110752"/>
    <x v="0"/>
    <n v="0"/>
    <n v="440.5191396311074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MSA"/>
    <x v="37"/>
    <x v="0"/>
    <x v="5"/>
    <n v="0"/>
    <n v="0"/>
    <x v="0"/>
    <n v="0"/>
    <n v="326.85944866968475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MSG"/>
    <x v="0"/>
    <x v="0"/>
    <x v="0"/>
    <n v="465.6534380490944"/>
    <n v="1890.8926526957828"/>
    <x v="0"/>
    <n v="1213.6772625332592"/>
    <n v="3570.2233532781365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PSY"/>
    <x v="1"/>
    <x v="0"/>
    <x v="0"/>
    <n v="0"/>
    <n v="707.85539615685741"/>
    <x v="0"/>
    <n v="0"/>
    <n v="707.85539615685741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OBS"/>
    <x v="21"/>
    <x v="0"/>
    <x v="0"/>
    <n v="48.602449902095138"/>
    <n v="425.5358989035409"/>
    <x v="0"/>
    <n v="199.9764352756516"/>
    <n v="674.11478408128767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MIS"/>
    <x v="3"/>
    <x v="0"/>
    <x v="0"/>
    <n v="99.755414568183397"/>
    <n v="539.84937208452754"/>
    <x v="0"/>
    <n v="82.354777400351196"/>
    <n v="721.95956405306208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NEO"/>
    <x v="26"/>
    <x v="0"/>
    <x v="0"/>
    <n v="17.894265626185756"/>
    <n v="162.534130405273"/>
    <x v="0"/>
    <n v="0"/>
    <n v="180.4283960314587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NUR"/>
    <x v="4"/>
    <x v="0"/>
    <x v="0"/>
    <n v="0"/>
    <n v="68.684431375322475"/>
    <x v="0"/>
    <n v="0"/>
    <n v="68.684431375322475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EMG"/>
    <x v="5"/>
    <x v="0"/>
    <x v="0"/>
    <n v="182.9399374987853"/>
    <n v="2090.4610155707705"/>
    <x v="0"/>
    <n v="93.574619534682682"/>
    <n v="2366.975572604238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CL"/>
    <x v="6"/>
    <x v="0"/>
    <x v="0"/>
    <n v="292.17352350206221"/>
    <n v="1387.6436287870545"/>
    <x v="0"/>
    <n v="776.27326840898229"/>
    <n v="2456.090420698098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PDC"/>
    <x v="40"/>
    <x v="0"/>
    <x v="0"/>
    <n v="0"/>
    <n v="277.20458087328427"/>
    <x v="0"/>
    <n v="0"/>
    <n v="277.20458087328427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DEL"/>
    <x v="28"/>
    <x v="0"/>
    <x v="0"/>
    <n v="21.0125474606414"/>
    <n v="12.722333967599946"/>
    <x v="0"/>
    <n v="0"/>
    <n v="33.734881428241344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OR"/>
    <x v="7"/>
    <x v="0"/>
    <x v="0"/>
    <n v="43.994019687545681"/>
    <n v="79.465957439628042"/>
    <x v="0"/>
    <n v="326.19095562733338"/>
    <n v="449.6509327545071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IRC"/>
    <x v="10"/>
    <x v="0"/>
    <x v="0"/>
    <n v="17.254351078980068"/>
    <n v="65.133371195679331"/>
    <x v="0"/>
    <n v="56.329628978776029"/>
    <n v="138.71735125343542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OBV"/>
    <x v="38"/>
    <x v="0"/>
    <x v="0"/>
    <n v="7.299910796630666"/>
    <n v="0"/>
    <x v="0"/>
    <n v="0"/>
    <n v="7.29991079663066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0"/>
    <s v="XYZ"/>
    <x v="19"/>
    <x v="0"/>
    <x v="5"/>
    <n v="1196.579858170204"/>
    <n v="7707.9827694553214"/>
    <x v="0"/>
    <n v="2748.3769477590363"/>
    <n v="11979.799024054246"/>
    <x v="0"/>
    <x v="0"/>
    <x v="0"/>
    <x v="0"/>
    <x v="0"/>
    <m/>
    <m/>
    <x v="0"/>
    <m/>
    <m/>
    <m/>
    <m/>
    <m/>
    <m/>
    <m/>
    <m/>
    <m/>
    <m/>
    <m/>
  </r>
  <r>
    <x v="0"/>
    <x v="12"/>
    <x v="12"/>
    <x v="0"/>
    <x v="2"/>
    <s v="MSG"/>
    <x v="0"/>
    <x v="1"/>
    <x v="1"/>
    <m/>
    <m/>
    <x v="1"/>
    <m/>
    <m/>
    <x v="0"/>
    <x v="0"/>
    <x v="0"/>
    <x v="0"/>
    <x v="0"/>
    <n v="128.94620987498195"/>
    <n v="0.87051804189677073"/>
    <x v="0"/>
    <n v="129.81672791687873"/>
    <n v="0.64793346028504817"/>
    <m/>
    <m/>
    <m/>
    <m/>
    <m/>
    <m/>
    <m/>
    <m/>
    <m/>
  </r>
  <r>
    <x v="0"/>
    <x v="12"/>
    <x v="12"/>
    <x v="0"/>
    <x v="2"/>
    <s v="OBS"/>
    <x v="21"/>
    <x v="1"/>
    <x v="1"/>
    <m/>
    <m/>
    <x v="1"/>
    <m/>
    <m/>
    <x v="0"/>
    <x v="0"/>
    <x v="0"/>
    <x v="0"/>
    <x v="0"/>
    <n v="3.8782942566364862"/>
    <n v="3.7463817307692299E-2"/>
    <x v="0"/>
    <n v="3.9157580739441782"/>
    <n v="2.7884615384615379E-2"/>
    <m/>
    <m/>
    <m/>
    <m/>
    <m/>
    <m/>
    <m/>
    <m/>
    <m/>
  </r>
  <r>
    <x v="0"/>
    <x v="12"/>
    <x v="12"/>
    <x v="0"/>
    <x v="2"/>
    <s v="MIS"/>
    <x v="3"/>
    <x v="1"/>
    <x v="1"/>
    <m/>
    <m/>
    <x v="1"/>
    <m/>
    <m/>
    <x v="0"/>
    <x v="0"/>
    <x v="0"/>
    <x v="0"/>
    <x v="0"/>
    <n v="20.944899404590242"/>
    <n v="0.13930533427952188"/>
    <x v="0"/>
    <n v="21.084204738869765"/>
    <n v="0.10368606155390792"/>
    <m/>
    <m/>
    <m/>
    <m/>
    <m/>
    <m/>
    <m/>
    <m/>
    <m/>
  </r>
  <r>
    <x v="0"/>
    <x v="12"/>
    <x v="12"/>
    <x v="0"/>
    <x v="2"/>
    <s v="NUR"/>
    <x v="4"/>
    <x v="1"/>
    <x v="1"/>
    <m/>
    <m/>
    <x v="1"/>
    <m/>
    <m/>
    <x v="0"/>
    <x v="0"/>
    <x v="0"/>
    <x v="0"/>
    <x v="0"/>
    <n v="15.895043463111588"/>
    <n v="0.12730478690610855"/>
    <x v="0"/>
    <n v="16.022348250017696"/>
    <n v="9.4753959276018082E-2"/>
    <m/>
    <m/>
    <m/>
    <m/>
    <m/>
    <m/>
    <m/>
    <m/>
    <m/>
  </r>
  <r>
    <x v="0"/>
    <x v="12"/>
    <x v="12"/>
    <x v="0"/>
    <x v="2"/>
    <s v="EMG"/>
    <x v="5"/>
    <x v="1"/>
    <x v="1"/>
    <m/>
    <m/>
    <x v="1"/>
    <m/>
    <m/>
    <x v="0"/>
    <x v="0"/>
    <x v="0"/>
    <x v="0"/>
    <x v="0"/>
    <n v="95.413792893961812"/>
    <n v="0.59369057323369556"/>
    <x v="0"/>
    <n v="96.007483467195513"/>
    <n v="0.44188858695652167"/>
    <m/>
    <m/>
    <m/>
    <m/>
    <m/>
    <m/>
    <m/>
    <m/>
    <m/>
  </r>
  <r>
    <x v="0"/>
    <x v="12"/>
    <x v="12"/>
    <x v="0"/>
    <x v="2"/>
    <s v="CL"/>
    <x v="6"/>
    <x v="1"/>
    <x v="1"/>
    <m/>
    <m/>
    <x v="1"/>
    <m/>
    <m/>
    <x v="0"/>
    <x v="0"/>
    <x v="0"/>
    <x v="0"/>
    <x v="0"/>
    <n v="54.963755075734809"/>
    <n v="0.3962884306070435"/>
    <x v="0"/>
    <n v="55.360043506341853"/>
    <n v="0.29496061167747911"/>
    <m/>
    <m/>
    <m/>
    <m/>
    <m/>
    <m/>
    <m/>
    <m/>
    <m/>
  </r>
  <r>
    <x v="0"/>
    <x v="12"/>
    <x v="12"/>
    <x v="0"/>
    <x v="2"/>
    <s v="DEL"/>
    <x v="28"/>
    <x v="1"/>
    <x v="1"/>
    <m/>
    <m/>
    <x v="1"/>
    <m/>
    <m/>
    <x v="0"/>
    <x v="0"/>
    <x v="0"/>
    <x v="0"/>
    <x v="0"/>
    <n v="5.8034054547566081"/>
    <n v="2.8868813795940175E-2"/>
    <x v="0"/>
    <n v="5.8322742685525482"/>
    <n v="2.1487286324786331E-2"/>
    <m/>
    <m/>
    <m/>
    <m/>
    <m/>
    <m/>
    <m/>
    <m/>
    <m/>
  </r>
  <r>
    <x v="0"/>
    <x v="12"/>
    <x v="12"/>
    <x v="0"/>
    <x v="2"/>
    <s v="OR"/>
    <x v="7"/>
    <x v="1"/>
    <x v="1"/>
    <m/>
    <m/>
    <x v="1"/>
    <m/>
    <m/>
    <x v="0"/>
    <x v="0"/>
    <x v="0"/>
    <x v="0"/>
    <x v="0"/>
    <n v="91.338080326643961"/>
    <n v="0.52534245134276325"/>
    <x v="0"/>
    <n v="91.863422777986713"/>
    <n v="0.391016539521085"/>
    <m/>
    <m/>
    <m/>
    <m/>
    <m/>
    <m/>
    <m/>
    <m/>
    <m/>
  </r>
  <r>
    <x v="0"/>
    <x v="12"/>
    <x v="12"/>
    <x v="0"/>
    <x v="2"/>
    <s v="XYZ"/>
    <x v="19"/>
    <x v="1"/>
    <x v="1"/>
    <m/>
    <m/>
    <x v="1"/>
    <m/>
    <m/>
    <x v="0"/>
    <x v="0"/>
    <x v="0"/>
    <x v="0"/>
    <x v="0"/>
    <n v="417.18348075041752"/>
    <n v="2.7187822493695362"/>
    <x v="1"/>
    <n v="419.90226299978701"/>
    <n v="2.0236111209794614"/>
    <m/>
    <m/>
    <m/>
    <m/>
    <m/>
    <m/>
    <m/>
    <m/>
    <m/>
  </r>
  <r>
    <x v="0"/>
    <x v="12"/>
    <x v="12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2062.1393660506842"/>
    <n v="1213.6772625332592"/>
    <n v="1032.994461334225"/>
    <n v="4411.3140449750672"/>
    <n v="38.131534722391663"/>
    <n v="4346.9426246405601"/>
    <n v="26.519726027397621"/>
    <n v="3.0783150636455727"/>
    <n v="28.381602734878765"/>
  </r>
  <r>
    <x v="0"/>
    <x v="12"/>
    <x v="12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144.23833932119294"/>
    <n v="199.9764352756516"/>
    <n v="23.098955009338383"/>
    <n v="366.47890520914592"/>
    <n v="3.322751987843128"/>
    <n v="370.63648159402607"/>
    <n v="1.769863013698654"/>
    <n v="0.70328755818521294"/>
    <n v="2.4731505718838638"/>
  </r>
  <r>
    <x v="0"/>
    <x v="12"/>
    <x v="12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620.49279407677284"/>
    <n v="82.354777400351196"/>
    <n v="99.368414815714246"/>
    <n v="840.37917999231229"/>
    <n v="10.445501837443912"/>
    <n v="812.66148813028212"/>
    <n v="8.057534246575452"/>
    <n v="0.16097096223816451"/>
    <n v="7.7746695923752451"/>
  </r>
  <r>
    <x v="0"/>
    <x v="12"/>
    <x v="12"/>
    <x v="0"/>
    <x v="1"/>
    <s v="NUR"/>
    <x v="4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16123021277106803"/>
    <n v="0.16123021277106803"/>
    <n v="0"/>
    <n v="0.12000492193778184"/>
    <n v="0.12000492193778184"/>
  </r>
  <r>
    <x v="0"/>
    <x v="12"/>
    <x v="12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172.37151386371659"/>
    <n v="93.574619534682668"/>
    <n v="27.60432394304835"/>
    <n v="292.55280341805366"/>
    <n v="3.1137044052276361"/>
    <n v="296.66416174667523"/>
    <n v="2.1150684931507131"/>
    <n v="0.20248631040978787"/>
    <n v="2.3175548035604985"/>
  </r>
  <r>
    <x v="0"/>
    <x v="12"/>
    <x v="12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1623.8646969275103"/>
    <n v="776.27326840898229"/>
    <n v="260.05275540544307"/>
    <n v="2711.3618810509151"/>
    <n v="29.700597612269465"/>
    <n v="2689.8913183542049"/>
    <n v="20.569315068493431"/>
    <n v="2.1809101427210154"/>
    <n v="22.106389594776051"/>
  </r>
  <r>
    <x v="0"/>
    <x v="12"/>
    <x v="12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27323009771844059"/>
    <n v="0.27323009771844059"/>
    <n v="0"/>
    <n v="0.20336732169615904"/>
    <n v="0.20336732169615904"/>
  </r>
  <r>
    <x v="0"/>
    <x v="12"/>
    <x v="12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1573.2696385835736"/>
    <n v="326.19095562733338"/>
    <n v="251.9502427040247"/>
    <n v="2196.1734941126069"/>
    <n v="26.706462167608795"/>
    <n v="2178.1172990825403"/>
    <n v="19.877260273972855"/>
    <n v="0.57317337954658021"/>
    <n v="19.877830913793364"/>
  </r>
  <r>
    <x v="0"/>
    <x v="12"/>
    <x v="12"/>
    <x v="0"/>
    <x v="1"/>
    <s v="ORC"/>
    <x v="39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9.1257833005602682E-2"/>
    <n v="9.1257833005602682E-2"/>
    <n v="0"/>
    <n v="6.792392652609372E-2"/>
    <n v="6.792392652609372E-2"/>
  </r>
  <r>
    <x v="0"/>
    <x v="12"/>
    <x v="12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56.043069922011469"/>
    <n v="56.329628978776029"/>
    <n v="8.9749809711206403"/>
    <n v="121.02331311702228"/>
    <n v="1.0117721793579799"/>
    <n v="122.35945205126612"/>
    <n v="0.68767123287672127"/>
    <n v="6.5398798576228045E-2"/>
    <n v="0.7530700314529486"/>
  </r>
  <r>
    <x v="0"/>
    <x v="12"/>
    <x v="12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6252.4194187454623"/>
    <n v="2748.3769477590363"/>
    <n v="1704.0441341829144"/>
    <n v="10939.283621875122"/>
    <n v="112.95804305563767"/>
    <n v="10817.798543743053"/>
    <n v="79.596438356165464"/>
    <n v="7.3558383854825964"/>
    <n v="84.075564412880766"/>
  </r>
  <r>
    <x v="0"/>
    <x v="13"/>
    <x v="13"/>
    <x v="1"/>
    <x v="0"/>
    <s v="MSA"/>
    <x v="37"/>
    <x v="0"/>
    <x v="0"/>
    <n v="12"/>
    <n v="0"/>
    <x v="0"/>
    <n v="0"/>
    <n v="12"/>
    <x v="0"/>
    <x v="0"/>
    <x v="0"/>
    <x v="0"/>
    <x v="0"/>
    <m/>
    <m/>
    <x v="0"/>
    <m/>
    <m/>
    <m/>
    <m/>
    <m/>
    <m/>
    <m/>
    <m/>
    <m/>
    <m/>
    <m/>
  </r>
  <r>
    <x v="0"/>
    <x v="13"/>
    <x v="13"/>
    <x v="1"/>
    <x v="0"/>
    <s v="XYZ"/>
    <x v="19"/>
    <x v="0"/>
    <x v="0"/>
    <n v="12"/>
    <n v="0"/>
    <x v="0"/>
    <n v="0"/>
    <n v="12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MSA"/>
    <x v="37"/>
    <x v="0"/>
    <x v="6"/>
    <n v="0"/>
    <n v="0"/>
    <x v="0"/>
    <n v="0"/>
    <n v="932.97250172010013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MSG"/>
    <x v="0"/>
    <x v="0"/>
    <x v="0"/>
    <n v="32.399514400035471"/>
    <n v="362.44817906924072"/>
    <x v="0"/>
    <n v="0"/>
    <n v="394.84769346927618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OBS"/>
    <x v="21"/>
    <x v="0"/>
    <x v="0"/>
    <n v="9.0553596250399035"/>
    <n v="96.176211259109024"/>
    <x v="0"/>
    <n v="0"/>
    <n v="105.23157088414894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EMG"/>
    <x v="5"/>
    <x v="0"/>
    <x v="0"/>
    <n v="22.781473663287962"/>
    <n v="458.55260965360128"/>
    <x v="0"/>
    <n v="0"/>
    <n v="481.33408331688918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CL"/>
    <x v="6"/>
    <x v="0"/>
    <x v="0"/>
    <n v="307.29006714499627"/>
    <n v="191.04843293790924"/>
    <x v="0"/>
    <n v="0"/>
    <n v="498.33850008290551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DEL"/>
    <x v="28"/>
    <x v="0"/>
    <x v="0"/>
    <n v="0"/>
    <n v="67.780033276758545"/>
    <x v="0"/>
    <n v="0"/>
    <n v="67.780033276758545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OR"/>
    <x v="7"/>
    <x v="0"/>
    <x v="0"/>
    <n v="10.477249559778183"/>
    <n v="27.29124025282395"/>
    <x v="0"/>
    <n v="0"/>
    <n v="37.768489812602134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ORC"/>
    <x v="39"/>
    <x v="0"/>
    <x v="0"/>
    <n v="4.1908998239112734"/>
    <n v="25.99631972405588"/>
    <x v="0"/>
    <n v="0"/>
    <n v="30.18721954796715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0"/>
    <s v="XYZ"/>
    <x v="19"/>
    <x v="0"/>
    <x v="6"/>
    <n v="386.19456421704894"/>
    <n v="1229.2930261734984"/>
    <x v="0"/>
    <n v="0"/>
    <n v="2548.4600921106476"/>
    <x v="0"/>
    <x v="0"/>
    <x v="0"/>
    <x v="0"/>
    <x v="0"/>
    <m/>
    <m/>
    <x v="0"/>
    <m/>
    <m/>
    <m/>
    <m/>
    <m/>
    <m/>
    <m/>
    <m/>
    <m/>
    <m/>
    <m/>
  </r>
  <r>
    <x v="0"/>
    <x v="14"/>
    <x v="14"/>
    <x v="1"/>
    <x v="2"/>
    <s v="MSG"/>
    <x v="0"/>
    <x v="1"/>
    <x v="1"/>
    <m/>
    <m/>
    <x v="1"/>
    <m/>
    <m/>
    <x v="0"/>
    <x v="0"/>
    <x v="0"/>
    <x v="0"/>
    <x v="0"/>
    <n v="1.1440718186745622"/>
    <n v="2.4626270527225585E-2"/>
    <x v="0"/>
    <n v="1.1686980892017875"/>
    <n v="7.3465859982713919E-3"/>
    <m/>
    <m/>
    <m/>
    <m/>
    <m/>
    <m/>
    <m/>
    <m/>
    <m/>
  </r>
  <r>
    <x v="0"/>
    <x v="14"/>
    <x v="14"/>
    <x v="1"/>
    <x v="2"/>
    <s v="MIS"/>
    <x v="3"/>
    <x v="1"/>
    <x v="1"/>
    <m/>
    <m/>
    <x v="1"/>
    <m/>
    <m/>
    <x v="0"/>
    <x v="0"/>
    <x v="0"/>
    <x v="0"/>
    <x v="0"/>
    <n v="73.395136867055626"/>
    <n v="0.93739778044871791"/>
    <x v="0"/>
    <n v="74.332534647504346"/>
    <n v="0.2796474358974359"/>
    <m/>
    <m/>
    <m/>
    <m/>
    <m/>
    <m/>
    <m/>
    <m/>
    <m/>
  </r>
  <r>
    <x v="0"/>
    <x v="14"/>
    <x v="14"/>
    <x v="1"/>
    <x v="2"/>
    <s v="EMG"/>
    <x v="5"/>
    <x v="1"/>
    <x v="1"/>
    <m/>
    <m/>
    <x v="1"/>
    <m/>
    <m/>
    <x v="0"/>
    <x v="0"/>
    <x v="0"/>
    <x v="0"/>
    <x v="0"/>
    <n v="25.015513349457699"/>
    <n v="0.3776980281690141"/>
    <x v="0"/>
    <n v="25.393211377626713"/>
    <n v="0.11267605633802816"/>
    <m/>
    <m/>
    <m/>
    <m/>
    <m/>
    <m/>
    <m/>
    <m/>
    <m/>
  </r>
  <r>
    <x v="0"/>
    <x v="14"/>
    <x v="14"/>
    <x v="1"/>
    <x v="2"/>
    <s v="CL"/>
    <x v="6"/>
    <x v="1"/>
    <x v="1"/>
    <m/>
    <m/>
    <x v="1"/>
    <m/>
    <m/>
    <x v="0"/>
    <x v="0"/>
    <x v="0"/>
    <x v="0"/>
    <x v="0"/>
    <n v="6.8644309120473732"/>
    <n v="0.14775762316335347"/>
    <x v="0"/>
    <n v="7.0121885352107265"/>
    <n v="4.4079515989628344E-2"/>
    <m/>
    <m/>
    <m/>
    <m/>
    <m/>
    <m/>
    <m/>
    <m/>
    <m/>
  </r>
  <r>
    <x v="0"/>
    <x v="14"/>
    <x v="14"/>
    <x v="1"/>
    <x v="2"/>
    <s v="XYZ"/>
    <x v="19"/>
    <x v="1"/>
    <x v="1"/>
    <m/>
    <m/>
    <x v="1"/>
    <m/>
    <m/>
    <x v="0"/>
    <x v="0"/>
    <x v="0"/>
    <x v="0"/>
    <x v="0"/>
    <n v="106.41915294723526"/>
    <n v="1.4874797023083113"/>
    <x v="1"/>
    <n v="107.90663264954355"/>
    <n v="0.4437495942233638"/>
    <m/>
    <m/>
    <m/>
    <m/>
    <m/>
    <m/>
    <m/>
    <m/>
    <m/>
  </r>
  <r>
    <x v="0"/>
    <x v="15"/>
    <x v="15"/>
    <x v="0"/>
    <x v="0"/>
    <s v="MSA"/>
    <x v="37"/>
    <x v="0"/>
    <x v="7"/>
    <n v="0"/>
    <n v="0"/>
    <x v="0"/>
    <n v="0"/>
    <n v="294.07299999999998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MSG"/>
    <x v="0"/>
    <x v="0"/>
    <x v="0"/>
    <n v="0"/>
    <n v="61.5"/>
    <x v="0"/>
    <n v="0"/>
    <n v="61.5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PSY"/>
    <x v="1"/>
    <x v="0"/>
    <x v="0"/>
    <n v="0"/>
    <n v="-26.491"/>
    <x v="0"/>
    <n v="0"/>
    <n v="-26.491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MIS"/>
    <x v="3"/>
    <x v="0"/>
    <x v="0"/>
    <n v="0"/>
    <n v="351.91300000000001"/>
    <x v="0"/>
    <n v="4.3453958500000001"/>
    <n v="356.25839585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CCU"/>
    <x v="24"/>
    <x v="0"/>
    <x v="0"/>
    <n v="0"/>
    <n v="200.04"/>
    <x v="0"/>
    <n v="0.73699999999999999"/>
    <n v="200.77699999999999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EMG"/>
    <x v="5"/>
    <x v="0"/>
    <x v="0"/>
    <n v="0"/>
    <n v="376.02800000000002"/>
    <x v="0"/>
    <n v="0"/>
    <n v="376.02800000000002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OR"/>
    <x v="7"/>
    <x v="0"/>
    <x v="0"/>
    <n v="0"/>
    <n v="18.056000000000001"/>
    <x v="0"/>
    <n v="21.254502899999999"/>
    <n v="39.310502900000003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ANS"/>
    <x v="8"/>
    <x v="0"/>
    <x v="0"/>
    <n v="0"/>
    <n v="200"/>
    <x v="0"/>
    <n v="0"/>
    <n v="200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EKG"/>
    <x v="29"/>
    <x v="0"/>
    <x v="0"/>
    <n v="0"/>
    <n v="50.003999999999998"/>
    <x v="0"/>
    <n v="0"/>
    <n v="50.003999999999998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EEG"/>
    <x v="31"/>
    <x v="0"/>
    <x v="0"/>
    <n v="0"/>
    <n v="31.073"/>
    <x v="0"/>
    <n v="0"/>
    <n v="31.073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PTH"/>
    <x v="16"/>
    <x v="0"/>
    <x v="0"/>
    <n v="0"/>
    <n v="18"/>
    <x v="0"/>
    <n v="0"/>
    <n v="18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0"/>
    <s v="XYZ"/>
    <x v="19"/>
    <x v="0"/>
    <x v="7"/>
    <n v="0"/>
    <n v="1280.123"/>
    <x v="0"/>
    <n v="26.33689875"/>
    <n v="1600.53289875"/>
    <x v="0"/>
    <x v="0"/>
    <x v="0"/>
    <x v="0"/>
    <x v="0"/>
    <m/>
    <m/>
    <x v="0"/>
    <m/>
    <m/>
    <m/>
    <m/>
    <m/>
    <m/>
    <m/>
    <m/>
    <m/>
    <m/>
    <m/>
  </r>
  <r>
    <x v="0"/>
    <x v="15"/>
    <x v="15"/>
    <x v="0"/>
    <x v="2"/>
    <s v="EMG"/>
    <x v="5"/>
    <x v="1"/>
    <x v="1"/>
    <m/>
    <m/>
    <x v="1"/>
    <m/>
    <m/>
    <x v="0"/>
    <x v="0"/>
    <x v="0"/>
    <x v="0"/>
    <x v="0"/>
    <n v="159.92099999999999"/>
    <n v="0"/>
    <x v="0"/>
    <n v="159.92099999999999"/>
    <n v="1.1443317307692309"/>
    <m/>
    <m/>
    <m/>
    <m/>
    <m/>
    <m/>
    <m/>
    <m/>
    <m/>
  </r>
  <r>
    <x v="0"/>
    <x v="15"/>
    <x v="15"/>
    <x v="0"/>
    <x v="2"/>
    <s v="CL"/>
    <x v="6"/>
    <x v="1"/>
    <x v="1"/>
    <m/>
    <m/>
    <x v="1"/>
    <m/>
    <m/>
    <x v="0"/>
    <x v="0"/>
    <x v="0"/>
    <x v="0"/>
    <x v="0"/>
    <n v="8.1769999999999996"/>
    <n v="0"/>
    <x v="0"/>
    <n v="8.1769999999999996"/>
    <n v="5.9975961538461534E-2"/>
    <m/>
    <m/>
    <m/>
    <m/>
    <m/>
    <m/>
    <m/>
    <m/>
    <m/>
  </r>
  <r>
    <x v="0"/>
    <x v="15"/>
    <x v="15"/>
    <x v="0"/>
    <x v="2"/>
    <s v="OR"/>
    <x v="7"/>
    <x v="1"/>
    <x v="1"/>
    <m/>
    <m/>
    <x v="1"/>
    <m/>
    <m/>
    <x v="0"/>
    <x v="0"/>
    <x v="0"/>
    <x v="0"/>
    <x v="0"/>
    <n v="143.197"/>
    <n v="0"/>
    <x v="0"/>
    <n v="143.197"/>
    <n v="0.90247596153846155"/>
    <m/>
    <m/>
    <m/>
    <m/>
    <m/>
    <m/>
    <m/>
    <m/>
    <m/>
  </r>
  <r>
    <x v="0"/>
    <x v="15"/>
    <x v="15"/>
    <x v="0"/>
    <x v="2"/>
    <s v="IRC"/>
    <x v="10"/>
    <x v="1"/>
    <x v="1"/>
    <m/>
    <m/>
    <x v="1"/>
    <m/>
    <m/>
    <x v="0"/>
    <x v="0"/>
    <x v="0"/>
    <x v="0"/>
    <x v="0"/>
    <n v="98.161000000000001"/>
    <n v="0"/>
    <x v="0"/>
    <n v="98.161000000000001"/>
    <n v="0.89251442307692308"/>
    <m/>
    <m/>
    <m/>
    <m/>
    <m/>
    <m/>
    <m/>
    <m/>
    <m/>
  </r>
  <r>
    <x v="0"/>
    <x v="15"/>
    <x v="15"/>
    <x v="0"/>
    <x v="2"/>
    <s v="XYZ"/>
    <x v="19"/>
    <x v="1"/>
    <x v="1"/>
    <m/>
    <m/>
    <x v="1"/>
    <m/>
    <m/>
    <x v="0"/>
    <x v="0"/>
    <x v="0"/>
    <x v="0"/>
    <x v="0"/>
    <n v="409.45600000000002"/>
    <n v="0"/>
    <x v="1"/>
    <n v="409.45600000000002"/>
    <n v="2.9992980769230773"/>
    <m/>
    <m/>
    <m/>
    <m/>
    <m/>
    <m/>
    <m/>
    <m/>
    <m/>
  </r>
  <r>
    <x v="0"/>
    <x v="15"/>
    <x v="15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69.714799199999987"/>
    <n v="4.3453958500000001"/>
    <n v="0"/>
    <n v="74.060195050000004"/>
    <n v="0"/>
    <n v="74.060195050000004"/>
    <n v="0.80840000000000001"/>
    <n v="0"/>
    <n v="0.80840000000000001"/>
  </r>
  <r>
    <x v="0"/>
    <x v="15"/>
    <x v="15"/>
    <x v="0"/>
    <x v="1"/>
    <s v="CCU"/>
    <x v="24"/>
    <x v="1"/>
    <x v="1"/>
    <m/>
    <m/>
    <x v="1"/>
    <m/>
    <m/>
    <x v="0"/>
    <x v="0"/>
    <x v="0"/>
    <x v="0"/>
    <x v="0"/>
    <m/>
    <m/>
    <x v="0"/>
    <m/>
    <m/>
    <n v="11.8232298"/>
    <n v="0.73699999999999999"/>
    <n v="0"/>
    <n v="12.5602298"/>
    <n v="0"/>
    <n v="12.5602298"/>
    <n v="0.1371"/>
    <n v="0"/>
    <n v="0.1371"/>
  </r>
  <r>
    <x v="0"/>
    <x v="15"/>
    <x v="15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40.99367580000001"/>
    <n v="21.254502899999999"/>
    <n v="0"/>
    <n v="362.24817869999998"/>
    <n v="0"/>
    <n v="362.24817869999998"/>
    <n v="3.9540999999999999"/>
    <n v="0.17"/>
    <n v="4.1241000000000003"/>
  </r>
  <r>
    <x v="0"/>
    <x v="15"/>
    <x v="15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422.5317048"/>
    <n v="26.33689875"/>
    <n v="0"/>
    <n v="448.86860354999999"/>
    <n v="0"/>
    <n v="448.86860354999999"/>
    <n v="4.8996000000000004"/>
    <n v="0.17"/>
    <n v="5.0696000000000003"/>
  </r>
  <r>
    <x v="0"/>
    <x v="16"/>
    <x v="16"/>
    <x v="0"/>
    <x v="0"/>
    <s v="MSA"/>
    <x v="37"/>
    <x v="0"/>
    <x v="8"/>
    <n v="1630.95980095544"/>
    <n v="0"/>
    <x v="0"/>
    <n v="0"/>
    <n v="2271.6113360103609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MSG"/>
    <x v="0"/>
    <x v="0"/>
    <x v="0"/>
    <n v="0"/>
    <n v="1976.3535490236736"/>
    <x v="0"/>
    <n v="0"/>
    <n v="1976.3535490236736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OBS"/>
    <x v="21"/>
    <x v="0"/>
    <x v="0"/>
    <n v="0"/>
    <n v="256.13743944703526"/>
    <x v="0"/>
    <n v="0"/>
    <n v="256.13743944703526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NEO"/>
    <x v="26"/>
    <x v="0"/>
    <x v="0"/>
    <n v="0"/>
    <n v="166.13743944703526"/>
    <x v="0"/>
    <n v="0"/>
    <n v="166.13743944703526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NUR"/>
    <x v="4"/>
    <x v="0"/>
    <x v="0"/>
    <n v="0"/>
    <n v="166.13743944703526"/>
    <x v="0"/>
    <n v="0"/>
    <n v="166.13743944703526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EMG"/>
    <x v="5"/>
    <x v="0"/>
    <x v="0"/>
    <n v="0"/>
    <n v="120"/>
    <x v="0"/>
    <n v="0"/>
    <n v="120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CL"/>
    <x v="6"/>
    <x v="0"/>
    <x v="0"/>
    <n v="0"/>
    <n v="96.793499999999995"/>
    <x v="0"/>
    <n v="0"/>
    <n v="96.793499999999995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DEL"/>
    <x v="28"/>
    <x v="0"/>
    <x v="0"/>
    <n v="0"/>
    <n v="184.88743944703529"/>
    <x v="0"/>
    <n v="0"/>
    <n v="184.88743944703529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OR"/>
    <x v="7"/>
    <x v="0"/>
    <x v="0"/>
    <n v="0"/>
    <n v="2974.329081131797"/>
    <x v="0"/>
    <n v="0"/>
    <n v="2974.3290811317975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LAB"/>
    <x v="9"/>
    <x v="0"/>
    <x v="0"/>
    <n v="0"/>
    <n v="248.88213472300623"/>
    <x v="0"/>
    <n v="0"/>
    <n v="248.88213472300623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IRC"/>
    <x v="10"/>
    <x v="0"/>
    <x v="0"/>
    <n v="0"/>
    <n v="24.466999999999999"/>
    <x v="0"/>
    <n v="0"/>
    <n v="24.466999999999999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RAT"/>
    <x v="13"/>
    <x v="0"/>
    <x v="0"/>
    <n v="0"/>
    <n v="35.003999999999998"/>
    <x v="0"/>
    <n v="0"/>
    <n v="35.003999999999998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0"/>
    <s v="XYZ"/>
    <x v="19"/>
    <x v="0"/>
    <x v="8"/>
    <n v="1630.95980095544"/>
    <n v="6249.1290226666169"/>
    <x v="0"/>
    <n v="0"/>
    <n v="8520.7403586769778"/>
    <x v="0"/>
    <x v="0"/>
    <x v="0"/>
    <x v="0"/>
    <x v="0"/>
    <m/>
    <m/>
    <x v="0"/>
    <m/>
    <m/>
    <m/>
    <m/>
    <m/>
    <m/>
    <m/>
    <m/>
    <m/>
    <m/>
    <m/>
  </r>
  <r>
    <x v="0"/>
    <x v="16"/>
    <x v="16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1809.4160534828231"/>
    <n v="395.18520000000001"/>
    <n v="430.09738482277902"/>
    <n v="2634.6986383056023"/>
    <n v="27.795252999999999"/>
    <n v="2662.4938913056021"/>
    <n v="24.1"/>
    <n v="0"/>
    <n v="24.1"/>
  </r>
  <r>
    <x v="0"/>
    <x v="16"/>
    <x v="16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271.74775631745348"/>
    <n v="75"/>
    <n v="64.594319862822033"/>
    <n v="411.34207618027551"/>
    <n v="4.1519880000000002"/>
    <n v="415.49406418027553"/>
    <n v="3.6"/>
    <n v="0"/>
    <n v="3.6"/>
  </r>
  <r>
    <x v="0"/>
    <x v="16"/>
    <x v="16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516.97601528080656"/>
    <n v="98.796300000000002"/>
    <n v="122.8849670922226"/>
    <n v="738.65728237302915"/>
    <n v="7.9579769999999996"/>
    <n v="746.61525937302918"/>
    <n v="6.9"/>
    <n v="0"/>
    <n v="6.9"/>
  </r>
  <r>
    <x v="0"/>
    <x v="16"/>
    <x v="16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258.48800764040328"/>
    <n v="18"/>
    <n v="61.442483546111298"/>
    <n v="337.93049118651459"/>
    <n v="3.921322"/>
    <n v="341.85181318651456"/>
    <n v="3.4"/>
    <n v="0"/>
    <n v="3.4"/>
  </r>
  <r>
    <x v="0"/>
    <x v="16"/>
    <x v="16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271.74775631745348"/>
    <n v="135"/>
    <n v="64.594319862822033"/>
    <n v="471.34207618027551"/>
    <n v="4.1519880000000002"/>
    <n v="475.49406418027553"/>
    <n v="3.6"/>
    <n v="0"/>
    <n v="3.6"/>
  </r>
  <r>
    <x v="0"/>
    <x v="16"/>
    <x v="16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1016.0667881600104"/>
    <n v="117.0795"/>
    <n v="241.51862008283533"/>
    <n v="1374.6649082428455"/>
    <n v="15.569955"/>
    <n v="1390.2348632428457"/>
    <n v="13.5"/>
    <n v="0"/>
    <n v="13.5"/>
  </r>
  <r>
    <x v="0"/>
    <x v="16"/>
    <x v="16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4144.4423771989505"/>
    <n v="839.06100000000004"/>
    <n v="985.13209526959236"/>
    <n v="5968.6354724685425"/>
    <n v="63.548483000000019"/>
    <n v="6032.1839554685439"/>
    <n v="55.1"/>
    <n v="0"/>
    <n v="55.1"/>
  </r>
  <r>
    <x v="0"/>
    <x v="17"/>
    <x v="17"/>
    <x v="0"/>
    <x v="0"/>
    <s v="MSA"/>
    <x v="37"/>
    <x v="0"/>
    <x v="9"/>
    <n v="0"/>
    <n v="0"/>
    <x v="0"/>
    <n v="0"/>
    <n v="340.79120414618092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MSG"/>
    <x v="0"/>
    <x v="0"/>
    <x v="0"/>
    <n v="567.15422828110763"/>
    <n v="2302.2906866080612"/>
    <x v="0"/>
    <n v="1555.8672337785897"/>
    <n v="4425.3121486677592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MIS"/>
    <x v="3"/>
    <x v="0"/>
    <x v="0"/>
    <n v="72.429775625788068"/>
    <n v="618.29959552762352"/>
    <x v="0"/>
    <n v="159.86645074760972"/>
    <n v="850.5958219010214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EMG"/>
    <x v="5"/>
    <x v="0"/>
    <x v="0"/>
    <n v="26.943030815265445"/>
    <n v="1020.2349279235698"/>
    <x v="0"/>
    <n v="150.81631422715913"/>
    <n v="1197.9942729659945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CL"/>
    <x v="6"/>
    <x v="0"/>
    <x v="0"/>
    <n v="68.162932192521353"/>
    <n v="604.41355320695038"/>
    <x v="0"/>
    <n v="769.33000337523345"/>
    <n v="1441.9064887747052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OR"/>
    <x v="7"/>
    <x v="0"/>
    <x v="0"/>
    <n v="21.296587596406013"/>
    <n v="128.48284936750565"/>
    <x v="0"/>
    <n v="1396.0114134787559"/>
    <n v="1545.7908504426675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ORC"/>
    <x v="39"/>
    <x v="0"/>
    <x v="0"/>
    <n v="10.012042197730873"/>
    <n v="116.35469048046286"/>
    <x v="0"/>
    <n v="0"/>
    <n v="126.36673267819371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IRC"/>
    <x v="10"/>
    <x v="0"/>
    <x v="0"/>
    <n v="0"/>
    <n v="48.179916124810177"/>
    <x v="0"/>
    <n v="0"/>
    <n v="48.179916124810184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EEG"/>
    <x v="31"/>
    <x v="0"/>
    <x v="0"/>
    <n v="0"/>
    <n v="4.8585164946890371"/>
    <x v="0"/>
    <n v="0"/>
    <n v="4.8585164946890371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OBV"/>
    <x v="38"/>
    <x v="0"/>
    <x v="0"/>
    <n v="76.392025986261402"/>
    <n v="43.424485458032237"/>
    <x v="0"/>
    <n v="0"/>
    <n v="119.81651144429364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0"/>
    <s v="XYZ"/>
    <x v="19"/>
    <x v="0"/>
    <x v="9"/>
    <n v="842.39062269508099"/>
    <n v="4886.5392211917042"/>
    <x v="0"/>
    <n v="4031.8914156073479"/>
    <n v="10101.612463640316"/>
    <x v="0"/>
    <x v="0"/>
    <x v="0"/>
    <x v="0"/>
    <x v="0"/>
    <m/>
    <m/>
    <x v="0"/>
    <m/>
    <m/>
    <m/>
    <m/>
    <m/>
    <m/>
    <m/>
    <m/>
    <m/>
    <m/>
    <m/>
  </r>
  <r>
    <x v="0"/>
    <x v="17"/>
    <x v="17"/>
    <x v="0"/>
    <x v="2"/>
    <s v="MSG"/>
    <x v="0"/>
    <x v="1"/>
    <x v="1"/>
    <m/>
    <m/>
    <x v="1"/>
    <m/>
    <m/>
    <x v="0"/>
    <x v="0"/>
    <x v="0"/>
    <x v="0"/>
    <x v="0"/>
    <n v="120.31425117212532"/>
    <n v="1.3357044691626945"/>
    <x v="0"/>
    <n v="121.64995564128802"/>
    <n v="0.70348738823225188"/>
    <m/>
    <m/>
    <m/>
    <m/>
    <m/>
    <m/>
    <m/>
    <m/>
    <m/>
  </r>
  <r>
    <x v="0"/>
    <x v="17"/>
    <x v="17"/>
    <x v="0"/>
    <x v="2"/>
    <s v="MIS"/>
    <x v="3"/>
    <x v="1"/>
    <x v="1"/>
    <m/>
    <m/>
    <x v="1"/>
    <m/>
    <m/>
    <x v="0"/>
    <x v="0"/>
    <x v="0"/>
    <x v="0"/>
    <x v="0"/>
    <n v="11.919123073096094"/>
    <n v="0.1025414310897436"/>
    <x v="0"/>
    <n v="12.021664504185836"/>
    <n v="5.4006410256410259E-2"/>
    <m/>
    <m/>
    <m/>
    <m/>
    <m/>
    <m/>
    <m/>
    <m/>
    <m/>
  </r>
  <r>
    <x v="0"/>
    <x v="17"/>
    <x v="17"/>
    <x v="0"/>
    <x v="2"/>
    <s v="EMG"/>
    <x v="5"/>
    <x v="1"/>
    <x v="1"/>
    <m/>
    <m/>
    <x v="1"/>
    <m/>
    <m/>
    <x v="0"/>
    <x v="0"/>
    <x v="0"/>
    <x v="0"/>
    <x v="0"/>
    <n v="170.03201247788351"/>
    <n v="1.6624346386970763"/>
    <x v="0"/>
    <n v="171.69444711658059"/>
    <n v="0.87556928129240508"/>
    <m/>
    <m/>
    <m/>
    <m/>
    <m/>
    <m/>
    <m/>
    <m/>
    <m/>
  </r>
  <r>
    <x v="0"/>
    <x v="17"/>
    <x v="17"/>
    <x v="0"/>
    <x v="2"/>
    <s v="CL"/>
    <x v="6"/>
    <x v="1"/>
    <x v="1"/>
    <m/>
    <m/>
    <x v="1"/>
    <m/>
    <m/>
    <x v="0"/>
    <x v="0"/>
    <x v="0"/>
    <x v="0"/>
    <x v="0"/>
    <n v="134.83554443055741"/>
    <n v="1.5836904943869972"/>
    <x v="0"/>
    <n v="136.41923492494439"/>
    <n v="0.83409640035340005"/>
    <m/>
    <m/>
    <m/>
    <m/>
    <m/>
    <m/>
    <m/>
    <m/>
    <m/>
  </r>
  <r>
    <x v="0"/>
    <x v="17"/>
    <x v="17"/>
    <x v="0"/>
    <x v="2"/>
    <s v="IRC"/>
    <x v="10"/>
    <x v="1"/>
    <x v="1"/>
    <m/>
    <m/>
    <x v="1"/>
    <m/>
    <m/>
    <x v="0"/>
    <x v="0"/>
    <x v="0"/>
    <x v="0"/>
    <x v="0"/>
    <n v="23.838246146192187"/>
    <n v="0.20508286217948721"/>
    <x v="0"/>
    <n v="24.043329008371675"/>
    <n v="0.10801282051282052"/>
    <m/>
    <m/>
    <m/>
    <m/>
    <m/>
    <m/>
    <m/>
    <m/>
    <m/>
  </r>
  <r>
    <x v="0"/>
    <x v="17"/>
    <x v="17"/>
    <x v="0"/>
    <x v="2"/>
    <s v="OBV"/>
    <x v="38"/>
    <x v="1"/>
    <x v="1"/>
    <m/>
    <m/>
    <x v="1"/>
    <m/>
    <m/>
    <x v="0"/>
    <x v="0"/>
    <x v="0"/>
    <x v="0"/>
    <x v="0"/>
    <n v="22.33677173511937"/>
    <n v="0.24372607211538455"/>
    <x v="0"/>
    <n v="22.580497807234757"/>
    <n v="0.1283653846153846"/>
    <m/>
    <m/>
    <m/>
    <m/>
    <m/>
    <m/>
    <m/>
    <m/>
    <m/>
  </r>
  <r>
    <x v="0"/>
    <x v="17"/>
    <x v="17"/>
    <x v="0"/>
    <x v="2"/>
    <s v="XYZ"/>
    <x v="19"/>
    <x v="1"/>
    <x v="1"/>
    <m/>
    <m/>
    <x v="1"/>
    <m/>
    <m/>
    <x v="0"/>
    <x v="0"/>
    <x v="0"/>
    <x v="0"/>
    <x v="0"/>
    <n v="483.27594903497391"/>
    <n v="5.1331799676313832"/>
    <x v="1"/>
    <n v="488.40912900260537"/>
    <n v="2.7035376852626718"/>
    <m/>
    <m/>
    <m/>
    <m/>
    <m/>
    <m/>
    <m/>
    <m/>
    <m/>
  </r>
  <r>
    <x v="0"/>
    <x v="17"/>
    <x v="17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4318.5378385627964"/>
    <n v="1555.8672337785897"/>
    <n v="816.89473937710613"/>
    <n v="7062.1612725167161"/>
    <n v="108.30157055004776"/>
    <n v="6799.6013822685391"/>
    <n v="56.994520547945747"/>
    <n v="4.5278255234912326"/>
    <n v="57.040154290614979"/>
  </r>
  <r>
    <x v="0"/>
    <x v="17"/>
    <x v="17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1323.4773967609899"/>
    <n v="159.86645074760972"/>
    <n v="93.036483882633547"/>
    <n v="1674.5851848971715"/>
    <n v="31.153104691036862"/>
    <n v="1607.5334360822701"/>
    <n v="17.290410958904292"/>
    <n v="0.31453287111848649"/>
    <n v="16.407683556050152"/>
  </r>
  <r>
    <x v="0"/>
    <x v="17"/>
    <x v="17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29.51575399654233"/>
    <n v="150.81631422715913"/>
    <n v="2.0748688097761305"/>
    <n v="182.25794854400155"/>
    <n v="1.2789733393751019"/>
    <n v="183.68591037285267"/>
    <n v="0.35890410958904467"/>
    <n v="0.31470418843490999"/>
    <n v="0.67360829802395439"/>
  </r>
  <r>
    <x v="0"/>
    <x v="17"/>
    <x v="17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866.77179866181916"/>
    <n v="769.33000337523345"/>
    <n v="60.931452757318866"/>
    <n v="1755.7812785067017"/>
    <n v="23.329652787569621"/>
    <n v="1720.362907581941"/>
    <n v="11.26027397260285"/>
    <n v="1.7475103237550773"/>
    <n v="12.287236351152435"/>
  </r>
  <r>
    <x v="0"/>
    <x v="17"/>
    <x v="17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265.19116377046021"/>
    <n v="1396.0114134787559"/>
    <n v="18.642141901576363"/>
    <n v="1678.5060973789352"/>
    <n v="9.2435081752157515"/>
    <n v="1689.0882273260083"/>
    <n v="3.2246575342466048"/>
    <n v="1.6437033752308536"/>
    <n v="4.868360909477456"/>
  </r>
  <r>
    <x v="0"/>
    <x v="17"/>
    <x v="17"/>
    <x v="0"/>
    <x v="1"/>
    <s v="ORC"/>
    <x v="39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14240102573736846"/>
    <n v="0.14240102573736846"/>
    <n v="0"/>
    <n v="7.4999618546138874E-2"/>
    <n v="7.4999618546138874E-2"/>
  </r>
  <r>
    <x v="0"/>
    <x v="17"/>
    <x v="17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6803.4939517526072"/>
    <n v="4031.8914156073479"/>
    <n v="991.57968672841105"/>
    <n v="12353.291781843523"/>
    <n v="173.44921056898249"/>
    <n v="12000.414264657347"/>
    <n v="89.12876712328854"/>
    <n v="8.6232759005767008"/>
    <n v="91.352043023865107"/>
  </r>
  <r>
    <x v="0"/>
    <x v="18"/>
    <x v="18"/>
    <x v="1"/>
    <x v="0"/>
    <s v="MSA"/>
    <x v="37"/>
    <x v="0"/>
    <x v="10"/>
    <n v="0"/>
    <n v="0"/>
    <x v="0"/>
    <n v="0"/>
    <n v="394.52774986812091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MSG"/>
    <x v="0"/>
    <x v="0"/>
    <x v="0"/>
    <n v="78.046687612111839"/>
    <n v="54.117252423361407"/>
    <x v="0"/>
    <n v="0"/>
    <n v="132.16394003547325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EMG"/>
    <x v="5"/>
    <x v="0"/>
    <x v="0"/>
    <n v="105.45672913788324"/>
    <n v="423.1272301924152"/>
    <x v="0"/>
    <n v="0"/>
    <n v="528.5839593302984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CL"/>
    <x v="6"/>
    <x v="0"/>
    <x v="0"/>
    <n v="47.500655685453971"/>
    <n v="56.269789641518365"/>
    <x v="0"/>
    <n v="0"/>
    <n v="103.77044532697234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DEL"/>
    <x v="28"/>
    <x v="0"/>
    <x v="0"/>
    <n v="0"/>
    <n v="12.850508769167917"/>
    <x v="0"/>
    <n v="0"/>
    <n v="12.850508769167917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OR"/>
    <x v="7"/>
    <x v="0"/>
    <x v="0"/>
    <n v="10.537902895556597"/>
    <n v="144.11948550304265"/>
    <x v="0"/>
    <n v="0"/>
    <n v="154.65738839859921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ANS"/>
    <x v="8"/>
    <x v="0"/>
    <x v="0"/>
    <n v="0"/>
    <n v="128.65453727344592"/>
    <x v="0"/>
    <n v="0"/>
    <n v="128.65453727344592"/>
    <x v="0"/>
    <x v="0"/>
    <x v="0"/>
    <x v="0"/>
    <x v="0"/>
    <m/>
    <m/>
    <x v="0"/>
    <m/>
    <m/>
    <m/>
    <m/>
    <m/>
    <m/>
    <m/>
    <m/>
    <m/>
    <m/>
    <m/>
  </r>
  <r>
    <x v="0"/>
    <x v="18"/>
    <x v="18"/>
    <x v="1"/>
    <x v="0"/>
    <s v="XYZ"/>
    <x v="19"/>
    <x v="0"/>
    <x v="10"/>
    <n v="241.54197533100569"/>
    <n v="819.13880380295132"/>
    <x v="0"/>
    <n v="0"/>
    <n v="1455.208529002078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MSA"/>
    <x v="37"/>
    <x v="0"/>
    <x v="11"/>
    <n v="0"/>
    <n v="0"/>
    <x v="0"/>
    <n v="0"/>
    <n v="689.7609999999999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MSG"/>
    <x v="0"/>
    <x v="0"/>
    <x v="0"/>
    <n v="0"/>
    <n v="3878.9681210275153"/>
    <x v="0"/>
    <n v="7438.3238793411247"/>
    <n v="11317.292000368639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PSY"/>
    <x v="1"/>
    <x v="0"/>
    <x v="0"/>
    <n v="0"/>
    <n v="743.56982921873373"/>
    <x v="0"/>
    <n v="340.18124135702209"/>
    <n v="1083.7510705757561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OBS"/>
    <x v="21"/>
    <x v="0"/>
    <x v="0"/>
    <n v="0"/>
    <n v="304.13999999999987"/>
    <x v="0"/>
    <n v="0"/>
    <n v="304.1399999999998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MIS"/>
    <x v="3"/>
    <x v="0"/>
    <x v="0"/>
    <n v="0"/>
    <n v="457.22091154670483"/>
    <x v="0"/>
    <n v="118.24311995722373"/>
    <n v="575.46403150392848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NEO"/>
    <x v="26"/>
    <x v="0"/>
    <x v="0"/>
    <n v="0"/>
    <n v="420.04168712673538"/>
    <x v="0"/>
    <n v="111.88564898122054"/>
    <n v="531.9273361079559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BUR"/>
    <x v="42"/>
    <x v="0"/>
    <x v="0"/>
    <n v="0"/>
    <n v="433.51393417779178"/>
    <x v="0"/>
    <n v="58.422822190894941"/>
    <n v="491.93675636868682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CRH"/>
    <x v="43"/>
    <x v="0"/>
    <x v="0"/>
    <n v="0"/>
    <n v="121.14578743585584"/>
    <x v="0"/>
    <n v="0"/>
    <n v="121.14578743585584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EMG"/>
    <x v="5"/>
    <x v="0"/>
    <x v="0"/>
    <n v="0"/>
    <n v="1048.2243693911096"/>
    <x v="0"/>
    <n v="1081.5814360680608"/>
    <n v="2129.8058054591702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CL"/>
    <x v="6"/>
    <x v="0"/>
    <x v="0"/>
    <n v="0"/>
    <n v="2625.8349426721802"/>
    <x v="0"/>
    <n v="554.01563428184807"/>
    <n v="3179.8505769540284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OR"/>
    <x v="7"/>
    <x v="0"/>
    <x v="0"/>
    <n v="0"/>
    <n v="1681.8377248853667"/>
    <x v="0"/>
    <n v="1221.659590445327"/>
    <n v="2903.497315330693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ANS"/>
    <x v="8"/>
    <x v="0"/>
    <x v="0"/>
    <n v="0"/>
    <n v="559.04603460701503"/>
    <x v="0"/>
    <n v="256.4263391698903"/>
    <n v="815.47237377690533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LAB"/>
    <x v="9"/>
    <x v="0"/>
    <x v="0"/>
    <n v="0"/>
    <n v="385.78667136901066"/>
    <x v="0"/>
    <n v="397.26893354476289"/>
    <n v="783.05560491377355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IRC"/>
    <x v="10"/>
    <x v="0"/>
    <x v="0"/>
    <n v="0"/>
    <n v="708.28058127519193"/>
    <x v="0"/>
    <n v="58.356821026330259"/>
    <n v="766.63740230152223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RAD"/>
    <x v="11"/>
    <x v="0"/>
    <x v="0"/>
    <n v="0"/>
    <n v="707.82330499182137"/>
    <x v="0"/>
    <n v="631.23376336437934"/>
    <n v="1339.057068356200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CAT"/>
    <x v="12"/>
    <x v="0"/>
    <x v="0"/>
    <n v="0"/>
    <n v="624.14172725301182"/>
    <x v="0"/>
    <n v="196.69133208839548"/>
    <n v="820.83305934140731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RAT"/>
    <x v="13"/>
    <x v="0"/>
    <x v="0"/>
    <n v="0"/>
    <n v="251.40694458725423"/>
    <x v="0"/>
    <n v="0"/>
    <n v="251.40694458725423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NUC"/>
    <x v="14"/>
    <x v="0"/>
    <x v="0"/>
    <n v="0"/>
    <n v="504.84373833183474"/>
    <x v="0"/>
    <n v="0"/>
    <n v="504.84373833183474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PUL"/>
    <x v="30"/>
    <x v="0"/>
    <x v="0"/>
    <n v="0"/>
    <n v="134.70812591912917"/>
    <x v="0"/>
    <n v="50.655999999999999"/>
    <n v="185.36412591912915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EEG"/>
    <x v="31"/>
    <x v="0"/>
    <x v="0"/>
    <n v="0"/>
    <n v="706.19639193211958"/>
    <x v="0"/>
    <n v="247.51586803816937"/>
    <n v="953.71225997028876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PTH"/>
    <x v="16"/>
    <x v="0"/>
    <x v="0"/>
    <n v="0"/>
    <n v="655.02274034283539"/>
    <x v="0"/>
    <n v="306.48203707593063"/>
    <n v="961.50477741876603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OTH"/>
    <x v="32"/>
    <x v="0"/>
    <x v="0"/>
    <n v="0"/>
    <n v="378.58058573705017"/>
    <x v="0"/>
    <n v="140.91559683030573"/>
    <n v="519.49618256735585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STH"/>
    <x v="35"/>
    <x v="0"/>
    <x v="0"/>
    <n v="0"/>
    <n v="88.352876009253634"/>
    <x v="0"/>
    <n v="0"/>
    <n v="88.352876009253634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RDL"/>
    <x v="33"/>
    <x v="0"/>
    <x v="0"/>
    <n v="0"/>
    <n v="93.679113215485245"/>
    <x v="0"/>
    <n v="0"/>
    <n v="93.679113215485245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MRI"/>
    <x v="17"/>
    <x v="0"/>
    <x v="0"/>
    <n v="0"/>
    <n v="454.14202553498922"/>
    <x v="0"/>
    <n v="98.597999999999999"/>
    <n v="552.7400255349891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RHB"/>
    <x v="18"/>
    <x v="0"/>
    <x v="0"/>
    <n v="0"/>
    <n v="174.2"/>
    <x v="0"/>
    <n v="0"/>
    <n v="174.2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OBV"/>
    <x v="38"/>
    <x v="0"/>
    <x v="0"/>
    <n v="0"/>
    <n v="504.84373833183474"/>
    <x v="0"/>
    <n v="259.24214816516718"/>
    <n v="764.08588649700187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0"/>
    <s v="XYZ"/>
    <x v="19"/>
    <x v="0"/>
    <x v="11"/>
    <n v="0"/>
    <n v="18645.551906919831"/>
    <x v="0"/>
    <n v="13567.700211926058"/>
    <n v="32903.013118845891"/>
    <x v="0"/>
    <x v="0"/>
    <x v="0"/>
    <x v="0"/>
    <x v="0"/>
    <m/>
    <m/>
    <x v="0"/>
    <m/>
    <m/>
    <m/>
    <m/>
    <m/>
    <m/>
    <m/>
    <m/>
    <m/>
    <m/>
    <m/>
  </r>
  <r>
    <x v="0"/>
    <x v="19"/>
    <x v="19"/>
    <x v="0"/>
    <x v="2"/>
    <s v="MSG"/>
    <x v="0"/>
    <x v="1"/>
    <x v="1"/>
    <m/>
    <m/>
    <x v="1"/>
    <m/>
    <m/>
    <x v="0"/>
    <x v="0"/>
    <x v="0"/>
    <x v="0"/>
    <x v="0"/>
    <n v="2228.3493734768854"/>
    <n v="13.264224907306"/>
    <x v="0"/>
    <n v="2241.6135983841918"/>
    <n v="14.426260163473817"/>
    <m/>
    <m/>
    <m/>
    <m/>
    <m/>
    <m/>
    <m/>
    <m/>
    <m/>
  </r>
  <r>
    <x v="0"/>
    <x v="19"/>
    <x v="19"/>
    <x v="0"/>
    <x v="2"/>
    <s v="PSY"/>
    <x v="1"/>
    <x v="1"/>
    <x v="1"/>
    <m/>
    <m/>
    <x v="1"/>
    <m/>
    <m/>
    <x v="0"/>
    <x v="0"/>
    <x v="0"/>
    <x v="0"/>
    <x v="0"/>
    <n v="426.96092329163997"/>
    <n v="2.594821308677735"/>
    <x v="0"/>
    <n v="429.55574460031778"/>
    <n v="2.8221450961745989"/>
    <m/>
    <m/>
    <m/>
    <m/>
    <m/>
    <m/>
    <m/>
    <m/>
    <m/>
  </r>
  <r>
    <x v="0"/>
    <x v="19"/>
    <x v="19"/>
    <x v="0"/>
    <x v="2"/>
    <s v="OBS"/>
    <x v="21"/>
    <x v="1"/>
    <x v="1"/>
    <m/>
    <m/>
    <x v="1"/>
    <m/>
    <m/>
    <x v="0"/>
    <x v="0"/>
    <x v="0"/>
    <x v="0"/>
    <x v="0"/>
    <n v="256.01967075405787"/>
    <n v="1.5615393201183141"/>
    <x v="0"/>
    <n v="257.58121007417617"/>
    <n v="1.6983406603059588"/>
    <m/>
    <m/>
    <m/>
    <m/>
    <m/>
    <m/>
    <m/>
    <m/>
    <m/>
  </r>
  <r>
    <x v="0"/>
    <x v="19"/>
    <x v="19"/>
    <x v="0"/>
    <x v="2"/>
    <s v="MIS"/>
    <x v="3"/>
    <x v="1"/>
    <x v="1"/>
    <m/>
    <m/>
    <x v="1"/>
    <m/>
    <m/>
    <x v="0"/>
    <x v="0"/>
    <x v="0"/>
    <x v="0"/>
    <x v="0"/>
    <n v="1103.6494965915265"/>
    <n v="6.5740566133752276"/>
    <x v="0"/>
    <n v="1110.2235532049017"/>
    <n v="7.1499881596337245"/>
    <m/>
    <m/>
    <m/>
    <m/>
    <m/>
    <m/>
    <m/>
    <m/>
    <m/>
  </r>
  <r>
    <x v="0"/>
    <x v="19"/>
    <x v="19"/>
    <x v="0"/>
    <x v="2"/>
    <s v="CRH"/>
    <x v="43"/>
    <x v="1"/>
    <x v="1"/>
    <m/>
    <m/>
    <x v="1"/>
    <m/>
    <m/>
    <x v="0"/>
    <x v="0"/>
    <x v="0"/>
    <x v="0"/>
    <x v="0"/>
    <n v="185.95115251987039"/>
    <n v="1.0681153669204002"/>
    <x v="0"/>
    <n v="187.0192678867908"/>
    <n v="1.1616894523034424"/>
    <m/>
    <m/>
    <m/>
    <m/>
    <m/>
    <m/>
    <m/>
    <m/>
    <m/>
  </r>
  <r>
    <x v="0"/>
    <x v="19"/>
    <x v="19"/>
    <x v="0"/>
    <x v="2"/>
    <s v="CL"/>
    <x v="6"/>
    <x v="1"/>
    <x v="1"/>
    <m/>
    <m/>
    <x v="1"/>
    <m/>
    <m/>
    <x v="0"/>
    <x v="0"/>
    <x v="0"/>
    <x v="0"/>
    <x v="0"/>
    <n v="871.52818443376748"/>
    <n v="5.2408676597530235"/>
    <x v="0"/>
    <n v="876.7690520935206"/>
    <n v="5.7000028927652657"/>
    <m/>
    <m/>
    <m/>
    <m/>
    <m/>
    <m/>
    <m/>
    <m/>
    <m/>
  </r>
  <r>
    <x v="0"/>
    <x v="19"/>
    <x v="19"/>
    <x v="0"/>
    <x v="2"/>
    <s v="OR"/>
    <x v="7"/>
    <x v="1"/>
    <x v="1"/>
    <m/>
    <m/>
    <x v="1"/>
    <m/>
    <m/>
    <x v="0"/>
    <x v="0"/>
    <x v="0"/>
    <x v="0"/>
    <x v="0"/>
    <n v="535.23791926199999"/>
    <n v="3.2234985929090567"/>
    <x v="0"/>
    <n v="538.46141785490909"/>
    <n v="3.5058987361020795"/>
    <m/>
    <m/>
    <m/>
    <m/>
    <m/>
    <m/>
    <m/>
    <m/>
    <m/>
  </r>
  <r>
    <x v="0"/>
    <x v="19"/>
    <x v="19"/>
    <x v="0"/>
    <x v="2"/>
    <s v="ANS"/>
    <x v="8"/>
    <x v="1"/>
    <x v="1"/>
    <m/>
    <m/>
    <x v="1"/>
    <m/>
    <m/>
    <x v="0"/>
    <x v="0"/>
    <x v="0"/>
    <x v="0"/>
    <x v="0"/>
    <n v="1917.2982887969299"/>
    <n v="11.441169720219587"/>
    <x v="0"/>
    <n v="1928.7394585171496"/>
    <n v="12.443493088498112"/>
    <m/>
    <m/>
    <m/>
    <m/>
    <m/>
    <m/>
    <m/>
    <m/>
    <m/>
  </r>
  <r>
    <x v="0"/>
    <x v="19"/>
    <x v="19"/>
    <x v="0"/>
    <x v="2"/>
    <s v="IRC"/>
    <x v="10"/>
    <x v="1"/>
    <x v="1"/>
    <m/>
    <m/>
    <x v="1"/>
    <m/>
    <m/>
    <x v="0"/>
    <x v="0"/>
    <x v="0"/>
    <x v="0"/>
    <x v="0"/>
    <n v="38.530574155721077"/>
    <n v="0.24567535147002911"/>
    <x v="0"/>
    <n v="38.776249507191103"/>
    <n v="0.26719816354345438"/>
    <m/>
    <m/>
    <m/>
    <m/>
    <m/>
    <m/>
    <m/>
    <m/>
    <m/>
  </r>
  <r>
    <x v="0"/>
    <x v="19"/>
    <x v="19"/>
    <x v="0"/>
    <x v="2"/>
    <s v="PUL"/>
    <x v="30"/>
    <x v="1"/>
    <x v="1"/>
    <m/>
    <m/>
    <x v="1"/>
    <m/>
    <m/>
    <x v="0"/>
    <x v="0"/>
    <x v="0"/>
    <x v="0"/>
    <x v="0"/>
    <n v="22.918247486421237"/>
    <n v="0.13998953211579662"/>
    <x v="0"/>
    <n v="23.058237018537032"/>
    <n v="0.15225355605611685"/>
    <m/>
    <m/>
    <m/>
    <m/>
    <m/>
    <m/>
    <m/>
    <m/>
    <m/>
  </r>
  <r>
    <x v="0"/>
    <x v="19"/>
    <x v="19"/>
    <x v="0"/>
    <x v="2"/>
    <s v="PTH"/>
    <x v="16"/>
    <x v="1"/>
    <x v="1"/>
    <m/>
    <m/>
    <x v="1"/>
    <m/>
    <m/>
    <x v="0"/>
    <x v="0"/>
    <x v="0"/>
    <x v="0"/>
    <x v="0"/>
    <n v="238.98998564999999"/>
    <n v="1.47112"/>
    <x v="0"/>
    <n v="240.46110565000001"/>
    <n v="1.6"/>
    <m/>
    <m/>
    <m/>
    <m/>
    <m/>
    <m/>
    <m/>
    <m/>
    <m/>
  </r>
  <r>
    <x v="0"/>
    <x v="19"/>
    <x v="19"/>
    <x v="0"/>
    <x v="2"/>
    <s v="RHB"/>
    <x v="18"/>
    <x v="1"/>
    <x v="1"/>
    <m/>
    <m/>
    <x v="1"/>
    <m/>
    <m/>
    <x v="0"/>
    <x v="0"/>
    <x v="0"/>
    <x v="0"/>
    <x v="0"/>
    <n v="482.45701613530713"/>
    <n v="2.917873737753935"/>
    <x v="0"/>
    <n v="485.37488987306114"/>
    <n v="3.1734990894055528"/>
    <m/>
    <m/>
    <m/>
    <m/>
    <m/>
    <m/>
    <m/>
    <m/>
    <m/>
  </r>
  <r>
    <x v="0"/>
    <x v="19"/>
    <x v="19"/>
    <x v="0"/>
    <x v="2"/>
    <s v="XYZ"/>
    <x v="19"/>
    <x v="1"/>
    <x v="1"/>
    <m/>
    <m/>
    <x v="1"/>
    <m/>
    <m/>
    <x v="0"/>
    <x v="0"/>
    <x v="0"/>
    <x v="0"/>
    <x v="0"/>
    <n v="8307.8908325541288"/>
    <n v="49.742952110619107"/>
    <x v="1"/>
    <n v="8357.6337846647457"/>
    <n v="54.100769058262131"/>
    <m/>
    <m/>
    <m/>
    <m/>
    <m/>
    <m/>
    <m/>
    <m/>
    <m/>
  </r>
  <r>
    <x v="0"/>
    <x v="19"/>
    <x v="19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4929.7154358970893"/>
    <n v="7438.3238793411247"/>
    <n v="0"/>
    <n v="12368.039315238211"/>
    <n v="74.839594137584953"/>
    <n v="12442.878909375801"/>
    <n v="57.163945278988962"/>
    <n v="24.232100332610312"/>
    <n v="81.396045611599277"/>
  </r>
  <r>
    <x v="0"/>
    <x v="19"/>
    <x v="19"/>
    <x v="0"/>
    <x v="1"/>
    <s v="PSY"/>
    <x v="1"/>
    <x v="1"/>
    <x v="1"/>
    <m/>
    <m/>
    <x v="1"/>
    <m/>
    <m/>
    <x v="0"/>
    <x v="0"/>
    <x v="0"/>
    <x v="0"/>
    <x v="0"/>
    <m/>
    <m/>
    <x v="0"/>
    <m/>
    <m/>
    <n v="472.07268144298791"/>
    <n v="340.18124135702209"/>
    <n v="0"/>
    <n v="812.25392280001006"/>
    <n v="6.0445156362358059"/>
    <n v="818.29843843624587"/>
    <n v="5.4740557098306084"/>
    <n v="1.1000001238045063"/>
    <n v="6.5740558336351143"/>
  </r>
  <r>
    <x v="0"/>
    <x v="19"/>
    <x v="19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132.48077831913346"/>
    <n v="0"/>
    <n v="0"/>
    <n v="132.48077831913346"/>
    <n v="1.412476829084593"/>
    <n v="133.89325514821806"/>
    <n v="1.5362192931476353"/>
    <n v="0"/>
    <n v="1.5362192931476353"/>
  </r>
  <r>
    <x v="0"/>
    <x v="19"/>
    <x v="19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250.66720190802528"/>
    <n v="118.24311995722373"/>
    <n v="0"/>
    <n v="368.91032186524893"/>
    <n v="3.040330139470937"/>
    <n v="371.95065200471993"/>
    <n v="2.9066842497167547"/>
    <n v="0.39999924527583558"/>
    <n v="3.3066834949925901"/>
  </r>
  <r>
    <x v="0"/>
    <x v="19"/>
    <x v="19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231.70299038865437"/>
    <n v="111.88564898122054"/>
    <n v="0"/>
    <n v="343.5886393698749"/>
    <n v="2.8192571431072024"/>
    <n v="346.40789651298212"/>
    <n v="2.6867792341739625"/>
    <n v="0.379463784051284"/>
    <n v="3.0662430182252463"/>
  </r>
  <r>
    <x v="0"/>
    <x v="19"/>
    <x v="19"/>
    <x v="0"/>
    <x v="1"/>
    <s v="BUR"/>
    <x v="42"/>
    <x v="1"/>
    <x v="1"/>
    <m/>
    <m/>
    <x v="1"/>
    <m/>
    <m/>
    <x v="0"/>
    <x v="0"/>
    <x v="0"/>
    <x v="0"/>
    <x v="0"/>
    <m/>
    <m/>
    <x v="0"/>
    <m/>
    <m/>
    <n v="214.28343646844735"/>
    <n v="58.422822190894941"/>
    <n v="0"/>
    <n v="272.70625865934232"/>
    <n v="2.458517183787376"/>
    <n v="275.16477584312969"/>
    <n v="2.4847857438746779"/>
    <n v="0.18911406991332139"/>
    <n v="2.6738998137879992"/>
  </r>
  <r>
    <x v="0"/>
    <x v="19"/>
    <x v="19"/>
    <x v="0"/>
    <x v="1"/>
    <s v="CRH"/>
    <x v="43"/>
    <x v="1"/>
    <x v="1"/>
    <m/>
    <m/>
    <x v="1"/>
    <m/>
    <m/>
    <x v="0"/>
    <x v="0"/>
    <x v="0"/>
    <x v="0"/>
    <x v="0"/>
    <m/>
    <m/>
    <x v="0"/>
    <m/>
    <m/>
    <n v="52.770067105893624"/>
    <n v="0"/>
    <n v="0"/>
    <n v="52.770067105893624"/>
    <n v="0.56262121948561139"/>
    <n v="53.332688325379237"/>
    <n v="0.61191061992018203"/>
    <n v="0"/>
    <n v="0.61191061992018203"/>
  </r>
  <r>
    <x v="0"/>
    <x v="19"/>
    <x v="19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927.72516201696556"/>
    <n v="1081.5814360680608"/>
    <n v="0"/>
    <n v="2009.3065980850265"/>
    <n v="13.109246779064897"/>
    <n v="2022.4158448640917"/>
    <n v="10.757706217545266"/>
    <n v="3.4999986919820563"/>
    <n v="14.257704909527323"/>
  </r>
  <r>
    <x v="0"/>
    <x v="19"/>
    <x v="19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1385.1156683547558"/>
    <n v="554.01563428184807"/>
    <n v="0"/>
    <n v="1939.131302636604"/>
    <n v="16.462500130142029"/>
    <n v="1955.5938027667455"/>
    <n v="16.061510507146114"/>
    <n v="1.8432152856017581"/>
    <n v="17.904725792747872"/>
  </r>
  <r>
    <x v="0"/>
    <x v="19"/>
    <x v="19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1264.7385552131418"/>
    <n v="1221.659590445327"/>
    <n v="0"/>
    <n v="2486.3981456584688"/>
    <n v="17.146231592601087"/>
    <n v="2503.5443772510698"/>
    <n v="14.6656427744242"/>
    <n v="3.9827139525333184"/>
    <n v="18.648356726957516"/>
  </r>
  <r>
    <x v="0"/>
    <x v="19"/>
    <x v="19"/>
    <x v="0"/>
    <x v="1"/>
    <s v="ANS"/>
    <x v="8"/>
    <x v="1"/>
    <x v="1"/>
    <m/>
    <m/>
    <x v="1"/>
    <m/>
    <m/>
    <x v="0"/>
    <x v="0"/>
    <x v="0"/>
    <x v="0"/>
    <x v="0"/>
    <m/>
    <m/>
    <x v="0"/>
    <m/>
    <m/>
    <n v="355.2127795611093"/>
    <n v="256.4263391698903"/>
    <n v="0"/>
    <n v="611.6391187309996"/>
    <n v="4.5700412285866641"/>
    <n v="616.20915995958626"/>
    <n v="4.1189728204937923"/>
    <n v="0.8514347368357682"/>
    <n v="4.9704075573295601"/>
  </r>
  <r>
    <x v="0"/>
    <x v="19"/>
    <x v="19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341.09231277088389"/>
    <n v="397.26893354476289"/>
    <n v="0"/>
    <n v="738.36124631564667"/>
    <n v="4.8337367789469976"/>
    <n v="743.19498309459379"/>
    <n v="3.9552348519626865"/>
    <n v="1.3019697583445595"/>
    <n v="5.2572046103072463"/>
  </r>
  <r>
    <x v="0"/>
    <x v="19"/>
    <x v="19"/>
    <x v="0"/>
    <x v="1"/>
    <s v="IRC"/>
    <x v="10"/>
    <x v="1"/>
    <x v="1"/>
    <m/>
    <m/>
    <x v="1"/>
    <m/>
    <m/>
    <x v="0"/>
    <x v="0"/>
    <x v="0"/>
    <x v="0"/>
    <x v="0"/>
    <m/>
    <m/>
    <x v="0"/>
    <m/>
    <m/>
    <n v="333.94068437385528"/>
    <n v="58.356821026330259"/>
    <n v="0"/>
    <n v="392.29750540018551"/>
    <n v="3.7586739316738118"/>
    <n v="396.05617933185925"/>
    <n v="3.8723060704418497"/>
    <n v="0.21565296123340527"/>
    <n v="4.0879590316752541"/>
  </r>
  <r>
    <x v="0"/>
    <x v="19"/>
    <x v="19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583.28178677440201"/>
    <n v="631.23376336437934"/>
    <n v="0"/>
    <n v="1214.5155501387812"/>
    <n v="8.1014823246905809"/>
    <n v="1222.6170324634718"/>
    <n v="6.7636131486634703"/>
    <n v="2.0476134810505773"/>
    <n v="8.8112266297140476"/>
  </r>
  <r>
    <x v="0"/>
    <x v="19"/>
    <x v="19"/>
    <x v="0"/>
    <x v="1"/>
    <s v="CAT"/>
    <x v="12"/>
    <x v="1"/>
    <x v="1"/>
    <m/>
    <m/>
    <x v="1"/>
    <m/>
    <m/>
    <x v="0"/>
    <x v="0"/>
    <x v="0"/>
    <x v="0"/>
    <x v="0"/>
    <m/>
    <m/>
    <x v="0"/>
    <m/>
    <m/>
    <n v="357.54784826601286"/>
    <n v="196.69133208839548"/>
    <n v="0"/>
    <n v="554.23918035440829"/>
    <n v="4.3637554766435089"/>
    <n v="558.60293583105181"/>
    <n v="4.1460497869851647"/>
    <n v="0.6"/>
    <n v="4.7460497869851643"/>
  </r>
  <r>
    <x v="0"/>
    <x v="19"/>
    <x v="19"/>
    <x v="0"/>
    <x v="1"/>
    <s v="RAT"/>
    <x v="13"/>
    <x v="1"/>
    <x v="1"/>
    <m/>
    <m/>
    <x v="1"/>
    <m/>
    <m/>
    <x v="0"/>
    <x v="0"/>
    <x v="0"/>
    <x v="0"/>
    <x v="0"/>
    <m/>
    <m/>
    <x v="0"/>
    <m/>
    <m/>
    <n v="109.51071116510394"/>
    <n v="0"/>
    <n v="0"/>
    <n v="109.51071116510394"/>
    <n v="1.1675757345316331"/>
    <n v="110.67828689963558"/>
    <n v="1.2698632166312831"/>
    <n v="0"/>
    <n v="1.2698632166312831"/>
  </r>
  <r>
    <x v="0"/>
    <x v="19"/>
    <x v="19"/>
    <x v="0"/>
    <x v="1"/>
    <s v="NUC"/>
    <x v="14"/>
    <x v="1"/>
    <x v="1"/>
    <m/>
    <m/>
    <x v="1"/>
    <m/>
    <m/>
    <x v="0"/>
    <x v="0"/>
    <x v="0"/>
    <x v="0"/>
    <x v="0"/>
    <m/>
    <m/>
    <x v="0"/>
    <m/>
    <m/>
    <n v="219.90560723266404"/>
    <n v="0"/>
    <n v="0"/>
    <n v="219.90560723266404"/>
    <n v="2.3445784267184924"/>
    <n v="222.25018565938257"/>
    <n v="2.549979255770833"/>
    <n v="0"/>
    <n v="2.549979255770833"/>
  </r>
  <r>
    <x v="0"/>
    <x v="19"/>
    <x v="19"/>
    <x v="0"/>
    <x v="1"/>
    <s v="PUL"/>
    <x v="30"/>
    <x v="1"/>
    <x v="1"/>
    <m/>
    <m/>
    <x v="1"/>
    <m/>
    <m/>
    <x v="0"/>
    <x v="0"/>
    <x v="0"/>
    <x v="0"/>
    <x v="0"/>
    <m/>
    <m/>
    <x v="0"/>
    <m/>
    <m/>
    <n v="80.743025166739329"/>
    <n v="50.655999999999999"/>
    <n v="0"/>
    <n v="131.39902516673934"/>
    <n v="1.0447539089249358"/>
    <n v="132.44377907566428"/>
    <n v="0.93627916911426956"/>
    <n v="0.20000220445137917"/>
    <n v="1.1362813735656487"/>
  </r>
  <r>
    <x v="0"/>
    <x v="19"/>
    <x v="19"/>
    <x v="0"/>
    <x v="1"/>
    <s v="EEG"/>
    <x v="31"/>
    <x v="1"/>
    <x v="1"/>
    <m/>
    <m/>
    <x v="1"/>
    <m/>
    <m/>
    <x v="0"/>
    <x v="0"/>
    <x v="0"/>
    <x v="0"/>
    <x v="0"/>
    <m/>
    <m/>
    <x v="0"/>
    <m/>
    <m/>
    <n v="415.42888963425946"/>
    <n v="247.51586803816937"/>
    <n v="0"/>
    <n v="662.94475767242875"/>
    <n v="5.1369804112487216"/>
    <n v="668.08173808367746"/>
    <n v="4.8172261914834991"/>
    <n v="0.76978823153974452"/>
    <n v="5.5870144230232439"/>
  </r>
  <r>
    <x v="0"/>
    <x v="19"/>
    <x v="19"/>
    <x v="0"/>
    <x v="1"/>
    <s v="PTH"/>
    <x v="16"/>
    <x v="1"/>
    <x v="1"/>
    <m/>
    <m/>
    <x v="1"/>
    <m/>
    <m/>
    <x v="0"/>
    <x v="0"/>
    <x v="0"/>
    <x v="0"/>
    <x v="0"/>
    <m/>
    <m/>
    <x v="0"/>
    <m/>
    <m/>
    <n v="418.82324347341142"/>
    <n v="306.48203707593063"/>
    <n v="0"/>
    <n v="725.30528054934211"/>
    <n v="5.3792674055158995"/>
    <n v="730.68454795485798"/>
    <n v="4.8565864060114796"/>
    <n v="0.99394098048686175"/>
    <n v="5.8505273864983414"/>
  </r>
  <r>
    <x v="0"/>
    <x v="19"/>
    <x v="19"/>
    <x v="0"/>
    <x v="1"/>
    <s v="OTH"/>
    <x v="32"/>
    <x v="1"/>
    <x v="1"/>
    <m/>
    <m/>
    <x v="1"/>
    <m/>
    <m/>
    <x v="0"/>
    <x v="0"/>
    <x v="0"/>
    <x v="0"/>
    <x v="0"/>
    <m/>
    <m/>
    <x v="0"/>
    <m/>
    <m/>
    <n v="226.28808640869991"/>
    <n v="140.91559683030573"/>
    <n v="0"/>
    <n v="367.20368323900561"/>
    <n v="2.8723518188146575"/>
    <n v="370.07603505782026"/>
    <n v="2.6239891443957339"/>
    <n v="0.5"/>
    <n v="3.1239891443957339"/>
  </r>
  <r>
    <x v="0"/>
    <x v="19"/>
    <x v="19"/>
    <x v="0"/>
    <x v="1"/>
    <s v="STH"/>
    <x v="35"/>
    <x v="1"/>
    <x v="1"/>
    <m/>
    <m/>
    <x v="1"/>
    <m/>
    <m/>
    <x v="0"/>
    <x v="0"/>
    <x v="0"/>
    <x v="0"/>
    <x v="0"/>
    <m/>
    <m/>
    <x v="0"/>
    <m/>
    <m/>
    <n v="38.48575583757421"/>
    <n v="0"/>
    <n v="0"/>
    <n v="38.48575583757421"/>
    <n v="0.41032547559036903"/>
    <n v="38.896081313164579"/>
    <n v="0.44627274521765081"/>
    <n v="0"/>
    <n v="0.44627274521765081"/>
  </r>
  <r>
    <x v="0"/>
    <x v="19"/>
    <x v="19"/>
    <x v="0"/>
    <x v="1"/>
    <s v="RDL"/>
    <x v="33"/>
    <x v="1"/>
    <x v="1"/>
    <m/>
    <m/>
    <x v="1"/>
    <m/>
    <m/>
    <x v="0"/>
    <x v="0"/>
    <x v="0"/>
    <x v="0"/>
    <x v="0"/>
    <m/>
    <m/>
    <x v="0"/>
    <m/>
    <m/>
    <n v="40.805819132747125"/>
    <n v="0"/>
    <n v="0"/>
    <n v="40.805819132747125"/>
    <n v="0.43506140851602959"/>
    <n v="41.240880541263152"/>
    <n v="0.47317571212793474"/>
    <n v="0"/>
    <n v="0.47317571212793474"/>
  </r>
  <r>
    <x v="0"/>
    <x v="19"/>
    <x v="19"/>
    <x v="0"/>
    <x v="1"/>
    <s v="MRI"/>
    <x v="17"/>
    <x v="1"/>
    <x v="1"/>
    <m/>
    <m/>
    <x v="1"/>
    <m/>
    <m/>
    <x v="0"/>
    <x v="0"/>
    <x v="0"/>
    <x v="0"/>
    <x v="0"/>
    <m/>
    <m/>
    <x v="0"/>
    <m/>
    <m/>
    <n v="240.76881959299371"/>
    <n v="98.597999999999999"/>
    <n v="0"/>
    <n v="339.36681959299369"/>
    <n v="2.8428517639106952"/>
    <n v="342.20967135690438"/>
    <n v="2.7919046864002341"/>
    <n v="0.3"/>
    <n v="3.091904686400234"/>
  </r>
  <r>
    <x v="0"/>
    <x v="19"/>
    <x v="19"/>
    <x v="0"/>
    <x v="1"/>
    <s v="RHB"/>
    <x v="18"/>
    <x v="1"/>
    <x v="1"/>
    <m/>
    <m/>
    <x v="1"/>
    <m/>
    <m/>
    <x v="0"/>
    <x v="0"/>
    <x v="0"/>
    <x v="0"/>
    <x v="0"/>
    <m/>
    <m/>
    <x v="0"/>
    <m/>
    <m/>
    <n v="75.880027563599185"/>
    <n v="0"/>
    <n v="0"/>
    <n v="75.880027563599185"/>
    <n v="0.80901382135377198"/>
    <n v="76.689041384952958"/>
    <n v="0.87988886981757797"/>
    <n v="0"/>
    <n v="0.87988886981757797"/>
  </r>
  <r>
    <x v="0"/>
    <x v="19"/>
    <x v="19"/>
    <x v="0"/>
    <x v="1"/>
    <s v="OBV"/>
    <x v="38"/>
    <x v="1"/>
    <x v="1"/>
    <m/>
    <m/>
    <x v="1"/>
    <m/>
    <m/>
    <x v="0"/>
    <x v="0"/>
    <x v="0"/>
    <x v="0"/>
    <x v="0"/>
    <m/>
    <m/>
    <x v="0"/>
    <m/>
    <m/>
    <n v="332.82926594919417"/>
    <n v="259.24214816516718"/>
    <n v="0"/>
    <n v="592.07141411436135"/>
    <n v="4.2841021519943965"/>
    <n v="596.35551626635572"/>
    <n v="3.8594182957141734"/>
    <n v="0.8"/>
    <n v="4.6594182957141737"/>
  </r>
  <r>
    <x v="0"/>
    <x v="19"/>
    <x v="19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14031.816640018342"/>
    <n v="13567.700211926058"/>
    <n v="0"/>
    <n v="27599.516851944401"/>
    <n v="190.24984285822563"/>
    <n v="27789.76669480262"/>
    <n v="162.70999999999998"/>
    <n v="44.207007839714691"/>
    <n v="206.91700783971461"/>
  </r>
  <r>
    <x v="0"/>
    <x v="20"/>
    <x v="20"/>
    <x v="1"/>
    <x v="0"/>
    <s v="MSG"/>
    <x v="0"/>
    <x v="0"/>
    <x v="0"/>
    <n v="0"/>
    <n v="18.829629119065292"/>
    <x v="0"/>
    <n v="0"/>
    <n v="18.829629119065292"/>
    <x v="0"/>
    <x v="0"/>
    <x v="0"/>
    <x v="0"/>
    <x v="0"/>
    <m/>
    <m/>
    <x v="0"/>
    <m/>
    <m/>
    <m/>
    <m/>
    <m/>
    <m/>
    <m/>
    <m/>
    <m/>
    <m/>
    <m/>
  </r>
  <r>
    <x v="0"/>
    <x v="20"/>
    <x v="20"/>
    <x v="1"/>
    <x v="0"/>
    <s v="EMG"/>
    <x v="5"/>
    <x v="0"/>
    <x v="0"/>
    <n v="0"/>
    <n v="110"/>
    <x v="2"/>
    <n v="0"/>
    <n v="2254.6708187206978"/>
    <x v="0"/>
    <x v="0"/>
    <x v="0"/>
    <x v="0"/>
    <x v="0"/>
    <m/>
    <m/>
    <x v="0"/>
    <m/>
    <m/>
    <m/>
    <m/>
    <m/>
    <m/>
    <m/>
    <m/>
    <m/>
    <m/>
    <m/>
  </r>
  <r>
    <x v="0"/>
    <x v="20"/>
    <x v="20"/>
    <x v="1"/>
    <x v="0"/>
    <s v="LAB"/>
    <x v="9"/>
    <x v="0"/>
    <x v="0"/>
    <n v="0"/>
    <n v="0"/>
    <x v="3"/>
    <n v="0"/>
    <n v="-6.3892363875382525"/>
    <x v="0"/>
    <x v="0"/>
    <x v="0"/>
    <x v="0"/>
    <x v="0"/>
    <m/>
    <m/>
    <x v="0"/>
    <m/>
    <m/>
    <m/>
    <m/>
    <m/>
    <m/>
    <m/>
    <m/>
    <m/>
    <m/>
    <m/>
  </r>
  <r>
    <x v="0"/>
    <x v="20"/>
    <x v="20"/>
    <x v="1"/>
    <x v="0"/>
    <s v="XYZ"/>
    <x v="19"/>
    <x v="0"/>
    <x v="0"/>
    <n v="0"/>
    <n v="128.82962911906529"/>
    <x v="4"/>
    <n v="0"/>
    <n v="2267.1112114522248"/>
    <x v="0"/>
    <x v="0"/>
    <x v="0"/>
    <x v="0"/>
    <x v="0"/>
    <m/>
    <m/>
    <x v="0"/>
    <m/>
    <m/>
    <m/>
    <m/>
    <m/>
    <m/>
    <m/>
    <m/>
    <m/>
    <m/>
    <m/>
  </r>
  <r>
    <x v="0"/>
    <x v="20"/>
    <x v="20"/>
    <x v="1"/>
    <x v="3"/>
    <s v="DEF"/>
    <x v="2"/>
    <x v="1"/>
    <x v="1"/>
    <m/>
    <m/>
    <x v="1"/>
    <m/>
    <m/>
    <x v="1"/>
    <x v="1"/>
    <x v="0"/>
    <x v="1"/>
    <x v="1"/>
    <m/>
    <m/>
    <x v="0"/>
    <m/>
    <m/>
    <m/>
    <m/>
    <m/>
    <m/>
    <m/>
    <m/>
    <m/>
    <m/>
    <m/>
  </r>
  <r>
    <x v="0"/>
    <x v="20"/>
    <x v="20"/>
    <x v="1"/>
    <x v="3"/>
    <s v="PRE"/>
    <x v="44"/>
    <x v="1"/>
    <x v="1"/>
    <m/>
    <m/>
    <x v="1"/>
    <m/>
    <m/>
    <x v="1"/>
    <x v="2"/>
    <x v="0"/>
    <x v="2"/>
    <x v="1"/>
    <m/>
    <m/>
    <x v="0"/>
    <m/>
    <m/>
    <m/>
    <m/>
    <m/>
    <m/>
    <m/>
    <m/>
    <m/>
    <m/>
    <m/>
  </r>
  <r>
    <x v="0"/>
    <x v="20"/>
    <x v="20"/>
    <x v="1"/>
    <x v="3"/>
    <s v="EMG"/>
    <x v="5"/>
    <x v="1"/>
    <x v="1"/>
    <m/>
    <m/>
    <x v="1"/>
    <m/>
    <m/>
    <x v="2"/>
    <x v="3"/>
    <x v="0"/>
    <x v="3"/>
    <x v="2"/>
    <m/>
    <m/>
    <x v="0"/>
    <m/>
    <m/>
    <m/>
    <m/>
    <m/>
    <m/>
    <m/>
    <m/>
    <m/>
    <m/>
    <m/>
  </r>
  <r>
    <x v="0"/>
    <x v="20"/>
    <x v="20"/>
    <x v="1"/>
    <x v="3"/>
    <s v="LAB"/>
    <x v="9"/>
    <x v="1"/>
    <x v="1"/>
    <m/>
    <m/>
    <x v="1"/>
    <m/>
    <m/>
    <x v="3"/>
    <x v="3"/>
    <x v="0"/>
    <x v="4"/>
    <x v="3"/>
    <m/>
    <m/>
    <x v="0"/>
    <m/>
    <m/>
    <m/>
    <m/>
    <m/>
    <m/>
    <m/>
    <m/>
    <m/>
    <m/>
    <m/>
  </r>
  <r>
    <x v="0"/>
    <x v="20"/>
    <x v="20"/>
    <x v="1"/>
    <x v="3"/>
    <s v="XYZ"/>
    <x v="19"/>
    <x v="1"/>
    <x v="1"/>
    <m/>
    <m/>
    <x v="1"/>
    <m/>
    <m/>
    <x v="4"/>
    <x v="4"/>
    <x v="1"/>
    <x v="5"/>
    <x v="4"/>
    <m/>
    <m/>
    <x v="0"/>
    <m/>
    <m/>
    <m/>
    <m/>
    <m/>
    <m/>
    <m/>
    <m/>
    <m/>
    <m/>
    <m/>
  </r>
  <r>
    <x v="0"/>
    <x v="21"/>
    <x v="21"/>
    <x v="1"/>
    <x v="0"/>
    <s v="MSA"/>
    <x v="37"/>
    <x v="0"/>
    <x v="12"/>
    <n v="0"/>
    <n v="0"/>
    <x v="0"/>
    <n v="0"/>
    <n v="436.8"/>
    <x v="0"/>
    <x v="0"/>
    <x v="0"/>
    <x v="0"/>
    <x v="0"/>
    <m/>
    <m/>
    <x v="0"/>
    <m/>
    <m/>
    <m/>
    <m/>
    <m/>
    <m/>
    <m/>
    <m/>
    <m/>
    <m/>
    <m/>
  </r>
  <r>
    <x v="0"/>
    <x v="21"/>
    <x v="21"/>
    <x v="1"/>
    <x v="0"/>
    <s v="MSG"/>
    <x v="0"/>
    <x v="0"/>
    <x v="0"/>
    <n v="348.62464"/>
    <n v="0"/>
    <x v="0"/>
    <n v="0"/>
    <n v="348.62464"/>
    <x v="0"/>
    <x v="0"/>
    <x v="0"/>
    <x v="0"/>
    <x v="0"/>
    <m/>
    <m/>
    <x v="0"/>
    <m/>
    <m/>
    <m/>
    <m/>
    <m/>
    <m/>
    <m/>
    <m/>
    <m/>
    <m/>
    <m/>
  </r>
  <r>
    <x v="0"/>
    <x v="21"/>
    <x v="21"/>
    <x v="1"/>
    <x v="0"/>
    <s v="XYZ"/>
    <x v="19"/>
    <x v="0"/>
    <x v="12"/>
    <n v="348.62464"/>
    <n v="0"/>
    <x v="0"/>
    <n v="0"/>
    <n v="785.42463999999995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MSG"/>
    <x v="0"/>
    <x v="0"/>
    <x v="0"/>
    <n v="0"/>
    <n v="131.97"/>
    <x v="0"/>
    <n v="0"/>
    <n v="131.97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OBS"/>
    <x v="21"/>
    <x v="0"/>
    <x v="0"/>
    <n v="0"/>
    <n v="18"/>
    <x v="0"/>
    <n v="0"/>
    <n v="18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MIS"/>
    <x v="3"/>
    <x v="0"/>
    <x v="0"/>
    <n v="0"/>
    <n v="49.92"/>
    <x v="0"/>
    <n v="0"/>
    <n v="49.92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EMG"/>
    <x v="5"/>
    <x v="0"/>
    <x v="0"/>
    <n v="0"/>
    <n v="1655.24253"/>
    <x v="0"/>
    <n v="0"/>
    <n v="1655.24253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CL"/>
    <x v="6"/>
    <x v="0"/>
    <x v="0"/>
    <n v="0"/>
    <n v="111.113"/>
    <x v="0"/>
    <n v="0"/>
    <n v="111.113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OR"/>
    <x v="7"/>
    <x v="0"/>
    <x v="0"/>
    <n v="0"/>
    <n v="160.39512999999999"/>
    <x v="0"/>
    <n v="0"/>
    <n v="160.39512999999999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IRC"/>
    <x v="10"/>
    <x v="0"/>
    <x v="0"/>
    <n v="0"/>
    <n v="15.456"/>
    <x v="0"/>
    <n v="0"/>
    <n v="15.456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EEG"/>
    <x v="31"/>
    <x v="0"/>
    <x v="0"/>
    <n v="0"/>
    <n v="47.22"/>
    <x v="0"/>
    <n v="0"/>
    <n v="47.22"/>
    <x v="0"/>
    <x v="0"/>
    <x v="0"/>
    <x v="0"/>
    <x v="0"/>
    <m/>
    <m/>
    <x v="0"/>
    <m/>
    <m/>
    <m/>
    <m/>
    <m/>
    <m/>
    <m/>
    <m/>
    <m/>
    <m/>
    <m/>
  </r>
  <r>
    <x v="0"/>
    <x v="22"/>
    <x v="22"/>
    <x v="1"/>
    <x v="0"/>
    <s v="XYZ"/>
    <x v="19"/>
    <x v="0"/>
    <x v="0"/>
    <n v="0"/>
    <n v="2189.31666"/>
    <x v="0"/>
    <n v="0"/>
    <n v="2189.31666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MSA"/>
    <x v="37"/>
    <x v="0"/>
    <x v="13"/>
    <n v="0"/>
    <n v="0"/>
    <x v="0"/>
    <n v="0"/>
    <n v="461.46848950608762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MSG"/>
    <x v="0"/>
    <x v="0"/>
    <x v="0"/>
    <n v="4.5633197650992807"/>
    <n v="861.90705626485681"/>
    <x v="0"/>
    <n v="313.07033689566839"/>
    <n v="1179.5407129256246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OBS"/>
    <x v="21"/>
    <x v="0"/>
    <x v="0"/>
    <n v="20.235197252623053"/>
    <n v="206.68900126037721"/>
    <x v="0"/>
    <n v="0"/>
    <n v="226.92419851300025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MIS"/>
    <x v="3"/>
    <x v="0"/>
    <x v="0"/>
    <n v="4.5633197650992807"/>
    <n v="19.403445375043059"/>
    <x v="0"/>
    <n v="0"/>
    <n v="23.966765140142339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EMG"/>
    <x v="5"/>
    <x v="0"/>
    <x v="0"/>
    <n v="25.403861460826011"/>
    <n v="521.64561120780604"/>
    <x v="0"/>
    <n v="42.038472448858393"/>
    <n v="589.08794511749045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CL"/>
    <x v="6"/>
    <x v="0"/>
    <x v="0"/>
    <n v="0"/>
    <n v="76.397558613606151"/>
    <x v="0"/>
    <n v="0"/>
    <n v="76.397558613606151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DEL"/>
    <x v="28"/>
    <x v="0"/>
    <x v="0"/>
    <n v="30.352795878934572"/>
    <n v="0"/>
    <x v="0"/>
    <n v="0"/>
    <n v="30.352795878934572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0"/>
    <s v="XYZ"/>
    <x v="19"/>
    <x v="0"/>
    <x v="13"/>
    <n v="85.118494122582192"/>
    <n v="1686.0426727216891"/>
    <x v="0"/>
    <n v="355.10880934452678"/>
    <n v="2587.7384656948861"/>
    <x v="0"/>
    <x v="0"/>
    <x v="0"/>
    <x v="0"/>
    <x v="0"/>
    <m/>
    <m/>
    <x v="0"/>
    <m/>
    <m/>
    <m/>
    <m/>
    <m/>
    <m/>
    <m/>
    <m/>
    <m/>
    <m/>
    <m/>
  </r>
  <r>
    <x v="0"/>
    <x v="23"/>
    <x v="23"/>
    <x v="0"/>
    <x v="2"/>
    <s v="MSG"/>
    <x v="0"/>
    <x v="1"/>
    <x v="1"/>
    <m/>
    <m/>
    <x v="1"/>
    <m/>
    <m/>
    <x v="0"/>
    <x v="0"/>
    <x v="0"/>
    <x v="0"/>
    <x v="0"/>
    <n v="21.49401890583604"/>
    <n v="0.22006354230769232"/>
    <x v="0"/>
    <n v="21.714082448143731"/>
    <n v="8.9025349650349667E-2"/>
    <m/>
    <m/>
    <m/>
    <m/>
    <m/>
    <m/>
    <m/>
    <m/>
    <m/>
  </r>
  <r>
    <x v="0"/>
    <x v="23"/>
    <x v="23"/>
    <x v="0"/>
    <x v="2"/>
    <s v="EMG"/>
    <x v="5"/>
    <x v="1"/>
    <x v="1"/>
    <m/>
    <m/>
    <x v="1"/>
    <m/>
    <m/>
    <x v="0"/>
    <x v="0"/>
    <x v="0"/>
    <x v="0"/>
    <x v="0"/>
    <n v="113.73835223226487"/>
    <n v="1.2372923913121685"/>
    <x v="0"/>
    <n v="114.97564462357704"/>
    <n v="0.50053901069297091"/>
    <m/>
    <m/>
    <m/>
    <m/>
    <m/>
    <m/>
    <m/>
    <m/>
    <m/>
  </r>
  <r>
    <x v="0"/>
    <x v="23"/>
    <x v="23"/>
    <x v="0"/>
    <x v="2"/>
    <s v="CL"/>
    <x v="6"/>
    <x v="1"/>
    <x v="1"/>
    <m/>
    <m/>
    <x v="1"/>
    <m/>
    <m/>
    <x v="0"/>
    <x v="0"/>
    <x v="0"/>
    <x v="0"/>
    <x v="0"/>
    <n v="4.1486814440324024E-2"/>
    <n v="0"/>
    <x v="0"/>
    <n v="4.1486814440324024E-2"/>
    <n v="0"/>
    <m/>
    <m/>
    <m/>
    <m/>
    <m/>
    <m/>
    <m/>
    <m/>
    <m/>
  </r>
  <r>
    <x v="0"/>
    <x v="23"/>
    <x v="23"/>
    <x v="0"/>
    <x v="2"/>
    <s v="XYZ"/>
    <x v="19"/>
    <x v="1"/>
    <x v="1"/>
    <m/>
    <m/>
    <x v="1"/>
    <m/>
    <m/>
    <x v="0"/>
    <x v="0"/>
    <x v="0"/>
    <x v="0"/>
    <x v="0"/>
    <n v="135.27385795254125"/>
    <n v="1.4573559336198607"/>
    <x v="1"/>
    <n v="136.7312138861611"/>
    <n v="0.5895643603433206"/>
    <m/>
    <m/>
    <m/>
    <m/>
    <m/>
    <m/>
    <m/>
    <m/>
    <m/>
  </r>
  <r>
    <x v="0"/>
    <x v="23"/>
    <x v="23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1489.0375505298643"/>
    <n v="313.07033689566839"/>
    <n v="628.35578323746017"/>
    <n v="2517.3869789897658"/>
    <n v="46.628040558376611"/>
    <n v="2477.0917112213692"/>
    <n v="19.169863013698652"/>
    <n v="0.74801791675603757"/>
    <n v="18.863086409906717"/>
  </r>
  <r>
    <x v="0"/>
    <x v="23"/>
    <x v="23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15.088553521703094"/>
    <n v="42.038472448858393"/>
    <n v="4.0443904476718036"/>
    <n v="60.950990268409711"/>
    <n v="0.7201159538826214"/>
    <n v="61.891532372115911"/>
    <n v="0.18356164383561657"/>
    <n v="0.10775682677937994"/>
    <n v="0.29131847061499622"/>
  </r>
  <r>
    <x v="0"/>
    <x v="23"/>
    <x v="23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1504.1261040515674"/>
    <n v="355.10880934452678"/>
    <n v="632.40017368513202"/>
    <n v="2578.3379692581757"/>
    <n v="47.348156512259237"/>
    <n v="2538.983243593485"/>
    <n v="19.353424657534269"/>
    <n v="0.85577474353541749"/>
    <n v="19.154404880521714"/>
  </r>
  <r>
    <x v="0"/>
    <x v="24"/>
    <x v="24"/>
    <x v="1"/>
    <x v="0"/>
    <s v="MSA"/>
    <x v="37"/>
    <x v="0"/>
    <x v="14"/>
    <n v="0"/>
    <n v="0"/>
    <x v="0"/>
    <n v="0"/>
    <n v="106.82088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0"/>
    <s v="MSG"/>
    <x v="0"/>
    <x v="0"/>
    <x v="0"/>
    <n v="0"/>
    <n v="1041.6128799999999"/>
    <x v="0"/>
    <n v="0"/>
    <n v="1041.6128799999999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0"/>
    <s v="EMG"/>
    <x v="5"/>
    <x v="0"/>
    <x v="0"/>
    <n v="0"/>
    <n v="331.4"/>
    <x v="0"/>
    <n v="0"/>
    <n v="331.4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0"/>
    <s v="LAB"/>
    <x v="9"/>
    <x v="0"/>
    <x v="0"/>
    <n v="0"/>
    <n v="10.13607"/>
    <x v="0"/>
    <n v="0"/>
    <n v="10.13607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0"/>
    <s v="EKG"/>
    <x v="29"/>
    <x v="0"/>
    <x v="0"/>
    <n v="0"/>
    <n v="0"/>
    <x v="5"/>
    <n v="0"/>
    <n v="46.537167877400741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0"/>
    <s v="XYZ"/>
    <x v="19"/>
    <x v="0"/>
    <x v="14"/>
    <n v="0"/>
    <n v="1383.1489499999998"/>
    <x v="5"/>
    <n v="0"/>
    <n v="1536.5069978774004"/>
    <x v="0"/>
    <x v="0"/>
    <x v="0"/>
    <x v="0"/>
    <x v="0"/>
    <m/>
    <m/>
    <x v="0"/>
    <m/>
    <m/>
    <m/>
    <m/>
    <m/>
    <m/>
    <m/>
    <m/>
    <m/>
    <m/>
    <m/>
  </r>
  <r>
    <x v="0"/>
    <x v="24"/>
    <x v="24"/>
    <x v="1"/>
    <x v="3"/>
    <s v="EKG"/>
    <x v="29"/>
    <x v="1"/>
    <x v="1"/>
    <m/>
    <m/>
    <x v="1"/>
    <m/>
    <m/>
    <x v="5"/>
    <x v="3"/>
    <x v="0"/>
    <x v="6"/>
    <x v="1"/>
    <m/>
    <m/>
    <x v="0"/>
    <m/>
    <m/>
    <m/>
    <m/>
    <m/>
    <m/>
    <m/>
    <m/>
    <m/>
    <m/>
    <m/>
  </r>
  <r>
    <x v="0"/>
    <x v="24"/>
    <x v="24"/>
    <x v="1"/>
    <x v="3"/>
    <s v="XYZ"/>
    <x v="19"/>
    <x v="1"/>
    <x v="1"/>
    <m/>
    <m/>
    <x v="1"/>
    <m/>
    <m/>
    <x v="5"/>
    <x v="3"/>
    <x v="1"/>
    <x v="6"/>
    <x v="1"/>
    <m/>
    <m/>
    <x v="0"/>
    <m/>
    <m/>
    <m/>
    <m/>
    <m/>
    <m/>
    <m/>
    <m/>
    <m/>
    <m/>
    <m/>
  </r>
  <r>
    <x v="0"/>
    <x v="25"/>
    <x v="25"/>
    <x v="1"/>
    <x v="0"/>
    <s v="MSG"/>
    <x v="0"/>
    <x v="0"/>
    <x v="0"/>
    <n v="0"/>
    <n v="241.08321195266589"/>
    <x v="0"/>
    <n v="0"/>
    <n v="241.08321195266589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PED"/>
    <x v="20"/>
    <x v="0"/>
    <x v="0"/>
    <n v="0"/>
    <n v="6"/>
    <x v="0"/>
    <n v="0"/>
    <n v="6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PSY"/>
    <x v="1"/>
    <x v="0"/>
    <x v="0"/>
    <n v="0"/>
    <n v="33.147500000000001"/>
    <x v="0"/>
    <n v="0"/>
    <n v="33.147500000000001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OBS"/>
    <x v="21"/>
    <x v="0"/>
    <x v="0"/>
    <n v="0"/>
    <n v="15.5375"/>
    <x v="0"/>
    <n v="0"/>
    <n v="15.5375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MIS"/>
    <x v="3"/>
    <x v="0"/>
    <x v="0"/>
    <n v="0"/>
    <n v="18.714716866732022"/>
    <x v="0"/>
    <n v="0"/>
    <n v="18.714716866732022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NUR"/>
    <x v="4"/>
    <x v="0"/>
    <x v="0"/>
    <n v="0"/>
    <n v="14.737500000000001"/>
    <x v="0"/>
    <n v="0"/>
    <n v="14.737500000000001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CL"/>
    <x v="6"/>
    <x v="0"/>
    <x v="0"/>
    <n v="0"/>
    <n v="42.59"/>
    <x v="0"/>
    <n v="0"/>
    <n v="42.59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OR"/>
    <x v="7"/>
    <x v="0"/>
    <x v="0"/>
    <n v="0"/>
    <n v="28.03115"/>
    <x v="0"/>
    <n v="0"/>
    <n v="28.031149999999997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ANS"/>
    <x v="8"/>
    <x v="0"/>
    <x v="0"/>
    <n v="0"/>
    <n v="41.25"/>
    <x v="0"/>
    <n v="0"/>
    <n v="41.25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IRC"/>
    <x v="10"/>
    <x v="0"/>
    <x v="0"/>
    <n v="0"/>
    <n v="63.403820000000003"/>
    <x v="0"/>
    <n v="0"/>
    <n v="63.403820000000003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RAT"/>
    <x v="13"/>
    <x v="0"/>
    <x v="0"/>
    <n v="0"/>
    <n v="57.758890000000001"/>
    <x v="0"/>
    <n v="0"/>
    <n v="57.758890000000001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RES"/>
    <x v="15"/>
    <x v="0"/>
    <x v="0"/>
    <n v="0"/>
    <n v="0.33750000000000002"/>
    <x v="0"/>
    <n v="0"/>
    <n v="0.33750000000000002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PUL"/>
    <x v="30"/>
    <x v="0"/>
    <x v="0"/>
    <n v="0"/>
    <n v="5.4787100000000004"/>
    <x v="0"/>
    <n v="0"/>
    <n v="5.4787100000000004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EEG"/>
    <x v="31"/>
    <x v="0"/>
    <x v="0"/>
    <n v="0"/>
    <n v="26.66666"/>
    <x v="0"/>
    <n v="0"/>
    <n v="26.66666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RHB"/>
    <x v="18"/>
    <x v="0"/>
    <x v="0"/>
    <n v="0"/>
    <n v="98.100080000000034"/>
    <x v="0"/>
    <n v="0"/>
    <n v="98.100080000000034"/>
    <x v="0"/>
    <x v="0"/>
    <x v="0"/>
    <x v="0"/>
    <x v="0"/>
    <m/>
    <m/>
    <x v="0"/>
    <m/>
    <m/>
    <m/>
    <m/>
    <m/>
    <m/>
    <m/>
    <m/>
    <m/>
    <m/>
    <m/>
  </r>
  <r>
    <x v="0"/>
    <x v="25"/>
    <x v="25"/>
    <x v="1"/>
    <x v="0"/>
    <s v="XYZ"/>
    <x v="19"/>
    <x v="0"/>
    <x v="0"/>
    <n v="0"/>
    <n v="692.83723881939795"/>
    <x v="0"/>
    <n v="0"/>
    <n v="692.83723881939795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MSA"/>
    <x v="37"/>
    <x v="0"/>
    <x v="15"/>
    <n v="31.18872"/>
    <n v="0"/>
    <x v="0"/>
    <n v="0"/>
    <n v="798.29296520996115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MSG"/>
    <x v="0"/>
    <x v="0"/>
    <x v="0"/>
    <n v="0"/>
    <n v="234.97800000000001"/>
    <x v="0"/>
    <n v="115.74563000000001"/>
    <n v="350.72363000000001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PSY"/>
    <x v="1"/>
    <x v="0"/>
    <x v="0"/>
    <n v="0"/>
    <n v="199.23226000000005"/>
    <x v="0"/>
    <n v="0"/>
    <n v="199.23226000000005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EMG"/>
    <x v="5"/>
    <x v="0"/>
    <x v="0"/>
    <n v="0"/>
    <n v="84.247813599999958"/>
    <x v="0"/>
    <n v="0"/>
    <n v="84.247813599999958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CL"/>
    <x v="6"/>
    <x v="0"/>
    <x v="0"/>
    <n v="0"/>
    <n v="184.293237"/>
    <x v="0"/>
    <n v="166.62687299999999"/>
    <n v="350.92011000000002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OR"/>
    <x v="7"/>
    <x v="0"/>
    <x v="0"/>
    <n v="0"/>
    <n v="613.75995549999993"/>
    <x v="0"/>
    <n v="0"/>
    <n v="613.75995549999993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LAB"/>
    <x v="9"/>
    <x v="0"/>
    <x v="0"/>
    <n v="0"/>
    <n v="166.08780000000002"/>
    <x v="0"/>
    <n v="0"/>
    <n v="166.08780000000002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RAD"/>
    <x v="11"/>
    <x v="0"/>
    <x v="0"/>
    <n v="0"/>
    <n v="8.3750302000000012"/>
    <x v="0"/>
    <n v="0"/>
    <n v="8.3750302000000012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0"/>
    <s v="XYZ"/>
    <x v="19"/>
    <x v="0"/>
    <x v="15"/>
    <n v="31.18872"/>
    <n v="1490.9740962999999"/>
    <x v="0"/>
    <n v="282.37250299999999"/>
    <n v="2571.639564509961"/>
    <x v="0"/>
    <x v="0"/>
    <x v="0"/>
    <x v="0"/>
    <x v="0"/>
    <m/>
    <m/>
    <x v="0"/>
    <m/>
    <m/>
    <m/>
    <m/>
    <m/>
    <m/>
    <m/>
    <m/>
    <m/>
    <m/>
    <m/>
  </r>
  <r>
    <x v="0"/>
    <x v="26"/>
    <x v="26"/>
    <x v="0"/>
    <x v="2"/>
    <s v="CL"/>
    <x v="6"/>
    <x v="1"/>
    <x v="1"/>
    <m/>
    <m/>
    <x v="1"/>
    <m/>
    <m/>
    <x v="0"/>
    <x v="0"/>
    <x v="0"/>
    <x v="0"/>
    <x v="0"/>
    <n v="108.4345"/>
    <n v="0"/>
    <x v="0"/>
    <n v="108.4345"/>
    <n v="0.7"/>
    <m/>
    <m/>
    <m/>
    <m/>
    <m/>
    <m/>
    <m/>
    <m/>
    <m/>
  </r>
  <r>
    <x v="0"/>
    <x v="26"/>
    <x v="26"/>
    <x v="0"/>
    <x v="2"/>
    <s v="XYZ"/>
    <x v="19"/>
    <x v="1"/>
    <x v="1"/>
    <m/>
    <m/>
    <x v="1"/>
    <m/>
    <m/>
    <x v="0"/>
    <x v="0"/>
    <x v="0"/>
    <x v="0"/>
    <x v="0"/>
    <n v="108.4345"/>
    <n v="0"/>
    <x v="1"/>
    <n v="108.4345"/>
    <n v="0.7"/>
    <m/>
    <m/>
    <m/>
    <m/>
    <m/>
    <m/>
    <m/>
    <m/>
    <m/>
  </r>
  <r>
    <x v="0"/>
    <x v="26"/>
    <x v="26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1019.401277507788"/>
    <n v="115.74563000000001"/>
    <n v="0"/>
    <n v="1135.146907507788"/>
    <n v="0"/>
    <n v="1135.146907507788"/>
    <n v="17.225209681284447"/>
    <n v="0.70731134253981909"/>
    <n v="17.932521023824265"/>
  </r>
  <r>
    <x v="0"/>
    <x v="26"/>
    <x v="26"/>
    <x v="0"/>
    <x v="1"/>
    <s v="DEF"/>
    <x v="2"/>
    <x v="1"/>
    <x v="1"/>
    <m/>
    <m/>
    <x v="1"/>
    <m/>
    <m/>
    <x v="0"/>
    <x v="0"/>
    <x v="0"/>
    <x v="0"/>
    <x v="0"/>
    <m/>
    <m/>
    <x v="0"/>
    <m/>
    <m/>
    <n v="144.04380590356072"/>
    <n v="0"/>
    <n v="109.45169165538688"/>
    <n v="253.49549755894759"/>
    <n v="0"/>
    <n v="253.49549755894759"/>
    <n v="3.5078607058335898"/>
    <n v="0"/>
    <n v="3.5078607058335898"/>
  </r>
  <r>
    <x v="0"/>
    <x v="26"/>
    <x v="26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258.35143521793464"/>
    <n v="0"/>
    <n v="196.30834834461311"/>
    <n v="454.65978356254777"/>
    <n v="0"/>
    <n v="454.65978356254777"/>
    <n v="6.29156416835764"/>
    <n v="0"/>
    <n v="6.29156416835764"/>
  </r>
  <r>
    <x v="0"/>
    <x v="26"/>
    <x v="26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127.42515968847351"/>
    <n v="0"/>
    <n v="0"/>
    <n v="127.42515968847351"/>
    <n v="0"/>
    <n v="127.42515968847351"/>
    <n v="2.1531512101605559"/>
    <n v="0"/>
    <n v="2.1531512101605559"/>
  </r>
  <r>
    <x v="0"/>
    <x v="26"/>
    <x v="26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570.05992492211828"/>
    <n v="166.62687299999999"/>
    <n v="522.89894000000004"/>
    <n v="1259.5857379221184"/>
    <n v="0"/>
    <n v="1259.5857379221184"/>
    <n v="15.132518571770907"/>
    <n v="0.504"/>
    <n v="15.636518571770909"/>
  </r>
  <r>
    <x v="0"/>
    <x v="26"/>
    <x v="26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3.532936760124613"/>
    <n v="0"/>
    <n v="528.80970000000002"/>
    <n v="562.34263676012461"/>
    <n v="0"/>
    <n v="562.34263676012461"/>
    <n v="6.716618739515936"/>
    <n v="0"/>
    <n v="6.716618739515936"/>
  </r>
  <r>
    <x v="0"/>
    <x v="26"/>
    <x v="26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2152.8145400000003"/>
    <n v="282.37250299999999"/>
    <n v="1357.4686799999999"/>
    <n v="3792.6557229999999"/>
    <n v="0"/>
    <n v="3792.6557229999999"/>
    <n v="51.026923076923069"/>
    <n v="1.211311342539819"/>
    <n v="52.238234419462898"/>
  </r>
  <r>
    <x v="0"/>
    <x v="27"/>
    <x v="27"/>
    <x v="1"/>
    <x v="0"/>
    <s v="MSA"/>
    <x v="37"/>
    <x v="0"/>
    <x v="16"/>
    <n v="113.99592"/>
    <n v="0"/>
    <x v="0"/>
    <n v="0"/>
    <n v="142.49592000000001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PSY"/>
    <x v="1"/>
    <x v="0"/>
    <x v="0"/>
    <n v="0"/>
    <n v="330.70290999999992"/>
    <x v="0"/>
    <n v="0"/>
    <n v="330.70290999999992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MIS"/>
    <x v="3"/>
    <x v="0"/>
    <x v="0"/>
    <n v="0"/>
    <n v="72.52"/>
    <x v="0"/>
    <n v="0"/>
    <n v="72.52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EMG"/>
    <x v="5"/>
    <x v="0"/>
    <x v="0"/>
    <n v="0"/>
    <n v="107.127"/>
    <x v="0"/>
    <n v="0"/>
    <n v="107.127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CL"/>
    <x v="6"/>
    <x v="0"/>
    <x v="0"/>
    <n v="0"/>
    <n v="242.51650000000001"/>
    <x v="0"/>
    <n v="0"/>
    <n v="242.51650000000001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LAB"/>
    <x v="9"/>
    <x v="0"/>
    <x v="0"/>
    <n v="0"/>
    <n v="83.995999999999995"/>
    <x v="0"/>
    <n v="0"/>
    <n v="83.995999999999995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IRC"/>
    <x v="10"/>
    <x v="0"/>
    <x v="0"/>
    <n v="0"/>
    <n v="16.8"/>
    <x v="0"/>
    <n v="0"/>
    <n v="16.8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RAD"/>
    <x v="11"/>
    <x v="0"/>
    <x v="0"/>
    <n v="0"/>
    <n v="24.146999999999998"/>
    <x v="0"/>
    <n v="0"/>
    <n v="24.146999999999998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NUC"/>
    <x v="14"/>
    <x v="0"/>
    <x v="0"/>
    <n v="0"/>
    <n v="21.58"/>
    <x v="0"/>
    <n v="0"/>
    <n v="21.58"/>
    <x v="0"/>
    <x v="0"/>
    <x v="0"/>
    <x v="0"/>
    <x v="0"/>
    <m/>
    <m/>
    <x v="0"/>
    <m/>
    <m/>
    <m/>
    <m/>
    <m/>
    <m/>
    <m/>
    <m/>
    <m/>
    <m/>
    <m/>
  </r>
  <r>
    <x v="0"/>
    <x v="27"/>
    <x v="27"/>
    <x v="1"/>
    <x v="0"/>
    <s v="XYZ"/>
    <x v="19"/>
    <x v="0"/>
    <x v="16"/>
    <n v="113.99592"/>
    <n v="899.38940999999988"/>
    <x v="0"/>
    <n v="0"/>
    <n v="1041.8853299999998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MSA"/>
    <x v="37"/>
    <x v="0"/>
    <x v="17"/>
    <n v="0"/>
    <n v="0"/>
    <x v="0"/>
    <n v="0"/>
    <n v="410.19798255750078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MSG"/>
    <x v="0"/>
    <x v="11"/>
    <x v="0"/>
    <n v="338.09269953275231"/>
    <n v="507.38527130522914"/>
    <x v="0"/>
    <n v="0"/>
    <n v="854.45853713632357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MIS"/>
    <x v="3"/>
    <x v="0"/>
    <x v="0"/>
    <n v="34.762540894703463"/>
    <n v="0"/>
    <x v="0"/>
    <n v="0"/>
    <n v="34.762540894703463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OR"/>
    <x v="7"/>
    <x v="0"/>
    <x v="0"/>
    <n v="164.56929502602284"/>
    <n v="266.76071231026003"/>
    <x v="0"/>
    <n v="0"/>
    <n v="431.3300073362829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ANS"/>
    <x v="8"/>
    <x v="0"/>
    <x v="0"/>
    <n v="0"/>
    <n v="429.27974999999998"/>
    <x v="0"/>
    <n v="0"/>
    <n v="429.27974999999998"/>
    <x v="0"/>
    <x v="0"/>
    <x v="0"/>
    <x v="0"/>
    <x v="0"/>
    <m/>
    <m/>
    <x v="0"/>
    <m/>
    <m/>
    <m/>
    <m/>
    <m/>
    <m/>
    <m/>
    <m/>
    <m/>
    <m/>
    <m/>
  </r>
  <r>
    <x v="0"/>
    <x v="28"/>
    <x v="28"/>
    <x v="1"/>
    <x v="0"/>
    <s v="XYZ"/>
    <x v="19"/>
    <x v="11"/>
    <x v="17"/>
    <n v="537.4245354534786"/>
    <n v="1203.4257336154892"/>
    <x v="0"/>
    <n v="0"/>
    <n v="2160.0288179248109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MSA"/>
    <x v="37"/>
    <x v="0"/>
    <x v="18"/>
    <n v="0"/>
    <n v="0"/>
    <x v="0"/>
    <n v="0"/>
    <n v="417.82600000000002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MSG"/>
    <x v="0"/>
    <x v="0"/>
    <x v="0"/>
    <n v="0"/>
    <n v="618.68450256371295"/>
    <x v="0"/>
    <n v="0"/>
    <n v="618.68450256371295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PED"/>
    <x v="20"/>
    <x v="0"/>
    <x v="0"/>
    <n v="0"/>
    <n v="138.64291294587696"/>
    <x v="0"/>
    <n v="0"/>
    <n v="138.64291294587696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PSY"/>
    <x v="1"/>
    <x v="0"/>
    <x v="0"/>
    <n v="0"/>
    <n v="19.354397643957491"/>
    <x v="0"/>
    <n v="0"/>
    <n v="19.354397643957491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OBS"/>
    <x v="21"/>
    <x v="0"/>
    <x v="0"/>
    <n v="0"/>
    <n v="40.286260829036443"/>
    <x v="0"/>
    <n v="0"/>
    <n v="40.286260829036443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MIS"/>
    <x v="3"/>
    <x v="0"/>
    <x v="0"/>
    <n v="0"/>
    <n v="301.33916325354659"/>
    <x v="0"/>
    <n v="0"/>
    <n v="301.33916325354659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NUR"/>
    <x v="4"/>
    <x v="0"/>
    <x v="0"/>
    <n v="0"/>
    <n v="46.126186728009984"/>
    <x v="0"/>
    <n v="0"/>
    <n v="46.126186728009984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CL"/>
    <x v="6"/>
    <x v="0"/>
    <x v="0"/>
    <n v="0"/>
    <n v="30.101551507538559"/>
    <x v="0"/>
    <n v="0"/>
    <n v="30.101551507538559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DEL"/>
    <x v="28"/>
    <x v="0"/>
    <x v="0"/>
    <n v="0"/>
    <n v="374.4168760358595"/>
    <x v="0"/>
    <n v="0"/>
    <n v="374.4168760358595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OR"/>
    <x v="7"/>
    <x v="0"/>
    <x v="0"/>
    <n v="0"/>
    <n v="1991.6026095546331"/>
    <x v="0"/>
    <n v="0"/>
    <n v="1991.6026095546331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ORC"/>
    <x v="39"/>
    <x v="0"/>
    <x v="0"/>
    <n v="0"/>
    <n v="3.2004397070594504"/>
    <x v="0"/>
    <n v="0"/>
    <n v="3.2004397070594504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LAB"/>
    <x v="9"/>
    <x v="0"/>
    <x v="0"/>
    <n v="0"/>
    <n v="45.668249999999993"/>
    <x v="0"/>
    <n v="0"/>
    <n v="45.668249999999993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EKG"/>
    <x v="29"/>
    <x v="0"/>
    <x v="0"/>
    <n v="0"/>
    <n v="7.6924999999999981"/>
    <x v="0"/>
    <n v="0"/>
    <n v="7.6924999999999981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0"/>
    <s v="XYZ"/>
    <x v="19"/>
    <x v="0"/>
    <x v="18"/>
    <n v="0"/>
    <n v="3617.1156507692313"/>
    <x v="0"/>
    <n v="0"/>
    <n v="4034.9416507692313"/>
    <x v="0"/>
    <x v="0"/>
    <x v="0"/>
    <x v="0"/>
    <x v="0"/>
    <m/>
    <m/>
    <x v="0"/>
    <m/>
    <m/>
    <m/>
    <m/>
    <m/>
    <m/>
    <m/>
    <m/>
    <m/>
    <m/>
    <m/>
  </r>
  <r>
    <x v="0"/>
    <x v="29"/>
    <x v="29"/>
    <x v="0"/>
    <x v="1"/>
    <s v="ORC"/>
    <x v="39"/>
    <x v="1"/>
    <x v="1"/>
    <m/>
    <m/>
    <x v="1"/>
    <m/>
    <m/>
    <x v="0"/>
    <x v="0"/>
    <x v="0"/>
    <x v="0"/>
    <x v="0"/>
    <m/>
    <m/>
    <x v="0"/>
    <m/>
    <m/>
    <n v="67.323364896191805"/>
    <n v="0"/>
    <n v="684.09695999999997"/>
    <n v="751.4203248961918"/>
    <n v="1.8300776687980769"/>
    <n v="753.25040256498971"/>
    <n v="5"/>
    <n v="0"/>
    <n v="0.90363942307692302"/>
  </r>
  <r>
    <x v="0"/>
    <x v="29"/>
    <x v="29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67.323364896191805"/>
    <n v="0"/>
    <n v="684.09695999999997"/>
    <n v="751.4203248961918"/>
    <n v="1.8300776687980769"/>
    <n v="753.25040256498971"/>
    <n v="0.90363942307692302"/>
    <n v="0"/>
    <n v="0.90363942307692302"/>
  </r>
  <r>
    <x v="0"/>
    <x v="30"/>
    <x v="30"/>
    <x v="0"/>
    <x v="0"/>
    <s v="MSA"/>
    <x v="37"/>
    <x v="0"/>
    <x v="19"/>
    <n v="416.36768604334821"/>
    <n v="0"/>
    <x v="0"/>
    <n v="0"/>
    <n v="533.60818037600484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MSG"/>
    <x v="0"/>
    <x v="12"/>
    <x v="0"/>
    <n v="0"/>
    <n v="2276.974052274476"/>
    <x v="0"/>
    <n v="777.40008969395103"/>
    <n v="3092.9369196739722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PED"/>
    <x v="20"/>
    <x v="0"/>
    <x v="0"/>
    <n v="0"/>
    <n v="305.14980613492202"/>
    <x v="0"/>
    <n v="0"/>
    <n v="305.14980613492196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OBS"/>
    <x v="21"/>
    <x v="0"/>
    <x v="0"/>
    <n v="0"/>
    <n v="56.392782356773537"/>
    <x v="0"/>
    <n v="242.10242728473631"/>
    <n v="298.49520964150986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MIS"/>
    <x v="3"/>
    <x v="0"/>
    <x v="0"/>
    <n v="0"/>
    <n v="297.42747987568481"/>
    <x v="0"/>
    <n v="209.2168467436027"/>
    <n v="506.64432661928754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NEO"/>
    <x v="26"/>
    <x v="0"/>
    <x v="0"/>
    <n v="0"/>
    <n v="197.37902742184801"/>
    <x v="0"/>
    <n v="0"/>
    <n v="197.37902742184801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EMG"/>
    <x v="5"/>
    <x v="0"/>
    <x v="0"/>
    <n v="0"/>
    <n v="109.5787902193449"/>
    <x v="0"/>
    <n v="104.60842337180136"/>
    <n v="214.18721359114625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CL"/>
    <x v="6"/>
    <x v="0"/>
    <x v="0"/>
    <n v="0"/>
    <n v="773.59843796396603"/>
    <x v="0"/>
    <n v="504.09310766179777"/>
    <n v="1277.6915456257641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DEL"/>
    <x v="28"/>
    <x v="0"/>
    <x v="0"/>
    <n v="0"/>
    <n v="56.581537203116085"/>
    <x v="0"/>
    <n v="0"/>
    <n v="56.581537203116085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OR"/>
    <x v="7"/>
    <x v="12"/>
    <x v="0"/>
    <n v="0"/>
    <n v="351.5695036810838"/>
    <x v="0"/>
    <n v="112.61590180397566"/>
    <n v="502.74818319060455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LAB"/>
    <x v="9"/>
    <x v="0"/>
    <x v="0"/>
    <n v="0"/>
    <n v="189.18675999999999"/>
    <x v="0"/>
    <n v="0"/>
    <n v="189.18675999999999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RAD"/>
    <x v="11"/>
    <x v="0"/>
    <x v="0"/>
    <n v="0"/>
    <n v="350"/>
    <x v="0"/>
    <n v="0"/>
    <n v="350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HYP"/>
    <x v="45"/>
    <x v="0"/>
    <x v="0"/>
    <n v="0"/>
    <n v="42.003320000000002"/>
    <x v="0"/>
    <n v="0"/>
    <n v="42.003320000000002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0"/>
    <s v="XYZ"/>
    <x v="19"/>
    <x v="13"/>
    <x v="19"/>
    <n v="416.36768604334821"/>
    <n v="5005.8414971312159"/>
    <x v="0"/>
    <n v="1950.036796559865"/>
    <n v="7566.612029478174"/>
    <x v="0"/>
    <x v="0"/>
    <x v="0"/>
    <x v="0"/>
    <x v="0"/>
    <m/>
    <m/>
    <x v="0"/>
    <m/>
    <m/>
    <m/>
    <m/>
    <m/>
    <m/>
    <m/>
    <m/>
    <m/>
    <m/>
    <m/>
  </r>
  <r>
    <x v="0"/>
    <x v="30"/>
    <x v="30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1720.6774794058033"/>
    <n v="777.40008969395103"/>
    <n v="737.33284000000003"/>
    <n v="3235.4104090997544"/>
    <n v="61.188922194396056"/>
    <n v="3296.5993312941505"/>
    <n v="27.289943076923084"/>
    <n v="6.4618273884591249"/>
    <n v="33.751770465382208"/>
  </r>
  <r>
    <x v="0"/>
    <x v="30"/>
    <x v="30"/>
    <x v="0"/>
    <x v="1"/>
    <s v="PED"/>
    <x v="20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1.7577155306229095"/>
    <n v="1.7577155306229095"/>
    <n v="0"/>
    <n v="0.96955476588628764"/>
    <n v="0.96955476588628764"/>
  </r>
  <r>
    <x v="0"/>
    <x v="30"/>
    <x v="30"/>
    <x v="0"/>
    <x v="1"/>
    <s v="OBS"/>
    <x v="21"/>
    <x v="1"/>
    <x v="1"/>
    <m/>
    <m/>
    <x v="1"/>
    <m/>
    <m/>
    <x v="0"/>
    <x v="0"/>
    <x v="0"/>
    <x v="0"/>
    <x v="0"/>
    <m/>
    <m/>
    <x v="0"/>
    <m/>
    <m/>
    <n v="0"/>
    <n v="242.10242728473631"/>
    <n v="0"/>
    <n v="242.10242728473631"/>
    <n v="1.5326434109743592"/>
    <n v="243.63507069571068"/>
    <n v="0"/>
    <n v="0.84540512820512836"/>
    <n v="0.84540512820512836"/>
  </r>
  <r>
    <x v="0"/>
    <x v="30"/>
    <x v="30"/>
    <x v="0"/>
    <x v="1"/>
    <s v="MIS"/>
    <x v="3"/>
    <x v="1"/>
    <x v="1"/>
    <m/>
    <m/>
    <x v="1"/>
    <m/>
    <m/>
    <x v="0"/>
    <x v="0"/>
    <x v="0"/>
    <x v="0"/>
    <x v="0"/>
    <m/>
    <m/>
    <x v="0"/>
    <m/>
    <m/>
    <n v="677.57601390685102"/>
    <n v="209.2168467436027"/>
    <n v="0"/>
    <n v="886.79286065045358"/>
    <n v="17.714877274091485"/>
    <n v="904.50773792454493"/>
    <n v="8.3953846153846179"/>
    <n v="1.3761303931328954"/>
    <n v="9.7715150085175129"/>
  </r>
  <r>
    <x v="0"/>
    <x v="30"/>
    <x v="30"/>
    <x v="0"/>
    <x v="1"/>
    <s v="NEO"/>
    <x v="26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74991719423076908"/>
    <n v="0.74991719423076908"/>
    <n v="0"/>
    <n v="0.41365384615384615"/>
    <n v="0.41365384615384615"/>
  </r>
  <r>
    <x v="0"/>
    <x v="30"/>
    <x v="30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338.78800695342545"/>
    <n v="104.60842337180136"/>
    <n v="0"/>
    <n v="443.39643032522679"/>
    <n v="8.8307969948983072"/>
    <n v="452.22722732012511"/>
    <n v="4.1976923076923089"/>
    <n v="0.67336968374593487"/>
    <n v="4.8710619914382436"/>
  </r>
  <r>
    <x v="0"/>
    <x v="30"/>
    <x v="30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703.52706311497775"/>
    <n v="504.09310766179777"/>
    <n v="715.64658000000009"/>
    <n v="1923.2667507767756"/>
    <n v="31.030027182143535"/>
    <n v="1954.2967779589192"/>
    <n v="14.511528461538465"/>
    <n v="2.6046147458703621"/>
    <n v="17.116143207408825"/>
  </r>
  <r>
    <x v="0"/>
    <x v="30"/>
    <x v="30"/>
    <x v="0"/>
    <x v="1"/>
    <s v="DEL"/>
    <x v="28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12467939888461541"/>
    <n v="0.12467939888461541"/>
    <n v="0"/>
    <n v="6.8773076923076923E-2"/>
    <n v="6.8773076923076923E-2"/>
  </r>
  <r>
    <x v="0"/>
    <x v="30"/>
    <x v="30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25.951049208126861"/>
    <n v="112.61590180397566"/>
    <n v="715.64658000000009"/>
    <n v="854.21353101210275"/>
    <n v="12.504915486307141"/>
    <n v="866.71844649840978"/>
    <n v="6.1161438461538467"/>
    <n v="0.78155956234803148"/>
    <n v="6.8977034085018785"/>
  </r>
  <r>
    <x v="0"/>
    <x v="30"/>
    <x v="30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96320605573076923"/>
    <n v="0.96320605573076923"/>
    <n v="0"/>
    <n v="0.53130384615384618"/>
    <n v="0.53130384615384618"/>
  </r>
  <r>
    <x v="0"/>
    <x v="30"/>
    <x v="30"/>
    <x v="0"/>
    <x v="1"/>
    <s v="RAD"/>
    <x v="11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2.033713141025641"/>
    <n v="2.033713141025641"/>
    <n v="0"/>
    <n v="1.1217948717948718"/>
    <n v="1.1217948717948718"/>
  </r>
  <r>
    <x v="0"/>
    <x v="30"/>
    <x v="30"/>
    <x v="0"/>
    <x v="1"/>
    <s v="HYP"/>
    <x v="45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34866409734981685"/>
    <n v="0.34866409734981685"/>
    <n v="0"/>
    <n v="0.19232289377289377"/>
    <n v="0.19232289377289377"/>
  </r>
  <r>
    <x v="0"/>
    <x v="30"/>
    <x v="30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3466.5196125891844"/>
    <n v="1950.036796559865"/>
    <n v="2168.6260000000002"/>
    <n v="7585.1824091490498"/>
    <n v="138.7800779606554"/>
    <n v="7723.9624871097058"/>
    <n v="60.510692307692317"/>
    <n v="16.0403102024463"/>
    <n v="76.551002510138645"/>
  </r>
  <r>
    <x v="0"/>
    <x v="31"/>
    <x v="31"/>
    <x v="1"/>
    <x v="0"/>
    <s v="MSA"/>
    <x v="37"/>
    <x v="0"/>
    <x v="20"/>
    <n v="282.72000000000003"/>
    <n v="0"/>
    <x v="0"/>
    <n v="0"/>
    <n v="540.70299999999997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MSG"/>
    <x v="0"/>
    <x v="0"/>
    <x v="0"/>
    <n v="0"/>
    <n v="21.45"/>
    <x v="0"/>
    <n v="0"/>
    <n v="21.45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PSY"/>
    <x v="1"/>
    <x v="0"/>
    <x v="0"/>
    <n v="0"/>
    <n v="674.24599999999998"/>
    <x v="0"/>
    <n v="0"/>
    <n v="674.24599999999998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OBS"/>
    <x v="21"/>
    <x v="0"/>
    <x v="0"/>
    <n v="0"/>
    <n v="1694.895"/>
    <x v="0"/>
    <n v="0"/>
    <n v="1694.895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NUR"/>
    <x v="4"/>
    <x v="0"/>
    <x v="0"/>
    <n v="0"/>
    <n v="24.55"/>
    <x v="0"/>
    <n v="0"/>
    <n v="24.55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EMG"/>
    <x v="5"/>
    <x v="0"/>
    <x v="0"/>
    <n v="0"/>
    <n v="2042.7719999999999"/>
    <x v="0"/>
    <n v="0"/>
    <n v="2042.7719999999999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CL"/>
    <x v="6"/>
    <x v="0"/>
    <x v="0"/>
    <n v="0"/>
    <n v="-221.828"/>
    <x v="0"/>
    <n v="0"/>
    <n v="-221.828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OR"/>
    <x v="7"/>
    <x v="0"/>
    <x v="0"/>
    <n v="0"/>
    <n v="557.00699999999995"/>
    <x v="0"/>
    <n v="0"/>
    <n v="557.00699999999995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ANS"/>
    <x v="8"/>
    <x v="0"/>
    <x v="0"/>
    <n v="0"/>
    <n v="832.3209999999998"/>
    <x v="0"/>
    <n v="0"/>
    <n v="832.3209999999998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IRC"/>
    <x v="10"/>
    <x v="0"/>
    <x v="0"/>
    <n v="0"/>
    <n v="449.024"/>
    <x v="0"/>
    <n v="0"/>
    <n v="449.024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NUC"/>
    <x v="14"/>
    <x v="0"/>
    <x v="0"/>
    <n v="0"/>
    <n v="5.5"/>
    <x v="0"/>
    <n v="0"/>
    <n v="5.5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PUL"/>
    <x v="30"/>
    <x v="0"/>
    <x v="0"/>
    <n v="0"/>
    <n v="20.513000000000002"/>
    <x v="0"/>
    <n v="0"/>
    <n v="20.513000000000002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RDL"/>
    <x v="33"/>
    <x v="0"/>
    <x v="0"/>
    <n v="0"/>
    <n v="12.038"/>
    <x v="0"/>
    <n v="0"/>
    <n v="12.038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0"/>
    <s v="XYZ"/>
    <x v="19"/>
    <x v="0"/>
    <x v="20"/>
    <n v="282.72000000000003"/>
    <n v="6112.4879999999994"/>
    <x v="0"/>
    <n v="0"/>
    <n v="6653.1909999999989"/>
    <x v="0"/>
    <x v="0"/>
    <x v="0"/>
    <x v="0"/>
    <x v="0"/>
    <m/>
    <m/>
    <x v="0"/>
    <m/>
    <m/>
    <m/>
    <m/>
    <m/>
    <m/>
    <m/>
    <m/>
    <m/>
    <m/>
    <m/>
  </r>
  <r>
    <x v="0"/>
    <x v="31"/>
    <x v="31"/>
    <x v="1"/>
    <x v="2"/>
    <s v="MSG"/>
    <x v="0"/>
    <x v="1"/>
    <x v="1"/>
    <m/>
    <m/>
    <x v="1"/>
    <m/>
    <m/>
    <x v="0"/>
    <x v="0"/>
    <x v="0"/>
    <x v="0"/>
    <x v="0"/>
    <n v="587.96"/>
    <n v="3.1582979999999998"/>
    <x v="0"/>
    <n v="591.11829799999998"/>
    <n v="3.3"/>
    <m/>
    <m/>
    <m/>
    <m/>
    <m/>
    <m/>
    <m/>
    <m/>
    <m/>
  </r>
  <r>
    <x v="0"/>
    <x v="31"/>
    <x v="31"/>
    <x v="1"/>
    <x v="2"/>
    <s v="XYZ"/>
    <x v="19"/>
    <x v="1"/>
    <x v="1"/>
    <m/>
    <m/>
    <x v="1"/>
    <m/>
    <m/>
    <x v="0"/>
    <x v="0"/>
    <x v="0"/>
    <x v="0"/>
    <x v="0"/>
    <n v="587.96"/>
    <n v="3.1582979999999998"/>
    <x v="1"/>
    <n v="591.11829799999998"/>
    <n v="3.3"/>
    <m/>
    <m/>
    <m/>
    <m/>
    <m/>
    <m/>
    <m/>
    <m/>
    <m/>
  </r>
  <r>
    <x v="0"/>
    <x v="32"/>
    <x v="32"/>
    <x v="1"/>
    <x v="0"/>
    <s v="MSA"/>
    <x v="37"/>
    <x v="0"/>
    <x v="0"/>
    <n v="612.048"/>
    <n v="0"/>
    <x v="0"/>
    <n v="0"/>
    <n v="612.048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PED"/>
    <x v="20"/>
    <x v="0"/>
    <x v="0"/>
    <n v="0"/>
    <n v="33.817"/>
    <x v="0"/>
    <n v="0"/>
    <n v="33.817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OBS"/>
    <x v="21"/>
    <x v="0"/>
    <x v="0"/>
    <n v="0"/>
    <n v="54"/>
    <x v="0"/>
    <n v="0"/>
    <n v="54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CL"/>
    <x v="6"/>
    <x v="0"/>
    <x v="0"/>
    <n v="0"/>
    <n v="92.608000000000004"/>
    <x v="0"/>
    <n v="0"/>
    <n v="92.608000000000004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OR"/>
    <x v="7"/>
    <x v="0"/>
    <x v="0"/>
    <n v="0"/>
    <n v="307.93900000000002"/>
    <x v="0"/>
    <n v="0"/>
    <n v="307.93900000000002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LAB"/>
    <x v="9"/>
    <x v="0"/>
    <x v="0"/>
    <n v="0"/>
    <n v="176.55500000000001"/>
    <x v="0"/>
    <n v="0"/>
    <n v="176.55500000000001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EKG"/>
    <x v="29"/>
    <x v="0"/>
    <x v="0"/>
    <n v="0"/>
    <n v="38.25"/>
    <x v="0"/>
    <n v="0"/>
    <n v="38.25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IRC"/>
    <x v="10"/>
    <x v="0"/>
    <x v="0"/>
    <n v="0"/>
    <n v="95"/>
    <x v="0"/>
    <n v="0"/>
    <n v="95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RAD"/>
    <x v="11"/>
    <x v="0"/>
    <x v="0"/>
    <n v="0"/>
    <n v="70"/>
    <x v="0"/>
    <n v="0"/>
    <n v="70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RAT"/>
    <x v="13"/>
    <x v="0"/>
    <x v="0"/>
    <n v="0"/>
    <n v="180.75"/>
    <x v="0"/>
    <n v="0"/>
    <n v="180.75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RES"/>
    <x v="15"/>
    <x v="0"/>
    <x v="0"/>
    <n v="0"/>
    <n v="210.45"/>
    <x v="0"/>
    <n v="0"/>
    <n v="210.45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PUL"/>
    <x v="30"/>
    <x v="0"/>
    <x v="0"/>
    <n v="0"/>
    <n v="1.8"/>
    <x v="0"/>
    <n v="0"/>
    <n v="1.8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0"/>
    <s v="XYZ"/>
    <x v="19"/>
    <x v="0"/>
    <x v="0"/>
    <n v="612.048"/>
    <n v="1261.1690000000001"/>
    <x v="0"/>
    <n v="0"/>
    <n v="1873.2170000000001"/>
    <x v="0"/>
    <x v="0"/>
    <x v="0"/>
    <x v="0"/>
    <x v="0"/>
    <m/>
    <m/>
    <x v="0"/>
    <m/>
    <m/>
    <m/>
    <m/>
    <m/>
    <m/>
    <m/>
    <m/>
    <m/>
    <m/>
    <m/>
  </r>
  <r>
    <x v="0"/>
    <x v="32"/>
    <x v="32"/>
    <x v="1"/>
    <x v="2"/>
    <s v="IRC"/>
    <x v="10"/>
    <x v="1"/>
    <x v="1"/>
    <m/>
    <m/>
    <x v="1"/>
    <m/>
    <m/>
    <x v="0"/>
    <x v="0"/>
    <x v="0"/>
    <x v="0"/>
    <x v="0"/>
    <n v="116.32884"/>
    <n v="0"/>
    <x v="0"/>
    <n v="116.32884"/>
    <n v="1.1299999999999999"/>
    <m/>
    <m/>
    <m/>
    <m/>
    <m/>
    <m/>
    <m/>
    <m/>
    <m/>
  </r>
  <r>
    <x v="0"/>
    <x v="32"/>
    <x v="32"/>
    <x v="1"/>
    <x v="2"/>
    <s v="RAT"/>
    <x v="13"/>
    <x v="1"/>
    <x v="1"/>
    <m/>
    <m/>
    <x v="1"/>
    <m/>
    <m/>
    <x v="0"/>
    <x v="0"/>
    <x v="0"/>
    <x v="0"/>
    <x v="0"/>
    <n v="85.065179999999998"/>
    <n v="0"/>
    <x v="0"/>
    <n v="85.065179999999998"/>
    <n v="0.7"/>
    <m/>
    <m/>
    <m/>
    <m/>
    <m/>
    <m/>
    <m/>
    <m/>
    <m/>
  </r>
  <r>
    <x v="0"/>
    <x v="32"/>
    <x v="32"/>
    <x v="1"/>
    <x v="2"/>
    <s v="XYZ"/>
    <x v="19"/>
    <x v="1"/>
    <x v="1"/>
    <m/>
    <m/>
    <x v="1"/>
    <m/>
    <m/>
    <x v="0"/>
    <x v="0"/>
    <x v="0"/>
    <x v="0"/>
    <x v="0"/>
    <n v="201.39402000000001"/>
    <n v="0"/>
    <x v="1"/>
    <n v="201.39402000000001"/>
    <n v="1.83"/>
    <m/>
    <m/>
    <m/>
    <m/>
    <m/>
    <m/>
    <m/>
    <m/>
    <m/>
  </r>
  <r>
    <x v="0"/>
    <x v="33"/>
    <x v="33"/>
    <x v="1"/>
    <x v="0"/>
    <s v="MSA"/>
    <x v="37"/>
    <x v="0"/>
    <x v="21"/>
    <n v="30.3"/>
    <n v="0"/>
    <x v="0"/>
    <n v="0"/>
    <n v="970.9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MSG"/>
    <x v="0"/>
    <x v="0"/>
    <x v="0"/>
    <n v="0"/>
    <n v="1.4"/>
    <x v="0"/>
    <n v="0"/>
    <n v="1.4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CL"/>
    <x v="6"/>
    <x v="0"/>
    <x v="0"/>
    <n v="0"/>
    <n v="8.5"/>
    <x v="0"/>
    <n v="0"/>
    <n v="8.5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OR"/>
    <x v="7"/>
    <x v="0"/>
    <x v="0"/>
    <n v="0"/>
    <n v="123.1"/>
    <x v="0"/>
    <n v="0"/>
    <n v="123.1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EKG"/>
    <x v="29"/>
    <x v="0"/>
    <x v="0"/>
    <n v="0"/>
    <n v="4.8"/>
    <x v="0"/>
    <n v="0"/>
    <n v="4.8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IRC"/>
    <x v="10"/>
    <x v="0"/>
    <x v="0"/>
    <n v="0"/>
    <n v="8.4"/>
    <x v="0"/>
    <n v="0"/>
    <n v="8.4"/>
    <x v="0"/>
    <x v="0"/>
    <x v="0"/>
    <x v="0"/>
    <x v="0"/>
    <m/>
    <m/>
    <x v="0"/>
    <m/>
    <m/>
    <m/>
    <m/>
    <m/>
    <m/>
    <m/>
    <m/>
    <m/>
    <m/>
    <m/>
  </r>
  <r>
    <x v="0"/>
    <x v="33"/>
    <x v="33"/>
    <x v="1"/>
    <x v="0"/>
    <s v="XYZ"/>
    <x v="19"/>
    <x v="0"/>
    <x v="21"/>
    <n v="30.3"/>
    <n v="146.20000000000002"/>
    <x v="0"/>
    <n v="0"/>
    <n v="1117.0999999999999"/>
    <x v="0"/>
    <x v="0"/>
    <x v="0"/>
    <x v="0"/>
    <x v="0"/>
    <m/>
    <m/>
    <x v="0"/>
    <m/>
    <m/>
    <m/>
    <m/>
    <m/>
    <m/>
    <m/>
    <m/>
    <m/>
    <m/>
    <m/>
  </r>
  <r>
    <x v="0"/>
    <x v="34"/>
    <x v="34"/>
    <x v="1"/>
    <x v="0"/>
    <s v="EMG"/>
    <x v="5"/>
    <x v="0"/>
    <x v="0"/>
    <n v="0"/>
    <n v="75.816000000000017"/>
    <x v="0"/>
    <n v="0"/>
    <n v="75.816000000000017"/>
    <x v="0"/>
    <x v="0"/>
    <x v="0"/>
    <x v="0"/>
    <x v="0"/>
    <m/>
    <m/>
    <x v="0"/>
    <m/>
    <m/>
    <m/>
    <m/>
    <m/>
    <m/>
    <m/>
    <m/>
    <m/>
    <m/>
    <m/>
  </r>
  <r>
    <x v="0"/>
    <x v="34"/>
    <x v="34"/>
    <x v="1"/>
    <x v="0"/>
    <s v="CL"/>
    <x v="6"/>
    <x v="0"/>
    <x v="0"/>
    <n v="0.72240000000000004"/>
    <n v="19.866"/>
    <x v="0"/>
    <n v="0"/>
    <n v="20.5884"/>
    <x v="0"/>
    <x v="0"/>
    <x v="0"/>
    <x v="0"/>
    <x v="0"/>
    <m/>
    <m/>
    <x v="0"/>
    <m/>
    <m/>
    <m/>
    <m/>
    <m/>
    <m/>
    <m/>
    <m/>
    <m/>
    <m/>
    <m/>
  </r>
  <r>
    <x v="0"/>
    <x v="34"/>
    <x v="34"/>
    <x v="1"/>
    <x v="0"/>
    <s v="LAB"/>
    <x v="9"/>
    <x v="0"/>
    <x v="0"/>
    <n v="0"/>
    <n v="31.125"/>
    <x v="0"/>
    <n v="0"/>
    <n v="31.125"/>
    <x v="0"/>
    <x v="0"/>
    <x v="0"/>
    <x v="0"/>
    <x v="0"/>
    <m/>
    <m/>
    <x v="0"/>
    <m/>
    <m/>
    <m/>
    <m/>
    <m/>
    <m/>
    <m/>
    <m/>
    <m/>
    <m/>
    <m/>
  </r>
  <r>
    <x v="0"/>
    <x v="34"/>
    <x v="34"/>
    <x v="1"/>
    <x v="0"/>
    <s v="XYZ"/>
    <x v="19"/>
    <x v="0"/>
    <x v="0"/>
    <n v="0.72240000000000004"/>
    <n v="126.80700000000002"/>
    <x v="0"/>
    <n v="0"/>
    <n v="127.5294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MSA"/>
    <x v="37"/>
    <x v="0"/>
    <x v="22"/>
    <n v="0"/>
    <n v="0"/>
    <x v="0"/>
    <n v="0"/>
    <n v="346.4761762710408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MSG"/>
    <x v="0"/>
    <x v="0"/>
    <x v="0"/>
    <n v="90.335284028953083"/>
    <n v="822.18635502815505"/>
    <x v="0"/>
    <n v="512.64423279928837"/>
    <n v="1425.1658718563965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MIS"/>
    <x v="3"/>
    <x v="0"/>
    <x v="0"/>
    <n v="14.0406627734066"/>
    <n v="70.487783032050444"/>
    <x v="0"/>
    <n v="0"/>
    <n v="84.528445805457025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EMG"/>
    <x v="5"/>
    <x v="0"/>
    <x v="0"/>
    <n v="70.037855876062039"/>
    <n v="29.701892475832281"/>
    <x v="0"/>
    <n v="13.344487415764435"/>
    <n v="113.08423576765875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CL"/>
    <x v="6"/>
    <x v="0"/>
    <x v="0"/>
    <n v="0"/>
    <n v="361.28122952745457"/>
    <x v="0"/>
    <n v="340.5332509172174"/>
    <n v="701.81448044467197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DEL"/>
    <x v="28"/>
    <x v="0"/>
    <x v="0"/>
    <n v="1.7120066088864284E-2"/>
    <n v="0"/>
    <x v="0"/>
    <n v="0"/>
    <n v="1.7120066088864284E-2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OR"/>
    <x v="7"/>
    <x v="0"/>
    <x v="0"/>
    <n v="0"/>
    <n v="15.710418103038494"/>
    <x v="0"/>
    <n v="163.00477667352081"/>
    <n v="178.71519477655931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IRC"/>
    <x v="10"/>
    <x v="0"/>
    <x v="0"/>
    <n v="0"/>
    <n v="15.710418103038494"/>
    <x v="0"/>
    <n v="0"/>
    <n v="15.710418103038494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RHB"/>
    <x v="18"/>
    <x v="0"/>
    <x v="0"/>
    <n v="10.415416917911225"/>
    <n v="40.73082305524688"/>
    <x v="0"/>
    <n v="0"/>
    <n v="51.146239973158103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OBV"/>
    <x v="38"/>
    <x v="0"/>
    <x v="0"/>
    <n v="42.900727571703527"/>
    <n v="100.88056208101077"/>
    <x v="0"/>
    <n v="2.1883979403126985"/>
    <n v="145.969687593027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0"/>
    <s v="XYZ"/>
    <x v="19"/>
    <x v="0"/>
    <x v="22"/>
    <n v="227.7470672341253"/>
    <n v="1456.6894814058271"/>
    <x v="0"/>
    <n v="1031.7151457461036"/>
    <n v="3062.627870657097"/>
    <x v="0"/>
    <x v="0"/>
    <x v="0"/>
    <x v="0"/>
    <x v="0"/>
    <m/>
    <m/>
    <x v="0"/>
    <m/>
    <m/>
    <m/>
    <m/>
    <m/>
    <m/>
    <m/>
    <m/>
    <m/>
    <m/>
    <m/>
  </r>
  <r>
    <x v="0"/>
    <x v="35"/>
    <x v="35"/>
    <x v="0"/>
    <x v="2"/>
    <s v="MSG"/>
    <x v="0"/>
    <x v="1"/>
    <x v="1"/>
    <m/>
    <m/>
    <x v="1"/>
    <m/>
    <m/>
    <x v="0"/>
    <x v="0"/>
    <x v="0"/>
    <x v="0"/>
    <x v="0"/>
    <n v="39.820097964033117"/>
    <n v="0.431313254754016"/>
    <x v="0"/>
    <n v="40.25141121878714"/>
    <n v="0.24299748995983933"/>
    <m/>
    <m/>
    <m/>
    <m/>
    <m/>
    <m/>
    <m/>
    <m/>
    <m/>
  </r>
  <r>
    <x v="0"/>
    <x v="35"/>
    <x v="35"/>
    <x v="0"/>
    <x v="2"/>
    <s v="MIS"/>
    <x v="3"/>
    <x v="1"/>
    <x v="1"/>
    <m/>
    <m/>
    <x v="1"/>
    <m/>
    <m/>
    <x v="0"/>
    <x v="0"/>
    <x v="0"/>
    <x v="0"/>
    <x v="0"/>
    <n v="77.611606019356117"/>
    <n v="0.65094958742408893"/>
    <x v="0"/>
    <n v="78.262555606780211"/>
    <n v="0.36673836032388657"/>
    <m/>
    <m/>
    <m/>
    <m/>
    <m/>
    <m/>
    <m/>
    <m/>
    <m/>
  </r>
  <r>
    <x v="0"/>
    <x v="35"/>
    <x v="35"/>
    <x v="0"/>
    <x v="2"/>
    <s v="EMG"/>
    <x v="5"/>
    <x v="1"/>
    <x v="1"/>
    <m/>
    <m/>
    <x v="1"/>
    <m/>
    <m/>
    <x v="0"/>
    <x v="0"/>
    <x v="0"/>
    <x v="0"/>
    <x v="0"/>
    <n v="117.22677457447026"/>
    <n v="0.95757355897435892"/>
    <x v="0"/>
    <n v="118.18434813344462"/>
    <n v="0.53948717948717961"/>
    <m/>
    <m/>
    <m/>
    <m/>
    <m/>
    <m/>
    <m/>
    <m/>
    <m/>
  </r>
  <r>
    <x v="0"/>
    <x v="35"/>
    <x v="35"/>
    <x v="0"/>
    <x v="2"/>
    <s v="CL"/>
    <x v="6"/>
    <x v="1"/>
    <x v="1"/>
    <m/>
    <m/>
    <x v="1"/>
    <m/>
    <m/>
    <x v="0"/>
    <x v="0"/>
    <x v="0"/>
    <x v="0"/>
    <x v="0"/>
    <n v="27.668662079689359"/>
    <n v="0.26913267075320513"/>
    <x v="0"/>
    <n v="27.937794750442567"/>
    <n v="0.15162660256410257"/>
    <m/>
    <m/>
    <m/>
    <m/>
    <m/>
    <m/>
    <m/>
    <m/>
    <m/>
  </r>
  <r>
    <x v="0"/>
    <x v="35"/>
    <x v="35"/>
    <x v="0"/>
    <x v="2"/>
    <s v="DEL"/>
    <x v="28"/>
    <x v="1"/>
    <x v="1"/>
    <m/>
    <m/>
    <x v="1"/>
    <m/>
    <m/>
    <x v="0"/>
    <x v="0"/>
    <x v="0"/>
    <x v="0"/>
    <x v="0"/>
    <n v="0.1911416900514161"/>
    <n v="1.4563856410256411E-3"/>
    <x v="0"/>
    <n v="0.19259807569244175"/>
    <n v="8.2051282051282069E-4"/>
    <m/>
    <m/>
    <m/>
    <m/>
    <m/>
    <m/>
    <m/>
    <m/>
    <m/>
  </r>
  <r>
    <x v="0"/>
    <x v="35"/>
    <x v="35"/>
    <x v="0"/>
    <x v="2"/>
    <s v="OR"/>
    <x v="7"/>
    <x v="1"/>
    <x v="1"/>
    <m/>
    <m/>
    <x v="1"/>
    <m/>
    <m/>
    <x v="0"/>
    <x v="0"/>
    <x v="0"/>
    <x v="0"/>
    <x v="0"/>
    <n v="7.3375381074376493"/>
    <n v="6.3307974459134608E-2"/>
    <x v="0"/>
    <n v="7.4008460818967841"/>
    <n v="3.5667067307692306E-2"/>
    <m/>
    <m/>
    <m/>
    <m/>
    <m/>
    <m/>
    <m/>
    <m/>
    <m/>
  </r>
  <r>
    <x v="0"/>
    <x v="35"/>
    <x v="35"/>
    <x v="0"/>
    <x v="2"/>
    <s v="XYZ"/>
    <x v="19"/>
    <x v="1"/>
    <x v="1"/>
    <m/>
    <m/>
    <x v="1"/>
    <m/>
    <m/>
    <x v="0"/>
    <x v="0"/>
    <x v="0"/>
    <x v="0"/>
    <x v="0"/>
    <n v="269.85582043503791"/>
    <n v="2.3737334320058294"/>
    <x v="1"/>
    <n v="272.22955386704376"/>
    <n v="1.337337212463213"/>
    <m/>
    <m/>
    <m/>
    <m/>
    <m/>
    <m/>
    <m/>
    <m/>
    <m/>
  </r>
  <r>
    <x v="0"/>
    <x v="35"/>
    <x v="35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354.45730424111656"/>
    <n v="512.64423279928837"/>
    <n v="432.7366979434828"/>
    <n v="1315.7378959320054"/>
    <n v="10.019833481950815"/>
    <n v="1309.8580684658386"/>
    <n v="4.4273972602739731"/>
    <n v="1.4012364027793307"/>
    <n v="5.645072019217686"/>
  </r>
  <r>
    <x v="0"/>
    <x v="35"/>
    <x v="35"/>
    <x v="0"/>
    <x v="1"/>
    <s v="EMG"/>
    <x v="5"/>
    <x v="1"/>
    <x v="1"/>
    <m/>
    <m/>
    <x v="1"/>
    <m/>
    <m/>
    <x v="0"/>
    <x v="0"/>
    <x v="0"/>
    <x v="0"/>
    <x v="0"/>
    <m/>
    <m/>
    <x v="0"/>
    <m/>
    <m/>
    <n v="34.553294345002314"/>
    <n v="13.344487415764435"/>
    <n v="9.8026817730842932"/>
    <n v="61.426835330095933"/>
    <n v="0.79510538337079473"/>
    <n v="58.495568917221838"/>
    <n v="0.45205479452054786"/>
    <n v="3.425563577781502E-2"/>
    <n v="0.44795426591480125"/>
  </r>
  <r>
    <x v="0"/>
    <x v="35"/>
    <x v="35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456.05771940125578"/>
    <n v="340.5332509172174"/>
    <n v="129.38241572024504"/>
    <n v="949.86773266792773"/>
    <n v="11.552110864324789"/>
    <n v="937.52549690304284"/>
    <n v="5.7287671232876702"/>
    <n v="1.0480675003938695"/>
    <n v="6.5083414729966069"/>
  </r>
  <r>
    <x v="0"/>
    <x v="35"/>
    <x v="35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372.71791939827654"/>
    <n v="163.00477667352081"/>
    <n v="105.73912630463376"/>
    <n v="643.47856601382261"/>
    <n v="8.4829557037294308"/>
    <n v="649.94477808016052"/>
    <n v="4.5172602739726013"/>
    <n v="0.31674499590036403"/>
    <n v="4.7792107493250189"/>
  </r>
  <r>
    <x v="0"/>
    <x v="35"/>
    <x v="35"/>
    <x v="0"/>
    <x v="1"/>
    <s v="OBV"/>
    <x v="38"/>
    <x v="1"/>
    <x v="1"/>
    <m/>
    <m/>
    <x v="1"/>
    <m/>
    <m/>
    <x v="0"/>
    <x v="0"/>
    <x v="0"/>
    <x v="0"/>
    <x v="0"/>
    <m/>
    <m/>
    <x v="0"/>
    <m/>
    <m/>
    <n v="0"/>
    <n v="2.1883979403126985"/>
    <n v="0"/>
    <n v="2.1883979403126985"/>
    <n v="1.1093972534520003E-2"/>
    <n v="2.1994919128472183"/>
    <n v="0"/>
    <n v="6.2502310092677656E-3"/>
    <n v="6.2502310092677656E-3"/>
  </r>
  <r>
    <x v="0"/>
    <x v="35"/>
    <x v="35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1217.7862373856512"/>
    <n v="1031.7151457461036"/>
    <n v="677.6609217414458"/>
    <n v="2972.6994278841639"/>
    <n v="30.861099405910348"/>
    <n v="2958.0234042791112"/>
    <n v="15.125479452054792"/>
    <n v="2.8065547658606471"/>
    <n v="17.386828738463379"/>
  </r>
  <r>
    <x v="0"/>
    <x v="36"/>
    <x v="36"/>
    <x v="0"/>
    <x v="0"/>
    <s v="MSG"/>
    <x v="0"/>
    <x v="0"/>
    <x v="0"/>
    <n v="0"/>
    <n v="21.058542976897304"/>
    <x v="0"/>
    <n v="9.4610845258524137"/>
    <n v="30.519627502749717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CRH"/>
    <x v="43"/>
    <x v="0"/>
    <x v="0"/>
    <n v="0"/>
    <n v="175.53449943201107"/>
    <x v="0"/>
    <n v="78.863325831773082"/>
    <n v="254.39782526378417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CL"/>
    <x v="6"/>
    <x v="0"/>
    <x v="0"/>
    <n v="0"/>
    <n v="160.44940504386818"/>
    <x v="0"/>
    <n v="72.085964584926288"/>
    <n v="232.53536962879448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OR"/>
    <x v="7"/>
    <x v="0"/>
    <x v="0"/>
    <n v="0"/>
    <n v="277.75961131429642"/>
    <x v="0"/>
    <n v="124.79055001077084"/>
    <n v="402.55016132506728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ORC"/>
    <x v="39"/>
    <x v="0"/>
    <x v="0"/>
    <n v="0"/>
    <n v="67.899244819655863"/>
    <x v="0"/>
    <n v="30.505457817526551"/>
    <n v="98.404702637182396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ANS"/>
    <x v="8"/>
    <x v="0"/>
    <x v="0"/>
    <n v="0"/>
    <n v="158.43157124586372"/>
    <x v="0"/>
    <n v="71.179401574228635"/>
    <n v="229.61097282009231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LAB"/>
    <x v="9"/>
    <x v="0"/>
    <x v="0"/>
    <n v="0"/>
    <n v="42.461109531043739"/>
    <x v="0"/>
    <n v="19.076730369019653"/>
    <n v="61.537839900063389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RHB"/>
    <x v="18"/>
    <x v="0"/>
    <x v="0"/>
    <n v="0"/>
    <n v="895.71986067019532"/>
    <x v="0"/>
    <n v="402.42486493878346"/>
    <n v="1298.1447256089789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0"/>
    <s v="XYZ"/>
    <x v="19"/>
    <x v="0"/>
    <x v="0"/>
    <n v="0"/>
    <n v="1799.3138450338315"/>
    <x v="0"/>
    <n v="808.38737965288101"/>
    <n v="2607.7012246867125"/>
    <x v="0"/>
    <x v="0"/>
    <x v="0"/>
    <x v="0"/>
    <x v="0"/>
    <m/>
    <m/>
    <x v="0"/>
    <m/>
    <m/>
    <m/>
    <m/>
    <m/>
    <m/>
    <m/>
    <m/>
    <m/>
    <m/>
    <m/>
  </r>
  <r>
    <x v="0"/>
    <x v="36"/>
    <x v="36"/>
    <x v="0"/>
    <x v="2"/>
    <s v="MSG"/>
    <x v="0"/>
    <x v="1"/>
    <x v="1"/>
    <m/>
    <m/>
    <x v="1"/>
    <m/>
    <m/>
    <x v="0"/>
    <x v="0"/>
    <x v="0"/>
    <x v="0"/>
    <x v="0"/>
    <n v="5.6919473483833984"/>
    <n v="9.2324356643519775E-2"/>
    <x v="0"/>
    <n v="5.7842717050269181"/>
    <n v="3.8413262869425112E-2"/>
    <m/>
    <m/>
    <m/>
    <m/>
    <m/>
    <m/>
    <m/>
    <m/>
    <m/>
  </r>
  <r>
    <x v="0"/>
    <x v="36"/>
    <x v="36"/>
    <x v="0"/>
    <x v="2"/>
    <s v="CRH"/>
    <x v="43"/>
    <x v="1"/>
    <x v="1"/>
    <m/>
    <m/>
    <x v="1"/>
    <m/>
    <m/>
    <x v="0"/>
    <x v="0"/>
    <x v="0"/>
    <x v="0"/>
    <x v="0"/>
    <n v="47.445501319248997"/>
    <n v="0.76957412232090094"/>
    <x v="0"/>
    <n v="48.215075441569894"/>
    <n v="0.32019560312088913"/>
    <m/>
    <m/>
    <m/>
    <m/>
    <m/>
    <m/>
    <m/>
    <m/>
    <m/>
  </r>
  <r>
    <x v="0"/>
    <x v="36"/>
    <x v="36"/>
    <x v="0"/>
    <x v="2"/>
    <s v="CL"/>
    <x v="6"/>
    <x v="1"/>
    <x v="1"/>
    <m/>
    <m/>
    <x v="1"/>
    <m/>
    <m/>
    <x v="0"/>
    <x v="0"/>
    <x v="0"/>
    <x v="0"/>
    <x v="0"/>
    <n v="43.368126968283619"/>
    <n v="0.70343841503004156"/>
    <x v="0"/>
    <n v="44.071565383313654"/>
    <n v="0.29267861408809903"/>
    <m/>
    <m/>
    <m/>
    <m/>
    <m/>
    <m/>
    <m/>
    <m/>
    <m/>
  </r>
  <r>
    <x v="0"/>
    <x v="36"/>
    <x v="36"/>
    <x v="0"/>
    <x v="2"/>
    <s v="OR"/>
    <x v="7"/>
    <x v="1"/>
    <x v="1"/>
    <m/>
    <m/>
    <x v="1"/>
    <m/>
    <m/>
    <x v="0"/>
    <x v="0"/>
    <x v="0"/>
    <x v="0"/>
    <x v="0"/>
    <n v="75.076090726831055"/>
    <n v="1.2177469943803698"/>
    <x v="0"/>
    <n v="76.293837721211418"/>
    <n v="0.50666624825994711"/>
    <m/>
    <m/>
    <m/>
    <m/>
    <m/>
    <m/>
    <m/>
    <m/>
    <m/>
  </r>
  <r>
    <x v="0"/>
    <x v="36"/>
    <x v="36"/>
    <x v="0"/>
    <x v="2"/>
    <s v="ORC"/>
    <x v="39"/>
    <x v="1"/>
    <x v="1"/>
    <m/>
    <m/>
    <x v="1"/>
    <m/>
    <m/>
    <x v="0"/>
    <x v="0"/>
    <x v="0"/>
    <x v="0"/>
    <x v="0"/>
    <n v="18.352595758047929"/>
    <n v="0.29768223287968382"/>
    <x v="0"/>
    <n v="18.650277990927609"/>
    <n v="0.12385622038306759"/>
    <m/>
    <m/>
    <m/>
    <m/>
    <m/>
    <m/>
    <m/>
    <m/>
    <m/>
  </r>
  <r>
    <x v="0"/>
    <x v="36"/>
    <x v="36"/>
    <x v="0"/>
    <x v="2"/>
    <s v="ANS"/>
    <x v="8"/>
    <x v="1"/>
    <x v="1"/>
    <m/>
    <m/>
    <x v="1"/>
    <m/>
    <m/>
    <x v="0"/>
    <x v="0"/>
    <x v="0"/>
    <x v="0"/>
    <x v="0"/>
    <n v="42.82272343544517"/>
    <n v="0.69459187671926226"/>
    <x v="0"/>
    <n v="43.517315312164435"/>
    <n v="0.28899784756049107"/>
    <m/>
    <m/>
    <m/>
    <m/>
    <m/>
    <m/>
    <m/>
    <m/>
    <m/>
  </r>
  <r>
    <x v="0"/>
    <x v="36"/>
    <x v="36"/>
    <x v="0"/>
    <x v="2"/>
    <s v="LAB"/>
    <x v="9"/>
    <x v="1"/>
    <x v="1"/>
    <m/>
    <m/>
    <x v="1"/>
    <m/>
    <m/>
    <x v="0"/>
    <x v="0"/>
    <x v="0"/>
    <x v="0"/>
    <x v="0"/>
    <n v="11.476881381099744"/>
    <n v="0.18615697316402027"/>
    <x v="0"/>
    <n v="11.663038354263763"/>
    <n v="7.745406526618831E-2"/>
    <m/>
    <m/>
    <m/>
    <m/>
    <m/>
    <m/>
    <m/>
    <m/>
    <m/>
  </r>
  <r>
    <x v="0"/>
    <x v="36"/>
    <x v="36"/>
    <x v="0"/>
    <x v="2"/>
    <s v="RHB"/>
    <x v="18"/>
    <x v="1"/>
    <x v="1"/>
    <m/>
    <m/>
    <x v="1"/>
    <m/>
    <m/>
    <x v="0"/>
    <x v="0"/>
    <x v="0"/>
    <x v="0"/>
    <x v="0"/>
    <n v="242.1055574181631"/>
    <n v="3.9269934277942737"/>
    <x v="0"/>
    <n v="246.03255084595739"/>
    <n v="1.6338985324405642"/>
    <m/>
    <m/>
    <m/>
    <m/>
    <m/>
    <m/>
    <m/>
    <m/>
    <m/>
  </r>
  <r>
    <x v="0"/>
    <x v="36"/>
    <x v="36"/>
    <x v="0"/>
    <x v="2"/>
    <s v="XYZ"/>
    <x v="19"/>
    <x v="1"/>
    <x v="1"/>
    <m/>
    <m/>
    <x v="1"/>
    <m/>
    <m/>
    <x v="0"/>
    <x v="0"/>
    <x v="0"/>
    <x v="0"/>
    <x v="0"/>
    <n v="486.33942435550296"/>
    <n v="7.8885083989320721"/>
    <x v="1"/>
    <n v="494.22793275443502"/>
    <n v="3.2821603939886712"/>
    <m/>
    <m/>
    <m/>
    <m/>
    <m/>
    <m/>
    <m/>
    <m/>
    <m/>
  </r>
  <r>
    <x v="0"/>
    <x v="36"/>
    <x v="36"/>
    <x v="0"/>
    <x v="1"/>
    <s v="MSG"/>
    <x v="0"/>
    <x v="1"/>
    <x v="1"/>
    <m/>
    <m/>
    <x v="1"/>
    <m/>
    <m/>
    <x v="0"/>
    <x v="0"/>
    <x v="0"/>
    <x v="0"/>
    <x v="0"/>
    <m/>
    <m/>
    <x v="0"/>
    <m/>
    <m/>
    <n v="0"/>
    <n v="9.4610845258524137"/>
    <n v="11.290287031035421"/>
    <n v="20.751371556887833"/>
    <n v="6.7972635931414949E-2"/>
    <n v="20.819344192819248"/>
    <n v="0"/>
    <n v="2.8281277301967982E-2"/>
    <n v="2.8281277301967982E-2"/>
  </r>
  <r>
    <x v="0"/>
    <x v="36"/>
    <x v="36"/>
    <x v="0"/>
    <x v="1"/>
    <s v="CRH"/>
    <x v="43"/>
    <x v="1"/>
    <x v="1"/>
    <m/>
    <m/>
    <x v="1"/>
    <m/>
    <m/>
    <x v="0"/>
    <x v="0"/>
    <x v="0"/>
    <x v="0"/>
    <x v="0"/>
    <m/>
    <m/>
    <x v="0"/>
    <m/>
    <m/>
    <n v="0"/>
    <n v="78.863325831773082"/>
    <n v="94.110731431454724"/>
    <n v="172.97405726322779"/>
    <n v="0.56658918123561497"/>
    <n v="173.54064644446342"/>
    <n v="0"/>
    <n v="0.23573994933766668"/>
    <n v="0.23573994933766668"/>
  </r>
  <r>
    <x v="0"/>
    <x v="36"/>
    <x v="36"/>
    <x v="0"/>
    <x v="1"/>
    <s v="CL"/>
    <x v="6"/>
    <x v="1"/>
    <x v="1"/>
    <m/>
    <m/>
    <x v="1"/>
    <m/>
    <m/>
    <x v="0"/>
    <x v="0"/>
    <x v="0"/>
    <x v="0"/>
    <x v="0"/>
    <m/>
    <m/>
    <x v="0"/>
    <m/>
    <m/>
    <n v="0"/>
    <n v="72.085964584926288"/>
    <n v="86.023037723526201"/>
    <n v="158.10900230845249"/>
    <n v="0.51789760604158686"/>
    <n v="158.62689991449409"/>
    <n v="0"/>
    <n v="0.21548091536815281"/>
    <n v="0.21548091536815281"/>
  </r>
  <r>
    <x v="0"/>
    <x v="36"/>
    <x v="36"/>
    <x v="0"/>
    <x v="1"/>
    <s v="OR"/>
    <x v="7"/>
    <x v="1"/>
    <x v="1"/>
    <m/>
    <m/>
    <x v="1"/>
    <m/>
    <m/>
    <x v="0"/>
    <x v="0"/>
    <x v="0"/>
    <x v="0"/>
    <x v="0"/>
    <m/>
    <m/>
    <x v="0"/>
    <m/>
    <m/>
    <n v="0"/>
    <n v="124.79055001077084"/>
    <n v="148.91750776906247"/>
    <n v="273.70805777983333"/>
    <n v="0.89655077072667055"/>
    <n v="274.60460855055999"/>
    <n v="0"/>
    <n v="0.37302659540521776"/>
    <n v="0.37302659540521776"/>
  </r>
  <r>
    <x v="0"/>
    <x v="36"/>
    <x v="36"/>
    <x v="0"/>
    <x v="1"/>
    <s v="ORC"/>
    <x v="39"/>
    <x v="1"/>
    <x v="1"/>
    <m/>
    <m/>
    <x v="1"/>
    <m/>
    <m/>
    <x v="0"/>
    <x v="0"/>
    <x v="0"/>
    <x v="0"/>
    <x v="0"/>
    <m/>
    <m/>
    <x v="0"/>
    <m/>
    <m/>
    <n v="0"/>
    <n v="30.505457817526551"/>
    <n v="36.403371498468609"/>
    <n v="66.908829315995163"/>
    <n v="0.21916476620475489"/>
    <n v="67.127994082199919"/>
    <n v="0"/>
    <n v="9.1187570452788649E-2"/>
    <n v="9.1187570452788649E-2"/>
  </r>
  <r>
    <x v="0"/>
    <x v="36"/>
    <x v="36"/>
    <x v="0"/>
    <x v="1"/>
    <s v="ANS"/>
    <x v="8"/>
    <x v="1"/>
    <x v="1"/>
    <m/>
    <m/>
    <x v="1"/>
    <m/>
    <m/>
    <x v="0"/>
    <x v="0"/>
    <x v="0"/>
    <x v="0"/>
    <x v="0"/>
    <m/>
    <m/>
    <x v="0"/>
    <m/>
    <m/>
    <n v="0"/>
    <n v="71.179401574228635"/>
    <n v="84.941200163093441"/>
    <n v="156.12060173732209"/>
    <n v="0.51138445447776149"/>
    <n v="156.63198619179985"/>
    <n v="0"/>
    <n v="0.21277099772317357"/>
    <n v="0.21277099772317357"/>
  </r>
  <r>
    <x v="0"/>
    <x v="36"/>
    <x v="36"/>
    <x v="0"/>
    <x v="1"/>
    <s v="LAB"/>
    <x v="9"/>
    <x v="1"/>
    <x v="1"/>
    <m/>
    <m/>
    <x v="1"/>
    <m/>
    <m/>
    <x v="0"/>
    <x v="0"/>
    <x v="0"/>
    <x v="0"/>
    <x v="0"/>
    <m/>
    <m/>
    <x v="0"/>
    <m/>
    <m/>
    <n v="0"/>
    <n v="19.076730369019653"/>
    <n v="22.7650182060388"/>
    <n v="41.841748575058453"/>
    <n v="0.13705570905660119"/>
    <n v="41.978804284115057"/>
    <n v="0"/>
    <n v="5.7024572617113405E-2"/>
    <n v="5.7024572617113405E-2"/>
  </r>
  <r>
    <x v="0"/>
    <x v="36"/>
    <x v="36"/>
    <x v="0"/>
    <x v="1"/>
    <s v="RHB"/>
    <x v="18"/>
    <x v="1"/>
    <x v="1"/>
    <m/>
    <m/>
    <x v="1"/>
    <m/>
    <m/>
    <x v="0"/>
    <x v="0"/>
    <x v="0"/>
    <x v="0"/>
    <x v="0"/>
    <m/>
    <m/>
    <x v="0"/>
    <m/>
    <m/>
    <n v="0"/>
    <n v="402.42486493878346"/>
    <n v="480.22953617732043"/>
    <n v="882.65440111610383"/>
    <n v="2.8911990754852988"/>
    <n v="885.54560019158907"/>
    <n v="11.5"/>
    <n v="1.2029370594292783"/>
    <n v="1.2029370594292783"/>
  </r>
  <r>
    <x v="0"/>
    <x v="36"/>
    <x v="36"/>
    <x v="0"/>
    <x v="1"/>
    <s v="XYZ"/>
    <x v="19"/>
    <x v="1"/>
    <x v="1"/>
    <m/>
    <m/>
    <x v="1"/>
    <m/>
    <m/>
    <x v="0"/>
    <x v="0"/>
    <x v="0"/>
    <x v="0"/>
    <x v="0"/>
    <m/>
    <m/>
    <x v="0"/>
    <m/>
    <m/>
    <n v="0"/>
    <n v="808.38737965288101"/>
    <n v="964.68069000000014"/>
    <n v="1773.0680696528811"/>
    <n v="5.8078141991597043"/>
    <n v="1778.8758838520407"/>
    <n v="0"/>
    <n v="0"/>
    <n v="2.4164489376353595"/>
  </r>
  <r>
    <x v="0"/>
    <x v="37"/>
    <x v="37"/>
    <x v="1"/>
    <x v="0"/>
    <s v="MIS"/>
    <x v="3"/>
    <x v="0"/>
    <x v="0"/>
    <n v="0"/>
    <n v="32.299999999999997"/>
    <x v="0"/>
    <n v="0"/>
    <n v="32.299999999999997"/>
    <x v="0"/>
    <x v="0"/>
    <x v="0"/>
    <x v="0"/>
    <x v="0"/>
    <m/>
    <m/>
    <x v="0"/>
    <m/>
    <m/>
    <m/>
    <m/>
    <m/>
    <m/>
    <m/>
    <m/>
    <m/>
    <m/>
    <m/>
  </r>
  <r>
    <x v="0"/>
    <x v="37"/>
    <x v="37"/>
    <x v="1"/>
    <x v="0"/>
    <s v="EMG"/>
    <x v="5"/>
    <x v="0"/>
    <x v="0"/>
    <n v="0"/>
    <n v="45"/>
    <x v="0"/>
    <n v="0"/>
    <n v="45"/>
    <x v="0"/>
    <x v="0"/>
    <x v="0"/>
    <x v="0"/>
    <x v="0"/>
    <m/>
    <m/>
    <x v="0"/>
    <m/>
    <m/>
    <m/>
    <m/>
    <m/>
    <m/>
    <m/>
    <m/>
    <m/>
    <m/>
    <m/>
  </r>
  <r>
    <x v="0"/>
    <x v="37"/>
    <x v="37"/>
    <x v="1"/>
    <x v="0"/>
    <s v="OR"/>
    <x v="7"/>
    <x v="0"/>
    <x v="0"/>
    <n v="0"/>
    <n v="356.21870000000001"/>
    <x v="0"/>
    <n v="0"/>
    <n v="356.21870000000001"/>
    <x v="0"/>
    <x v="0"/>
    <x v="0"/>
    <x v="0"/>
    <x v="0"/>
    <m/>
    <m/>
    <x v="0"/>
    <m/>
    <m/>
    <m/>
    <m/>
    <m/>
    <m/>
    <m/>
    <m/>
    <m/>
    <m/>
    <m/>
  </r>
  <r>
    <x v="0"/>
    <x v="37"/>
    <x v="37"/>
    <x v="1"/>
    <x v="0"/>
    <s v="RDL"/>
    <x v="33"/>
    <x v="0"/>
    <x v="0"/>
    <n v="0"/>
    <n v="72"/>
    <x v="0"/>
    <n v="0"/>
    <n v="72"/>
    <x v="0"/>
    <x v="0"/>
    <x v="0"/>
    <x v="0"/>
    <x v="0"/>
    <m/>
    <m/>
    <x v="0"/>
    <m/>
    <m/>
    <m/>
    <m/>
    <m/>
    <m/>
    <m/>
    <m/>
    <m/>
    <m/>
    <m/>
  </r>
  <r>
    <x v="0"/>
    <x v="37"/>
    <x v="37"/>
    <x v="1"/>
    <x v="0"/>
    <s v="XYZ"/>
    <x v="19"/>
    <x v="0"/>
    <x v="0"/>
    <n v="0"/>
    <n v="505.51870000000002"/>
    <x v="0"/>
    <n v="0"/>
    <n v="505.51870000000002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MSA"/>
    <x v="37"/>
    <x v="0"/>
    <x v="23"/>
    <n v="0"/>
    <n v="0"/>
    <x v="0"/>
    <n v="0"/>
    <n v="546.67445095740231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MSG"/>
    <x v="0"/>
    <x v="0"/>
    <x v="0"/>
    <n v="243.41855925913325"/>
    <n v="192.52618711113183"/>
    <x v="0"/>
    <n v="0"/>
    <n v="435.94474637026514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OBS"/>
    <x v="21"/>
    <x v="0"/>
    <x v="0"/>
    <n v="0"/>
    <n v="129.83825663886529"/>
    <x v="0"/>
    <n v="0"/>
    <n v="129.83825663886529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EMG"/>
    <x v="5"/>
    <x v="0"/>
    <x v="0"/>
    <n v="23.44873905383341"/>
    <n v="477.50143253550914"/>
    <x v="0"/>
    <n v="0"/>
    <n v="500.95017158934257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DEL"/>
    <x v="28"/>
    <x v="0"/>
    <x v="0"/>
    <n v="0"/>
    <n v="129.83825663886529"/>
    <x v="0"/>
    <n v="0"/>
    <n v="129.83825663886529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OR"/>
    <x v="7"/>
    <x v="0"/>
    <x v="0"/>
    <n v="0"/>
    <n v="105.80961321170712"/>
    <x v="0"/>
    <n v="0"/>
    <n v="105.80961321170712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ANS"/>
    <x v="8"/>
    <x v="0"/>
    <x v="0"/>
    <n v="0"/>
    <n v="105.80961321170712"/>
    <x v="0"/>
    <n v="0"/>
    <n v="105.80961321170712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OBV"/>
    <x v="38"/>
    <x v="0"/>
    <x v="0"/>
    <n v="27.789608940297867"/>
    <n v="55.579217880595742"/>
    <x v="0"/>
    <n v="0"/>
    <n v="83.368826820893617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0"/>
    <s v="XYZ"/>
    <x v="19"/>
    <x v="0"/>
    <x v="23"/>
    <n v="294.65690725326454"/>
    <n v="1196.9025772283817"/>
    <x v="0"/>
    <n v="0"/>
    <n v="2038.2339354390483"/>
    <x v="0"/>
    <x v="0"/>
    <x v="0"/>
    <x v="0"/>
    <x v="0"/>
    <m/>
    <m/>
    <x v="0"/>
    <m/>
    <m/>
    <m/>
    <m/>
    <m/>
    <m/>
    <m/>
    <m/>
    <m/>
    <m/>
    <m/>
  </r>
  <r>
    <x v="0"/>
    <x v="38"/>
    <x v="38"/>
    <x v="1"/>
    <x v="2"/>
    <s v="EMG"/>
    <x v="5"/>
    <x v="1"/>
    <x v="1"/>
    <m/>
    <m/>
    <x v="1"/>
    <m/>
    <m/>
    <x v="0"/>
    <x v="0"/>
    <x v="0"/>
    <x v="0"/>
    <x v="0"/>
    <n v="61.610098734325817"/>
    <n v="0.32451970570657407"/>
    <x v="0"/>
    <n v="61.934618440032381"/>
    <n v="0.25721033352612294"/>
    <m/>
    <m/>
    <m/>
    <m/>
    <m/>
    <m/>
    <m/>
    <m/>
    <m/>
  </r>
  <r>
    <x v="0"/>
    <x v="38"/>
    <x v="38"/>
    <x v="1"/>
    <x v="2"/>
    <s v="XYZ"/>
    <x v="19"/>
    <x v="1"/>
    <x v="1"/>
    <m/>
    <m/>
    <x v="1"/>
    <m/>
    <m/>
    <x v="0"/>
    <x v="0"/>
    <x v="0"/>
    <x v="0"/>
    <x v="0"/>
    <n v="61.610098734325817"/>
    <n v="0.32451970570657407"/>
    <x v="1"/>
    <n v="61.934618440032381"/>
    <n v="0.25721033352612294"/>
    <m/>
    <m/>
    <m/>
    <m/>
    <m/>
    <m/>
    <m/>
    <m/>
    <m/>
  </r>
  <r>
    <x v="0"/>
    <x v="39"/>
    <x v="39"/>
    <x v="1"/>
    <x v="0"/>
    <s v="MSA"/>
    <x v="37"/>
    <x v="0"/>
    <x v="24"/>
    <n v="237.71477999999999"/>
    <n v="0"/>
    <x v="0"/>
    <n v="0"/>
    <n v="672.71478000000002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MSG"/>
    <x v="0"/>
    <x v="0"/>
    <x v="0"/>
    <n v="0"/>
    <n v="85.081609999999998"/>
    <x v="0"/>
    <n v="0"/>
    <n v="85.081609999999998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PSY"/>
    <x v="1"/>
    <x v="0"/>
    <x v="0"/>
    <n v="0"/>
    <n v="293.34063000000003"/>
    <x v="0"/>
    <n v="0"/>
    <n v="293.34063000000003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OBS"/>
    <x v="21"/>
    <x v="0"/>
    <x v="0"/>
    <n v="0"/>
    <n v="183.18475000000001"/>
    <x v="0"/>
    <n v="0"/>
    <n v="183.18475000000001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EMG"/>
    <x v="5"/>
    <x v="0"/>
    <x v="0"/>
    <n v="0"/>
    <n v="157.67976000000002"/>
    <x v="0"/>
    <n v="0"/>
    <n v="157.67976000000002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CL"/>
    <x v="6"/>
    <x v="0"/>
    <x v="0"/>
    <n v="0"/>
    <n v="223.94483"/>
    <x v="0"/>
    <n v="0"/>
    <n v="223.94483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LAB"/>
    <x v="9"/>
    <x v="0"/>
    <x v="0"/>
    <n v="0"/>
    <n v="187.20012"/>
    <x v="0"/>
    <n v="0"/>
    <n v="187.20012"/>
    <x v="0"/>
    <x v="0"/>
    <x v="0"/>
    <x v="0"/>
    <x v="0"/>
    <m/>
    <m/>
    <x v="0"/>
    <m/>
    <m/>
    <m/>
    <m/>
    <m/>
    <m/>
    <m/>
    <m/>
    <m/>
    <m/>
    <m/>
  </r>
  <r>
    <x v="0"/>
    <x v="39"/>
    <x v="39"/>
    <x v="1"/>
    <x v="0"/>
    <s v="XYZ"/>
    <x v="19"/>
    <x v="0"/>
    <x v="24"/>
    <n v="237.71477999999999"/>
    <n v="1130.4317000000001"/>
    <x v="0"/>
    <n v="0"/>
    <n v="1803.1464800000001"/>
    <x v="0"/>
    <x v="0"/>
    <x v="0"/>
    <x v="0"/>
    <x v="0"/>
    <m/>
    <m/>
    <x v="0"/>
    <m/>
    <m/>
    <m/>
    <m/>
    <m/>
    <m/>
    <m/>
    <m/>
    <m/>
    <m/>
    <m/>
  </r>
  <r>
    <x v="0"/>
    <x v="40"/>
    <x v="40"/>
    <x v="1"/>
    <x v="0"/>
    <s v="MSA"/>
    <x v="37"/>
    <x v="0"/>
    <x v="25"/>
    <n v="0"/>
    <n v="0"/>
    <x v="0"/>
    <n v="0"/>
    <n v="60.466999999999999"/>
    <x v="0"/>
    <x v="0"/>
    <x v="0"/>
    <x v="0"/>
    <x v="0"/>
    <m/>
    <m/>
    <x v="0"/>
    <m/>
    <m/>
    <m/>
    <m/>
    <m/>
    <m/>
    <m/>
    <m/>
    <m/>
    <m/>
    <m/>
  </r>
  <r>
    <x v="0"/>
    <x v="40"/>
    <x v="40"/>
    <x v="1"/>
    <x v="0"/>
    <s v="XYZ"/>
    <x v="19"/>
    <x v="0"/>
    <x v="25"/>
    <n v="0"/>
    <n v="0"/>
    <x v="0"/>
    <n v="0"/>
    <n v="60.466999999999999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MSA"/>
    <x v="37"/>
    <x v="0"/>
    <x v="0"/>
    <n v="501.84300000000002"/>
    <n v="0"/>
    <x v="0"/>
    <n v="0"/>
    <n v="501.84300000000002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MSG"/>
    <x v="0"/>
    <x v="0"/>
    <x v="0"/>
    <n v="0"/>
    <n v="119.74020893052068"/>
    <x v="0"/>
    <n v="0"/>
    <n v="119.74020893052068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PSY"/>
    <x v="1"/>
    <x v="0"/>
    <x v="0"/>
    <n v="0"/>
    <n v="13.233073126186619"/>
    <x v="0"/>
    <n v="0"/>
    <n v="13.233073126186619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MIS"/>
    <x v="3"/>
    <x v="0"/>
    <x v="0"/>
    <n v="0"/>
    <n v="55.909136063455982"/>
    <x v="0"/>
    <n v="0"/>
    <n v="55.909136063455982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OBV"/>
    <x v="38"/>
    <x v="0"/>
    <x v="0"/>
    <n v="0"/>
    <n v="67.807486226341965"/>
    <x v="0"/>
    <n v="0"/>
    <n v="67.807486226341965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0"/>
    <s v="XYZ"/>
    <x v="19"/>
    <x v="0"/>
    <x v="0"/>
    <n v="501.84300000000002"/>
    <n v="256.68990434650522"/>
    <x v="0"/>
    <n v="0"/>
    <n v="758.53290434650523"/>
    <x v="0"/>
    <x v="0"/>
    <x v="0"/>
    <x v="0"/>
    <x v="0"/>
    <m/>
    <m/>
    <x v="0"/>
    <m/>
    <m/>
    <m/>
    <m/>
    <m/>
    <m/>
    <m/>
    <m/>
    <m/>
    <m/>
    <m/>
  </r>
  <r>
    <x v="0"/>
    <x v="41"/>
    <x v="41"/>
    <x v="1"/>
    <x v="2"/>
    <s v="CL"/>
    <x v="6"/>
    <x v="1"/>
    <x v="1"/>
    <m/>
    <m/>
    <x v="1"/>
    <m/>
    <m/>
    <x v="0"/>
    <x v="0"/>
    <x v="0"/>
    <x v="0"/>
    <x v="0"/>
    <n v="159.45240300101213"/>
    <n v="0.14482355445299613"/>
    <x v="1"/>
    <n v="159.59722655546511"/>
    <n v="0.1021819887342897"/>
    <m/>
    <m/>
    <m/>
    <m/>
    <m/>
    <m/>
    <m/>
    <m/>
    <m/>
  </r>
  <r>
    <x v="0"/>
    <x v="41"/>
    <x v="41"/>
    <x v="1"/>
    <x v="2"/>
    <s v="XYZ"/>
    <x v="19"/>
    <x v="1"/>
    <x v="1"/>
    <m/>
    <m/>
    <x v="1"/>
    <m/>
    <m/>
    <x v="0"/>
    <x v="0"/>
    <x v="0"/>
    <x v="0"/>
    <x v="0"/>
    <n v="159.45240300101213"/>
    <n v="0.14482355445299613"/>
    <x v="1"/>
    <n v="159.59722655546511"/>
    <n v="0.1021819887342897"/>
    <m/>
    <m/>
    <m/>
    <m/>
    <m/>
    <m/>
    <m/>
    <m/>
    <m/>
  </r>
  <r>
    <x v="0"/>
    <x v="42"/>
    <x v="42"/>
    <x v="1"/>
    <x v="0"/>
    <s v="FSE"/>
    <x v="46"/>
    <x v="0"/>
    <x v="0"/>
    <n v="0"/>
    <n v="170.85795861136685"/>
    <x v="0"/>
    <n v="0"/>
    <n v="170.85795861136685"/>
    <x v="0"/>
    <x v="0"/>
    <x v="0"/>
    <x v="0"/>
    <x v="0"/>
    <m/>
    <m/>
    <x v="0"/>
    <m/>
    <m/>
    <m/>
    <m/>
    <m/>
    <m/>
    <m/>
    <m/>
    <m/>
    <m/>
    <m/>
  </r>
  <r>
    <x v="0"/>
    <x v="42"/>
    <x v="42"/>
    <x v="1"/>
    <x v="0"/>
    <s v="XYZ"/>
    <x v="19"/>
    <x v="0"/>
    <x v="0"/>
    <n v="0"/>
    <n v="170.85795861136685"/>
    <x v="0"/>
    <n v="0"/>
    <n v="170.85795861136685"/>
    <x v="0"/>
    <x v="0"/>
    <x v="0"/>
    <x v="0"/>
    <x v="0"/>
    <m/>
    <m/>
    <x v="0"/>
    <m/>
    <m/>
    <m/>
    <m/>
    <m/>
    <m/>
    <m/>
    <m/>
    <m/>
    <m/>
    <m/>
  </r>
  <r>
    <x v="0"/>
    <x v="43"/>
    <x v="42"/>
    <x v="1"/>
    <x v="0"/>
    <s v="LAB"/>
    <x v="9"/>
    <x v="0"/>
    <x v="0"/>
    <n v="0"/>
    <n v="38.25"/>
    <x v="0"/>
    <n v="0"/>
    <n v="38.25"/>
    <x v="0"/>
    <x v="0"/>
    <x v="0"/>
    <x v="0"/>
    <x v="0"/>
    <m/>
    <m/>
    <x v="0"/>
    <m/>
    <m/>
    <m/>
    <m/>
    <m/>
    <m/>
    <m/>
    <m/>
    <m/>
    <m/>
    <m/>
  </r>
  <r>
    <x v="0"/>
    <x v="43"/>
    <x v="42"/>
    <x v="1"/>
    <x v="0"/>
    <s v="FSE"/>
    <x v="46"/>
    <x v="0"/>
    <x v="0"/>
    <n v="0"/>
    <n v="145.8288"/>
    <x v="0"/>
    <n v="0"/>
    <n v="145.8288"/>
    <x v="0"/>
    <x v="0"/>
    <x v="0"/>
    <x v="0"/>
    <x v="0"/>
    <m/>
    <m/>
    <x v="0"/>
    <m/>
    <m/>
    <m/>
    <m/>
    <m/>
    <m/>
    <m/>
    <m/>
    <m/>
    <m/>
    <m/>
  </r>
  <r>
    <x v="0"/>
    <x v="43"/>
    <x v="42"/>
    <x v="1"/>
    <x v="0"/>
    <s v="XYZ"/>
    <x v="19"/>
    <x v="0"/>
    <x v="0"/>
    <n v="0"/>
    <n v="184.0788"/>
    <x v="0"/>
    <n v="0"/>
    <n v="184.0788"/>
    <x v="0"/>
    <x v="0"/>
    <x v="0"/>
    <x v="0"/>
    <x v="0"/>
    <m/>
    <m/>
    <x v="0"/>
    <m/>
    <m/>
    <m/>
    <m/>
    <m/>
    <m/>
    <m/>
    <m/>
    <m/>
    <m/>
    <m/>
  </r>
  <r>
    <x v="0"/>
    <x v="44"/>
    <x v="42"/>
    <x v="1"/>
    <x v="0"/>
    <s v="MSA"/>
    <x v="37"/>
    <x v="0"/>
    <x v="26"/>
    <n v="0"/>
    <n v="0"/>
    <x v="0"/>
    <n v="0"/>
    <n v="189.06512499999999"/>
    <x v="0"/>
    <x v="0"/>
    <x v="0"/>
    <x v="0"/>
    <x v="0"/>
    <m/>
    <m/>
    <x v="0"/>
    <m/>
    <m/>
    <m/>
    <m/>
    <m/>
    <m/>
    <m/>
    <m/>
    <m/>
    <m/>
    <m/>
  </r>
  <r>
    <x v="0"/>
    <x v="44"/>
    <x v="42"/>
    <x v="1"/>
    <x v="0"/>
    <s v="PED"/>
    <x v="20"/>
    <x v="0"/>
    <x v="0"/>
    <n v="0"/>
    <n v="55.066147378282125"/>
    <x v="0"/>
    <n v="0"/>
    <n v="55.066147378282125"/>
    <x v="0"/>
    <x v="0"/>
    <x v="0"/>
    <x v="0"/>
    <x v="0"/>
    <m/>
    <m/>
    <x v="0"/>
    <m/>
    <m/>
    <m/>
    <m/>
    <m/>
    <m/>
    <m/>
    <m/>
    <m/>
    <m/>
    <m/>
  </r>
  <r>
    <x v="0"/>
    <x v="44"/>
    <x v="42"/>
    <x v="1"/>
    <x v="0"/>
    <s v="PSD"/>
    <x v="47"/>
    <x v="0"/>
    <x v="0"/>
    <n v="0"/>
    <n v="392.18428262171778"/>
    <x v="0"/>
    <n v="0"/>
    <n v="392.18428262171778"/>
    <x v="0"/>
    <x v="0"/>
    <x v="0"/>
    <x v="0"/>
    <x v="0"/>
    <m/>
    <m/>
    <x v="0"/>
    <m/>
    <m/>
    <m/>
    <m/>
    <m/>
    <m/>
    <m/>
    <m/>
    <m/>
    <m/>
    <m/>
  </r>
  <r>
    <x v="0"/>
    <x v="44"/>
    <x v="42"/>
    <x v="1"/>
    <x v="0"/>
    <s v="XYZ"/>
    <x v="19"/>
    <x v="0"/>
    <x v="26"/>
    <n v="0"/>
    <n v="447.25042999999999"/>
    <x v="0"/>
    <n v="0"/>
    <n v="636.31555500000002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CL"/>
    <x v="6"/>
    <x v="0"/>
    <x v="0"/>
    <n v="0"/>
    <n v="41.195489999999999"/>
    <x v="0"/>
    <n v="0"/>
    <n v="41.195489999999999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PDC"/>
    <x v="40"/>
    <x v="0"/>
    <x v="0"/>
    <n v="0"/>
    <n v="146.03563432373466"/>
    <x v="0"/>
    <n v="9.3632452631578964"/>
    <n v="155.39887958689255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ADD"/>
    <x v="48"/>
    <x v="0"/>
    <x v="0"/>
    <n v="0"/>
    <n v="53.246791415485568"/>
    <x v="0"/>
    <n v="0"/>
    <n v="53.246791415485568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PAD"/>
    <x v="49"/>
    <x v="0"/>
    <x v="0"/>
    <n v="0"/>
    <n v="945.92489991322884"/>
    <x v="0"/>
    <n v="131.08543368421053"/>
    <n v="1077.0103335974393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PCD"/>
    <x v="50"/>
    <x v="0"/>
    <x v="0"/>
    <n v="0"/>
    <n v="435.95631055743382"/>
    <x v="0"/>
    <n v="37.452981052631579"/>
    <n v="473.4092916100654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PSG"/>
    <x v="51"/>
    <x v="0"/>
    <x v="0"/>
    <n v="0"/>
    <n v="147.17421202088502"/>
    <x v="0"/>
    <n v="0"/>
    <n v="147.17421202088502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ETH"/>
    <x v="52"/>
    <x v="0"/>
    <x v="0"/>
    <n v="0"/>
    <n v="9.5463317692320508"/>
    <x v="0"/>
    <n v="0"/>
    <n v="9.5463317692320508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TMS"/>
    <x v="53"/>
    <x v="0"/>
    <x v="0"/>
    <n v="0"/>
    <n v="22.834199999999999"/>
    <x v="0"/>
    <n v="0"/>
    <n v="22.834199999999999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0"/>
    <s v="XYZ"/>
    <x v="19"/>
    <x v="0"/>
    <x v="0"/>
    <n v="0"/>
    <n v="1801.9138700000001"/>
    <x v="0"/>
    <n v="177.90165999999999"/>
    <n v="1979.8155300000001"/>
    <x v="0"/>
    <x v="0"/>
    <x v="0"/>
    <x v="0"/>
    <x v="0"/>
    <m/>
    <m/>
    <x v="0"/>
    <m/>
    <m/>
    <m/>
    <m/>
    <m/>
    <m/>
    <m/>
    <m/>
    <m/>
    <m/>
    <m/>
  </r>
  <r>
    <x v="0"/>
    <x v="45"/>
    <x v="42"/>
    <x v="1"/>
    <x v="1"/>
    <s v="CL"/>
    <x v="6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6.3435600000000009E-2"/>
    <n v="6.3435600000000009E-2"/>
    <n v="0"/>
    <n v="0.12"/>
    <n v="0.12"/>
  </r>
  <r>
    <x v="0"/>
    <x v="45"/>
    <x v="42"/>
    <x v="1"/>
    <x v="1"/>
    <s v="PDC"/>
    <x v="40"/>
    <x v="1"/>
    <x v="1"/>
    <m/>
    <m/>
    <x v="1"/>
    <m/>
    <m/>
    <x v="0"/>
    <x v="0"/>
    <x v="0"/>
    <x v="0"/>
    <x v="0"/>
    <m/>
    <m/>
    <x v="0"/>
    <m/>
    <m/>
    <n v="89.025317058823518"/>
    <n v="9.3632452631578946"/>
    <n v="64.602709999999988"/>
    <n v="162.9912723219814"/>
    <n v="0.85615855369499749"/>
    <n v="163.84743087567639"/>
    <n v="1"/>
    <n v="0.61957995894103146"/>
    <n v="1.6195799589410314"/>
  </r>
  <r>
    <x v="0"/>
    <x v="45"/>
    <x v="42"/>
    <x v="1"/>
    <x v="1"/>
    <s v="ADD"/>
    <x v="48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9.826022268374332E-2"/>
    <n v="9.826022268374332E-2"/>
    <n v="0"/>
    <n v="0.18587712139633261"/>
    <n v="0.18587712139633261"/>
  </r>
  <r>
    <x v="0"/>
    <x v="45"/>
    <x v="42"/>
    <x v="1"/>
    <x v="1"/>
    <s v="PAD"/>
    <x v="49"/>
    <x v="1"/>
    <x v="1"/>
    <m/>
    <m/>
    <x v="1"/>
    <m/>
    <m/>
    <x v="0"/>
    <x v="0"/>
    <x v="0"/>
    <x v="0"/>
    <x v="0"/>
    <m/>
    <m/>
    <x v="0"/>
    <m/>
    <m/>
    <n v="1246.3544388235291"/>
    <n v="131.08543368421053"/>
    <n v="904.4379399999998"/>
    <n v="2281.8778125077397"/>
    <n v="9.3722662957450886"/>
    <n v="2291.2500788034849"/>
    <n v="14"/>
    <n v="3.7293500099220394"/>
    <n v="17.72935000992204"/>
  </r>
  <r>
    <x v="0"/>
    <x v="45"/>
    <x v="42"/>
    <x v="1"/>
    <x v="1"/>
    <s v="PCD"/>
    <x v="50"/>
    <x v="1"/>
    <x v="1"/>
    <m/>
    <m/>
    <x v="1"/>
    <m/>
    <m/>
    <x v="0"/>
    <x v="0"/>
    <x v="0"/>
    <x v="0"/>
    <x v="0"/>
    <m/>
    <m/>
    <x v="0"/>
    <m/>
    <m/>
    <n v="178.05063411764704"/>
    <n v="37.452981052631579"/>
    <n v="129.20541999999998"/>
    <n v="344.70903517027858"/>
    <n v="1.9985745175746541"/>
    <n v="346.70760968785322"/>
    <n v="2"/>
    <n v="1.7806679862562731"/>
    <n v="3.7806679862562738"/>
  </r>
  <r>
    <x v="0"/>
    <x v="45"/>
    <x v="42"/>
    <x v="1"/>
    <x v="1"/>
    <s v="PSG"/>
    <x v="51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0.44826772779674579"/>
    <n v="0.44826772779674579"/>
    <n v="0"/>
    <n v="0.84798011425145314"/>
    <n v="0.84798011425145314"/>
  </r>
  <r>
    <x v="0"/>
    <x v="45"/>
    <x v="42"/>
    <x v="1"/>
    <x v="1"/>
    <s v="ETH"/>
    <x v="52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2.0406440389387607E-2"/>
    <n v="2.0406440389387607E-2"/>
    <n v="0"/>
    <n v="3.8602501540562599E-2"/>
    <n v="3.8602501540562599E-2"/>
  </r>
  <r>
    <x v="0"/>
    <x v="45"/>
    <x v="42"/>
    <x v="1"/>
    <x v="1"/>
    <s v="TMS"/>
    <x v="53"/>
    <x v="1"/>
    <x v="1"/>
    <m/>
    <m/>
    <x v="1"/>
    <m/>
    <m/>
    <x v="0"/>
    <x v="0"/>
    <x v="0"/>
    <x v="0"/>
    <x v="0"/>
    <m/>
    <m/>
    <x v="0"/>
    <m/>
    <m/>
    <n v="0"/>
    <n v="0"/>
    <n v="0"/>
    <n v="0"/>
    <n v="4.2290399999999999E-2"/>
    <n v="4.2290399999999999E-2"/>
    <n v="0"/>
    <n v="7.9999999999999988E-2"/>
    <n v="7.9999999999999988E-2"/>
  </r>
  <r>
    <x v="0"/>
    <x v="45"/>
    <x v="42"/>
    <x v="1"/>
    <x v="1"/>
    <s v="XYZ"/>
    <x v="19"/>
    <x v="1"/>
    <x v="1"/>
    <m/>
    <m/>
    <x v="1"/>
    <m/>
    <m/>
    <x v="0"/>
    <x v="0"/>
    <x v="0"/>
    <x v="0"/>
    <x v="0"/>
    <m/>
    <m/>
    <x v="0"/>
    <m/>
    <m/>
    <n v="1513.4303899999998"/>
    <n v="177.90165999999999"/>
    <n v="1098.2460699999997"/>
    <n v="2789.5781199999992"/>
    <n v="12.899659757884621"/>
    <n v="2802.477779757884"/>
    <n v="17"/>
    <n v="7.4020576923076931"/>
    <n v="24.40205769230769"/>
  </r>
  <r>
    <x v="0"/>
    <x v="46"/>
    <x v="42"/>
    <x v="1"/>
    <x v="0"/>
    <s v="PAD"/>
    <x v="49"/>
    <x v="0"/>
    <x v="0"/>
    <n v="0"/>
    <n v="24.806658333333331"/>
    <x v="0"/>
    <n v="0"/>
    <n v="24.806658333333331"/>
    <x v="0"/>
    <x v="0"/>
    <x v="0"/>
    <x v="0"/>
    <x v="0"/>
    <m/>
    <m/>
    <x v="0"/>
    <m/>
    <m/>
    <m/>
    <m/>
    <m/>
    <m/>
    <m/>
    <m/>
    <m/>
    <m/>
    <m/>
  </r>
  <r>
    <x v="0"/>
    <x v="46"/>
    <x v="42"/>
    <x v="1"/>
    <x v="0"/>
    <s v="XYZ"/>
    <x v="19"/>
    <x v="0"/>
    <x v="0"/>
    <n v="0"/>
    <n v="24.806658333333331"/>
    <x v="0"/>
    <n v="0"/>
    <n v="24.806658333333331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TRM"/>
    <x v="54"/>
    <x v="0"/>
    <x v="0"/>
    <n v="0"/>
    <n v="1102.2339999999999"/>
    <x v="0"/>
    <n v="6605.6940000000004"/>
    <n v="7707.9279999999999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CL"/>
    <x v="6"/>
    <x v="0"/>
    <x v="0"/>
    <n v="0"/>
    <n v="84.92"/>
    <x v="0"/>
    <n v="508.928"/>
    <n v="593.84799999999996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OR"/>
    <x v="7"/>
    <x v="0"/>
    <x v="0"/>
    <n v="0"/>
    <n v="559.43200000000002"/>
    <x v="0"/>
    <n v="3352.6819999999998"/>
    <n v="3912.1140000000009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ANS"/>
    <x v="8"/>
    <x v="0"/>
    <x v="0"/>
    <n v="0"/>
    <n v="98.724999999999994"/>
    <x v="0"/>
    <n v="591.66100000000006"/>
    <n v="690.38600000000008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LAB"/>
    <x v="9"/>
    <x v="0"/>
    <x v="0"/>
    <n v="0"/>
    <n v="236.96600000000001"/>
    <x v="0"/>
    <n v="1420.1389999999999"/>
    <n v="1657.105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RES"/>
    <x v="15"/>
    <x v="0"/>
    <x v="0"/>
    <n v="0"/>
    <n v="116.871"/>
    <x v="0"/>
    <n v="700.40599999999995"/>
    <n v="817.27700000000004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PTH"/>
    <x v="16"/>
    <x v="0"/>
    <x v="0"/>
    <n v="0"/>
    <n v="35.908999999999999"/>
    <x v="0"/>
    <n v="215.20500000000001"/>
    <n v="251.114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STH"/>
    <x v="35"/>
    <x v="0"/>
    <x v="0"/>
    <n v="0"/>
    <n v="14.157999999999999"/>
    <x v="0"/>
    <n v="84.849000000000004"/>
    <n v="99.007000000000005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HYP"/>
    <x v="45"/>
    <x v="0"/>
    <x v="0"/>
    <n v="0"/>
    <n v="27.18"/>
    <x v="0"/>
    <n v="162.892"/>
    <n v="190.072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0"/>
    <s v="XYZ"/>
    <x v="19"/>
    <x v="0"/>
    <x v="0"/>
    <n v="0"/>
    <n v="2276.395"/>
    <x v="0"/>
    <n v="13642.455999999998"/>
    <n v="15918.851000000001"/>
    <x v="0"/>
    <x v="0"/>
    <x v="0"/>
    <x v="0"/>
    <x v="0"/>
    <m/>
    <m/>
    <x v="0"/>
    <m/>
    <m/>
    <m/>
    <m/>
    <m/>
    <m/>
    <m/>
    <m/>
    <m/>
    <m/>
    <m/>
  </r>
  <r>
    <x v="0"/>
    <x v="47"/>
    <x v="43"/>
    <x v="1"/>
    <x v="1"/>
    <s v="TRM"/>
    <x v="54"/>
    <x v="1"/>
    <x v="1"/>
    <m/>
    <m/>
    <x v="1"/>
    <m/>
    <m/>
    <x v="0"/>
    <x v="0"/>
    <x v="0"/>
    <x v="0"/>
    <x v="0"/>
    <m/>
    <m/>
    <x v="0"/>
    <m/>
    <m/>
    <n v="669.05235892049768"/>
    <n v="6605.6940000000004"/>
    <n v="0"/>
    <n v="7274.7463589204972"/>
    <n v="0"/>
    <n v="7274.7463589204972"/>
    <n v="0"/>
    <n v="20.273410652868161"/>
    <n v="20.273410652868161"/>
  </r>
  <r>
    <x v="0"/>
    <x v="47"/>
    <x v="43"/>
    <x v="1"/>
    <x v="1"/>
    <s v="CL"/>
    <x v="6"/>
    <x v="1"/>
    <x v="1"/>
    <m/>
    <m/>
    <x v="1"/>
    <m/>
    <m/>
    <x v="0"/>
    <x v="0"/>
    <x v="0"/>
    <x v="0"/>
    <x v="0"/>
    <m/>
    <m/>
    <x v="0"/>
    <m/>
    <m/>
    <n v="51.546342192756882"/>
    <n v="508.928"/>
    <n v="0"/>
    <n v="560.47434219275692"/>
    <n v="0"/>
    <n v="560.47434219275692"/>
    <n v="0"/>
    <n v="1.5619398461156466"/>
    <n v="1.5619398461156466"/>
  </r>
  <r>
    <x v="0"/>
    <x v="47"/>
    <x v="43"/>
    <x v="1"/>
    <x v="1"/>
    <s v="OR"/>
    <x v="7"/>
    <x v="1"/>
    <x v="1"/>
    <m/>
    <m/>
    <x v="1"/>
    <m/>
    <m/>
    <x v="0"/>
    <x v="0"/>
    <x v="0"/>
    <x v="0"/>
    <x v="0"/>
    <m/>
    <m/>
    <x v="0"/>
    <m/>
    <m/>
    <n v="339.57370228088701"/>
    <n v="3352.6819999999998"/>
    <n v="0"/>
    <n v="3692.2557022808874"/>
    <n v="0"/>
    <n v="3692.2557022808874"/>
    <n v="0"/>
    <n v="10.289653728162945"/>
    <n v="10.289653728162945"/>
  </r>
  <r>
    <x v="0"/>
    <x v="47"/>
    <x v="43"/>
    <x v="1"/>
    <x v="1"/>
    <s v="ANS"/>
    <x v="8"/>
    <x v="1"/>
    <x v="1"/>
    <m/>
    <m/>
    <x v="1"/>
    <m/>
    <m/>
    <x v="0"/>
    <x v="0"/>
    <x v="0"/>
    <x v="0"/>
    <x v="0"/>
    <m/>
    <m/>
    <x v="0"/>
    <m/>
    <m/>
    <n v="59.925862429739574"/>
    <n v="591.66100000000006"/>
    <n v="0"/>
    <n v="651.58686242973965"/>
    <n v="0"/>
    <n v="651.58686242973965"/>
    <n v="0"/>
    <n v="1.8158558677979453"/>
    <n v="1.8158558677979453"/>
  </r>
  <r>
    <x v="0"/>
    <x v="47"/>
    <x v="43"/>
    <x v="1"/>
    <x v="1"/>
    <s v="LAB"/>
    <x v="9"/>
    <x v="1"/>
    <x v="1"/>
    <m/>
    <m/>
    <x v="1"/>
    <m/>
    <m/>
    <x v="0"/>
    <x v="0"/>
    <x v="0"/>
    <x v="0"/>
    <x v="0"/>
    <m/>
    <m/>
    <x v="0"/>
    <m/>
    <m/>
    <n v="143.83757790029318"/>
    <n v="1420.1389999999999"/>
    <n v="0"/>
    <n v="1563.976577900293"/>
    <n v="0"/>
    <n v="1563.976577900293"/>
    <n v="0"/>
    <n v="4.3585192982004815"/>
    <n v="4.3585192982004815"/>
  </r>
  <r>
    <x v="0"/>
    <x v="47"/>
    <x v="43"/>
    <x v="1"/>
    <x v="1"/>
    <s v="RES"/>
    <x v="15"/>
    <x v="1"/>
    <x v="1"/>
    <m/>
    <m/>
    <x v="1"/>
    <m/>
    <m/>
    <x v="0"/>
    <x v="0"/>
    <x v="0"/>
    <x v="0"/>
    <x v="0"/>
    <m/>
    <m/>
    <x v="0"/>
    <m/>
    <m/>
    <n v="70.940092602595641"/>
    <n v="700.40599999999995"/>
    <n v="0"/>
    <n v="771.3460926025956"/>
    <n v="0"/>
    <n v="771.3460926025956"/>
    <n v="0"/>
    <n v="2.1496056862649016"/>
    <n v="2.1496056862649016"/>
  </r>
  <r>
    <x v="0"/>
    <x v="47"/>
    <x v="43"/>
    <x v="1"/>
    <x v="1"/>
    <s v="PTH"/>
    <x v="16"/>
    <x v="1"/>
    <x v="1"/>
    <m/>
    <m/>
    <x v="1"/>
    <m/>
    <m/>
    <x v="0"/>
    <x v="0"/>
    <x v="0"/>
    <x v="0"/>
    <x v="0"/>
    <m/>
    <m/>
    <x v="0"/>
    <m/>
    <m/>
    <n v="21.796871416081501"/>
    <n v="215.20500000000001"/>
    <n v="0"/>
    <n v="237.00187141608151"/>
    <n v="0"/>
    <n v="237.00187141608151"/>
    <n v="0"/>
    <n v="0.66048263669559981"/>
    <n v="0.66048263669559981"/>
  </r>
  <r>
    <x v="0"/>
    <x v="47"/>
    <x v="43"/>
    <x v="1"/>
    <x v="1"/>
    <s v="STH"/>
    <x v="35"/>
    <x v="1"/>
    <x v="1"/>
    <m/>
    <m/>
    <x v="1"/>
    <m/>
    <m/>
    <x v="0"/>
    <x v="0"/>
    <x v="0"/>
    <x v="0"/>
    <x v="0"/>
    <m/>
    <m/>
    <x v="0"/>
    <m/>
    <m/>
    <n v="16.498395797676217"/>
    <n v="84.849000000000004"/>
    <n v="0"/>
    <n v="101.34739579767624"/>
    <n v="0"/>
    <n v="101.34739579767624"/>
    <n v="0"/>
    <n v="0.26040789231965256"/>
    <n v="0.26040789231965256"/>
  </r>
  <r>
    <x v="0"/>
    <x v="47"/>
    <x v="43"/>
    <x v="1"/>
    <x v="1"/>
    <s v="HYP"/>
    <x v="45"/>
    <x v="1"/>
    <x v="1"/>
    <m/>
    <m/>
    <x v="1"/>
    <m/>
    <m/>
    <x v="0"/>
    <x v="0"/>
    <x v="0"/>
    <x v="0"/>
    <x v="0"/>
    <m/>
    <m/>
    <x v="0"/>
    <m/>
    <m/>
    <n v="8.5938647599442177"/>
    <n v="162.892"/>
    <n v="0"/>
    <n v="171.48586475994421"/>
    <n v="0"/>
    <n v="171.48586475994421"/>
    <n v="0"/>
    <n v="0.49993042883205274"/>
    <n v="0.49993042883205274"/>
  </r>
  <r>
    <x v="0"/>
    <x v="47"/>
    <x v="43"/>
    <x v="1"/>
    <x v="1"/>
    <s v="XYZ"/>
    <x v="19"/>
    <x v="1"/>
    <x v="1"/>
    <m/>
    <m/>
    <x v="1"/>
    <m/>
    <m/>
    <x v="0"/>
    <x v="0"/>
    <x v="0"/>
    <x v="0"/>
    <x v="0"/>
    <m/>
    <m/>
    <x v="0"/>
    <m/>
    <m/>
    <n v="1381.7650683004715"/>
    <n v="13642.455999999998"/>
    <n v="0"/>
    <n v="15024.221068300472"/>
    <n v="0"/>
    <n v="15024.221068300476"/>
    <n v="0"/>
    <n v="41.869806037257376"/>
    <n v="41.869806037257376"/>
  </r>
  <r>
    <x v="1"/>
    <x v="48"/>
    <x v="42"/>
    <x v="1"/>
    <x v="4"/>
    <m/>
    <x v="55"/>
    <x v="1"/>
    <x v="1"/>
    <m/>
    <m/>
    <x v="1"/>
    <m/>
    <m/>
    <x v="0"/>
    <x v="0"/>
    <x v="0"/>
    <x v="0"/>
    <x v="0"/>
    <m/>
    <m/>
    <x v="0"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2">
  <r>
    <x v="0"/>
    <x v="0"/>
    <x v="0"/>
    <n v="10537.351609755453"/>
    <n v="0"/>
    <n v="0"/>
    <n v="10376.643763030585"/>
    <n v="26659.658957103959"/>
    <n v="89.069992006359527"/>
    <n v="3011.3580219201294"/>
    <n v="13477.071776957073"/>
    <n v="359294137.31408662"/>
    <n v="0.99671861092415948"/>
    <n v="358115153.45689064"/>
    <n v="13432.848260853849"/>
    <n v="6625379.0220225165"/>
    <n v="364740532.47891319"/>
    <n v="13681.365281746086"/>
    <n v="1.1196537153887776"/>
    <n v="408383092.34289622"/>
    <n v="15318.391469298034"/>
    <n v="52.327813029200804"/>
    <n v="26711.98677013316"/>
    <n v="409184670.26760978"/>
    <n v="383442518.34440809"/>
    <n v="6.713431790076041E-2"/>
  </r>
  <r>
    <x v="1"/>
    <x v="1"/>
    <x v="1"/>
    <n v="12764.987141656744"/>
    <n v="0"/>
    <n v="0"/>
    <n v="12570.305055210365"/>
    <n v="53406.112545307114"/>
    <n v="2904.7925350190649"/>
    <n v="3567.1349818620388"/>
    <n v="19042.232572091471"/>
    <n v="1016971615.85903"/>
    <n v="0.99671861092415948"/>
    <n v="1013634536.3083103"/>
    <n v="18979.747598149792"/>
    <n v="59584704.514455065"/>
    <n v="1073219240.8227654"/>
    <n v="20095.438324822819"/>
    <n v="1.1149630516096494"/>
    <n v="1196599799.7939417"/>
    <n v="22405.671238077954"/>
    <n v="1497.8899264155948"/>
    <n v="54904.002471722706"/>
    <n v="1230161029.0360384"/>
    <n v="1307714834.2625487"/>
    <n v="-5.9304829458667663E-2"/>
  </r>
  <r>
    <x v="2"/>
    <x v="2"/>
    <x v="0"/>
    <n v="10537.351609755453"/>
    <n v="0"/>
    <n v="0"/>
    <n v="10376.643763030585"/>
    <n v="16622.361523679996"/>
    <n v="380.94476637289404"/>
    <n v="4224.6754000829733"/>
    <n v="14982.263929486451"/>
    <n v="249040607.47911426"/>
    <n v="1.0181752931904677"/>
    <n v="253566993.53637937"/>
    <n v="15254.570969061839"/>
    <n v="10600897.780621644"/>
    <n v="264167891.31700101"/>
    <n v="15892.32017007156"/>
    <n v="1.1150592197193865"/>
    <n v="294562842.76685083"/>
    <n v="17720.878128370659"/>
    <n v="475.40970309217568"/>
    <n v="17097.771226772173"/>
    <n v="302987520.1763922"/>
    <n v="380375203.56753546"/>
    <n v="-0.20345091547851935"/>
  </r>
  <r>
    <x v="3"/>
    <x v="3"/>
    <x v="0"/>
    <n v="10537.351609755453"/>
    <n v="0"/>
    <n v="0"/>
    <n v="10376.643763030585"/>
    <n v="35389.172988776867"/>
    <n v="70.826647410772608"/>
    <n v="3604.6722244017392"/>
    <n v="14052.142634843098"/>
    <n v="497293706.56742913"/>
    <n v="1.0181752931904677"/>
    <n v="506332165.48606658"/>
    <n v="14307.544447185643"/>
    <n v="1942313.1270902995"/>
    <n v="508274478.61315686"/>
    <n v="14362.428835913975"/>
    <n v="1.1099846191041804"/>
    <n v="564176853.54380083"/>
    <n v="15942.075100842872"/>
    <n v="284.09261788646165"/>
    <n v="35673.265606663328"/>
    <n v="568705879.39374185"/>
    <n v="547219767.1459837"/>
    <n v="3.9264137623935991E-2"/>
  </r>
  <r>
    <x v="4"/>
    <x v="4"/>
    <x v="0"/>
    <n v="10537.351609755453"/>
    <n v="0"/>
    <n v="0"/>
    <n v="10376.643763030585"/>
    <n v="24661.79924888902"/>
    <n v="0"/>
    <n v="2289.5848175077467"/>
    <n v="12666.228580538331"/>
    <n v="312371986.49377686"/>
    <n v="0.99671861092415948"/>
    <n v="311346972.46969759"/>
    <n v="12624.665756442055"/>
    <n v="424862.32800000021"/>
    <n v="311771834.7976976"/>
    <n v="12641.893304347715"/>
    <n v="1.1133096880777904"/>
    <n v="347098604.15006512"/>
    <n v="14074.342291376062"/>
    <n v="258.56044792628478"/>
    <n v="24920.359696815303"/>
    <n v="350737672.39719117"/>
    <n v="389282179.80573398"/>
    <n v="-9.9014312516894409E-2"/>
  </r>
  <r>
    <x v="5"/>
    <x v="5"/>
    <x v="0"/>
    <n v="10537.351609755453"/>
    <n v="0"/>
    <n v="0"/>
    <n v="10376.643763030585"/>
    <n v="6404.5558703010038"/>
    <n v="0"/>
    <n v="3520.5241425319587"/>
    <n v="13897.167905562543"/>
    <n v="89005188.290129289"/>
    <n v="0.99671861092415948"/>
    <n v="88713127.637580931"/>
    <n v="13851.565890612108"/>
    <n v="0"/>
    <n v="88713127.637580931"/>
    <n v="13851.565890612108"/>
    <n v="1.1180012832443968"/>
    <n v="99181390.539439455"/>
    <n v="15486.068440648654"/>
    <n v="326.3815102216322"/>
    <n v="6730.937380522636"/>
    <n v="104235756.94449392"/>
    <n v="111736905.45604147"/>
    <n v="-6.7132237830754948E-2"/>
  </r>
  <r>
    <x v="6"/>
    <x v="6"/>
    <x v="0"/>
    <n v="10537.351609755453"/>
    <n v="0"/>
    <n v="0"/>
    <n v="10376.643763030585"/>
    <n v="37187.68418079293"/>
    <n v="171.73315453928049"/>
    <n v="2901.2610718953915"/>
    <n v="13449.637989465256"/>
    <n v="500160889.89822876"/>
    <n v="0.99671861092415948"/>
    <n v="498519667.41795403"/>
    <n v="13405.504494292616"/>
    <n v="5003207.6874727393"/>
    <n v="503522875.10542679"/>
    <n v="13540.043866606013"/>
    <n v="1.1102695565875482"/>
    <n v="559046119.2749896"/>
    <n v="15033.09849995261"/>
    <n v="361.68554938791823"/>
    <n v="37549.36973018085"/>
    <n v="564483373.76494765"/>
    <n v="629192420.7775166"/>
    <n v="-0.10284460663497119"/>
  </r>
  <r>
    <x v="7"/>
    <x v="7"/>
    <x v="1"/>
    <n v="12764.987141656744"/>
    <n v="0"/>
    <n v="0"/>
    <n v="12570.305055210365"/>
    <n v="104111.82276682714"/>
    <n v="2718.743197387912"/>
    <n v="2775.8324903385164"/>
    <n v="18064.880742936795"/>
    <n v="1880767662.2125044"/>
    <n v="0.99671861092415948"/>
    <n v="1874596131.7515261"/>
    <n v="18005.602840610562"/>
    <n v="121878078.47076836"/>
    <n v="1996474210.2222946"/>
    <n v="19176.24874068025"/>
    <n v="1.106052155233989"/>
    <n v="2208204603.0854449"/>
    <n v="21209.931248932458"/>
    <n v="575.36949094230442"/>
    <n v="104687.19225776945"/>
    <n v="2220408150.4310646"/>
    <n v="2412318168.0345168"/>
    <n v="-7.9554189885248316E-2"/>
  </r>
  <r>
    <x v="8"/>
    <x v="8"/>
    <x v="2"/>
    <n v="0"/>
    <n v="0"/>
    <n v="0"/>
    <n v="0"/>
    <n v="1185.4899110060007"/>
    <n v="0"/>
    <n v="0"/>
    <n v="0"/>
    <n v="0"/>
    <n v="0.99671861092415948"/>
    <n v="0"/>
    <n v="0"/>
    <n v="62612.30027663122"/>
    <n v="62612.30027663122"/>
    <n v="52.815548825294293"/>
    <n v="1.1237799950517624"/>
    <n v="70362.450495052093"/>
    <n v="59.35305719754534"/>
    <n v="150.95420675019076"/>
    <n v="1336.4441177561914"/>
    <n v="79322.044162506252"/>
    <n v="10339842.959460583"/>
    <n v="-0.9923285059092769"/>
  </r>
  <r>
    <x v="9"/>
    <x v="9"/>
    <x v="0"/>
    <n v="10537.351609755453"/>
    <n v="0"/>
    <n v="0"/>
    <n v="10376.643763030585"/>
    <n v="24239.679898120015"/>
    <n v="352.12016602018389"/>
    <n v="3608.9706267132124"/>
    <n v="14337.734555763982"/>
    <n v="347542096.0959329"/>
    <n v="0.99671861092415948"/>
    <n v="346401675.25840896"/>
    <n v="14290.686870220396"/>
    <n v="5944161.5154257026"/>
    <n v="352345836.77383465"/>
    <n v="14535.91129316695"/>
    <n v="1.1208321340194023"/>
    <n v="394920536.14406908"/>
    <n v="16292.316474637042"/>
    <n v="1654.6617448541529"/>
    <n v="25894.34164297417"/>
    <n v="421878808.9497081"/>
    <n v="463917929.5748083"/>
    <n v="-9.0617581139039061E-2"/>
  </r>
  <r>
    <x v="10"/>
    <x v="10"/>
    <x v="0"/>
    <n v="10537.351609755453"/>
    <n v="0"/>
    <n v="0"/>
    <n v="10376.643763030585"/>
    <n v="39233.431532673072"/>
    <n v="423.6700340006721"/>
    <n v="3797.3064682792119"/>
    <n v="14597.620265310468"/>
    <n v="572714735.21901917"/>
    <n v="0.99671861092415948"/>
    <n v="570835435.34329855"/>
    <n v="14549.719793638609"/>
    <n v="20760568.355981968"/>
    <n v="591596003.6992805"/>
    <n v="15078.874841896186"/>
    <n v="1.1214469245143464"/>
    <n v="663443518.90353596"/>
    <n v="16910.157816581228"/>
    <n v="778.56440518458942"/>
    <n v="40011.99593785766"/>
    <n v="676609165.86558008"/>
    <n v="861936517.09345961"/>
    <n v="-0.21501276202199071"/>
  </r>
  <r>
    <x v="11"/>
    <x v="11"/>
    <x v="2"/>
    <n v="0"/>
    <n v="0"/>
    <n v="0"/>
    <n v="0"/>
    <n v="1608.5265612699982"/>
    <n v="0"/>
    <n v="7868.5453936392714"/>
    <n v="7868.5453936392714"/>
    <n v="12656764.264227461"/>
    <n v="0.99671861092415948"/>
    <n v="12615232.496235337"/>
    <n v="7842.7256347418288"/>
    <n v="0"/>
    <n v="12615232.496235337"/>
    <n v="7842.7256347418288"/>
    <n v="1.1357641348932981"/>
    <n v="14327928.622564549"/>
    <n v="8907.486495748044"/>
    <n v="152.05791062315805"/>
    <n v="1760.5844718931562"/>
    <n v="15682382.408011992"/>
    <n v="19936954.453844346"/>
    <n v="-0.21340130237454424"/>
  </r>
  <r>
    <x v="12"/>
    <x v="12"/>
    <x v="0"/>
    <n v="10537.351609755453"/>
    <n v="0"/>
    <n v="0"/>
    <n v="10376.643763030585"/>
    <n v="36896.780287905021"/>
    <n v="278.88145154984312"/>
    <n v="3730.2921552781099"/>
    <n v="14385.817369858538"/>
    <n v="530790342.75759816"/>
    <n v="0.99671861092415948"/>
    <n v="529048613.12531173"/>
    <n v="14338.611905894048"/>
    <n v="10719878.177063769"/>
    <n v="539768491.30237556"/>
    <n v="14629.148860430914"/>
    <n v="1.1215228084765592"/>
    <n v="605362674.29259539"/>
    <n v="16406.924115572132"/>
    <n v="1145.7804087483232"/>
    <n v="38042.560696653345"/>
    <n v="624161406.51203835"/>
    <n v="601446348.45018578"/>
    <n v="3.7767388762746767E-2"/>
  </r>
  <r>
    <x v="13"/>
    <x v="13"/>
    <x v="0"/>
    <n v="10537.351609755453"/>
    <n v="0"/>
    <n v="0"/>
    <n v="10376.643763030585"/>
    <n v="19503.503490301038"/>
    <n v="0"/>
    <n v="3519.6291861507884"/>
    <n v="13896.272949181373"/>
    <n v="271026007.96653479"/>
    <n v="1.0181752931904677"/>
    <n v="275951985.12356859"/>
    <n v="14148.841784287508"/>
    <n v="0"/>
    <n v="275951985.12356859"/>
    <n v="14148.841784287508"/>
    <n v="1.1206186736274211"/>
    <n v="309236947.55402726"/>
    <n v="15855.456313672501"/>
    <n v="-563.66061534430389"/>
    <n v="18939.842874956736"/>
    <n v="300299851.29169792"/>
    <n v="347884597.26089543"/>
    <n v="-0.1367831353956479"/>
  </r>
  <r>
    <x v="14"/>
    <x v="14"/>
    <x v="0"/>
    <n v="10537.351609755453"/>
    <n v="0"/>
    <n v="0"/>
    <n v="10376.643763030585"/>
    <n v="5661.7590092090077"/>
    <n v="0"/>
    <n v="2735.4724385206214"/>
    <n v="13112.116201551205"/>
    <n v="74237642.033927932"/>
    <n v="0.99671861092415948"/>
    <n v="73994039.446341649"/>
    <n v="13069.090246686286"/>
    <n v="0"/>
    <n v="73994039.446341649"/>
    <n v="13069.090246686286"/>
    <n v="1.1207568789217148"/>
    <n v="82929328.708692119"/>
    <n v="14647.272795222345"/>
    <n v="67.809346583489727"/>
    <n v="5729.5683557924976"/>
    <n v="83922550.706166267"/>
    <n v="73477074.041108057"/>
    <n v="0.14215967090924586"/>
  </r>
  <r>
    <x v="15"/>
    <x v="15"/>
    <x v="0"/>
    <n v="10537.351609755453"/>
    <n v="0"/>
    <n v="0"/>
    <n v="10376.643763030585"/>
    <n v="11828.629976083985"/>
    <n v="0"/>
    <n v="2573.4524247338809"/>
    <n v="12950.096187764466"/>
    <n v="153181895.95976171"/>
    <n v="1.0181752931904677"/>
    <n v="155966021.83030209"/>
    <n v="13185.467982821843"/>
    <n v="0"/>
    <n v="155966021.83030209"/>
    <n v="13185.467982821843"/>
    <n v="1.1159266108518389"/>
    <n v="174046634.14913294"/>
    <n v="14714.014598565813"/>
    <n v="389.63730493183124"/>
    <n v="12218.267281015816"/>
    <n v="179779763.14204574"/>
    <n v="198357034.28269643"/>
    <n v="-9.3655721400706882E-2"/>
  </r>
  <r>
    <x v="16"/>
    <x v="16"/>
    <x v="0"/>
    <n v="10537.351609755453"/>
    <n v="0"/>
    <n v="0"/>
    <n v="10376.643763030585"/>
    <n v="35575.296562612995"/>
    <n v="37.082155310001518"/>
    <n v="3089.1784782567997"/>
    <n v="13502.904396597385"/>
    <n v="480369828.36556286"/>
    <n v="0.99671861092415948"/>
    <n v="478793548.05840069"/>
    <n v="13458.59611361827"/>
    <n v="3385733.4707238162"/>
    <n v="482179281.5291245"/>
    <n v="13553.767027085285"/>
    <n v="1.1235285459397526"/>
    <n v="541742187.05869186"/>
    <n v="15228.044159947294"/>
    <n v="895.68887388813062"/>
    <n v="36470.985436501127"/>
    <n v="555381776.78383386"/>
    <n v="513765360.97469074"/>
    <n v="8.1002766963873318E-2"/>
  </r>
  <r>
    <x v="17"/>
    <x v="17"/>
    <x v="0"/>
    <n v="10537.351609755453"/>
    <n v="0"/>
    <n v="0"/>
    <n v="10376.643763030585"/>
    <n v="24909.085237375984"/>
    <n v="21.184377664013301"/>
    <n v="1631.0997162702363"/>
    <n v="12028.927856964834"/>
    <n v="299629589.30338347"/>
    <n v="1.0181752931904677"/>
    <n v="305075444.93751192"/>
    <n v="12247.557147532154"/>
    <n v="4332162.9357895656"/>
    <n v="309407607.87330151"/>
    <n v="12421.476137109868"/>
    <n v="1.106961162419857"/>
    <n v="342502205.27297711"/>
    <n v="13750.091663705654"/>
    <n v="528.64482335725529"/>
    <n v="25437.73006073324"/>
    <n v="349771120.05168283"/>
    <n v="393223971.76524913"/>
    <n v="-0.11050407613375934"/>
  </r>
  <r>
    <x v="18"/>
    <x v="18"/>
    <x v="0"/>
    <n v="10537.351609755453"/>
    <n v="0"/>
    <n v="0"/>
    <n v="10376.643763030585"/>
    <n v="47800.030712699874"/>
    <n v="152.06768021239117"/>
    <n v="1753.569327624889"/>
    <n v="12282.280770867865"/>
    <n v="587093398.06948698"/>
    <n v="0.99671861092415948"/>
    <n v="585166916.20656371"/>
    <n v="12241.977828919933"/>
    <n v="6692185.3853537869"/>
    <n v="591859101.59191751"/>
    <n v="12381.981617318666"/>
    <n v="1.1086069567461017"/>
    <n v="656139117.43829751"/>
    <n v="13726.750959261821"/>
    <n v="-1311.7021578670669"/>
    <n v="46488.328554832806"/>
    <n v="638133708.58452988"/>
    <n v="704906575.99958563"/>
    <n v="-9.4725839832560998E-2"/>
  </r>
  <r>
    <x v="19"/>
    <x v="19"/>
    <x v="0"/>
    <n v="10537.351609755453"/>
    <n v="0"/>
    <n v="0"/>
    <n v="10376.643763030585"/>
    <n v="26999.26188542712"/>
    <n v="429.97606252364841"/>
    <n v="3278.7321409161095"/>
    <n v="14085.351966470342"/>
    <n v="380294106.49114865"/>
    <n v="0.99671861092415948"/>
    <n v="379046213.56450206"/>
    <n v="14039.132446398198"/>
    <n v="12196844.09297953"/>
    <n v="391243057.65748161"/>
    <n v="14490.879762481783"/>
    <n v="1.1223202362274129"/>
    <n v="439100000.89248013"/>
    <n v="16263.407598171594"/>
    <n v="519.93028670117792"/>
    <n v="27519.1921721283"/>
    <n v="447555839.06773567"/>
    <n v="478959576.11742043"/>
    <n v="-6.5566570991757112E-2"/>
  </r>
  <r>
    <x v="20"/>
    <x v="20"/>
    <x v="0"/>
    <n v="10537.351609755453"/>
    <n v="0"/>
    <n v="0"/>
    <n v="10376.643763030585"/>
    <n v="22692.781590576982"/>
    <n v="0"/>
    <n v="2552.4705141953441"/>
    <n v="12929.114277225928"/>
    <n v="293397566.45269859"/>
    <n v="0.99671861092415948"/>
    <n v="292434814.88326252"/>
    <n v="12886.688822876347"/>
    <n v="1887638.9011087576"/>
    <n v="294322453.78437126"/>
    <n v="12969.871172892555"/>
    <n v="1.1268001645719641"/>
    <n v="331642589.36145383"/>
    <n v="14614.452972092504"/>
    <n v="181.91222036402647"/>
    <n v="22874.693810941008"/>
    <n v="334301136.95101279"/>
    <n v="348926896.50253075"/>
    <n v="-4.1916400535812137E-2"/>
  </r>
  <r>
    <x v="21"/>
    <x v="21"/>
    <x v="0"/>
    <n v="10537.351609755453"/>
    <n v="0"/>
    <n v="0"/>
    <n v="10376.643763030585"/>
    <n v="14672.575577466996"/>
    <n v="0"/>
    <n v="2745.2591161799901"/>
    <n v="13121.902879210575"/>
    <n v="192532111.71539894"/>
    <n v="0.99671861092415948"/>
    <n v="191900338.94726753"/>
    <n v="13078.844810448494"/>
    <n v="0"/>
    <n v="191900338.94726753"/>
    <n v="13078.844810448494"/>
    <n v="1.1136722213908725"/>
    <n v="213714076.7610648"/>
    <n v="14565.546153278659"/>
    <n v="437.57428336017193"/>
    <n v="15110.149860827169"/>
    <n v="220087585.18083525"/>
    <n v="206949787.85208052"/>
    <n v="6.3483019070041724E-2"/>
  </r>
  <r>
    <x v="22"/>
    <x v="22"/>
    <x v="0"/>
    <n v="10537.351609755453"/>
    <n v="0"/>
    <n v="0"/>
    <n v="10376.643763030585"/>
    <n v="35540.799933832066"/>
    <n v="523.78238472766361"/>
    <n v="3340.8825501490091"/>
    <n v="14241.308697907258"/>
    <n v="506147503.22826427"/>
    <n v="0.99671861092415948"/>
    <n v="504486636.34040707"/>
    <n v="14194.57742312027"/>
    <n v="27476780.845164478"/>
    <n v="531963417.18557155"/>
    <n v="14967.682724529335"/>
    <n v="1.1160480491569686"/>
    <n v="593696733.97283173"/>
    <n v="16704.653105111425"/>
    <n v="687.5622884232024"/>
    <n v="36228.362222255266"/>
    <n v="605182223.48909783"/>
    <n v="701874512.24118495"/>
    <n v="-0.13776292922125766"/>
  </r>
  <r>
    <x v="23"/>
    <x v="23"/>
    <x v="0"/>
    <n v="10537.351609755453"/>
    <n v="0"/>
    <n v="0"/>
    <n v="10376.643763030585"/>
    <n v="2175.2241478610003"/>
    <n v="0"/>
    <n v="3067.4788762984667"/>
    <n v="13444.122639329051"/>
    <n v="31278909.156010188"/>
    <n v="0.99671861092415948"/>
    <n v="31176270.885201447"/>
    <n v="14332.44059737868"/>
    <n v="208535.14400062207"/>
    <n v="31384806.02920207"/>
    <n v="14428.308944650242"/>
    <n v="1.1237498376689119"/>
    <n v="35268670.680586115"/>
    <n v="16213.809834387619"/>
    <n v="101.34107967410326"/>
    <n v="2276.5652275351035"/>
    <n v="36911795.674833551"/>
    <n v="52153723.776889794"/>
    <n v="-0.29225004464226201"/>
  </r>
  <r>
    <x v="24"/>
    <x v="24"/>
    <x v="0"/>
    <n v="10537.351609755453"/>
    <n v="0"/>
    <n v="0"/>
    <n v="10376.643763030585"/>
    <n v="10926.435215269013"/>
    <n v="0"/>
    <n v="2927.6112747387192"/>
    <n v="13304.255037769304"/>
    <n v="145368080.75760269"/>
    <n v="0.99671861092415948"/>
    <n v="144891071.5254288"/>
    <n v="13260.598600626172"/>
    <n v="0"/>
    <n v="144891071.5254288"/>
    <n v="13260.598600626172"/>
    <n v="1.1182795268578634"/>
    <n v="162028718.91138536"/>
    <n v="14829.055928960281"/>
    <n v="-503.20552908257918"/>
    <n v="10423.229686186434"/>
    <n v="154566655.97685775"/>
    <n v="187801683.18495172"/>
    <n v="-0.17696873981349415"/>
  </r>
  <r>
    <x v="25"/>
    <x v="25"/>
    <x v="0"/>
    <n v="10537.351609755453"/>
    <n v="0"/>
    <n v="0"/>
    <n v="10376.643763030585"/>
    <n v="16462.876928917998"/>
    <n v="0"/>
    <n v="2185.0942797154098"/>
    <n v="12561.738042745994"/>
    <n v="206802347.41103455"/>
    <n v="0.99671861092415948"/>
    <n v="206123748.44738179"/>
    <n v="12520.518092758955"/>
    <n v="0"/>
    <n v="206123748.44738179"/>
    <n v="12520.518092758955"/>
    <n v="1.1165021686409196"/>
    <n v="230137612.14989716"/>
    <n v="13979.185603073245"/>
    <n v="244.15669929131019"/>
    <n v="16707.033628209309"/>
    <n v="233550723.96552414"/>
    <n v="267259938.27860209"/>
    <n v="-0.12612894596248159"/>
  </r>
  <r>
    <x v="26"/>
    <x v="26"/>
    <x v="0"/>
    <n v="10537.351609755453"/>
    <n v="0"/>
    <n v="0"/>
    <n v="10376.643763030585"/>
    <n v="11637.098158323013"/>
    <n v="219.3949496707223"/>
    <n v="4977.4452250118402"/>
    <n v="15573.483937713147"/>
    <n v="181230161.25023469"/>
    <n v="0.99671861092415948"/>
    <n v="180635474.57889536"/>
    <n v="15522.381277647159"/>
    <n v="2578337.9692581748"/>
    <n v="183213812.54815355"/>
    <n v="15743.943211230586"/>
    <n v="1.1252449607173489"/>
    <n v="206160419.30362278"/>
    <n v="17715.792760257333"/>
    <n v="446.58010102652418"/>
    <n v="12083.678259349537"/>
    <n v="214071939.82426345"/>
    <n v="205889135.11789241"/>
    <n v="3.9743742192542397E-2"/>
  </r>
  <r>
    <x v="27"/>
    <x v="27"/>
    <x v="0"/>
    <n v="10537.351609755453"/>
    <n v="0"/>
    <n v="0"/>
    <n v="10376.643763030585"/>
    <n v="12134.106723412984"/>
    <n v="0"/>
    <n v="2783.6850231746876"/>
    <n v="13160.328786205271"/>
    <n v="159688834.0070188"/>
    <n v="0.99671861092415948"/>
    <n v="159164832.81157446"/>
    <n v="13117.144627091746"/>
    <n v="0"/>
    <n v="159164832.81157446"/>
    <n v="13117.144627091746"/>
    <n v="1.1148847928711076"/>
    <n v="177450451.66149667"/>
    <n v="14624.105070635544"/>
    <n v="115.78799861804177"/>
    <n v="12249.894722031026"/>
    <n v="179143747.51920551"/>
    <n v="176298783.78661111"/>
    <n v="1.6137171632663705E-2"/>
  </r>
  <r>
    <x v="28"/>
    <x v="28"/>
    <x v="0"/>
    <n v="10537.351609755453"/>
    <n v="0"/>
    <n v="0"/>
    <n v="10376.643763030585"/>
    <n v="14334.792159748988"/>
    <n v="0"/>
    <n v="2892.3942192509244"/>
    <n v="13269.037982281508"/>
    <n v="190208901.63582051"/>
    <n v="0.99671861092415948"/>
    <n v="189584752.22386509"/>
    <n v="13225.497105999537"/>
    <n v="832816.30724702065"/>
    <n v="190417568.5311121"/>
    <n v="13283.594656209263"/>
    <n v="1.1240965147015685"/>
    <n v="214047725.12377018"/>
    <n v="14932.042455753213"/>
    <n v="157.86666074242012"/>
    <n v="14492.658820491408"/>
    <n v="216404996.804324"/>
    <n v="268416796.67069432"/>
    <n v="-0.19377252285064972"/>
  </r>
  <r>
    <x v="29"/>
    <x v="29"/>
    <x v="0"/>
    <n v="10537.351609755453"/>
    <n v="0"/>
    <n v="0"/>
    <n v="10376.643763030585"/>
    <n v="10658.398211444006"/>
    <n v="458.6754750324082"/>
    <n v="5601.3354074481895"/>
    <n v="16436.654645511182"/>
    <n v="175188410.4758392"/>
    <n v="0.99671861092415948"/>
    <n v="174613549.13948992"/>
    <n v="16382.719586514038"/>
    <n v="2754406.3071728726"/>
    <n v="177367955.44666278"/>
    <n v="16641.145501227511"/>
    <n v="1.1259331913445376"/>
    <n v="199704468.1183168"/>
    <n v="18736.818061825888"/>
    <n v="190.30303516036531"/>
    <n v="10848.701246604371"/>
    <n v="203270141.46472982"/>
    <n v="247695139.32122138"/>
    <n v="-0.17935353103106066"/>
  </r>
  <r>
    <x v="30"/>
    <x v="30"/>
    <x v="0"/>
    <n v="10537.351609755453"/>
    <n v="0"/>
    <n v="0"/>
    <n v="10376.643763030585"/>
    <n v="10412.594138032973"/>
    <n v="0"/>
    <n v="2245.2213762300348"/>
    <n v="12621.865139260619"/>
    <n v="131426358.96010786"/>
    <n v="0.99671861092415948"/>
    <n v="130995097.94153868"/>
    <n v="12580.447888875919"/>
    <n v="0"/>
    <n v="130995097.94153868"/>
    <n v="12580.447888875919"/>
    <n v="1.1205505604288228"/>
    <n v="146786630.4118197"/>
    <n v="14097.027932325511"/>
    <n v="-535.51929151537263"/>
    <n v="9877.0748465176002"/>
    <n v="139237400.00102833"/>
    <n v="166047924.03270695"/>
    <n v="-0.1614625668334021"/>
  </r>
  <r>
    <x v="31"/>
    <x v="31"/>
    <x v="0"/>
    <n v="10537.351609755453"/>
    <n v="0"/>
    <n v="0"/>
    <n v="10376.643763030585"/>
    <n v="15965.725843327995"/>
    <n v="0"/>
    <n v="3582.6354876254545"/>
    <n v="13959.27925065604"/>
    <n v="222870025.48643139"/>
    <n v="0.99671861092415948"/>
    <n v="222138702.21946791"/>
    <n v="13913.47342421633"/>
    <n v="0"/>
    <n v="222138702.21946791"/>
    <n v="13913.47342421633"/>
    <n v="1.120710322524318"/>
    <n v="248953136.60951331"/>
    <n v="15592.97328868701"/>
    <n v="840.3235671536911"/>
    <n v="16806.049410481686"/>
    <n v="262056279.545995"/>
    <n v="292537198.30604488"/>
    <n v="-0.10419501839954559"/>
  </r>
  <r>
    <x v="32"/>
    <x v="32"/>
    <x v="0"/>
    <n v="10537.351609755453"/>
    <n v="0"/>
    <n v="0"/>
    <n v="10376.643763030585"/>
    <n v="30943.516611114035"/>
    <n v="21.316398664597084"/>
    <n v="2810.0767081976433"/>
    <n v="13208.036869892825"/>
    <n v="408703108.28373528"/>
    <n v="0.99671861092415948"/>
    <n v="407361994.36895096"/>
    <n v="13164.69616199466"/>
    <n v="751420.3248961916"/>
    <n v="408113414.69384718"/>
    <n v="13188.979773141376"/>
    <n v="1.1174861425645124"/>
    <n v="456061085.51505846"/>
    <n v="14738.502131049134"/>
    <n v="-42.786420465506588"/>
    <n v="30900.73019064853"/>
    <n v="455430477.76584768"/>
    <n v="485538387.39230251"/>
    <n v="-6.2009329042254313E-2"/>
  </r>
  <r>
    <x v="33"/>
    <x v="33"/>
    <x v="0"/>
    <n v="10537.351609755453"/>
    <n v="0"/>
    <n v="0"/>
    <n v="10376.643763030585"/>
    <n v="30637.922123716067"/>
    <n v="249.73659338390533"/>
    <n v="2013.6887020879367"/>
    <n v="12640.069058502426"/>
    <n v="387265451.45279038"/>
    <n v="0.99671861092415948"/>
    <n v="385994682.83094275"/>
    <n v="12598.592073975986"/>
    <n v="7270460.1939369692"/>
    <n v="393265143.02487969"/>
    <n v="12835.894726700893"/>
    <n v="1.1074866213835981"/>
    <n v="435535884.55656147"/>
    <n v="14215.581683309514"/>
    <n v="791.34911601934573"/>
    <n v="31429.271239735412"/>
    <n v="446785372.55534923"/>
    <n v="479405027.32837516"/>
    <n v="-6.8041953908594799E-2"/>
  </r>
  <r>
    <x v="34"/>
    <x v="34"/>
    <x v="2"/>
    <n v="0"/>
    <n v="0"/>
    <n v="0"/>
    <n v="0"/>
    <n v="566.52872944799947"/>
    <n v="0"/>
    <n v="4713.0209535125723"/>
    <n v="4713.0209535125723"/>
    <n v="2670061.7726552766"/>
    <n v="0.99671861092415948"/>
    <n v="2661300.2611226663"/>
    <n v="4697.5556980415085"/>
    <n v="0"/>
    <n v="2661300.2611226663"/>
    <n v="4697.5556980415085"/>
    <n v="1.1235285459397526"/>
    <n v="2990046.8126882333"/>
    <n v="5277.8379228915765"/>
    <n v="0"/>
    <n v="566.52872944799947"/>
    <n v="2990046.8126882333"/>
    <n v="6636375.6778513948"/>
    <n v="-0.54944581834518802"/>
  </r>
  <r>
    <x v="35"/>
    <x v="35"/>
    <x v="0"/>
    <n v="10537.351609755453"/>
    <n v="0"/>
    <n v="0"/>
    <n v="10376.643763030585"/>
    <n v="24559.146065829038"/>
    <n v="0"/>
    <n v="2201.4499203610849"/>
    <n v="12578.093683391669"/>
    <n v="308907240.00009757"/>
    <n v="0.99671861092415948"/>
    <n v="307893595.15731323"/>
    <n v="12536.820064184089"/>
    <n v="0"/>
    <n v="307893595.15731323"/>
    <n v="12536.820064184089"/>
    <n v="1.1035189993630976"/>
    <n v="339766432.03830498"/>
    <n v="13834.619132423632"/>
    <n v="620.36017053612238"/>
    <n v="25179.50623636516"/>
    <n v="348348878.7225976"/>
    <n v="342063676.63033193"/>
    <n v="1.837436279169169E-2"/>
  </r>
  <r>
    <x v="36"/>
    <x v="36"/>
    <x v="0"/>
    <n v="10537.351609755453"/>
    <n v="0"/>
    <n v="0"/>
    <n v="10376.643763030585"/>
    <n v="24233.031990069048"/>
    <n v="0"/>
    <n v="2129.0160123627174"/>
    <n v="12505.659775393302"/>
    <n v="303050053.39402562"/>
    <n v="0.99671861092415948"/>
    <n v="302055628.25938559"/>
    <n v="12464.623840020149"/>
    <n v="0"/>
    <n v="302055628.25938559"/>
    <n v="12464.623840020149"/>
    <n v="1.1147926720978587"/>
    <n v="336729400.94947791"/>
    <n v="13895.471317310734"/>
    <n v="669.6269599996217"/>
    <n v="24902.658950068671"/>
    <n v="346034183.16545063"/>
    <n v="357479688.25679171"/>
    <n v="-3.2017217949231624E-2"/>
  </r>
  <r>
    <x v="37"/>
    <x v="37"/>
    <x v="0"/>
    <n v="10537.351609755453"/>
    <n v="0"/>
    <n v="0"/>
    <n v="10376.643763030585"/>
    <n v="15907.038226505023"/>
    <n v="0"/>
    <n v="3430.3536002852661"/>
    <n v="13806.997363315852"/>
    <n v="219628434.85151932"/>
    <n v="1.0181752931904677"/>
    <n v="223620246.04790923"/>
    <n v="14057.943588474132"/>
    <n v="0"/>
    <n v="223620246.04790923"/>
    <n v="14057.943588474132"/>
    <n v="1.1175427593245362"/>
    <n v="249905186.80921218"/>
    <n v="15710.353068292054"/>
    <n v="-155.02990790879309"/>
    <n v="15752.00831859623"/>
    <n v="247469612.21982023"/>
    <n v="271471178.92933607"/>
    <n v="-8.8412946096806277E-2"/>
  </r>
  <r>
    <x v="38"/>
    <x v="38"/>
    <x v="2"/>
    <n v="0"/>
    <n v="0"/>
    <n v="0"/>
    <n v="0"/>
    <n v="1984.4844588999965"/>
    <n v="0"/>
    <n v="3663.4347147402104"/>
    <n v="3663.4347147402104"/>
    <n v="7270029.2575966893"/>
    <n v="1.0181752931904677"/>
    <n v="7402164.1708567878"/>
    <n v="3730.0187147647512"/>
    <n v="141502.60406345228"/>
    <n v="7543666.77492024"/>
    <n v="3801.3231804806919"/>
    <n v="1.2317684965243516"/>
    <n v="9292051.081624208"/>
    <n v="4682.3501388238683"/>
    <n v="84.946009723338292"/>
    <n v="2069.4304686233349"/>
    <n v="9689798.0420448147"/>
    <n v="38794153.318863943"/>
    <n v="-0.75022529909595737"/>
  </r>
  <r>
    <x v="39"/>
    <x v="39"/>
    <x v="0"/>
    <n v="10537.351609755453"/>
    <n v="0"/>
    <n v="0"/>
    <n v="10376.643763030585"/>
    <n v="16881.552106553001"/>
    <n v="118.19803973248145"/>
    <n v="4287.7134028392911"/>
    <n v="14782.555205602355"/>
    <n v="249552475.97137249"/>
    <n v="0.99671861092415948"/>
    <n v="248733597.20287105"/>
    <n v="14734.047890437681"/>
    <n v="1799367.1419683334"/>
    <n v="250532964.34483939"/>
    <n v="14840.635669251567"/>
    <n v="1.1293262174048309"/>
    <n v="282933444.95877683"/>
    <n v="16759.918944239082"/>
    <n v="438.78077166626639"/>
    <n v="17320.332878219266"/>
    <n v="290287375.12619406"/>
    <n v="303444858.6894334"/>
    <n v="-4.3360377302373854E-2"/>
  </r>
  <r>
    <x v="40"/>
    <x v="40"/>
    <x v="0"/>
    <n v="10537.351609755453"/>
    <n v="0"/>
    <n v="0"/>
    <n v="10376.643763030585"/>
    <n v="29567.442541858047"/>
    <n v="0"/>
    <n v="2612.1086726690251"/>
    <n v="12988.752435699609"/>
    <n v="384044191.33296692"/>
    <n v="1.0181752931904677"/>
    <n v="391024307.1085397"/>
    <n v="13224.826819396851"/>
    <n v="0"/>
    <n v="391024307.1085397"/>
    <n v="13224.826819396851"/>
    <n v="1.1115105879568932"/>
    <n v="434627657.4996497"/>
    <n v="14699.535033655882"/>
    <n v="322.10217237676216"/>
    <n v="29889.544714234809"/>
    <n v="439362409.66691858"/>
    <n v="498044320.36016619"/>
    <n v="-0.11782467602644509"/>
  </r>
  <r>
    <x v="41"/>
    <x v="41"/>
    <x v="0"/>
    <n v="10537.351609755453"/>
    <n v="0"/>
    <n v="0"/>
    <n v="10376.643763030585"/>
    <n v="5264.4707007620054"/>
    <n v="238.48799212817485"/>
    <n v="3493.982551773357"/>
    <n v="14109.114306932117"/>
    <n v="74277018.882546157"/>
    <n v="0.99671861092415948"/>
    <n v="74033287.084198967"/>
    <n v="14062.816813375564"/>
    <n v="1538688.3210319907"/>
    <n v="75571975.405230954"/>
    <n v="14355.09469058158"/>
    <n v="1.1120223070717381"/>
    <n v="84037722.440093577"/>
    <n v="15963.185516053787"/>
    <n v="7.9296529790451151"/>
    <n v="5272.4003537410508"/>
    <n v="84164304.961676002"/>
    <n v="116188893.52768132"/>
    <n v="-0.27562521333741463"/>
  </r>
  <r>
    <x v="42"/>
    <x v="42"/>
    <x v="0"/>
    <n v="10537.351609755453"/>
    <n v="0"/>
    <n v="0"/>
    <n v="10376.643763030585"/>
    <n v="3719.0107248960016"/>
    <n v="0"/>
    <n v="2896.8891326526596"/>
    <n v="13273.532895683244"/>
    <n v="49364411.196305864"/>
    <n v="1.0181752931904677"/>
    <n v="50261623.84297353"/>
    <n v="13514.783247735604"/>
    <n v="0"/>
    <n v="50261623.84297353"/>
    <n v="13514.783247735604"/>
    <n v="1.1180896691644482"/>
    <n v="56197002.374258213"/>
    <n v="15110.739530289928"/>
    <n v="180.719932962033"/>
    <n v="3899.7306578580346"/>
    <n v="58927814.209178947"/>
    <n v="65524512.041859597"/>
    <n v="-0.10067526834028806"/>
  </r>
  <r>
    <x v="43"/>
    <x v="43"/>
    <x v="0"/>
    <n v="10537.351609755453"/>
    <n v="0"/>
    <n v="0"/>
    <n v="10376.643763030585"/>
    <n v="9011.8464937300014"/>
    <n v="0"/>
    <n v="2143.1568985628414"/>
    <n v="12519.800661593426"/>
    <n v="112826521.69437927"/>
    <n v="0.99671861092415948"/>
    <n v="112456293.97862625"/>
    <n v="12478.718324470772"/>
    <n v="0"/>
    <n v="112456293.97862625"/>
    <n v="12478.718324470772"/>
    <n v="1.1146605541082666"/>
    <n v="125350594.95917766"/>
    <n v="13909.535082115572"/>
    <n v="126.29928815319566"/>
    <n v="9138.1457818831968"/>
    <n v="127107359.33859076"/>
    <n v="123454716.04708941"/>
    <n v="2.9586907721760314E-2"/>
  </r>
  <r>
    <x v="44"/>
    <x v="44"/>
    <x v="0"/>
    <n v="10537.351609755453"/>
    <n v="0"/>
    <n v="0"/>
    <n v="10376.643763030585"/>
    <n v="17485.311336287028"/>
    <n v="0"/>
    <n v="3298.0135073476195"/>
    <n v="13674.657270378204"/>
    <n v="239105639.78958383"/>
    <n v="1.0181752931904677"/>
    <n v="243451454.89625388"/>
    <n v="13923.198175546489"/>
    <n v="0"/>
    <n v="243451454.89625388"/>
    <n v="13923.198175546489"/>
    <n v="1.1171440000317876"/>
    <n v="271970332.13635939"/>
    <n v="15554.217303065292"/>
    <n v="544.18028465011332"/>
    <n v="18029.49162093714"/>
    <n v="280434630.53585118"/>
    <n v="310623280.19533324"/>
    <n v="-9.7187337795474171E-2"/>
  </r>
  <r>
    <x v="45"/>
    <x v="45"/>
    <x v="0"/>
    <n v="10537.351609755453"/>
    <n v="0"/>
    <n v="0"/>
    <n v="10376.643763030585"/>
    <n v="30821.946526509015"/>
    <n v="0"/>
    <n v="1776.6188441238237"/>
    <n v="12153.262607154407"/>
    <n v="374587210.20033467"/>
    <n v="0.99671861092415948"/>
    <n v="373358043.82083368"/>
    <n v="12113.383023999468"/>
    <n v="0"/>
    <n v="373358043.82083368"/>
    <n v="12113.383023999468"/>
    <n v="1.1140199775247721"/>
    <n v="415928319.58597803"/>
    <n v="13494.550684144844"/>
    <n v="-309.04607773963369"/>
    <n v="30512.900448769382"/>
    <n v="411757881.6261844"/>
    <n v="441501289.78100872"/>
    <n v="-6.7368791084568502E-2"/>
  </r>
  <r>
    <x v="46"/>
    <x v="46"/>
    <x v="0"/>
    <n v="10537.351609755453"/>
    <n v="0"/>
    <n v="0"/>
    <n v="10376.643763030585"/>
    <n v="9743.687453664008"/>
    <n v="0"/>
    <n v="3483.9529165631852"/>
    <n v="13860.596679593769"/>
    <n v="135053321.96725482"/>
    <n v="1.0181752931904677"/>
    <n v="137507955.69035631"/>
    <n v="14112.517088040209"/>
    <n v="0"/>
    <n v="137507955.69035631"/>
    <n v="14112.517088040209"/>
    <n v="1.1083143930424924"/>
    <n v="152402046.44947121"/>
    <n v="15641.105810733088"/>
    <n v="-256.12774493151665"/>
    <n v="9487.5597087324913"/>
    <n v="148395925.28993291"/>
    <n v="146086437.73579153"/>
    <n v="1.5809048327390052E-2"/>
  </r>
  <r>
    <x v="47"/>
    <x v="47"/>
    <x v="1"/>
    <n v="12764.987141656744"/>
    <n v="0"/>
    <n v="0"/>
    <n v="12570.305055210365"/>
    <n v="16622.361523679996"/>
    <n v="1047.5835053585402"/>
    <n v="4224.6754000829733"/>
    <n v="17842.563960651878"/>
    <n v="296585548.66333914"/>
    <n v="1.0181752931904677"/>
    <n v="301976077.96635109"/>
    <n v="18166.857791906401"/>
    <n v="10600897.780621644"/>
    <n v="312576975.74697274"/>
    <n v="18804.60699291612"/>
    <n v="1.1150592197193865"/>
    <n v="348541838.67866504"/>
    <n v="20968.25040065077"/>
    <n v="475.40970309217568"/>
    <n v="17097.771226772173"/>
    <n v="358510348.37600082"/>
    <n v="380375203.56753546"/>
    <n v="-5.7482335826479658E-2"/>
  </r>
  <r>
    <x v="48"/>
    <x v="6"/>
    <x v="1"/>
    <n v="12764.987141656744"/>
    <n v="0"/>
    <n v="0"/>
    <n v="12570.305055210365"/>
    <n v="37187.68418079293"/>
    <n v="472.25959220144938"/>
    <n v="2901.2610718953915"/>
    <n v="15943.825719307206"/>
    <n v="592913955.48320007"/>
    <n v="0.99671861092415948"/>
    <n v="590968374.10676408"/>
    <n v="15891.507823764767"/>
    <n v="5003207.6874727393"/>
    <n v="595971581.79423678"/>
    <n v="16026.047196078163"/>
    <n v="1.1102695565875482"/>
    <n v="661689103.85746706"/>
    <n v="17793.232314240824"/>
    <n v="361.68554938791823"/>
    <n v="37549.36973018085"/>
    <n v="668124658.8624301"/>
    <n v="629192420.7775166"/>
    <n v="6.1876521075704405E-2"/>
  </r>
  <r>
    <x v="49"/>
    <x v="10"/>
    <x v="1"/>
    <n v="12764.987141656744"/>
    <n v="0"/>
    <n v="0"/>
    <n v="12570.305055210365"/>
    <n v="39233.431532673072"/>
    <n v="1165.0763536132847"/>
    <n v="3797.3064682792119"/>
    <n v="17532.687877102864"/>
    <n v="687867509.41004241"/>
    <n v="0.99671861092415948"/>
    <n v="685610348.47903872"/>
    <n v="17475.15630663282"/>
    <n v="20760568.355981968"/>
    <n v="706370916.83502066"/>
    <n v="18004.311354890397"/>
    <n v="1.1214469245143464"/>
    <n v="792157492.25101304"/>
    <n v="20190.879596940558"/>
    <n v="778.56440518458942"/>
    <n v="40011.99593785766"/>
    <n v="807877392.41455877"/>
    <n v="861936517.09345961"/>
    <n v="-6.2718220665709645E-2"/>
  </r>
  <r>
    <x v="50"/>
    <x v="48"/>
    <x v="1"/>
    <n v="12764.987141656744"/>
    <n v="0"/>
    <n v="0"/>
    <n v="12570.305055210365"/>
    <n v="26999.26188542712"/>
    <n v="1182.417690332225"/>
    <n v="3278.7321409161095"/>
    <n v="17031.454886458698"/>
    <n v="459836710.76933581"/>
    <n v="0.99671861092415948"/>
    <n v="458327807.60994685"/>
    <n v="16975.568056448599"/>
    <n v="12196844.09297953"/>
    <n v="470524651.7029264"/>
    <n v="17427.315372532186"/>
    <n v="1.1223202362274129"/>
    <n v="528079338.25004953"/>
    <n v="19559.028705709949"/>
    <n v="519.93028670117792"/>
    <n v="27519.1921721283"/>
    <n v="538248669.65260589"/>
    <n v="478959576.11742043"/>
    <n v="0.12378725990990591"/>
  </r>
  <r>
    <x v="51"/>
    <x v="22"/>
    <x v="1"/>
    <n v="12764.987141656744"/>
    <n v="0"/>
    <n v="0"/>
    <n v="12570.305055210365"/>
    <n v="35540.799933832066"/>
    <n v="1440.3814806605105"/>
    <n v="3340.8825501490091"/>
    <n v="17351.569086019885"/>
    <n v="616688645.42429805"/>
    <n v="0.99671861092415948"/>
    <n v="614665050.04000783"/>
    <n v="17294.631836772325"/>
    <n v="27476780.845164478"/>
    <n v="642141830.88517237"/>
    <n v="18067.73713818139"/>
    <n v="1.1160480491569686"/>
    <n v="716661137.64148068"/>
    <n v="20164.462785748252"/>
    <n v="687.5622884232024"/>
    <n v="36228.362222255266"/>
    <n v="730525461.81927419"/>
    <n v="701874512.24118495"/>
    <n v="4.0820615478118327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4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5" indent="0" outline="1" outlineData="1" multipleFieldFilters="0">
  <location ref="A3:D48" firstHeaderRow="0" firstDataRow="1" firstDataCol="1" rowPageCount="1" colPageCount="1"/>
  <pivotFields count="26">
    <pivotField axis="axisPage" numFmtId="1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h="1" x="47"/>
        <item h="1" x="48"/>
        <item h="1" x="49"/>
        <item h="1" x="50"/>
        <item h="1" x="51"/>
        <item m="1" x="52"/>
        <item t="default"/>
      </items>
    </pivotField>
    <pivotField axis="axisRow" showAll="0" sortType="descending">
      <items count="51">
        <item x="18"/>
        <item x="43"/>
        <item x="11"/>
        <item x="30"/>
        <item x="25"/>
        <item x="37"/>
        <item x="42"/>
        <item x="4"/>
        <item x="14"/>
        <item x="33"/>
        <item x="46"/>
        <item x="3"/>
        <item m="1" x="49"/>
        <item x="35"/>
        <item x="22"/>
        <item x="7"/>
        <item x="38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7"/>
        <item x="2"/>
        <item x="40"/>
        <item x="10"/>
        <item x="9"/>
        <item x="17"/>
        <item x="32"/>
        <item x="27"/>
        <item x="5"/>
        <item x="29"/>
        <item x="41"/>
        <item x="23"/>
        <item x="8"/>
        <item x="28"/>
        <item x="45"/>
        <item x="36"/>
        <item x="24"/>
        <item x="48"/>
        <item x="1"/>
        <item x="13"/>
        <item x="2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defaultSubtotal="0">
      <items count="5">
        <item x="0"/>
        <item m="1" x="3"/>
        <item m="1" x="4"/>
        <item x="1"/>
        <item h="1" x="2"/>
      </items>
    </pivotField>
    <pivotField numFmtId="164" showAll="0"/>
    <pivotField showAll="0"/>
    <pivotField numFmtId="164" showAll="0"/>
    <pivotField numFmtId="164" showAll="0"/>
    <pivotField numFmtId="164" showAll="0"/>
    <pivotField numFmtId="171" showAll="0"/>
    <pivotField numFmtId="164" showAll="0"/>
    <pivotField numFmtId="164" showAll="0"/>
    <pivotField numFmtId="164" showAll="0"/>
    <pivotField numFmtId="169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71" showAll="0"/>
    <pivotField dataField="1" numFmtId="164" showAll="0"/>
    <pivotField dataField="1" numFmtId="164" showAll="0"/>
    <pivotField dataField="1" numFmtId="10" showAll="0"/>
  </pivotFields>
  <rowFields count="2">
    <field x="2"/>
    <field x="1"/>
  </rowFields>
  <rowItems count="45">
    <i>
      <x/>
    </i>
    <i r="1">
      <x v="8"/>
    </i>
    <i r="1">
      <x v="26"/>
    </i>
    <i r="1">
      <x v="28"/>
    </i>
    <i r="1">
      <x v="10"/>
    </i>
    <i r="1">
      <x v="23"/>
    </i>
    <i r="1">
      <x v="11"/>
    </i>
    <i r="1">
      <x v="1"/>
    </i>
    <i r="1">
      <x v="36"/>
    </i>
    <i r="1">
      <x v="18"/>
    </i>
    <i r="1">
      <x v="20"/>
    </i>
    <i r="1">
      <x v="13"/>
    </i>
    <i r="1">
      <x v="49"/>
    </i>
    <i r="1">
      <x v="43"/>
    </i>
    <i r="1">
      <x v="44"/>
    </i>
    <i r="1">
      <x v="35"/>
    </i>
    <i r="1">
      <x v="19"/>
    </i>
    <i r="1">
      <x/>
    </i>
    <i r="1">
      <x v="5"/>
    </i>
    <i r="1">
      <x v="24"/>
    </i>
    <i r="1">
      <x v="9"/>
    </i>
    <i r="1">
      <x v="7"/>
    </i>
    <i r="1">
      <x v="48"/>
    </i>
    <i r="1">
      <x v="25"/>
    </i>
    <i r="1">
      <x v="37"/>
    </i>
    <i r="1">
      <x v="3"/>
    </i>
    <i r="1">
      <x v="21"/>
    </i>
    <i r="1">
      <x v="22"/>
    </i>
    <i r="1">
      <x v="31"/>
    </i>
    <i r="1">
      <x v="34"/>
    </i>
    <i r="1">
      <x v="45"/>
    </i>
    <i r="1">
      <x v="4"/>
    </i>
    <i r="1">
      <x v="6"/>
    </i>
    <i r="1">
      <x v="33"/>
    </i>
    <i r="1">
      <x v="27"/>
    </i>
    <i r="1">
      <x v="14"/>
    </i>
    <i r="1">
      <x v="38"/>
    </i>
    <i r="1">
      <x v="42"/>
    </i>
    <i r="1">
      <x v="30"/>
    </i>
    <i r="1">
      <x v="32"/>
    </i>
    <i r="1">
      <x v="39"/>
    </i>
    <i r="1">
      <x v="40"/>
    </i>
    <i>
      <x v="3"/>
    </i>
    <i r="1">
      <x v="15"/>
    </i>
    <i r="1">
      <x v="4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TOTAL PERMANENT ICC REVENUE" fld="24" baseField="0" baseItem="0"/>
    <dataField name="Sum of TOTAL ECMAD APPROVED ICC  REVENUE " fld="23" baseField="0" baseItem="0"/>
    <dataField name="Sum of % OVER/UNDER  TOTAL PERMANENT REVENUE" fld="25" baseField="0" baseItem="0" numFmtId="10"/>
  </dataFields>
  <formats count="4">
    <format dxfId="81">
      <pivotArea outline="0" collapsedLevelsAreSubtotals="1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PivotTable19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>
  <location ref="AE4:AH52" firstHeaderRow="1" firstDataRow="2" firstDataCol="2" rowPageCount="1" colPageCount="1"/>
  <pivotFields count="13">
    <pivotField axis="axisPage" compact="0" outline="0" showAll="0">
      <items count="4">
        <item x="0"/>
        <item h="1" x="1"/>
        <item h="1" x="2"/>
        <item t="default"/>
      </items>
    </pivotField>
    <pivotField compact="0" outline="0" showAll="0"/>
    <pivotField axis="axisCol" compact="0" outline="0" showAll="0">
      <items count="10">
        <item h="1" x="1"/>
        <item h="1" x="3"/>
        <item h="1" x="5"/>
        <item h="1" x="0"/>
        <item h="1" x="2"/>
        <item h="1" x="4"/>
        <item x="6"/>
        <item x="7"/>
        <item h="1" x="8"/>
        <item t="default"/>
      </items>
    </pivotField>
    <pivotField compact="0" outline="0" showAll="0"/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x="47"/>
        <item x="48"/>
      </items>
    </pivotField>
    <pivotField axis="axisRow" compact="0" outline="0" showAll="0" defaultSubtotal="0">
      <items count="51">
        <item m="1" x="49"/>
        <item x="18"/>
        <item x="43"/>
        <item x="11"/>
        <item x="30"/>
        <item x="25"/>
        <item x="37"/>
        <item x="4"/>
        <item x="42"/>
        <item x="14"/>
        <item x="33"/>
        <item m="1" x="50"/>
        <item x="47"/>
        <item x="3"/>
        <item x="35"/>
        <item x="22"/>
        <item x="7"/>
        <item x="46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0"/>
        <item x="10"/>
        <item x="9"/>
        <item x="17"/>
        <item x="32"/>
        <item x="27"/>
        <item x="23"/>
        <item x="8"/>
        <item x="28"/>
        <item x="5"/>
        <item x="38"/>
        <item x="1"/>
        <item x="29"/>
        <item x="2"/>
        <item x="41"/>
        <item x="45"/>
        <item x="36"/>
        <item x="24"/>
        <item x="13"/>
        <item x="20"/>
        <item x="48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47">
    <i>
      <x/>
      <x v="27"/>
    </i>
    <i>
      <x v="1"/>
      <x v="41"/>
    </i>
    <i>
      <x v="2"/>
      <x v="43"/>
    </i>
    <i>
      <x v="3"/>
      <x v="13"/>
    </i>
    <i>
      <x v="4"/>
      <x v="7"/>
    </i>
    <i>
      <x v="5"/>
      <x v="39"/>
    </i>
    <i>
      <x v="6"/>
      <x v="26"/>
    </i>
    <i>
      <x v="7"/>
      <x v="16"/>
    </i>
    <i>
      <x v="8"/>
      <x v="37"/>
    </i>
    <i>
      <x v="9"/>
      <x v="32"/>
    </i>
    <i>
      <x v="10"/>
      <x v="31"/>
    </i>
    <i>
      <x v="11"/>
      <x v="3"/>
    </i>
    <i>
      <x v="12"/>
      <x v="19"/>
    </i>
    <i>
      <x v="13"/>
      <x v="48"/>
    </i>
    <i>
      <x v="14"/>
      <x v="9"/>
    </i>
    <i>
      <x v="15"/>
      <x v="22"/>
    </i>
    <i>
      <x v="16"/>
      <x v="29"/>
    </i>
    <i>
      <x v="17"/>
      <x v="33"/>
    </i>
    <i>
      <x v="18"/>
      <x v="1"/>
    </i>
    <i>
      <x v="19"/>
      <x v="25"/>
    </i>
    <i>
      <x v="20"/>
      <x v="49"/>
    </i>
    <i>
      <x v="21"/>
      <x v="24"/>
    </i>
    <i>
      <x v="22"/>
      <x v="15"/>
    </i>
    <i>
      <x v="23"/>
      <x v="36"/>
    </i>
    <i>
      <x v="24"/>
      <x v="47"/>
    </i>
    <i>
      <x v="25"/>
      <x v="5"/>
    </i>
    <i>
      <x v="26"/>
      <x v="21"/>
    </i>
    <i>
      <x v="27"/>
      <x v="35"/>
    </i>
    <i>
      <x v="28"/>
      <x v="38"/>
    </i>
    <i>
      <x v="29"/>
      <x v="42"/>
    </i>
    <i>
      <x v="30"/>
      <x v="4"/>
    </i>
    <i>
      <x v="31"/>
      <x v="28"/>
    </i>
    <i>
      <x v="32"/>
      <x v="34"/>
    </i>
    <i>
      <x v="33"/>
      <x v="10"/>
    </i>
    <i>
      <x v="34"/>
      <x v="18"/>
    </i>
    <i>
      <x v="35"/>
      <x v="14"/>
    </i>
    <i>
      <x v="36"/>
      <x v="46"/>
    </i>
    <i>
      <x v="37"/>
      <x v="6"/>
    </i>
    <i>
      <x v="38"/>
      <x v="40"/>
    </i>
    <i>
      <x v="39"/>
      <x v="20"/>
    </i>
    <i>
      <x v="40"/>
      <x v="30"/>
    </i>
    <i>
      <x v="41"/>
      <x v="44"/>
    </i>
    <i>
      <x v="42"/>
      <x v="8"/>
    </i>
    <i>
      <x v="43"/>
      <x v="2"/>
    </i>
    <i>
      <x v="44"/>
      <x v="23"/>
    </i>
    <i>
      <x v="45"/>
      <x v="45"/>
    </i>
    <i>
      <x v="47"/>
      <x v="12"/>
    </i>
  </rowItems>
  <colFields count="1">
    <field x="2"/>
  </colFields>
  <colItems count="2">
    <i>
      <x v="6"/>
    </i>
    <i>
      <x v="7"/>
    </i>
  </colItems>
  <pageFields count="1">
    <pageField fld="0" hier="0"/>
  </pageFields>
  <dataFields count="1">
    <dataField name="Sum of pauweight" fld="8" baseField="4" baseItem="9"/>
  </dataFields>
  <formats count="2">
    <format dxfId="9">
      <pivotArea outline="0" fieldPosition="0"/>
    </format>
    <format dxfId="8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PivotTable15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>
  <location ref="A4:D51" firstHeaderRow="1" firstDataRow="2" firstDataCol="2" rowPageCount="1" colPageCount="1"/>
  <pivotFields count="13">
    <pivotField axis="axisPage" compact="0" outline="0" showAll="0">
      <items count="4">
        <item h="1" x="0"/>
        <item x="1"/>
        <item h="1" x="2"/>
        <item t="default"/>
      </items>
    </pivotField>
    <pivotField compact="0" outline="0" showAll="0"/>
    <pivotField axis="axisCol" compact="0" outline="0" showAll="0">
      <items count="10">
        <item h="1" x="1"/>
        <item x="3"/>
        <item x="5"/>
        <item h="1" x="0"/>
        <item h="1" x="2"/>
        <item h="1" x="4"/>
        <item h="1" x="6"/>
        <item h="1" x="7"/>
        <item h="1" x="8"/>
        <item t="default"/>
      </items>
    </pivotField>
    <pivotField compact="0" outline="0" showAll="0"/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h="1" x="47"/>
        <item x="48"/>
      </items>
    </pivotField>
    <pivotField axis="axisRow" compact="0" outline="0" showAll="0" defaultSubtotal="0">
      <items count="51">
        <item m="1" x="49"/>
        <item x="18"/>
        <item x="43"/>
        <item x="11"/>
        <item x="30"/>
        <item x="25"/>
        <item x="37"/>
        <item x="4"/>
        <item x="42"/>
        <item x="14"/>
        <item x="33"/>
        <item m="1" x="50"/>
        <item x="47"/>
        <item x="3"/>
        <item x="35"/>
        <item x="22"/>
        <item x="7"/>
        <item x="46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0"/>
        <item x="10"/>
        <item x="9"/>
        <item x="17"/>
        <item x="32"/>
        <item x="27"/>
        <item x="23"/>
        <item x="8"/>
        <item x="28"/>
        <item x="5"/>
        <item x="38"/>
        <item x="1"/>
        <item x="29"/>
        <item x="2"/>
        <item x="41"/>
        <item x="45"/>
        <item x="36"/>
        <item x="24"/>
        <item x="13"/>
        <item x="20"/>
        <item x="48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46">
    <i>
      <x/>
      <x v="27"/>
    </i>
    <i>
      <x v="1"/>
      <x v="41"/>
    </i>
    <i>
      <x v="2"/>
      <x v="43"/>
    </i>
    <i>
      <x v="3"/>
      <x v="13"/>
    </i>
    <i>
      <x v="4"/>
      <x v="7"/>
    </i>
    <i>
      <x v="5"/>
      <x v="39"/>
    </i>
    <i>
      <x v="6"/>
      <x v="26"/>
    </i>
    <i>
      <x v="7"/>
      <x v="16"/>
    </i>
    <i>
      <x v="8"/>
      <x v="37"/>
    </i>
    <i>
      <x v="9"/>
      <x v="32"/>
    </i>
    <i>
      <x v="10"/>
      <x v="31"/>
    </i>
    <i>
      <x v="11"/>
      <x v="3"/>
    </i>
    <i>
      <x v="12"/>
      <x v="19"/>
    </i>
    <i>
      <x v="13"/>
      <x v="48"/>
    </i>
    <i>
      <x v="14"/>
      <x v="9"/>
    </i>
    <i>
      <x v="15"/>
      <x v="22"/>
    </i>
    <i>
      <x v="16"/>
      <x v="29"/>
    </i>
    <i>
      <x v="17"/>
      <x v="33"/>
    </i>
    <i>
      <x v="18"/>
      <x v="1"/>
    </i>
    <i>
      <x v="19"/>
      <x v="25"/>
    </i>
    <i>
      <x v="20"/>
      <x v="49"/>
    </i>
    <i>
      <x v="21"/>
      <x v="24"/>
    </i>
    <i>
      <x v="22"/>
      <x v="15"/>
    </i>
    <i>
      <x v="23"/>
      <x v="36"/>
    </i>
    <i>
      <x v="24"/>
      <x v="47"/>
    </i>
    <i>
      <x v="25"/>
      <x v="5"/>
    </i>
    <i>
      <x v="26"/>
      <x v="21"/>
    </i>
    <i>
      <x v="27"/>
      <x v="35"/>
    </i>
    <i>
      <x v="28"/>
      <x v="38"/>
    </i>
    <i>
      <x v="29"/>
      <x v="42"/>
    </i>
    <i>
      <x v="30"/>
      <x v="4"/>
    </i>
    <i>
      <x v="31"/>
      <x v="28"/>
    </i>
    <i>
      <x v="32"/>
      <x v="34"/>
    </i>
    <i>
      <x v="33"/>
      <x v="10"/>
    </i>
    <i>
      <x v="34"/>
      <x v="18"/>
    </i>
    <i>
      <x v="35"/>
      <x v="14"/>
    </i>
    <i>
      <x v="36"/>
      <x v="46"/>
    </i>
    <i>
      <x v="37"/>
      <x v="6"/>
    </i>
    <i>
      <x v="38"/>
      <x v="40"/>
    </i>
    <i>
      <x v="39"/>
      <x v="20"/>
    </i>
    <i>
      <x v="40"/>
      <x v="30"/>
    </i>
    <i>
      <x v="41"/>
      <x v="44"/>
    </i>
    <i>
      <x v="42"/>
      <x v="8"/>
    </i>
    <i>
      <x v="43"/>
      <x v="2"/>
    </i>
    <i>
      <x v="44"/>
      <x v="23"/>
    </i>
    <i>
      <x v="45"/>
      <x v="45"/>
    </i>
  </rowItems>
  <colFields count="1">
    <field x="2"/>
  </colFields>
  <colItems count="2">
    <i>
      <x v="1"/>
    </i>
    <i>
      <x v="2"/>
    </i>
  </colItems>
  <pageFields count="1">
    <pageField fld="0" hier="0"/>
  </pageFields>
  <dataFields count="1">
    <dataField name="Sum of pauweight" fld="8" baseField="4" baseItem="9"/>
  </dataFields>
  <formats count="2">
    <format dxfId="11">
      <pivotArea outline="0" fieldPosition="0"/>
    </format>
    <format dxfId="1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outline="1" outlineData="1" multipleFieldFilters="0">
  <location ref="A3:D54" firstHeaderRow="0" firstDataRow="1" firstDataCol="1" rowPageCount="1" colPageCount="1"/>
  <pivotFields count="30">
    <pivotField axis="axisPage" numFmtId="1" showAll="0">
      <items count="54">
        <item x="0"/>
        <item x="1"/>
        <item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h="1" x="47"/>
        <item h="1" x="48"/>
        <item h="1" x="49"/>
        <item h="1" x="50"/>
        <item h="1" x="51"/>
        <item x="52"/>
        <item t="default"/>
      </items>
    </pivotField>
    <pivotField axis="axisRow" showAll="0">
      <items count="51">
        <item x="18"/>
        <item x="43"/>
        <item x="11"/>
        <item x="30"/>
        <item x="25"/>
        <item x="37"/>
        <item x="42"/>
        <item x="4"/>
        <item x="14"/>
        <item x="33"/>
        <item x="46"/>
        <item x="3"/>
        <item x="49"/>
        <item x="35"/>
        <item x="22"/>
        <item x="7"/>
        <item x="38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7"/>
        <item x="2"/>
        <item x="40"/>
        <item x="10"/>
        <item x="9"/>
        <item x="17"/>
        <item x="32"/>
        <item x="27"/>
        <item x="5"/>
        <item x="29"/>
        <item x="41"/>
        <item x="23"/>
        <item x="8"/>
        <item x="28"/>
        <item x="45"/>
        <item x="36"/>
        <item x="24"/>
        <item x="48"/>
        <item x="1"/>
        <item x="13"/>
        <item x="20"/>
        <item t="default"/>
      </items>
    </pivotField>
    <pivotField axis="axisRow" showAll="0" defaultSubtotal="0">
      <items count="5">
        <item x="4"/>
        <item x="0"/>
        <item x="2"/>
        <item x="1"/>
        <item x="3"/>
      </items>
    </pivotField>
    <pivotField numFmtId="164" showAll="0"/>
    <pivotField showAll="0"/>
    <pivotField numFmtId="164" showAll="0"/>
    <pivotField numFmtId="164" showAll="0"/>
    <pivotField numFmtId="164" showAll="0"/>
    <pivotField numFmtId="171" showAll="0"/>
    <pivotField numFmtId="164" showAll="0"/>
    <pivotField numFmtId="164" showAll="0"/>
    <pivotField numFmtId="164" showAll="0"/>
    <pivotField numFmtId="169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71" showAll="0"/>
    <pivotField dataField="1" numFmtId="164" showAll="0"/>
    <pivotField dataField="1" numFmtId="164" showAll="0"/>
    <pivotField dataField="1" numFmtId="10" showAll="0"/>
    <pivotField numFmtId="171" showAll="0"/>
    <pivotField numFmtId="171" showAll="0"/>
    <pivotField numFmtId="164" showAll="0"/>
    <pivotField numFmtId="164" showAll="0"/>
  </pivotFields>
  <rowFields count="2">
    <field x="2"/>
    <field x="1"/>
  </rowFields>
  <rowItems count="51">
    <i>
      <x/>
    </i>
    <i r="1">
      <x v="9"/>
    </i>
    <i r="1">
      <x v="12"/>
    </i>
    <i r="1">
      <x v="18"/>
    </i>
    <i r="1">
      <x v="19"/>
    </i>
    <i r="1">
      <x v="33"/>
    </i>
    <i r="1">
      <x v="34"/>
    </i>
    <i r="1">
      <x v="35"/>
    </i>
    <i r="1">
      <x v="39"/>
    </i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3"/>
    </i>
    <i r="1">
      <x v="21"/>
    </i>
    <i r="1">
      <x v="22"/>
    </i>
    <i r="1">
      <x v="23"/>
    </i>
    <i r="1">
      <x v="26"/>
    </i>
    <i r="1">
      <x v="27"/>
    </i>
    <i r="1">
      <x v="28"/>
    </i>
    <i r="1">
      <x v="31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8"/>
    </i>
    <i r="1">
      <x v="49"/>
    </i>
    <i>
      <x v="2"/>
    </i>
    <i r="1">
      <x v="14"/>
    </i>
    <i r="1">
      <x v="20"/>
    </i>
    <i r="1">
      <x v="24"/>
    </i>
    <i r="1">
      <x v="25"/>
    </i>
    <i r="1">
      <x v="30"/>
    </i>
    <i r="1">
      <x v="32"/>
    </i>
    <i r="1">
      <x v="38"/>
    </i>
    <i>
      <x v="3"/>
    </i>
    <i r="1">
      <x v="15"/>
    </i>
    <i r="1">
      <x v="47"/>
    </i>
    <i>
      <x v="4"/>
    </i>
    <i r="1">
      <x v="2"/>
    </i>
    <i r="1">
      <x v="16"/>
    </i>
    <i r="1">
      <x v="1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TOTAL PERMANENT ICC REVENUE" fld="24" baseField="0" baseItem="0" numFmtId="164"/>
    <dataField name="Sum of TOTAL ECMAD APPROVED ICC  REVENUE " fld="23" baseField="0" baseItem="0" numFmtId="164"/>
    <dataField name="Sum of % OVER/UNDER  TOTAL PERMANENT REVENUE" fld="25" baseField="0" baseItem="0" numFmtId="10"/>
  </dataFields>
  <formats count="4">
    <format dxfId="77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7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5" indent="0" compact="0" compactData="0" multipleFieldFilters="0">
  <location ref="A4:E47" firstHeaderRow="0" firstDataRow="1" firstDataCol="2" rowPageCount="1" colPageCount="1"/>
  <pivotFields count="26">
    <pivotField axis="axisPage" compact="0" numFmtId="1" outline="0" showAll="0" sortType="ascending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h="1" x="47"/>
        <item h="1" x="48"/>
        <item h="1" x="49"/>
        <item h="1" x="50"/>
        <item h="1" x="51"/>
        <item m="1" x="5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descending" defaultSubtotal="0">
      <items count="50">
        <item x="18"/>
        <item x="43"/>
        <item x="11"/>
        <item x="30"/>
        <item x="25"/>
        <item x="37"/>
        <item x="42"/>
        <item x="4"/>
        <item x="14"/>
        <item x="33"/>
        <item x="46"/>
        <item x="3"/>
        <item m="1" x="49"/>
        <item x="35"/>
        <item x="22"/>
        <item x="7"/>
        <item x="38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7"/>
        <item x="2"/>
        <item x="40"/>
        <item x="10"/>
        <item x="9"/>
        <item x="17"/>
        <item x="32"/>
        <item x="27"/>
        <item x="5"/>
        <item x="29"/>
        <item x="41"/>
        <item x="23"/>
        <item x="8"/>
        <item x="28"/>
        <item x="45"/>
        <item x="36"/>
        <item x="24"/>
        <item x="48"/>
        <item x="1"/>
        <item x="13"/>
        <item x="20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defaultSubtotal="0">
      <items count="5">
        <item x="0"/>
        <item m="1" x="3"/>
        <item m="1" x="4"/>
        <item x="1"/>
        <item h="1" x="2"/>
      </items>
    </pivotField>
    <pivotField compact="0" numFmtId="164" outline="0" showAll="0"/>
    <pivotField compact="0" outline="0" showAll="0"/>
    <pivotField compact="0" numFmtId="164" outline="0" showAll="0"/>
    <pivotField compact="0" numFmtId="164" outline="0" showAll="0"/>
    <pivotField compact="0" numFmtId="171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9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numFmtId="164" outline="0" showAll="0"/>
    <pivotField compact="0" numFmtId="164" outline="0" showAll="0"/>
    <pivotField compact="0" outline="0" showAll="0"/>
    <pivotField compact="0" numFmtId="171" outline="0" showAll="0"/>
    <pivotField dataField="1" compact="0" numFmtId="164" outline="0" showAll="0"/>
    <pivotField dataField="1" compact="0" numFmtId="164" outline="0" showAll="0"/>
    <pivotField dataField="1" compact="0" numFmtId="10" outline="0" showAll="0"/>
  </pivotFields>
  <rowFields count="2">
    <field x="2"/>
    <field x="1"/>
  </rowFields>
  <rowItems count="43">
    <i>
      <x/>
      <x v="8"/>
    </i>
    <i r="1">
      <x v="28"/>
    </i>
    <i r="1">
      <x v="26"/>
    </i>
    <i r="1">
      <x v="23"/>
    </i>
    <i r="1">
      <x v="20"/>
    </i>
    <i r="1">
      <x v="11"/>
    </i>
    <i r="1">
      <x v="18"/>
    </i>
    <i r="1">
      <x v="1"/>
    </i>
    <i r="1">
      <x v="13"/>
    </i>
    <i r="1">
      <x v="36"/>
    </i>
    <i r="1">
      <x v="10"/>
    </i>
    <i r="1">
      <x v="44"/>
    </i>
    <i r="1">
      <x v="49"/>
    </i>
    <i r="1">
      <x v="19"/>
    </i>
    <i r="1">
      <x v="35"/>
    </i>
    <i r="1">
      <x v="24"/>
    </i>
    <i r="1">
      <x v="37"/>
    </i>
    <i r="1">
      <x v="43"/>
    </i>
    <i r="1">
      <x v="9"/>
    </i>
    <i r="1">
      <x v="5"/>
    </i>
    <i r="1">
      <x v="33"/>
    </i>
    <i r="1">
      <x v="21"/>
    </i>
    <i r="1">
      <x/>
    </i>
    <i r="1">
      <x v="22"/>
    </i>
    <i r="1">
      <x v="7"/>
    </i>
    <i r="1">
      <x v="6"/>
    </i>
    <i r="1">
      <x v="25"/>
    </i>
    <i r="1">
      <x v="27"/>
    </i>
    <i r="1">
      <x v="34"/>
    </i>
    <i r="1">
      <x v="31"/>
    </i>
    <i r="1">
      <x v="4"/>
    </i>
    <i r="1">
      <x v="48"/>
    </i>
    <i r="1">
      <x v="14"/>
    </i>
    <i r="1">
      <x v="3"/>
    </i>
    <i r="1">
      <x v="45"/>
    </i>
    <i r="1">
      <x v="38"/>
    </i>
    <i r="1">
      <x v="42"/>
    </i>
    <i r="1">
      <x v="30"/>
    </i>
    <i r="1">
      <x v="32"/>
    </i>
    <i r="1">
      <x v="39"/>
    </i>
    <i r="1">
      <x v="40"/>
    </i>
    <i>
      <x v="3"/>
      <x v="47"/>
    </i>
    <i r="1">
      <x v="15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TOTAL PERMANENT ICC REVENUE" fld="24" baseField="0" baseItem="0" numFmtId="164"/>
    <dataField name="Sum of TOTAL ECMAD APPROVED ICC  REVENUE " fld="23" baseField="0" baseItem="0" numFmtId="164"/>
    <dataField name="Sum of % OVER/UNDER  TOTAL PERMANENT REVENUE" fld="25" baseField="0" baseItem="0" numFmtId="10"/>
  </dataFields>
  <formats count="47">
    <format dxfId="73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72">
      <pivotArea dataOnly="0" labelOnly="1" outline="0" fieldPosition="0">
        <references count="1">
          <reference field="0" count="0"/>
        </references>
      </pivotArea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8">
      <pivotArea field="0" type="button" dataOnly="0" labelOnly="1" outline="0" axis="axisPage" fieldPosition="0"/>
    </format>
    <format dxfId="67">
      <pivotArea dataOnly="0" labelOnly="1" outline="0" fieldPosition="0">
        <references count="3">
          <reference field="0" count="1">
            <x v="23"/>
          </reference>
          <reference field="1" count="1" selected="0">
            <x v="40"/>
          </reference>
          <reference field="2" count="1" selected="0">
            <x v="0"/>
          </reference>
        </references>
      </pivotArea>
    </format>
    <format dxfId="66">
      <pivotArea dataOnly="0" labelOnly="1" outline="0" fieldPosition="0">
        <references count="3">
          <reference field="0" count="1">
            <x v="41"/>
          </reference>
          <reference field="1" count="1" selected="0">
            <x v="39"/>
          </reference>
          <reference field="2" count="1" selected="0">
            <x v="0"/>
          </reference>
        </references>
      </pivotArea>
    </format>
    <format dxfId="65">
      <pivotArea dataOnly="0" labelOnly="1" outline="0" fieldPosition="0">
        <references count="3">
          <reference field="0" count="1">
            <x v="10"/>
          </reference>
          <reference field="1" count="1" selected="0">
            <x v="32"/>
          </reference>
          <reference field="2" count="1" selected="0">
            <x v="0"/>
          </reference>
        </references>
      </pivotArea>
    </format>
    <format dxfId="64">
      <pivotArea dataOnly="0" labelOnly="1" outline="0" fieldPosition="0">
        <references count="3">
          <reference field="0" count="1">
            <x v="28"/>
          </reference>
          <reference field="1" count="1" selected="0">
            <x v="42"/>
          </reference>
          <reference field="2" count="1" selected="0">
            <x v="0"/>
          </reference>
        </references>
      </pivotArea>
    </format>
    <format dxfId="63">
      <pivotArea dataOnly="0" labelOnly="1" outline="0" fieldPosition="0">
        <references count="3">
          <reference field="0" count="1">
            <x v="25"/>
          </reference>
          <reference field="1" count="1" selected="0">
            <x v="4"/>
          </reference>
          <reference field="2" count="1" selected="0">
            <x v="0"/>
          </reference>
        </references>
      </pivotArea>
    </format>
    <format dxfId="62">
      <pivotArea dataOnly="0" labelOnly="1" outline="0" fieldPosition="0">
        <references count="3">
          <reference field="0" count="1">
            <x v="30"/>
          </reference>
          <reference field="1" count="1" selected="0">
            <x v="3"/>
          </reference>
          <reference field="2" count="1" selected="0">
            <x v="0"/>
          </reference>
        </references>
      </pivotArea>
    </format>
    <format dxfId="61">
      <pivotArea dataOnly="0" labelOnly="1" outline="0" fieldPosition="0">
        <references count="3">
          <reference field="0" count="1">
            <x v="4"/>
          </reference>
          <reference field="1" count="1" selected="0">
            <x v="7"/>
          </reference>
          <reference field="2" count="1" selected="0">
            <x v="0"/>
          </reference>
        </references>
      </pivotArea>
    </format>
    <format dxfId="60">
      <pivotArea dataOnly="0" labelOnly="1" outline="0" fieldPosition="0">
        <references count="3">
          <reference field="0" count="1">
            <x v="15"/>
          </reference>
          <reference field="1" count="1" selected="0">
            <x v="21"/>
          </reference>
          <reference field="2" count="1" selected="0">
            <x v="0"/>
          </reference>
        </references>
      </pivotArea>
    </format>
    <format dxfId="59">
      <pivotArea dataOnly="0" labelOnly="1" outline="0" fieldPosition="0">
        <references count="3">
          <reference field="0" count="1">
            <x v="18"/>
          </reference>
          <reference field="1" count="1" selected="0">
            <x v="0"/>
          </reference>
          <reference field="2" count="1" selected="0">
            <x v="0"/>
          </reference>
        </references>
      </pivotArea>
    </format>
    <format dxfId="58">
      <pivotArea dataOnly="0" labelOnly="1" outline="0" fieldPosition="0">
        <references count="3">
          <reference field="0" count="1">
            <x v="24"/>
          </reference>
          <reference field="1" count="1" selected="0">
            <x v="45"/>
          </reference>
          <reference field="2" count="1" selected="0">
            <x v="0"/>
          </reference>
        </references>
      </pivotArea>
    </format>
    <format dxfId="57">
      <pivotArea dataOnly="0" labelOnly="1" outline="0" fieldPosition="0">
        <references count="3">
          <reference field="0" count="1">
            <x v="45"/>
          </reference>
          <reference field="1" count="1" selected="0">
            <x v="43"/>
          </reference>
          <reference field="2" count="1" selected="0">
            <x v="0"/>
          </reference>
        </references>
      </pivotArea>
    </format>
    <format dxfId="56">
      <pivotArea dataOnly="0" labelOnly="1" outline="0" fieldPosition="0">
        <references count="3">
          <reference field="0" count="1">
            <x v="33"/>
          </reference>
          <reference field="1" count="1" selected="0">
            <x v="9"/>
          </reference>
          <reference field="2" count="1" selected="0">
            <x v="0"/>
          </reference>
        </references>
      </pivotArea>
    </format>
    <format dxfId="55">
      <pivotArea dataOnly="0" labelOnly="1" outline="0" fieldPosition="0">
        <references count="3">
          <reference field="0" count="1">
            <x v="40"/>
          </reference>
          <reference field="1" count="1" selected="0">
            <x v="31"/>
          </reference>
          <reference field="2" count="1" selected="0">
            <x v="0"/>
          </reference>
        </references>
      </pivotArea>
    </format>
    <format dxfId="54">
      <pivotArea dataOnly="0" labelOnly="1" outline="0" fieldPosition="0">
        <references count="3">
          <reference field="0" count="1">
            <x v="31"/>
          </reference>
          <reference field="1" count="1" selected="0">
            <x v="27"/>
          </reference>
          <reference field="2" count="1" selected="0">
            <x v="0"/>
          </reference>
        </references>
      </pivotArea>
    </format>
    <format dxfId="53">
      <pivotArea dataOnly="0" labelOnly="1" outline="0" fieldPosition="0">
        <references count="3">
          <reference field="0" count="1">
            <x v="17"/>
          </reference>
          <reference field="1" count="1" selected="0">
            <x v="34"/>
          </reference>
          <reference field="2" count="1" selected="0">
            <x v="0"/>
          </reference>
        </references>
      </pivotArea>
    </format>
    <format dxfId="52">
      <pivotArea dataOnly="0" labelOnly="1" outline="0" fieldPosition="0">
        <references count="3">
          <reference field="0" count="1">
            <x v="42"/>
          </reference>
          <reference field="1" count="1" selected="0">
            <x v="6"/>
          </reference>
          <reference field="2" count="1" selected="0">
            <x v="0"/>
          </reference>
        </references>
      </pivotArea>
    </format>
    <format dxfId="51">
      <pivotArea dataOnly="0" labelOnly="1" outline="0" fieldPosition="0">
        <references count="3">
          <reference field="0" count="1">
            <x v="19"/>
          </reference>
          <reference field="1" count="1" selected="0">
            <x v="24"/>
          </reference>
          <reference field="2" count="1" selected="0">
            <x v="0"/>
          </reference>
        </references>
      </pivotArea>
    </format>
    <format dxfId="50">
      <pivotArea dataOnly="0" labelOnly="1" outline="0" fieldPosition="0">
        <references count="3">
          <reference field="0" count="1">
            <x v="6"/>
          </reference>
          <reference field="1" count="1" selected="0">
            <x v="25"/>
          </reference>
          <reference field="2" count="1" selected="0">
            <x v="0"/>
          </reference>
        </references>
      </pivotArea>
    </format>
    <format dxfId="49">
      <pivotArea dataOnly="0" labelOnly="1" outline="0" fieldPosition="0">
        <references count="3">
          <reference field="0" count="1">
            <x v="9"/>
          </reference>
          <reference field="1" count="1" selected="0">
            <x v="33"/>
          </reference>
          <reference field="2" count="1" selected="0">
            <x v="0"/>
          </reference>
        </references>
      </pivotArea>
    </format>
    <format dxfId="48">
      <pivotArea dataOnly="0" labelOnly="1" outline="0" fieldPosition="0">
        <references count="3">
          <reference field="0" count="1">
            <x v="5"/>
          </reference>
          <reference field="1" count="1" selected="0">
            <x v="37"/>
          </reference>
          <reference field="2" count="1" selected="0">
            <x v="0"/>
          </reference>
        </references>
      </pivotArea>
    </format>
    <format dxfId="47">
      <pivotArea dataOnly="0" labelOnly="1" outline="0" fieldPosition="0">
        <references count="3">
          <reference field="0" count="1">
            <x v="22"/>
          </reference>
          <reference field="1" count="1" selected="0">
            <x v="14"/>
          </reference>
          <reference field="2" count="1" selected="0">
            <x v="0"/>
          </reference>
        </references>
      </pivotArea>
    </format>
    <format dxfId="46">
      <pivotArea dataOnly="0" labelOnly="1" outline="0" fieldPosition="0">
        <references count="3">
          <reference field="0" count="1">
            <x v="29"/>
          </reference>
          <reference field="1" count="1" selected="0">
            <x v="38"/>
          </reference>
          <reference field="2" count="1" selected="0">
            <x v="0"/>
          </reference>
        </references>
      </pivotArea>
    </format>
    <format dxfId="45">
      <pivotArea dataOnly="0" labelOnly="1" outline="0" fieldPosition="0">
        <references count="3">
          <reference field="0" count="1">
            <x v="2"/>
          </reference>
          <reference field="1" count="1" selected="0">
            <x v="30"/>
          </reference>
          <reference field="2" count="1" selected="0">
            <x v="0"/>
          </reference>
        </references>
      </pivotArea>
    </format>
    <format dxfId="44">
      <pivotArea dataOnly="0" labelOnly="1" outline="0" fieldPosition="0">
        <references count="3">
          <reference field="0" count="1">
            <x v="37"/>
          </reference>
          <reference field="1" count="1" selected="0">
            <x v="5"/>
          </reference>
          <reference field="2" count="1" selected="0">
            <x v="0"/>
          </reference>
        </references>
      </pivotArea>
    </format>
    <format dxfId="43">
      <pivotArea dataOnly="0" labelOnly="1" outline="0" fieldPosition="0">
        <references count="3">
          <reference field="0" count="1">
            <x v="36"/>
          </reference>
          <reference field="1" count="1" selected="0">
            <x v="44"/>
          </reference>
          <reference field="2" count="1" selected="0">
            <x v="0"/>
          </reference>
        </references>
      </pivotArea>
    </format>
    <format dxfId="42">
      <pivotArea dataOnly="0" labelOnly="1" outline="0" fieldPosition="0">
        <references count="3">
          <reference field="0" count="1">
            <x v="20"/>
          </reference>
          <reference field="1" count="1" selected="0">
            <x v="49"/>
          </reference>
          <reference field="2" count="1" selected="0">
            <x v="0"/>
          </reference>
        </references>
      </pivotArea>
    </format>
    <format dxfId="41">
      <pivotArea dataOnly="0" labelOnly="1" outline="0" fieldPosition="0">
        <references count="3">
          <reference field="0" count="1">
            <x v="44"/>
          </reference>
          <reference field="1" count="1" selected="0">
            <x v="22"/>
          </reference>
          <reference field="2" count="1" selected="0">
            <x v="0"/>
          </reference>
        </references>
      </pivotArea>
    </format>
    <format dxfId="40">
      <pivotArea dataOnly="0" labelOnly="1" outline="0" fieldPosition="0">
        <references count="3">
          <reference field="0" count="1">
            <x v="43"/>
          </reference>
          <reference field="1" count="1" selected="0">
            <x v="1"/>
          </reference>
          <reference field="2" count="1" selected="0">
            <x v="0"/>
          </reference>
        </references>
      </pivotArea>
    </format>
    <format dxfId="39">
      <pivotArea dataOnly="0" labelOnly="1" outline="0" fieldPosition="0">
        <references count="3">
          <reference field="0" count="1">
            <x v="13"/>
          </reference>
          <reference field="1" count="1" selected="0">
            <x v="48"/>
          </reference>
          <reference field="2" count="1" selected="0">
            <x v="0"/>
          </reference>
        </references>
      </pivotArea>
    </format>
    <format dxfId="38">
      <pivotArea dataOnly="0" labelOnly="1" outline="0" fieldPosition="0">
        <references count="3">
          <reference field="0" count="1">
            <x v="39"/>
          </reference>
          <reference field="1" count="1" selected="0">
            <x v="19"/>
          </reference>
          <reference field="2" count="1" selected="0">
            <x v="0"/>
          </reference>
        </references>
      </pivotArea>
    </format>
    <format dxfId="37">
      <pivotArea dataOnly="0" labelOnly="1" outline="0" fieldPosition="0">
        <references count="3">
          <reference field="0" count="1">
            <x v="16"/>
          </reference>
          <reference field="1" count="1" selected="0">
            <x v="28"/>
          </reference>
          <reference field="2" count="1" selected="0">
            <x v="0"/>
          </reference>
        </references>
      </pivotArea>
    </format>
    <format dxfId="36">
      <pivotArea dataOnly="0" labelOnly="1" outline="0" fieldPosition="0">
        <references count="3">
          <reference field="0" count="1">
            <x v="27"/>
          </reference>
          <reference field="1" count="1" selected="0">
            <x v="36"/>
          </reference>
          <reference field="2" count="1" selected="0">
            <x v="0"/>
          </reference>
        </references>
      </pivotArea>
    </format>
    <format dxfId="35">
      <pivotArea dataOnly="0" labelOnly="1" outline="0" fieldPosition="0">
        <references count="3">
          <reference field="0" count="1">
            <x v="26"/>
          </reference>
          <reference field="1" count="1" selected="0">
            <x v="20"/>
          </reference>
          <reference field="2" count="1" selected="0">
            <x v="0"/>
          </reference>
        </references>
      </pivotArea>
    </format>
    <format dxfId="34">
      <pivotArea dataOnly="0" labelOnly="1" outline="0" fieldPosition="0">
        <references count="3">
          <reference field="0" count="1">
            <x v="32"/>
          </reference>
          <reference field="1" count="1" selected="0">
            <x v="35"/>
          </reference>
          <reference field="2" count="1" selected="0">
            <x v="0"/>
          </reference>
        </references>
      </pivotArea>
    </format>
    <format dxfId="33">
      <pivotArea dataOnly="0" labelOnly="1" outline="0" fieldPosition="0">
        <references count="3">
          <reference field="0" count="1">
            <x v="0"/>
          </reference>
          <reference field="1" count="1" selected="0">
            <x v="26"/>
          </reference>
          <reference field="2" count="1" selected="0">
            <x v="0"/>
          </reference>
        </references>
      </pivotArea>
    </format>
    <format dxfId="32">
      <pivotArea dataOnly="0" labelOnly="1" outline="0" fieldPosition="0">
        <references count="3">
          <reference field="0" count="1">
            <x v="12"/>
          </reference>
          <reference field="1" count="1" selected="0">
            <x v="18"/>
          </reference>
          <reference field="2" count="1" selected="0">
            <x v="0"/>
          </reference>
        </references>
      </pivotArea>
    </format>
    <format dxfId="31">
      <pivotArea dataOnly="0" labelOnly="1" outline="0" fieldPosition="0">
        <references count="3">
          <reference field="0" count="1">
            <x v="21"/>
          </reference>
          <reference field="1" count="1" selected="0">
            <x v="23"/>
          </reference>
          <reference field="2" count="1" selected="0">
            <x v="0"/>
          </reference>
        </references>
      </pivotArea>
    </format>
    <format dxfId="30">
      <pivotArea dataOnly="0" labelOnly="1" outline="0" fieldPosition="0">
        <references count="3">
          <reference field="0" count="1">
            <x v="35"/>
          </reference>
          <reference field="1" count="1" selected="0">
            <x v="13"/>
          </reference>
          <reference field="2" count="1" selected="0">
            <x v="0"/>
          </reference>
        </references>
      </pivotArea>
    </format>
    <format dxfId="29">
      <pivotArea dataOnly="0" labelOnly="1" outline="0" fieldPosition="0">
        <references count="3">
          <reference field="0" count="1">
            <x v="14"/>
          </reference>
          <reference field="1" count="1" selected="0">
            <x v="8"/>
          </reference>
          <reference field="2" count="1" selected="0">
            <x v="0"/>
          </reference>
        </references>
      </pivotArea>
    </format>
    <format dxfId="28">
      <pivotArea dataOnly="0" labelOnly="1" outline="0" fieldPosition="0">
        <references count="3">
          <reference field="0" count="1">
            <x v="7"/>
          </reference>
          <reference field="1" count="1" selected="0">
            <x v="15"/>
          </reference>
          <reference field="2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0" count="1">
            <x v="1"/>
          </reference>
          <reference field="1" count="1" selected="0">
            <x v="47"/>
          </reference>
          <reference field="2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outline="1" outlineData="1" multipleFieldFilters="0">
  <location ref="A3:D54" firstHeaderRow="0" firstDataRow="1" firstDataCol="1" rowPageCount="1" colPageCount="1"/>
  <pivotFields count="30">
    <pivotField axis="axisPage" numFmtId="1" showAll="0">
      <items count="54">
        <item x="0"/>
        <item x="1"/>
        <item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h="1" x="47"/>
        <item h="1" x="48"/>
        <item h="1" x="49"/>
        <item h="1" x="50"/>
        <item h="1" x="51"/>
        <item x="52"/>
        <item t="default"/>
      </items>
    </pivotField>
    <pivotField axis="axisRow" showAll="0">
      <items count="51">
        <item x="18"/>
        <item x="43"/>
        <item x="11"/>
        <item x="30"/>
        <item x="25"/>
        <item x="37"/>
        <item x="42"/>
        <item x="4"/>
        <item x="14"/>
        <item x="33"/>
        <item x="46"/>
        <item x="3"/>
        <item x="49"/>
        <item x="35"/>
        <item x="22"/>
        <item x="7"/>
        <item x="38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7"/>
        <item x="2"/>
        <item x="40"/>
        <item x="10"/>
        <item x="9"/>
        <item x="17"/>
        <item x="32"/>
        <item x="27"/>
        <item x="5"/>
        <item x="29"/>
        <item x="41"/>
        <item x="23"/>
        <item x="8"/>
        <item x="28"/>
        <item x="45"/>
        <item x="36"/>
        <item x="24"/>
        <item x="48"/>
        <item x="1"/>
        <item x="13"/>
        <item x="20"/>
        <item t="default"/>
      </items>
    </pivotField>
    <pivotField axis="axisRow" showAll="0" defaultSubtotal="0">
      <items count="5">
        <item x="4"/>
        <item x="0"/>
        <item x="2"/>
        <item x="1"/>
        <item x="3"/>
      </items>
    </pivotField>
    <pivotField numFmtId="164" showAll="0"/>
    <pivotField showAll="0"/>
    <pivotField numFmtId="164" showAll="0"/>
    <pivotField numFmtId="164" showAll="0"/>
    <pivotField numFmtId="164" showAll="0"/>
    <pivotField numFmtId="171" showAll="0"/>
    <pivotField numFmtId="164" showAll="0"/>
    <pivotField numFmtId="164" showAll="0"/>
    <pivotField numFmtId="164" showAll="0"/>
    <pivotField numFmtId="169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71" showAll="0"/>
    <pivotField dataField="1" numFmtId="164" showAll="0"/>
    <pivotField dataField="1" numFmtId="164" showAll="0"/>
    <pivotField dataField="1" numFmtId="10" showAll="0"/>
    <pivotField numFmtId="171" showAll="0"/>
    <pivotField numFmtId="171" showAll="0"/>
    <pivotField numFmtId="164" showAll="0"/>
    <pivotField numFmtId="164" showAll="0"/>
  </pivotFields>
  <rowFields count="2">
    <field x="2"/>
    <field x="1"/>
  </rowFields>
  <rowItems count="51">
    <i>
      <x/>
    </i>
    <i r="1">
      <x v="9"/>
    </i>
    <i r="1">
      <x v="12"/>
    </i>
    <i r="1">
      <x v="18"/>
    </i>
    <i r="1">
      <x v="19"/>
    </i>
    <i r="1">
      <x v="33"/>
    </i>
    <i r="1">
      <x v="34"/>
    </i>
    <i r="1">
      <x v="35"/>
    </i>
    <i r="1">
      <x v="39"/>
    </i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3"/>
    </i>
    <i r="1">
      <x v="21"/>
    </i>
    <i r="1">
      <x v="22"/>
    </i>
    <i r="1">
      <x v="23"/>
    </i>
    <i r="1">
      <x v="26"/>
    </i>
    <i r="1">
      <x v="27"/>
    </i>
    <i r="1">
      <x v="28"/>
    </i>
    <i r="1">
      <x v="31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8"/>
    </i>
    <i r="1">
      <x v="49"/>
    </i>
    <i>
      <x v="2"/>
    </i>
    <i r="1">
      <x v="14"/>
    </i>
    <i r="1">
      <x v="20"/>
    </i>
    <i r="1">
      <x v="24"/>
    </i>
    <i r="1">
      <x v="25"/>
    </i>
    <i r="1">
      <x v="30"/>
    </i>
    <i r="1">
      <x v="32"/>
    </i>
    <i r="1">
      <x v="38"/>
    </i>
    <i>
      <x v="3"/>
    </i>
    <i r="1">
      <x v="15"/>
    </i>
    <i r="1">
      <x v="47"/>
    </i>
    <i>
      <x v="4"/>
    </i>
    <i r="1">
      <x v="2"/>
    </i>
    <i r="1">
      <x v="16"/>
    </i>
    <i r="1">
      <x v="1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TOTAL PERMANENT ICC REVENUE" fld="24" baseField="0" baseItem="0" numFmtId="164"/>
    <dataField name="Sum of TOTAL ECMAD APPROVED ICC  REVENUE " fld="23" baseField="0" baseItem="0" numFmtId="164"/>
    <dataField name="Sum of % OVER/UNDER  TOTAL PERMANENT REVENUE" fld="25" baseField="0" baseItem="0" numFmtId="10"/>
  </dataFields>
  <formats count="5">
    <format dxfId="26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5">
      <pivotArea dataOnly="0" labelOnly="1" outline="0" fieldPosition="0">
        <references count="1">
          <reference field="0" count="0"/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PivotTable8" cacheId="2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outline="1" outlineData="1" multipleFieldFilters="0">
  <location ref="A3:D54" firstHeaderRow="0" firstDataRow="1" firstDataCol="1" rowPageCount="1" colPageCount="1"/>
  <pivotFields count="30">
    <pivotField axis="axisPage" numFmtId="1" showAll="0">
      <items count="54">
        <item x="0"/>
        <item x="1"/>
        <item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h="1" x="47"/>
        <item h="1" x="48"/>
        <item h="1" x="49"/>
        <item h="1" x="50"/>
        <item h="1" x="51"/>
        <item x="52"/>
        <item t="default"/>
      </items>
    </pivotField>
    <pivotField axis="axisRow" showAll="0">
      <items count="51">
        <item x="18"/>
        <item x="43"/>
        <item x="11"/>
        <item x="30"/>
        <item x="25"/>
        <item x="37"/>
        <item x="42"/>
        <item x="4"/>
        <item x="14"/>
        <item x="33"/>
        <item x="46"/>
        <item x="3"/>
        <item x="49"/>
        <item x="35"/>
        <item x="22"/>
        <item x="7"/>
        <item x="38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7"/>
        <item x="2"/>
        <item x="40"/>
        <item x="10"/>
        <item x="9"/>
        <item x="17"/>
        <item x="32"/>
        <item x="27"/>
        <item x="5"/>
        <item x="29"/>
        <item x="41"/>
        <item x="23"/>
        <item x="8"/>
        <item x="28"/>
        <item x="45"/>
        <item x="36"/>
        <item x="24"/>
        <item x="48"/>
        <item x="1"/>
        <item x="13"/>
        <item x="20"/>
        <item t="default"/>
      </items>
    </pivotField>
    <pivotField axis="axisRow" showAll="0" defaultSubtotal="0">
      <items count="5">
        <item x="4"/>
        <item x="0"/>
        <item x="2"/>
        <item x="1"/>
        <item x="3"/>
      </items>
    </pivotField>
    <pivotField numFmtId="164" showAll="0"/>
    <pivotField showAll="0"/>
    <pivotField numFmtId="164" showAll="0"/>
    <pivotField numFmtId="164" showAll="0"/>
    <pivotField numFmtId="164" showAll="0"/>
    <pivotField numFmtId="171" showAll="0"/>
    <pivotField numFmtId="164" showAll="0"/>
    <pivotField numFmtId="164" showAll="0"/>
    <pivotField numFmtId="164" showAll="0"/>
    <pivotField numFmtId="169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71" showAll="0"/>
    <pivotField dataField="1" numFmtId="164" showAll="0"/>
    <pivotField dataField="1" numFmtId="164" showAll="0"/>
    <pivotField dataField="1" numFmtId="10" showAll="0"/>
    <pivotField numFmtId="171" showAll="0"/>
    <pivotField numFmtId="171" showAll="0"/>
    <pivotField numFmtId="164" showAll="0"/>
    <pivotField numFmtId="164" showAll="0"/>
  </pivotFields>
  <rowFields count="2">
    <field x="2"/>
    <field x="1"/>
  </rowFields>
  <rowItems count="51">
    <i>
      <x/>
    </i>
    <i r="1">
      <x v="9"/>
    </i>
    <i r="1">
      <x v="12"/>
    </i>
    <i r="1">
      <x v="18"/>
    </i>
    <i r="1">
      <x v="19"/>
    </i>
    <i r="1">
      <x v="33"/>
    </i>
    <i r="1">
      <x v="34"/>
    </i>
    <i r="1">
      <x v="35"/>
    </i>
    <i r="1">
      <x v="39"/>
    </i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3"/>
    </i>
    <i r="1">
      <x v="21"/>
    </i>
    <i r="1">
      <x v="22"/>
    </i>
    <i r="1">
      <x v="23"/>
    </i>
    <i r="1">
      <x v="26"/>
    </i>
    <i r="1">
      <x v="27"/>
    </i>
    <i r="1">
      <x v="28"/>
    </i>
    <i r="1">
      <x v="31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8"/>
    </i>
    <i r="1">
      <x v="49"/>
    </i>
    <i>
      <x v="2"/>
    </i>
    <i r="1">
      <x v="14"/>
    </i>
    <i r="1">
      <x v="20"/>
    </i>
    <i r="1">
      <x v="24"/>
    </i>
    <i r="1">
      <x v="25"/>
    </i>
    <i r="1">
      <x v="30"/>
    </i>
    <i r="1">
      <x v="32"/>
    </i>
    <i r="1">
      <x v="38"/>
    </i>
    <i>
      <x v="3"/>
    </i>
    <i r="1">
      <x v="15"/>
    </i>
    <i r="1">
      <x v="47"/>
    </i>
    <i>
      <x v="4"/>
    </i>
    <i r="1">
      <x v="2"/>
    </i>
    <i r="1">
      <x v="16"/>
    </i>
    <i r="1">
      <x v="1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TOTAL PERMANENT ICC REVENUE" fld="24" baseField="0" baseItem="0" numFmtId="164"/>
    <dataField name="Sum of TOTAL ECMAD APPROVED ICC  REVENUE " fld="23" baseField="0" baseItem="0" numFmtId="164"/>
    <dataField name="Sum of % OVER/UNDER  TOTAL PERMANENT REVENUE" fld="25" baseField="0" baseItem="0" numFmtId="10"/>
  </dataFields>
  <formats count="5">
    <format dxfId="21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0">
      <pivotArea dataOnly="0" labelOnly="1" outline="0" fieldPosition="0">
        <references count="1">
          <reference field="0" count="0"/>
        </references>
      </pivotArea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PivotTable4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2:E50" firstHeaderRow="0" firstDataRow="1" firstDataCol="2" rowPageCount="2" colPageCount="1"/>
  <pivotFields count="34">
    <pivotField compact="0" outline="0" showAll="0"/>
    <pivotField axis="axisRow" compact="0" outline="0" showAll="0" defaultSubtotal="0">
      <items count="49">
        <item x="0"/>
        <item h="1" x="1"/>
        <item x="2"/>
        <item x="3"/>
        <item x="4"/>
        <item x="5"/>
        <item x="6"/>
        <item h="1"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howAll="0">
      <items count="45">
        <item x="16"/>
        <item x="37"/>
        <item x="11"/>
        <item x="27"/>
        <item x="22"/>
        <item x="33"/>
        <item x="4"/>
        <item x="13"/>
        <item x="30"/>
        <item x="41"/>
        <item x="3"/>
        <item x="31"/>
        <item x="19"/>
        <item x="7"/>
        <item x="34"/>
        <item x="40"/>
        <item x="12"/>
        <item x="35"/>
        <item x="23"/>
        <item x="14"/>
        <item x="38"/>
        <item x="18"/>
        <item x="17"/>
        <item x="6"/>
        <item x="0"/>
        <item x="28"/>
        <item x="2"/>
        <item x="43"/>
        <item x="10"/>
        <item x="9"/>
        <item x="15"/>
        <item x="29"/>
        <item x="24"/>
        <item x="20"/>
        <item x="8"/>
        <item x="25"/>
        <item x="5"/>
        <item x="1"/>
        <item x="26"/>
        <item x="36"/>
        <item x="39"/>
        <item x="32"/>
        <item x="21"/>
        <item x="42"/>
        <item t="default"/>
      </items>
    </pivotField>
    <pivotField axis="axisPage" compact="0" outline="0" showAll="0">
      <items count="3">
        <item x="0"/>
        <item h="1" x="1"/>
        <item t="default"/>
      </items>
    </pivotField>
    <pivotField compact="0" outline="0" showAll="0"/>
    <pivotField compact="0" outline="0" showAll="0"/>
    <pivotField axis="axisPage" compact="0" outline="0" showAll="0">
      <items count="57">
        <item x="48"/>
        <item x="8"/>
        <item x="42"/>
        <item x="12"/>
        <item x="43"/>
        <item x="6"/>
        <item x="24"/>
        <item x="22"/>
        <item x="23"/>
        <item x="2"/>
        <item x="29"/>
        <item x="52"/>
        <item x="31"/>
        <item x="5"/>
        <item x="46"/>
        <item x="45"/>
        <item x="10"/>
        <item x="28"/>
        <item x="9"/>
        <item x="41"/>
        <item x="37"/>
        <item x="0"/>
        <item x="3"/>
        <item x="17"/>
        <item x="26"/>
        <item x="4"/>
        <item x="14"/>
        <item x="38"/>
        <item x="21"/>
        <item x="32"/>
        <item x="27"/>
        <item x="34"/>
        <item x="7"/>
        <item x="39"/>
        <item x="20"/>
        <item x="25"/>
        <item x="47"/>
        <item x="16"/>
        <item x="44"/>
        <item x="40"/>
        <item x="1"/>
        <item x="49"/>
        <item x="50"/>
        <item x="51"/>
        <item x="30"/>
        <item x="11"/>
        <item x="13"/>
        <item x="18"/>
        <item x="33"/>
        <item x="15"/>
        <item x="36"/>
        <item x="54"/>
        <item x="35"/>
        <item h="1" x="19"/>
        <item x="53"/>
        <item h="1" x="5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</pivotFields>
  <rowFields count="2">
    <field x="1"/>
    <field x="2"/>
  </rowFields>
  <rowItems count="18">
    <i>
      <x/>
      <x v="24"/>
    </i>
    <i>
      <x v="2"/>
      <x v="26"/>
    </i>
    <i>
      <x v="3"/>
      <x v="10"/>
    </i>
    <i>
      <x v="6"/>
      <x v="23"/>
    </i>
    <i>
      <x v="9"/>
      <x v="29"/>
    </i>
    <i>
      <x v="10"/>
      <x v="28"/>
    </i>
    <i>
      <x v="12"/>
      <x v="16"/>
    </i>
    <i>
      <x v="15"/>
      <x v="30"/>
    </i>
    <i>
      <x v="16"/>
      <x/>
    </i>
    <i>
      <x v="17"/>
      <x v="22"/>
    </i>
    <i>
      <x v="19"/>
      <x v="12"/>
    </i>
    <i>
      <x v="23"/>
      <x v="18"/>
    </i>
    <i>
      <x v="26"/>
      <x v="38"/>
    </i>
    <i>
      <x v="29"/>
      <x v="31"/>
    </i>
    <i>
      <x v="30"/>
      <x v="8"/>
    </i>
    <i>
      <x v="35"/>
      <x v="17"/>
    </i>
    <i>
      <x v="36"/>
      <x v="3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hier="0"/>
    <pageField fld="6" hier="0"/>
  </pageFields>
  <dataFields count="3">
    <dataField name="Sum of P4_ADJWSF" fld="27" baseField="0" baseItem="0" numFmtId="171"/>
    <dataField name="Sum of P4_RESINTR_FTE" fld="30" baseField="0" baseItem="0"/>
    <dataField name="Sum of Cost per Resident" fld="33" baseField="0" baseItem="0"/>
  </dataFields>
  <formats count="2">
    <format dxfId="13">
      <pivotArea outline="0" collapsedLevelsAreSubtotals="1" fieldPosition="0"/>
    </format>
    <format dxfId="12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9"/>
          </reference>
          <reference field="2" count="1" selected="0">
            <x v="3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4:E24" firstHeaderRow="0" firstDataRow="1" firstDataCol="2" rowPageCount="2" colPageCount="1"/>
  <pivotFields count="34">
    <pivotField compact="0" outline="0" showAll="0"/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howAll="0">
      <items count="45">
        <item x="16"/>
        <item x="37"/>
        <item x="11"/>
        <item x="27"/>
        <item x="22"/>
        <item x="33"/>
        <item x="4"/>
        <item x="13"/>
        <item x="30"/>
        <item x="41"/>
        <item x="3"/>
        <item x="31"/>
        <item x="19"/>
        <item x="7"/>
        <item x="34"/>
        <item x="40"/>
        <item x="12"/>
        <item x="35"/>
        <item x="23"/>
        <item x="14"/>
        <item x="38"/>
        <item x="18"/>
        <item x="17"/>
        <item x="6"/>
        <item x="0"/>
        <item x="28"/>
        <item x="2"/>
        <item x="43"/>
        <item x="10"/>
        <item x="9"/>
        <item x="15"/>
        <item x="29"/>
        <item x="24"/>
        <item x="20"/>
        <item x="8"/>
        <item x="25"/>
        <item x="5"/>
        <item x="1"/>
        <item x="26"/>
        <item x="36"/>
        <item x="39"/>
        <item x="32"/>
        <item x="21"/>
        <item x="42"/>
        <item t="default"/>
      </items>
    </pivotField>
    <pivotField axis="axisPage" compact="0" outline="0" showAll="0">
      <items count="3">
        <item x="0"/>
        <item h="1" x="1"/>
        <item t="default"/>
      </items>
    </pivotField>
    <pivotField compact="0" outline="0" showAll="0"/>
    <pivotField compact="0" outline="0" showAll="0"/>
    <pivotField axis="axisPage" compact="0" outline="0" showAll="0">
      <items count="57">
        <item x="48"/>
        <item x="8"/>
        <item x="42"/>
        <item x="12"/>
        <item x="43"/>
        <item x="6"/>
        <item x="24"/>
        <item x="22"/>
        <item x="23"/>
        <item x="2"/>
        <item x="29"/>
        <item x="52"/>
        <item x="31"/>
        <item x="5"/>
        <item x="46"/>
        <item x="45"/>
        <item x="10"/>
        <item x="28"/>
        <item x="9"/>
        <item x="41"/>
        <item x="37"/>
        <item x="0"/>
        <item x="3"/>
        <item x="17"/>
        <item x="26"/>
        <item x="4"/>
        <item x="14"/>
        <item x="38"/>
        <item x="21"/>
        <item x="32"/>
        <item x="27"/>
        <item x="34"/>
        <item x="7"/>
        <item x="39"/>
        <item x="20"/>
        <item x="25"/>
        <item x="47"/>
        <item x="16"/>
        <item x="44"/>
        <item x="40"/>
        <item x="1"/>
        <item x="49"/>
        <item x="50"/>
        <item x="51"/>
        <item x="30"/>
        <item x="11"/>
        <item x="13"/>
        <item x="18"/>
        <item x="33"/>
        <item x="15"/>
        <item x="36"/>
        <item x="54"/>
        <item x="35"/>
        <item h="1" x="19"/>
        <item x="53"/>
        <item h="1" x="5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</pivotFields>
  <rowFields count="2">
    <field x="1"/>
    <field x="2"/>
  </rowFields>
  <rowItems count="20">
    <i>
      <x/>
      <x v="24"/>
    </i>
    <i>
      <x v="1"/>
      <x v="37"/>
    </i>
    <i>
      <x v="2"/>
      <x v="26"/>
    </i>
    <i>
      <x v="3"/>
      <x v="10"/>
    </i>
    <i>
      <x v="6"/>
      <x v="23"/>
    </i>
    <i>
      <x v="7"/>
      <x v="13"/>
    </i>
    <i>
      <x v="9"/>
      <x v="29"/>
    </i>
    <i>
      <x v="10"/>
      <x v="28"/>
    </i>
    <i>
      <x v="12"/>
      <x v="16"/>
    </i>
    <i>
      <x v="15"/>
      <x v="30"/>
    </i>
    <i>
      <x v="16"/>
      <x/>
    </i>
    <i>
      <x v="17"/>
      <x v="22"/>
    </i>
    <i>
      <x v="19"/>
      <x v="12"/>
    </i>
    <i>
      <x v="23"/>
      <x v="18"/>
    </i>
    <i>
      <x v="26"/>
      <x v="38"/>
    </i>
    <i>
      <x v="29"/>
      <x v="31"/>
    </i>
    <i>
      <x v="30"/>
      <x v="8"/>
    </i>
    <i>
      <x v="35"/>
      <x v="17"/>
    </i>
    <i>
      <x v="36"/>
      <x v="3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hier="0"/>
    <pageField fld="6" hier="0"/>
  </pageFields>
  <dataFields count="3">
    <dataField name="Sum of P4_ADJWSF" fld="27" baseField="0" baseItem="0" numFmtId="171"/>
    <dataField name="Sum of P4_RESINTR_FTE" fld="30" baseField="0" baseItem="0"/>
    <dataField name="Sum of Cost per Resident" fld="33" baseField="0" baseItem="0"/>
  </dataFields>
  <formats count="2">
    <format dxfId="15">
      <pivotArea outline="0" fieldPosition="0"/>
    </format>
    <format dxfId="14">
      <pivotArea outline="0" fieldPosition="0">
        <references count="3">
          <reference field="4294967294" count="1" selected="0">
            <x v="1"/>
          </reference>
          <reference field="1" count="19" selected="0">
            <x v="0"/>
            <x v="1"/>
            <x v="2"/>
            <x v="3"/>
            <x v="6"/>
            <x v="7"/>
            <x v="9"/>
            <x v="10"/>
            <x v="12"/>
            <x v="15"/>
            <x v="16"/>
            <x v="17"/>
            <x v="19"/>
            <x v="23"/>
            <x v="26"/>
            <x v="29"/>
            <x v="30"/>
            <x v="35"/>
            <x v="36"/>
          </reference>
          <reference field="2" count="19" selected="0">
            <x v="0"/>
            <x v="8"/>
            <x v="10"/>
            <x v="12"/>
            <x v="13"/>
            <x v="16"/>
            <x v="17"/>
            <x v="18"/>
            <x v="22"/>
            <x v="23"/>
            <x v="24"/>
            <x v="26"/>
            <x v="28"/>
            <x v="29"/>
            <x v="30"/>
            <x v="31"/>
            <x v="37"/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PivotTable18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>
  <location ref="Y4:AB52" firstHeaderRow="1" firstDataRow="2" firstDataCol="2" rowPageCount="1" colPageCount="1"/>
  <pivotFields count="13">
    <pivotField axis="axisPage" compact="0" outline="0" showAll="0">
      <items count="4">
        <item x="0"/>
        <item h="1" x="1"/>
        <item h="1" x="2"/>
        <item t="default"/>
      </items>
    </pivotField>
    <pivotField compact="0" outline="0" showAll="0"/>
    <pivotField axis="axisCol" compact="0" outline="0" showAll="0">
      <items count="10">
        <item h="1" x="1"/>
        <item h="1" x="3"/>
        <item h="1" x="5"/>
        <item h="1" x="0"/>
        <item h="1" x="2"/>
        <item x="4"/>
        <item x="6"/>
        <item h="1" x="7"/>
        <item h="1" x="8"/>
        <item t="default"/>
      </items>
    </pivotField>
    <pivotField compact="0" outline="0" showAll="0"/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x="47"/>
        <item x="48"/>
      </items>
    </pivotField>
    <pivotField axis="axisRow" compact="0" outline="0" showAll="0" defaultSubtotal="0">
      <items count="51">
        <item m="1" x="49"/>
        <item x="18"/>
        <item x="43"/>
        <item x="11"/>
        <item x="30"/>
        <item x="25"/>
        <item x="37"/>
        <item x="4"/>
        <item x="42"/>
        <item x="14"/>
        <item x="33"/>
        <item m="1" x="50"/>
        <item x="47"/>
        <item x="3"/>
        <item x="35"/>
        <item x="22"/>
        <item x="7"/>
        <item x="46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0"/>
        <item x="10"/>
        <item x="9"/>
        <item x="17"/>
        <item x="32"/>
        <item x="27"/>
        <item x="23"/>
        <item x="8"/>
        <item x="28"/>
        <item x="5"/>
        <item x="38"/>
        <item x="1"/>
        <item x="29"/>
        <item x="2"/>
        <item x="41"/>
        <item x="45"/>
        <item x="36"/>
        <item x="24"/>
        <item x="13"/>
        <item x="20"/>
        <item x="48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47">
    <i>
      <x/>
      <x v="27"/>
    </i>
    <i>
      <x v="1"/>
      <x v="41"/>
    </i>
    <i>
      <x v="2"/>
      <x v="43"/>
    </i>
    <i>
      <x v="3"/>
      <x v="13"/>
    </i>
    <i>
      <x v="4"/>
      <x v="7"/>
    </i>
    <i>
      <x v="5"/>
      <x v="39"/>
    </i>
    <i>
      <x v="6"/>
      <x v="26"/>
    </i>
    <i>
      <x v="7"/>
      <x v="16"/>
    </i>
    <i>
      <x v="8"/>
      <x v="37"/>
    </i>
    <i>
      <x v="9"/>
      <x v="32"/>
    </i>
    <i>
      <x v="10"/>
      <x v="31"/>
    </i>
    <i>
      <x v="11"/>
      <x v="3"/>
    </i>
    <i>
      <x v="12"/>
      <x v="19"/>
    </i>
    <i>
      <x v="13"/>
      <x v="48"/>
    </i>
    <i>
      <x v="14"/>
      <x v="9"/>
    </i>
    <i>
      <x v="15"/>
      <x v="22"/>
    </i>
    <i>
      <x v="16"/>
      <x v="29"/>
    </i>
    <i>
      <x v="17"/>
      <x v="33"/>
    </i>
    <i>
      <x v="18"/>
      <x v="1"/>
    </i>
    <i>
      <x v="19"/>
      <x v="25"/>
    </i>
    <i>
      <x v="20"/>
      <x v="49"/>
    </i>
    <i>
      <x v="21"/>
      <x v="24"/>
    </i>
    <i>
      <x v="22"/>
      <x v="15"/>
    </i>
    <i>
      <x v="23"/>
      <x v="36"/>
    </i>
    <i>
      <x v="24"/>
      <x v="47"/>
    </i>
    <i>
      <x v="25"/>
      <x v="5"/>
    </i>
    <i>
      <x v="26"/>
      <x v="21"/>
    </i>
    <i>
      <x v="27"/>
      <x v="35"/>
    </i>
    <i>
      <x v="28"/>
      <x v="38"/>
    </i>
    <i>
      <x v="29"/>
      <x v="42"/>
    </i>
    <i>
      <x v="30"/>
      <x v="4"/>
    </i>
    <i>
      <x v="31"/>
      <x v="28"/>
    </i>
    <i>
      <x v="32"/>
      <x v="34"/>
    </i>
    <i>
      <x v="33"/>
      <x v="10"/>
    </i>
    <i>
      <x v="34"/>
      <x v="18"/>
    </i>
    <i>
      <x v="35"/>
      <x v="14"/>
    </i>
    <i>
      <x v="36"/>
      <x v="46"/>
    </i>
    <i>
      <x v="37"/>
      <x v="6"/>
    </i>
    <i>
      <x v="38"/>
      <x v="40"/>
    </i>
    <i>
      <x v="39"/>
      <x v="20"/>
    </i>
    <i>
      <x v="40"/>
      <x v="30"/>
    </i>
    <i>
      <x v="41"/>
      <x v="44"/>
    </i>
    <i>
      <x v="42"/>
      <x v="8"/>
    </i>
    <i>
      <x v="43"/>
      <x v="2"/>
    </i>
    <i>
      <x v="44"/>
      <x v="23"/>
    </i>
    <i>
      <x v="45"/>
      <x v="45"/>
    </i>
    <i>
      <x v="47"/>
      <x v="12"/>
    </i>
  </rowItems>
  <colFields count="1">
    <field x="2"/>
  </colFields>
  <colItems count="2">
    <i>
      <x v="5"/>
    </i>
    <i>
      <x v="6"/>
    </i>
  </colItems>
  <pageFields count="1">
    <pageField fld="0" hier="0"/>
  </pageFields>
  <dataFields count="1">
    <dataField name="Sum of pauweight" fld="8" baseField="4" baseItem="9"/>
  </dataFields>
  <formats count="2">
    <format dxfId="5">
      <pivotArea outline="0" collapsedLevelsAreSubtotals="1" fieldPosition="0"/>
    </format>
    <format dxfId="4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PivotTable17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>
  <location ref="S4:V52" firstHeaderRow="1" firstDataRow="2" firstDataCol="2" rowPageCount="1" colPageCount="1"/>
  <pivotFields count="13">
    <pivotField axis="axisPage" compact="0" outline="0" showAll="0">
      <items count="4">
        <item x="0"/>
        <item h="1" x="1"/>
        <item h="1" x="2"/>
        <item t="default"/>
      </items>
    </pivotField>
    <pivotField compact="0" outline="0" showAll="0"/>
    <pivotField axis="axisCol" compact="0" outline="0" showAll="0">
      <items count="10">
        <item h="1" x="1"/>
        <item h="1" x="3"/>
        <item h="1" x="5"/>
        <item h="1" x="0"/>
        <item x="2"/>
        <item x="4"/>
        <item h="1" x="6"/>
        <item h="1" x="7"/>
        <item h="1" x="8"/>
        <item t="default"/>
      </items>
    </pivotField>
    <pivotField compact="0" outline="0" showAll="0"/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h="1" x="46"/>
        <item x="47"/>
        <item x="48"/>
      </items>
    </pivotField>
    <pivotField axis="axisRow" compact="0" outline="0" showAll="0" defaultSubtotal="0">
      <items count="51">
        <item m="1" x="49"/>
        <item x="18"/>
        <item x="43"/>
        <item x="11"/>
        <item x="30"/>
        <item x="25"/>
        <item x="37"/>
        <item x="4"/>
        <item x="42"/>
        <item x="14"/>
        <item x="33"/>
        <item m="1" x="50"/>
        <item x="47"/>
        <item x="3"/>
        <item x="35"/>
        <item x="22"/>
        <item x="7"/>
        <item x="46"/>
        <item x="34"/>
        <item x="12"/>
        <item x="39"/>
        <item x="26"/>
        <item x="15"/>
        <item x="44"/>
        <item x="21"/>
        <item x="19"/>
        <item x="6"/>
        <item x="0"/>
        <item x="31"/>
        <item x="16"/>
        <item x="40"/>
        <item x="10"/>
        <item x="9"/>
        <item x="17"/>
        <item x="32"/>
        <item x="27"/>
        <item x="23"/>
        <item x="8"/>
        <item x="28"/>
        <item x="5"/>
        <item x="38"/>
        <item x="1"/>
        <item x="29"/>
        <item x="2"/>
        <item x="41"/>
        <item x="45"/>
        <item x="36"/>
        <item x="24"/>
        <item x="13"/>
        <item x="20"/>
        <item x="48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47">
    <i>
      <x/>
      <x v="27"/>
    </i>
    <i>
      <x v="1"/>
      <x v="41"/>
    </i>
    <i>
      <x v="2"/>
      <x v="43"/>
    </i>
    <i>
      <x v="3"/>
      <x v="13"/>
    </i>
    <i>
      <x v="4"/>
      <x v="7"/>
    </i>
    <i>
      <x v="5"/>
      <x v="39"/>
    </i>
    <i>
      <x v="6"/>
      <x v="26"/>
    </i>
    <i>
      <x v="7"/>
      <x v="16"/>
    </i>
    <i>
      <x v="8"/>
      <x v="37"/>
    </i>
    <i>
      <x v="9"/>
      <x v="32"/>
    </i>
    <i>
      <x v="10"/>
      <x v="31"/>
    </i>
    <i>
      <x v="11"/>
      <x v="3"/>
    </i>
    <i>
      <x v="12"/>
      <x v="19"/>
    </i>
    <i>
      <x v="13"/>
      <x v="48"/>
    </i>
    <i>
      <x v="14"/>
      <x v="9"/>
    </i>
    <i>
      <x v="15"/>
      <x v="22"/>
    </i>
    <i>
      <x v="16"/>
      <x v="29"/>
    </i>
    <i>
      <x v="17"/>
      <x v="33"/>
    </i>
    <i>
      <x v="18"/>
      <x v="1"/>
    </i>
    <i>
      <x v="19"/>
      <x v="25"/>
    </i>
    <i>
      <x v="20"/>
      <x v="49"/>
    </i>
    <i>
      <x v="21"/>
      <x v="24"/>
    </i>
    <i>
      <x v="22"/>
      <x v="15"/>
    </i>
    <i>
      <x v="23"/>
      <x v="36"/>
    </i>
    <i>
      <x v="24"/>
      <x v="47"/>
    </i>
    <i>
      <x v="25"/>
      <x v="5"/>
    </i>
    <i>
      <x v="26"/>
      <x v="21"/>
    </i>
    <i>
      <x v="27"/>
      <x v="35"/>
    </i>
    <i>
      <x v="28"/>
      <x v="38"/>
    </i>
    <i>
      <x v="29"/>
      <x v="42"/>
    </i>
    <i>
      <x v="30"/>
      <x v="4"/>
    </i>
    <i>
      <x v="31"/>
      <x v="28"/>
    </i>
    <i>
      <x v="32"/>
      <x v="34"/>
    </i>
    <i>
      <x v="33"/>
      <x v="10"/>
    </i>
    <i>
      <x v="34"/>
      <x v="18"/>
    </i>
    <i>
      <x v="35"/>
      <x v="14"/>
    </i>
    <i>
      <x v="36"/>
      <x v="46"/>
    </i>
    <i>
      <x v="37"/>
      <x v="6"/>
    </i>
    <i>
      <x v="38"/>
      <x v="40"/>
    </i>
    <i>
      <x v="39"/>
      <x v="20"/>
    </i>
    <i>
      <x v="40"/>
      <x v="30"/>
    </i>
    <i>
      <x v="41"/>
      <x v="44"/>
    </i>
    <i>
      <x v="42"/>
      <x v="8"/>
    </i>
    <i>
      <x v="43"/>
      <x v="2"/>
    </i>
    <i>
      <x v="44"/>
      <x v="23"/>
    </i>
    <i>
      <x v="45"/>
      <x v="45"/>
    </i>
    <i>
      <x v="47"/>
      <x v="12"/>
    </i>
  </rowItems>
  <colFields count="1">
    <field x="2"/>
  </colFields>
  <colItems count="2">
    <i>
      <x v="4"/>
    </i>
    <i>
      <x v="5"/>
    </i>
  </colItems>
  <pageFields count="1">
    <pageField fld="0" hier="0"/>
  </pageFields>
  <dataFields count="1">
    <dataField name="Sum of pauweight" fld="8" baseField="4" baseItem="9"/>
  </dataFields>
  <formats count="2">
    <format dxfId="7">
      <pivotArea outline="0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pivotTable" Target="../pivotTables/pivotTable1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zoomScale="180" zoomScaleNormal="180" workbookViewId="0">
      <selection activeCell="C12" sqref="C12"/>
    </sheetView>
  </sheetViews>
  <sheetFormatPr defaultColWidth="9.15625" defaultRowHeight="15" x14ac:dyDescent="0.5"/>
  <cols>
    <col min="1" max="16384" width="9.15625" style="3"/>
  </cols>
  <sheetData>
    <row r="1" spans="1:8" x14ac:dyDescent="0.5">
      <c r="A1" s="314">
        <v>1</v>
      </c>
      <c r="B1" s="314" t="s">
        <v>467</v>
      </c>
      <c r="C1" s="314"/>
      <c r="D1" s="314"/>
      <c r="E1" s="314"/>
      <c r="F1" s="314"/>
      <c r="G1" s="314"/>
      <c r="H1" s="314"/>
    </row>
    <row r="2" spans="1:8" x14ac:dyDescent="0.5">
      <c r="A2" s="9">
        <v>2</v>
      </c>
      <c r="B2" s="433" t="s">
        <v>71</v>
      </c>
      <c r="C2" s="433"/>
      <c r="D2" s="433"/>
      <c r="E2" s="433"/>
      <c r="F2" s="433"/>
      <c r="G2" s="433"/>
      <c r="H2" s="433"/>
    </row>
    <row r="3" spans="1:8" x14ac:dyDescent="0.5">
      <c r="A3" s="8">
        <v>3</v>
      </c>
      <c r="B3" s="434" t="s">
        <v>70</v>
      </c>
      <c r="C3" s="434"/>
      <c r="D3" s="434"/>
      <c r="E3" s="434"/>
      <c r="F3" s="434"/>
      <c r="G3" s="434"/>
      <c r="H3" s="434"/>
    </row>
    <row r="4" spans="1:8" x14ac:dyDescent="0.5">
      <c r="A4" s="7">
        <v>4</v>
      </c>
      <c r="B4" s="435" t="s">
        <v>69</v>
      </c>
      <c r="C4" s="435"/>
      <c r="D4" s="435"/>
      <c r="E4" s="435"/>
      <c r="F4" s="435"/>
      <c r="G4" s="435"/>
      <c r="H4" s="435"/>
    </row>
    <row r="5" spans="1:8" x14ac:dyDescent="0.5">
      <c r="A5" s="6">
        <v>5</v>
      </c>
      <c r="B5" s="436" t="s">
        <v>465</v>
      </c>
      <c r="C5" s="436"/>
      <c r="D5" s="436"/>
      <c r="E5" s="436"/>
      <c r="F5" s="436"/>
      <c r="G5" s="436"/>
      <c r="H5" s="436"/>
    </row>
    <row r="6" spans="1:8" x14ac:dyDescent="0.5">
      <c r="A6" s="5">
        <v>6</v>
      </c>
      <c r="B6" s="437" t="s">
        <v>68</v>
      </c>
      <c r="C6" s="437"/>
      <c r="D6" s="437"/>
      <c r="E6" s="437"/>
      <c r="F6" s="437"/>
      <c r="G6" s="437"/>
      <c r="H6" s="437"/>
    </row>
    <row r="7" spans="1:8" x14ac:dyDescent="0.5">
      <c r="A7" s="313">
        <v>7</v>
      </c>
      <c r="B7" s="432" t="s">
        <v>466</v>
      </c>
      <c r="C7" s="432"/>
      <c r="D7" s="432"/>
      <c r="E7" s="432"/>
      <c r="F7" s="432"/>
      <c r="G7" s="432"/>
      <c r="H7" s="432"/>
    </row>
    <row r="8" spans="1:8" x14ac:dyDescent="0.5">
      <c r="A8" s="4">
        <v>8</v>
      </c>
      <c r="B8" s="431" t="s">
        <v>67</v>
      </c>
      <c r="C8" s="431"/>
      <c r="D8" s="431"/>
      <c r="E8" s="431"/>
      <c r="F8" s="431"/>
      <c r="G8" s="431"/>
      <c r="H8" s="431"/>
    </row>
  </sheetData>
  <mergeCells count="7">
    <mergeCell ref="B8:H8"/>
    <mergeCell ref="B7:H7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C3" sqref="C3"/>
    </sheetView>
  </sheetViews>
  <sheetFormatPr defaultRowHeight="14.4" x14ac:dyDescent="0.55000000000000004"/>
  <cols>
    <col min="1" max="1" width="13.15625" bestFit="1" customWidth="1"/>
    <col min="2" max="2" width="47.26171875" bestFit="1" customWidth="1"/>
    <col min="3" max="3" width="31.83984375" bestFit="1" customWidth="1"/>
    <col min="4" max="7" width="31.83984375" customWidth="1"/>
    <col min="8" max="10" width="45.15625" bestFit="1" customWidth="1"/>
  </cols>
  <sheetData>
    <row r="1" spans="1:10" ht="15.3" x14ac:dyDescent="0.55000000000000004">
      <c r="A1" s="334" t="s">
        <v>283</v>
      </c>
      <c r="B1" s="334" t="s">
        <v>265</v>
      </c>
      <c r="C1" s="334" t="s">
        <v>644</v>
      </c>
      <c r="D1" s="334" t="s">
        <v>490</v>
      </c>
      <c r="E1" s="334" t="s">
        <v>211</v>
      </c>
      <c r="F1" s="334" t="s">
        <v>491</v>
      </c>
      <c r="G1" s="334" t="s">
        <v>494</v>
      </c>
      <c r="H1" s="334" t="s">
        <v>493</v>
      </c>
      <c r="I1" s="334" t="s">
        <v>503</v>
      </c>
      <c r="J1" s="334" t="s">
        <v>495</v>
      </c>
    </row>
    <row r="2" spans="1:10" x14ac:dyDescent="0.55000000000000004">
      <c r="A2">
        <v>210017</v>
      </c>
      <c r="B2" t="str">
        <f>VLOOKUP($A2,'Integrated Effic - ICC Cycle II'!$1:$1048576,2,FALSE)</f>
        <v>GARRETT COUNTY MEMORIAL HOSPITAL</v>
      </c>
      <c r="C2" s="93">
        <f>VLOOKUP($A2,'Rate Application - ICC Cycle II'!$1:$1048576,26,FALSE)</f>
        <v>0.13021050436894588</v>
      </c>
      <c r="D2" s="95">
        <f t="shared" ref="D2:D42" si="0">_xlfn.NORM.DIST(C2,$E$2,$F$2,FALSE)</f>
        <v>0.2331997839353615</v>
      </c>
      <c r="E2" s="93">
        <f>AVERAGE(C2:C42)</f>
        <v>-9.8818998152872553E-2</v>
      </c>
      <c r="F2" s="93">
        <f>_xlfn.STDEV.P(C2:C42)</f>
        <v>9.5303053070520255E-2</v>
      </c>
      <c r="G2" s="95">
        <f>($E$2-C2)/$F$2</f>
        <v>-2.4031706765191059</v>
      </c>
      <c r="H2" s="93">
        <f>(COUNTIFS($G$2:$G$42,"&gt;=1")+COUNTIFS($G$2:$G$42,"&lt;=-1"))/COUNT($G$2:$G$42)</f>
        <v>0.24390243902439024</v>
      </c>
      <c r="I2" s="93">
        <f>(COUNTIFS($G$2:$G$42,"&gt;=2")+COUNTIFS($G$2:$G$42,"&lt;=-2"))/COUNT($G$2:$G$42)</f>
        <v>7.3170731707317069E-2</v>
      </c>
      <c r="J2" s="93">
        <f>(COUNTIFS($G$2:$G$42,"&gt;=3")+COUNTIFS($G$2:$G$42,"&lt;=-3"))/COUNT($G$2:$G$42)</f>
        <v>2.4390243902439025E-2</v>
      </c>
    </row>
    <row r="3" spans="1:10" x14ac:dyDescent="0.55000000000000004">
      <c r="A3">
        <v>210001</v>
      </c>
      <c r="B3" t="str">
        <f>VLOOKUP($A3,'Integrated Effic - ICC Cycle II'!$1:$1048576,2,FALSE)</f>
        <v>MERITUS MEDICAL CENTER</v>
      </c>
      <c r="C3" s="93">
        <f>VLOOKUP($A3,'Rate Application - ICC Cycle II'!$1:$1048576,26,FALSE)</f>
        <v>9.5707556204945421E-2</v>
      </c>
      <c r="D3" s="95">
        <f t="shared" si="0"/>
        <v>0.5213339257613937</v>
      </c>
      <c r="E3" s="93"/>
      <c r="F3" s="93"/>
      <c r="G3" s="95">
        <f t="shared" ref="G3:G42" si="1">($E$2-C3)/$F$2</f>
        <v>-2.0411366487270506</v>
      </c>
    </row>
    <row r="4" spans="1:10" x14ac:dyDescent="0.55000000000000004">
      <c r="A4">
        <v>210028</v>
      </c>
      <c r="B4" t="str">
        <f>VLOOKUP($A4,'Integrated Effic - ICC Cycle II'!$1:$1048576,2,FALSE)</f>
        <v xml:space="preserve">MEDSTAR ST. MARY'S HOSPITAL </v>
      </c>
      <c r="C4" s="93">
        <f>VLOOKUP($A4,'Rate Application - ICC Cycle II'!$1:$1048576,26,FALSE)</f>
        <v>3.0032151122201034E-2</v>
      </c>
      <c r="D4" s="95">
        <f t="shared" si="0"/>
        <v>1.6783022767397897</v>
      </c>
      <c r="E4" s="93"/>
      <c r="F4" s="93"/>
      <c r="G4" s="95">
        <f t="shared" si="1"/>
        <v>-1.35201491582572</v>
      </c>
    </row>
    <row r="5" spans="1:10" x14ac:dyDescent="0.55000000000000004">
      <c r="A5">
        <v>210019</v>
      </c>
      <c r="B5" t="str">
        <f>VLOOKUP($A5,'Integrated Effic - ICC Cycle II'!$1:$1048576,2,FALSE)</f>
        <v>PENINSULA REGIONAL MEDICAL CENTER</v>
      </c>
      <c r="C5" s="93">
        <f>VLOOKUP($A5,'Rate Application - ICC Cycle II'!$1:$1048576,26,FALSE)</f>
        <v>5.6143337882033073E-2</v>
      </c>
      <c r="D5" s="95">
        <f t="shared" si="0"/>
        <v>1.1160818525682652</v>
      </c>
      <c r="E5" s="93"/>
      <c r="F5" s="93"/>
      <c r="G5" s="95">
        <f t="shared" si="1"/>
        <v>-1.6259955063584375</v>
      </c>
    </row>
    <row r="6" spans="1:10" x14ac:dyDescent="0.55000000000000004">
      <c r="A6">
        <v>210061</v>
      </c>
      <c r="B6" t="str">
        <f>VLOOKUP($A6,'Integrated Effic - ICC Cycle II'!$1:$1048576,2,FALSE)</f>
        <v>ATLANTIC GENERAL HOSPITAL</v>
      </c>
      <c r="C6" s="93">
        <f>VLOOKUP($A6,'Rate Application - ICC Cycle II'!$1:$1048576,26,FALSE)</f>
        <v>1.7456339400856669E-2</v>
      </c>
      <c r="D6" s="95">
        <f t="shared" si="0"/>
        <v>1.9887037536470538</v>
      </c>
      <c r="E6" s="93"/>
      <c r="F6" s="93"/>
      <c r="G6" s="95">
        <f t="shared" si="1"/>
        <v>-1.2200588943115007</v>
      </c>
    </row>
    <row r="7" spans="1:10" x14ac:dyDescent="0.55000000000000004">
      <c r="A7">
        <v>210015</v>
      </c>
      <c r="B7" t="str">
        <f>VLOOKUP($A7,'Integrated Effic - ICC Cycle II'!$1:$1048576,2,FALSE)</f>
        <v>MEDSTAR FRANKLIN SQUARE</v>
      </c>
      <c r="C7" s="93">
        <f>VLOOKUP($A7,'Rate Application - ICC Cycle II'!$1:$1048576,26,FALSE)</f>
        <v>4.1853326663534585E-3</v>
      </c>
      <c r="D7" s="95">
        <f t="shared" si="0"/>
        <v>2.3342289163181396</v>
      </c>
      <c r="E7" s="93"/>
      <c r="F7" s="93"/>
      <c r="G7" s="95">
        <f t="shared" si="1"/>
        <v>-1.080808300474982</v>
      </c>
    </row>
    <row r="8" spans="1:10" x14ac:dyDescent="0.55000000000000004">
      <c r="A8">
        <v>210035</v>
      </c>
      <c r="B8" t="str">
        <f>VLOOKUP($A8,'Integrated Effic - ICC Cycle II'!$1:$1048576,2,FALSE)</f>
        <v>UM-CHARLES REGIONAL MEDICAL CENTER</v>
      </c>
      <c r="C8" s="93">
        <f>VLOOKUP($A8,'Rate Application - ICC Cycle II'!$1:$1048576,26,FALSE)</f>
        <v>-3.6680935983368634E-3</v>
      </c>
      <c r="D8" s="95">
        <f t="shared" si="0"/>
        <v>2.5430142635951669</v>
      </c>
      <c r="E8" s="93"/>
      <c r="F8" s="93"/>
      <c r="G8" s="95">
        <f t="shared" si="1"/>
        <v>-0.99840352946644861</v>
      </c>
    </row>
    <row r="9" spans="1:10" x14ac:dyDescent="0.55000000000000004">
      <c r="A9">
        <v>210034</v>
      </c>
      <c r="B9" t="str">
        <f>VLOOKUP($A9,'Integrated Effic - ICC Cycle II'!$1:$1048576,2,FALSE)</f>
        <v>MEDSTAR HARBOR HOSPITAL CENTER</v>
      </c>
      <c r="C9" s="93">
        <f>VLOOKUP($A9,'Rate Application - ICC Cycle II'!$1:$1048576,26,FALSE)</f>
        <v>-4.4684475415338598E-3</v>
      </c>
      <c r="D9" s="95">
        <f t="shared" si="0"/>
        <v>2.5643355843769258</v>
      </c>
      <c r="E9" s="93"/>
      <c r="F9" s="93"/>
      <c r="G9" s="95">
        <f t="shared" si="1"/>
        <v>-0.99000554097173832</v>
      </c>
    </row>
    <row r="10" spans="1:10" x14ac:dyDescent="0.55000000000000004">
      <c r="A10">
        <v>210048</v>
      </c>
      <c r="B10" t="str">
        <f>VLOOKUP($A10,'Integrated Effic - ICC Cycle II'!$1:$1048576,2,FALSE)</f>
        <v>HOWARD COUNTY GENERAL HOSPITAL</v>
      </c>
      <c r="C10" s="93">
        <f>VLOOKUP($A10,'Rate Application - ICC Cycle II'!$1:$1048576,26,FALSE)</f>
        <v>-1.8177667344131732E-2</v>
      </c>
      <c r="D10" s="95">
        <f t="shared" si="0"/>
        <v>2.9263742374577255</v>
      </c>
      <c r="E10" s="93"/>
      <c r="F10" s="93"/>
      <c r="G10" s="95">
        <f t="shared" si="1"/>
        <v>-0.84615684608833697</v>
      </c>
    </row>
    <row r="11" spans="1:10" x14ac:dyDescent="0.55000000000000004">
      <c r="A11">
        <v>210044</v>
      </c>
      <c r="B11" t="str">
        <f>VLOOKUP($A11,'Integrated Effic - ICC Cycle II'!$1:$1048576,2,FALSE)</f>
        <v>GREATER BALTIMORE MEDICAL CENTER</v>
      </c>
      <c r="C11" s="93">
        <f>VLOOKUP($A11,'Rate Application - ICC Cycle II'!$1:$1048576,26,FALSE)</f>
        <v>-0.10326001430781895</v>
      </c>
      <c r="D11" s="95">
        <f t="shared" si="0"/>
        <v>4.1814963924618693</v>
      </c>
      <c r="E11" s="93"/>
      <c r="F11" s="93"/>
      <c r="G11" s="95">
        <f t="shared" si="1"/>
        <v>4.6598886518989371E-2</v>
      </c>
    </row>
    <row r="12" spans="1:10" x14ac:dyDescent="0.55000000000000004">
      <c r="A12">
        <v>210027</v>
      </c>
      <c r="B12" t="str">
        <f>VLOOKUP($A12,'Integrated Effic - ICC Cycle II'!$1:$1048576,2,FALSE)</f>
        <v>WESTERN MARYLAND REGIONAL MEDICAL CENTER</v>
      </c>
      <c r="C12" s="93">
        <f>VLOOKUP($A12,'Rate Application - ICC Cycle II'!$1:$1048576,26,FALSE)</f>
        <v>-4.0566240234661599E-2</v>
      </c>
      <c r="D12" s="95">
        <f t="shared" si="0"/>
        <v>3.4727595170078258</v>
      </c>
      <c r="E12" s="93"/>
      <c r="F12" s="93"/>
      <c r="G12" s="95">
        <f t="shared" si="1"/>
        <v>-0.61123705947915818</v>
      </c>
    </row>
    <row r="13" spans="1:10" x14ac:dyDescent="0.55000000000000004">
      <c r="A13">
        <v>210049</v>
      </c>
      <c r="B13" t="str">
        <f>VLOOKUP($A13,'Integrated Effic - ICC Cycle II'!$1:$1048576,2,FALSE)</f>
        <v>UM-UPPER CHESAPEAKE MEDICAL CENTER</v>
      </c>
      <c r="C13" s="93">
        <f>VLOOKUP($A13,'Rate Application - ICC Cycle II'!$1:$1048576,26,FALSE)</f>
        <v>-6.3052073714990442E-2</v>
      </c>
      <c r="D13" s="95">
        <f t="shared" si="0"/>
        <v>3.9013829014920987</v>
      </c>
      <c r="E13" s="93"/>
      <c r="F13" s="93"/>
      <c r="G13" s="95">
        <f t="shared" si="1"/>
        <v>-0.37529673274387221</v>
      </c>
    </row>
    <row r="14" spans="1:10" x14ac:dyDescent="0.55000000000000004">
      <c r="A14">
        <v>210043</v>
      </c>
      <c r="B14" t="str">
        <f>VLOOKUP($A14,'Integrated Effic - ICC Cycle II'!$1:$1048576,2,FALSE)</f>
        <v>UM-BALTIMORE WASHINGTON MEDICAL CENTER</v>
      </c>
      <c r="C14" s="93">
        <f>VLOOKUP($A14,'Rate Application - ICC Cycle II'!$1:$1048576,26,FALSE)</f>
        <v>-7.4586716961966837E-2</v>
      </c>
      <c r="D14" s="95">
        <f t="shared" si="0"/>
        <v>4.0528868093333195</v>
      </c>
      <c r="E14" s="93"/>
      <c r="F14" s="93"/>
      <c r="G14" s="95">
        <f t="shared" si="1"/>
        <v>-0.25426552885955128</v>
      </c>
    </row>
    <row r="15" spans="1:10" x14ac:dyDescent="0.55000000000000004">
      <c r="A15">
        <v>210056</v>
      </c>
      <c r="B15" t="str">
        <f>VLOOKUP($A15,'Integrated Effic - ICC Cycle II'!$1:$1048576,2,FALSE)</f>
        <v>MEDSTAR GOOD SAMARITAN</v>
      </c>
      <c r="C15" s="93">
        <f>VLOOKUP($A15,'Rate Application - ICC Cycle II'!$1:$1048576,26,FALSE)</f>
        <v>-6.5262273931644965E-2</v>
      </c>
      <c r="D15" s="95">
        <f t="shared" si="0"/>
        <v>3.9344290493142298</v>
      </c>
      <c r="E15" s="93"/>
      <c r="F15" s="93"/>
      <c r="G15" s="95">
        <f t="shared" si="1"/>
        <v>-0.35210544825250267</v>
      </c>
    </row>
    <row r="16" spans="1:10" x14ac:dyDescent="0.55000000000000004">
      <c r="A16">
        <v>210023</v>
      </c>
      <c r="B16" t="str">
        <f>VLOOKUP($A16,'Integrated Effic - ICC Cycle II'!$1:$1048576,2,FALSE)</f>
        <v>ANNE ARUNDEL MEDICAL CENTER</v>
      </c>
      <c r="C16" s="93">
        <f>VLOOKUP($A16,'Rate Application - ICC Cycle II'!$1:$1048576,26,FALSE)</f>
        <v>-7.5388832520385196E-2</v>
      </c>
      <c r="D16" s="95">
        <f t="shared" si="0"/>
        <v>4.0614254986949501</v>
      </c>
      <c r="E16" s="93"/>
      <c r="F16" s="93"/>
      <c r="G16" s="95">
        <f t="shared" si="1"/>
        <v>-0.24584905601240306</v>
      </c>
    </row>
    <row r="17" spans="1:7" x14ac:dyDescent="0.55000000000000004">
      <c r="A17">
        <v>210051</v>
      </c>
      <c r="B17" t="str">
        <f>VLOOKUP($A17,'Integrated Effic - ICC Cycle II'!$1:$1048576,2,FALSE)</f>
        <v>DOCTORS COMMUNITY HOSPITAL</v>
      </c>
      <c r="C17" s="93">
        <f>VLOOKUP($A17,'Rate Application - ICC Cycle II'!$1:$1048576,26,FALSE)</f>
        <v>-0.12315288236018107</v>
      </c>
      <c r="D17" s="95">
        <f t="shared" si="0"/>
        <v>4.0517860248910322</v>
      </c>
      <c r="E17" s="93"/>
      <c r="F17" s="93"/>
      <c r="G17" s="95">
        <f t="shared" si="1"/>
        <v>0.25533163338746834</v>
      </c>
    </row>
    <row r="18" spans="1:7" x14ac:dyDescent="0.55000000000000004">
      <c r="A18">
        <v>210024</v>
      </c>
      <c r="B18" t="str">
        <f>VLOOKUP($A18,'Integrated Effic - ICC Cycle II'!$1:$1048576,2,FALSE)</f>
        <v>MEDSTAR UNION MEMORIAL HOSPITAL</v>
      </c>
      <c r="C18" s="93">
        <f>VLOOKUP($A18,'Rate Application - ICC Cycle II'!$1:$1048576,26,FALSE)</f>
        <v>-8.5261319520897216E-2</v>
      </c>
      <c r="D18" s="95">
        <f t="shared" si="0"/>
        <v>4.1438949096079831</v>
      </c>
      <c r="E18" s="93"/>
      <c r="F18" s="93"/>
      <c r="G18" s="95">
        <f t="shared" si="1"/>
        <v>-0.14225859712955077</v>
      </c>
    </row>
    <row r="19" spans="1:7" x14ac:dyDescent="0.55000000000000004">
      <c r="A19">
        <v>210009</v>
      </c>
      <c r="B19" t="str">
        <f>VLOOKUP($A19,'Integrated Effic - ICC Cycle II'!$1:$1048576,2,FALSE)</f>
        <v>JOHNS HOPKINS HOSPITAL</v>
      </c>
      <c r="C19" s="93">
        <f>VLOOKUP($A19,'Rate Application - ICC Cycle II'!$1:$1048576,26,FALSE)</f>
        <v>-8.9020284340636913E-2</v>
      </c>
      <c r="D19" s="95">
        <f t="shared" si="0"/>
        <v>4.163971458615749</v>
      </c>
      <c r="E19" s="93"/>
      <c r="F19" s="93"/>
      <c r="G19" s="95">
        <f t="shared" si="1"/>
        <v>-0.10281636837998258</v>
      </c>
    </row>
    <row r="20" spans="1:7" x14ac:dyDescent="0.55000000000000004">
      <c r="A20">
        <v>210002</v>
      </c>
      <c r="B20" t="str">
        <f>VLOOKUP($A20,'Integrated Effic - ICC Cycle II'!$1:$1048576,2,FALSE)</f>
        <v>UNIVERSITY OF MARYLAND MEDICAL CENTER</v>
      </c>
      <c r="C20" s="93">
        <f>VLOOKUP($A20,'Rate Application - ICC Cycle II'!$1:$1048576,26,FALSE)</f>
        <v>-0.10016201626631427</v>
      </c>
      <c r="D20" s="95">
        <f t="shared" si="0"/>
        <v>4.1856232009854608</v>
      </c>
      <c r="E20" s="93"/>
      <c r="F20" s="93"/>
      <c r="G20" s="95">
        <f t="shared" si="1"/>
        <v>1.4092078586904647E-2</v>
      </c>
    </row>
    <row r="21" spans="1:7" x14ac:dyDescent="0.55000000000000004">
      <c r="A21">
        <v>210005</v>
      </c>
      <c r="B21" t="str">
        <f>VLOOKUP($A21,'Integrated Effic - ICC Cycle II'!$1:$1048576,2,FALSE)</f>
        <v>FREDERICK MEMORIAL HOSPITAL</v>
      </c>
      <c r="C21" s="93">
        <f>VLOOKUP($A21,'Rate Application - ICC Cycle II'!$1:$1048576,26,FALSE)</f>
        <v>-0.13591887458545815</v>
      </c>
      <c r="D21" s="95">
        <f t="shared" si="0"/>
        <v>3.8805783373529277</v>
      </c>
      <c r="E21" s="93"/>
      <c r="F21" s="93"/>
      <c r="G21" s="95">
        <f t="shared" si="1"/>
        <v>0.38928318912441606</v>
      </c>
    </row>
    <row r="22" spans="1:7" x14ac:dyDescent="0.55000000000000004">
      <c r="A22">
        <v>210039</v>
      </c>
      <c r="B22" t="str">
        <f>VLOOKUP($A22,'Integrated Effic - ICC Cycle II'!$1:$1048576,2,FALSE)</f>
        <v>CALVERT MEMORIAL HOSPITAL</v>
      </c>
      <c r="C22" s="93">
        <f>VLOOKUP($A22,'Rate Application - ICC Cycle II'!$1:$1048576,26,FALSE)</f>
        <v>-0.11925058820268597</v>
      </c>
      <c r="D22" s="95">
        <f t="shared" si="0"/>
        <v>4.0909382054495689</v>
      </c>
      <c r="E22" s="93"/>
      <c r="F22" s="93"/>
      <c r="G22" s="95">
        <f t="shared" si="1"/>
        <v>0.21438547235936817</v>
      </c>
    </row>
    <row r="23" spans="1:7" x14ac:dyDescent="0.55000000000000004">
      <c r="A23">
        <v>210008</v>
      </c>
      <c r="B23" t="str">
        <f>VLOOKUP($A23,'Integrated Effic - ICC Cycle II'!$1:$1048576,2,FALSE)</f>
        <v>MERCY MEDICAL CENTER</v>
      </c>
      <c r="C23" s="93">
        <f>VLOOKUP($A23,'Rate Application - ICC Cycle II'!$1:$1048576,26,FALSE)</f>
        <v>-0.11013606889217908</v>
      </c>
      <c r="D23" s="95">
        <f t="shared" si="0"/>
        <v>4.1566286532561936</v>
      </c>
      <c r="E23" s="93"/>
      <c r="F23" s="93"/>
      <c r="G23" s="95">
        <f t="shared" si="1"/>
        <v>0.11874824965924621</v>
      </c>
    </row>
    <row r="24" spans="1:7" x14ac:dyDescent="0.55000000000000004">
      <c r="A24">
        <v>210016</v>
      </c>
      <c r="B24" t="str">
        <f>VLOOKUP($A24,'Integrated Effic - ICC Cycle II'!$1:$1048576,2,FALSE)</f>
        <v>WASHINGTON ADVENTIST HOSPITAL</v>
      </c>
      <c r="C24" s="93">
        <f>VLOOKUP($A24,'Rate Application - ICC Cycle II'!$1:$1048576,26,FALSE)</f>
        <v>-0.11074933468667925</v>
      </c>
      <c r="D24" s="95">
        <f t="shared" si="0"/>
        <v>4.1533676558284123</v>
      </c>
      <c r="E24" s="93"/>
      <c r="F24" s="93"/>
      <c r="G24" s="95">
        <f t="shared" si="1"/>
        <v>0.12518315153008525</v>
      </c>
    </row>
    <row r="25" spans="1:7" x14ac:dyDescent="0.55000000000000004">
      <c r="A25">
        <v>210006</v>
      </c>
      <c r="B25" t="str">
        <f>VLOOKUP($A25,'Integrated Effic - ICC Cycle II'!$1:$1048576,2,FALSE)</f>
        <v>UM-HARFORD MEMORIAL HOSPITAL</v>
      </c>
      <c r="C25" s="93">
        <f>VLOOKUP($A25,'Rate Application - ICC Cycle II'!$1:$1048576,26,FALSE)</f>
        <v>-0.13639095488370456</v>
      </c>
      <c r="D25" s="95">
        <f t="shared" si="0"/>
        <v>3.8730551097621344</v>
      </c>
      <c r="E25" s="93"/>
      <c r="F25" s="93"/>
      <c r="G25" s="95">
        <f t="shared" si="1"/>
        <v>0.39423665370961769</v>
      </c>
    </row>
    <row r="26" spans="1:7" x14ac:dyDescent="0.55000000000000004">
      <c r="A26">
        <v>210018</v>
      </c>
      <c r="B26" t="str">
        <f>VLOOKUP($A26,'Integrated Effic - ICC Cycle II'!$1:$1048576,2,FALSE)</f>
        <v>MEDSTAR MONTGOMERY MEDICAL CENTER</v>
      </c>
      <c r="C26" s="93">
        <f>VLOOKUP($A26,'Rate Application - ICC Cycle II'!$1:$1048576,26,FALSE)</f>
        <v>-0.11171278891610625</v>
      </c>
      <c r="D26" s="95">
        <f t="shared" si="0"/>
        <v>4.1479028345788489</v>
      </c>
      <c r="E26" s="93"/>
      <c r="F26" s="93"/>
      <c r="G26" s="95">
        <f t="shared" si="1"/>
        <v>0.13529252576717388</v>
      </c>
    </row>
    <row r="27" spans="1:7" x14ac:dyDescent="0.55000000000000004">
      <c r="A27">
        <v>210033</v>
      </c>
      <c r="B27" t="str">
        <f>VLOOKUP($A27,'Integrated Effic - ICC Cycle II'!$1:$1048576,2,FALSE)</f>
        <v>CARROLL HOSPITAL CENTER</v>
      </c>
      <c r="C27" s="93">
        <f>VLOOKUP($A27,'Rate Application - ICC Cycle II'!$1:$1048576,26,FALSE)</f>
        <v>-0.14481894170005216</v>
      </c>
      <c r="D27" s="95">
        <f t="shared" si="0"/>
        <v>3.7257554585509829</v>
      </c>
      <c r="E27" s="93"/>
      <c r="F27" s="93"/>
      <c r="G27" s="95">
        <f t="shared" si="1"/>
        <v>0.48267019854171495</v>
      </c>
    </row>
    <row r="28" spans="1:7" x14ac:dyDescent="0.55000000000000004">
      <c r="A28">
        <v>210062</v>
      </c>
      <c r="B28" t="str">
        <f>VLOOKUP($A28,'Integrated Effic - ICC Cycle II'!$1:$1048576,2,FALSE)</f>
        <v>MEDSTAR SOUTHERN MARYLAND HOSPITAL CENTER</v>
      </c>
      <c r="C28" s="93">
        <f>VLOOKUP($A28,'Rate Application - ICC Cycle II'!$1:$1048576,26,FALSE)</f>
        <v>-0.12659459247718929</v>
      </c>
      <c r="D28" s="95">
        <f t="shared" si="0"/>
        <v>4.0119797284824168</v>
      </c>
      <c r="E28" s="93"/>
      <c r="F28" s="93"/>
      <c r="G28" s="95">
        <f t="shared" si="1"/>
        <v>0.29144495826134731</v>
      </c>
    </row>
    <row r="29" spans="1:7" x14ac:dyDescent="0.55000000000000004">
      <c r="A29">
        <v>210032</v>
      </c>
      <c r="B29" t="str">
        <f>VLOOKUP($A29,'Integrated Effic - ICC Cycle II'!$1:$1048576,2,FALSE)</f>
        <v>UNION HOSPITAL OF CECIL COUNTY</v>
      </c>
      <c r="C29" s="93">
        <f>VLOOKUP($A29,'Rate Application - ICC Cycle II'!$1:$1048576,26,FALSE)</f>
        <v>-0.13679423406328239</v>
      </c>
      <c r="D29" s="95">
        <f t="shared" si="0"/>
        <v>3.866564731025067</v>
      </c>
      <c r="E29" s="93"/>
      <c r="F29" s="93"/>
      <c r="G29" s="95">
        <f t="shared" si="1"/>
        <v>0.39846819893912278</v>
      </c>
    </row>
    <row r="30" spans="1:7" x14ac:dyDescent="0.55000000000000004">
      <c r="A30">
        <v>210057</v>
      </c>
      <c r="B30" t="str">
        <f>VLOOKUP($A30,'Integrated Effic - ICC Cycle II'!$1:$1048576,2,FALSE)</f>
        <v>SHADY GROVE ADVENTIST HOSPITAL</v>
      </c>
      <c r="C30" s="93">
        <f>VLOOKUP($A30,'Rate Application - ICC Cycle II'!$1:$1048576,26,FALSE)</f>
        <v>-0.13058186730303945</v>
      </c>
      <c r="D30" s="95">
        <f t="shared" si="0"/>
        <v>3.9598897505873003</v>
      </c>
      <c r="E30" s="93"/>
      <c r="F30" s="93"/>
      <c r="G30" s="95">
        <f t="shared" si="1"/>
        <v>0.33328280812434941</v>
      </c>
    </row>
    <row r="31" spans="1:7" x14ac:dyDescent="0.55000000000000004">
      <c r="A31">
        <v>210022</v>
      </c>
      <c r="B31" t="str">
        <f>VLOOKUP($A31,'Integrated Effic - ICC Cycle II'!$1:$1048576,2,FALSE)</f>
        <v>SUBURBAN HOSPITAL</v>
      </c>
      <c r="C31" s="93">
        <f>VLOOKUP($A31,'Rate Application - ICC Cycle II'!$1:$1048576,26,FALSE)</f>
        <v>-0.13688065050238352</v>
      </c>
      <c r="D31" s="95">
        <f t="shared" si="0"/>
        <v>3.8651663554830975</v>
      </c>
      <c r="E31" s="93"/>
      <c r="F31" s="93"/>
      <c r="G31" s="95">
        <f t="shared" si="1"/>
        <v>0.39937495309144966</v>
      </c>
    </row>
    <row r="32" spans="1:7" x14ac:dyDescent="0.55000000000000004">
      <c r="A32">
        <v>210060</v>
      </c>
      <c r="B32" t="str">
        <f>VLOOKUP($A32,'Integrated Effic - ICC Cycle II'!$1:$1048576,2,FALSE)</f>
        <v>FORT WASHINGTON MEDICAL CENTER</v>
      </c>
      <c r="C32" s="93">
        <f>VLOOKUP($A32,'Rate Application - ICC Cycle II'!$1:$1048576,26,FALSE)</f>
        <v>-0.14606517645444084</v>
      </c>
      <c r="D32" s="95">
        <f t="shared" si="0"/>
        <v>3.701997289086604</v>
      </c>
      <c r="E32" s="93"/>
      <c r="F32" s="93"/>
      <c r="G32" s="95">
        <f t="shared" si="1"/>
        <v>0.49574674450993816</v>
      </c>
    </row>
    <row r="33" spans="1:7" x14ac:dyDescent="0.55000000000000004">
      <c r="A33">
        <v>210011</v>
      </c>
      <c r="B33" t="str">
        <f>VLOOKUP($A33,'Integrated Effic - ICC Cycle II'!$1:$1048576,2,FALSE)</f>
        <v>ST. AGNES HOSPITAL</v>
      </c>
      <c r="C33" s="93">
        <f>VLOOKUP($A33,'Rate Application - ICC Cycle II'!$1:$1048576,26,FALSE)</f>
        <v>-0.14480186680619889</v>
      </c>
      <c r="D33" s="95">
        <f t="shared" si="0"/>
        <v>3.7260776056272156</v>
      </c>
      <c r="E33" s="93"/>
      <c r="F33" s="93"/>
      <c r="G33" s="95">
        <f t="shared" si="1"/>
        <v>0.48249103435648533</v>
      </c>
    </row>
    <row r="34" spans="1:7" x14ac:dyDescent="0.55000000000000004">
      <c r="A34">
        <v>210040</v>
      </c>
      <c r="B34" t="str">
        <f>VLOOKUP($A34,'Integrated Effic - ICC Cycle II'!$1:$1048576,2,FALSE)</f>
        <v>NORTHWEST HOSPITAL CENTER</v>
      </c>
      <c r="C34" s="93">
        <f>VLOOKUP($A34,'Rate Application - ICC Cycle II'!$1:$1048576,26,FALSE)</f>
        <v>-0.14769648498013377</v>
      </c>
      <c r="D34" s="95">
        <f t="shared" si="0"/>
        <v>3.6701783433867488</v>
      </c>
      <c r="E34" s="93"/>
      <c r="F34" s="93"/>
      <c r="G34" s="95">
        <f t="shared" si="1"/>
        <v>0.51286380921179864</v>
      </c>
    </row>
    <row r="35" spans="1:7" x14ac:dyDescent="0.55000000000000004">
      <c r="A35">
        <v>210029</v>
      </c>
      <c r="B35" t="str">
        <f>VLOOKUP($A35,'Integrated Effic - ICC Cycle II'!$1:$1048576,2,FALSE)</f>
        <v>JOHNS HOPKINS BAYVIEW MEDICAL CENTER</v>
      </c>
      <c r="C35" s="93">
        <f>VLOOKUP($A35,'Rate Application - ICC Cycle II'!$1:$1048576,26,FALSE)</f>
        <v>-0.16651886319257059</v>
      </c>
      <c r="D35" s="95">
        <f t="shared" si="0"/>
        <v>3.2525728861700762</v>
      </c>
      <c r="E35" s="93"/>
      <c r="F35" s="93"/>
      <c r="G35" s="95">
        <f t="shared" si="1"/>
        <v>0.71036407395682255</v>
      </c>
    </row>
    <row r="36" spans="1:7" x14ac:dyDescent="0.55000000000000004">
      <c r="A36">
        <v>210063</v>
      </c>
      <c r="B36" t="str">
        <f>VLOOKUP($A36,'Integrated Effic - ICC Cycle II'!$1:$1048576,2,FALSE)</f>
        <v>UM-ST. JOSEPH MEDICAL CENTER</v>
      </c>
      <c r="C36" s="93">
        <f>VLOOKUP($A36,'Rate Application - ICC Cycle II'!$1:$1048576,26,FALSE)</f>
        <v>-5.285512893618971E-2</v>
      </c>
      <c r="D36" s="95">
        <f t="shared" si="0"/>
        <v>3.7264359546343151</v>
      </c>
      <c r="E36" s="93"/>
      <c r="F36" s="93"/>
      <c r="G36" s="95">
        <f t="shared" si="1"/>
        <v>-0.48229167624537184</v>
      </c>
    </row>
    <row r="37" spans="1:7" x14ac:dyDescent="0.55000000000000004">
      <c r="A37">
        <v>210038</v>
      </c>
      <c r="B37" t="str">
        <f>VLOOKUP($A37,'Integrated Effic - ICC Cycle II'!$1:$1048576,2,FALSE)</f>
        <v>UMMC MIDTOWN CAMPUS</v>
      </c>
      <c r="C37" s="93">
        <f>VLOOKUP($A37,'Rate Application - ICC Cycle II'!$1:$1048576,26,FALSE)</f>
        <v>-0.18370201056667745</v>
      </c>
      <c r="D37" s="95">
        <f t="shared" si="0"/>
        <v>2.815426017083245</v>
      </c>
      <c r="E37" s="93"/>
      <c r="F37" s="93"/>
      <c r="G37" s="95">
        <f t="shared" si="1"/>
        <v>0.89066414641506853</v>
      </c>
    </row>
    <row r="38" spans="1:7" x14ac:dyDescent="0.55000000000000004">
      <c r="A38">
        <v>210037</v>
      </c>
      <c r="B38" t="str">
        <f>VLOOKUP($A38,'Integrated Effic - ICC Cycle II'!$1:$1048576,2,FALSE)</f>
        <v>UM-SHORE REGIONAL HEALTH AT EASTON</v>
      </c>
      <c r="C38" s="93">
        <f>VLOOKUP($A38,'Rate Application - ICC Cycle II'!$1:$1048576,26,FALSE)</f>
        <v>-0.18631182965245874</v>
      </c>
      <c r="D38" s="95">
        <f t="shared" si="0"/>
        <v>2.7465575063398688</v>
      </c>
      <c r="E38" s="93"/>
      <c r="F38" s="93"/>
      <c r="G38" s="95">
        <f t="shared" si="1"/>
        <v>0.91804856907202292</v>
      </c>
    </row>
    <row r="39" spans="1:7" x14ac:dyDescent="0.55000000000000004">
      <c r="A39">
        <v>210003</v>
      </c>
      <c r="B39" t="str">
        <f>VLOOKUP($A39,'Integrated Effic - ICC Cycle II'!$1:$1048576,2,FALSE)</f>
        <v>PRINCE GEORGES HOSPITAL CENTER</v>
      </c>
      <c r="C39" s="93">
        <f>VLOOKUP($A39,'Rate Application - ICC Cycle II'!$1:$1048576,26,FALSE)</f>
        <v>-0.22165164829391748</v>
      </c>
      <c r="D39" s="95">
        <f t="shared" si="0"/>
        <v>1.8242519621146325</v>
      </c>
      <c r="E39" s="93"/>
      <c r="F39" s="93"/>
      <c r="G39" s="95">
        <f t="shared" si="1"/>
        <v>1.2888637476299309</v>
      </c>
    </row>
    <row r="40" spans="1:7" x14ac:dyDescent="0.55000000000000004">
      <c r="A40">
        <v>210012</v>
      </c>
      <c r="B40" t="str">
        <f>VLOOKUP($A40,'Integrated Effic - ICC Cycle II'!$1:$1048576,2,FALSE)</f>
        <v>SINAI HOSPITAL</v>
      </c>
      <c r="C40" s="93">
        <f>VLOOKUP($A40,'Rate Application - ICC Cycle II'!$1:$1048576,26,FALSE)</f>
        <v>-0.22057426581868567</v>
      </c>
      <c r="D40" s="95">
        <f t="shared" si="0"/>
        <v>1.8509082672132462</v>
      </c>
      <c r="E40" s="93"/>
      <c r="F40" s="93"/>
      <c r="G40" s="95">
        <f t="shared" si="1"/>
        <v>1.2775589421644167</v>
      </c>
    </row>
    <row r="41" spans="1:7" x14ac:dyDescent="0.55000000000000004">
      <c r="A41">
        <v>210058</v>
      </c>
      <c r="B41" t="str">
        <f>VLOOKUP($A41,'Integrated Effic - ICC Cycle II'!$1:$1048576,2,FALSE)</f>
        <v>UM-REHABILITATION &amp; ORTHOPAEDIC INSTITUTE</v>
      </c>
      <c r="C41" s="93">
        <f>VLOOKUP($A41,'Rate Application - ICC Cycle II'!$1:$1048576,26,FALSE)</f>
        <v>-0.28362736423557922</v>
      </c>
      <c r="D41" s="95">
        <f t="shared" si="0"/>
        <v>0.63863258120886068</v>
      </c>
      <c r="E41" s="93"/>
      <c r="F41" s="93"/>
      <c r="G41" s="95">
        <f t="shared" si="1"/>
        <v>1.9391652221881732</v>
      </c>
    </row>
    <row r="42" spans="1:7" x14ac:dyDescent="0.55000000000000004">
      <c r="A42">
        <v>210030</v>
      </c>
      <c r="B42" t="str">
        <f>VLOOKUP($A42,'Integrated Effic - ICC Cycle II'!$1:$1048576,2,FALSE)</f>
        <v>UM-SHORE REGIONAL HEALTH AT CHESTERTOWN</v>
      </c>
      <c r="C42" s="93">
        <f>VLOOKUP($A42,'Rate Application - ICC Cycle II'!$1:$1048576,26,FALSE)</f>
        <v>-0.38565374811999731</v>
      </c>
      <c r="D42" s="95">
        <f t="shared" si="0"/>
        <v>4.5165195525935745E-2</v>
      </c>
      <c r="E42" s="93"/>
      <c r="F42" s="93"/>
      <c r="G42" s="95">
        <f t="shared" si="1"/>
        <v>3.0097120787397977</v>
      </c>
    </row>
    <row r="43" spans="1:7" x14ac:dyDescent="0.55000000000000004">
      <c r="D43" s="335"/>
    </row>
  </sheetData>
  <sheetCalcPr fullCalcOnLoad="1"/>
  <autoFilter ref="A1:D1">
    <sortState xmlns:xlrd2="http://schemas.microsoft.com/office/spreadsheetml/2017/richdata2" ref="A2:D42">
      <sortCondition descending="1" ref="C1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G76"/>
  <sheetViews>
    <sheetView zoomScaleNormal="100" workbookViewId="0">
      <pane xSplit="2" ySplit="2" topLeftCell="R20" activePane="bottomRight" state="frozen"/>
      <selection pane="topRight" activeCell="C1" sqref="C1"/>
      <selection pane="bottomLeft" activeCell="A3" sqref="A3"/>
      <selection pane="bottomRight" activeCell="A15" sqref="A15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17.68359375" style="11" customWidth="1"/>
    <col min="5" max="7" width="17.68359375" style="11" hidden="1" customWidth="1"/>
    <col min="8" max="8" width="17.68359375" style="11" customWidth="1"/>
    <col min="9" max="9" width="18.15625" style="10" bestFit="1" customWidth="1"/>
    <col min="10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bestFit="1" customWidth="1"/>
    <col min="28" max="28" width="17" style="10" customWidth="1"/>
    <col min="29" max="29" width="17.68359375" style="10" bestFit="1" customWidth="1"/>
    <col min="30" max="30" width="18" style="10" customWidth="1"/>
    <col min="31" max="31" width="12.41796875" style="10" hidden="1" customWidth="1"/>
    <col min="32" max="32" width="12.41796875" style="10"/>
    <col min="33" max="33" width="30.68359375" style="10" bestFit="1" customWidth="1"/>
    <col min="34" max="16384" width="12.41796875" style="10"/>
  </cols>
  <sheetData>
    <row r="1" spans="1:33" ht="46.5" x14ac:dyDescent="1.5">
      <c r="A1" s="56" t="s">
        <v>500</v>
      </c>
      <c r="B1" s="55"/>
      <c r="C1" s="55"/>
      <c r="D1" s="50"/>
      <c r="E1" s="50"/>
      <c r="F1" s="50"/>
      <c r="G1" s="50"/>
      <c r="H1" s="50"/>
      <c r="I1" s="55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</row>
    <row r="2" spans="1:33" ht="87" x14ac:dyDescent="0.55000000000000004">
      <c r="A2" s="48" t="s">
        <v>106</v>
      </c>
      <c r="B2" s="47" t="s">
        <v>105</v>
      </c>
      <c r="C2" s="47" t="s">
        <v>104</v>
      </c>
      <c r="D2" s="40" t="s">
        <v>470</v>
      </c>
      <c r="E2" s="287" t="s">
        <v>174</v>
      </c>
      <c r="F2" s="40" t="s">
        <v>173</v>
      </c>
      <c r="G2" s="40" t="s">
        <v>172</v>
      </c>
      <c r="H2" s="40" t="s">
        <v>171</v>
      </c>
      <c r="I2" s="41" t="s">
        <v>92</v>
      </c>
      <c r="J2" s="40" t="s">
        <v>170</v>
      </c>
      <c r="K2" s="40" t="s">
        <v>169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</row>
    <row r="3" spans="1:33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IF(C3=1,'Rate Application - REM Cycle I'!$X$65,IF(C3=3,'Rate Application - REM Cycle I'!$X$66,IF(C3=4,'Rate Application - REM Cycle I'!$X$67,IF(C3=5,'Rate Application - REM Cycle I'!$X$68,0))))</f>
        <v>14752.82215273459</v>
      </c>
      <c r="E3" s="87">
        <v>0</v>
      </c>
      <c r="F3" s="87">
        <v>0</v>
      </c>
      <c r="G3" s="87">
        <v>0</v>
      </c>
      <c r="H3" s="87">
        <f t="shared" ref="H3:H54" si="0">D3+G3</f>
        <v>14752.82215273459</v>
      </c>
      <c r="I3" s="65">
        <f>VLOOKUP(A3,'Rate Application - REM Cycle I'!$1:$65535,15,FALSE)</f>
        <v>29234.020255178955</v>
      </c>
      <c r="J3" s="19">
        <f>VLOOKUP(A3,'Rate Application - REM Cycle I'!$1:$65535,20,FALSE)</f>
        <v>81.226447456567413</v>
      </c>
      <c r="K3" s="11">
        <f t="shared" ref="K3:K54" si="1">+H3+J3</f>
        <v>14834.048600191158</v>
      </c>
      <c r="L3" s="11">
        <f t="shared" ref="L3:L54" si="2">K3*I3</f>
        <v>433658877.24429733</v>
      </c>
      <c r="M3" s="36">
        <f>VLOOKUP(A3,'Variable Input'!$1:$1048576,23,FALSE)</f>
        <v>0.99671861092415948</v>
      </c>
      <c r="N3" s="22">
        <f t="shared" ref="N3:N54" si="3">L3*M3</f>
        <v>432235873.74186665</v>
      </c>
      <c r="O3" s="19">
        <f t="shared" ref="O3:O54" si="4">IFERROR(N3/I3,0)</f>
        <v>14785.372315164004</v>
      </c>
      <c r="P3" s="18">
        <f>VLOOKUP(A3,'Rate Application - REM Cycle I'!$1:$65535,11,FALSE)</f>
        <v>6625379.0220225165</v>
      </c>
      <c r="Q3" s="18">
        <f t="shared" ref="Q3:Q54" si="5">N3+P3</f>
        <v>438861252.76388919</v>
      </c>
      <c r="R3" s="19">
        <f t="shared" ref="R3:R54" si="6">IFERROR(Q3/I3,0)</f>
        <v>15012.004812651201</v>
      </c>
      <c r="S3" s="81">
        <f>VLOOKUP(A3,'Rate Application - REM Cycle I'!$1:$65535,9,FALSE)</f>
        <v>1.1196537153887776</v>
      </c>
      <c r="T3" s="19">
        <f t="shared" ref="T3:T54" si="7">Q3*S3</f>
        <v>491372632.19726199</v>
      </c>
      <c r="U3" s="22">
        <f t="shared" ref="U3:U54" si="8">IFERROR(T3/I3,0)</f>
        <v>16808.246963919129</v>
      </c>
      <c r="V3" s="88">
        <f>IFERROR(VLOOKUP(A3,'PAU Volume'!$AX:$AZ,3,FALSE),0)</f>
        <v>52.327813029200804</v>
      </c>
      <c r="W3" s="79">
        <f t="shared" ref="W3:W54" si="9">I3+V3</f>
        <v>29286.348068208157</v>
      </c>
      <c r="X3" s="15">
        <f t="shared" ref="X3:X54" si="10">W3*U3</f>
        <v>492252171.00173861</v>
      </c>
      <c r="Y3" s="11">
        <f>VLOOKUP(A3,'Rate Application - REM Cycle I'!$1:$65535,7,FALSE)</f>
        <v>409229772.57070911</v>
      </c>
      <c r="Z3" s="78">
        <f t="shared" ref="Z3:Z54" si="11">IFERROR(X3/Y3-1," ")</f>
        <v>0.2028747759712044</v>
      </c>
      <c r="AA3" s="82">
        <f>IFERROR(VLOOKUP(A3,'GBR Revenue for ICC'!#REF!,17,FALSE),0)</f>
        <v>0</v>
      </c>
      <c r="AB3" s="82">
        <f t="shared" ref="AB3:AB54" si="12">IFERROR(AA3*(1+Z3),0)</f>
        <v>0</v>
      </c>
      <c r="AC3" s="11">
        <f t="shared" ref="AC3:AC54" si="13">Y3+AA3</f>
        <v>409229772.57070911</v>
      </c>
      <c r="AD3" s="11">
        <f t="shared" ref="AD3:AD54" si="14">X3+AB3</f>
        <v>492252171.00173861</v>
      </c>
      <c r="AE3" s="10">
        <v>1</v>
      </c>
      <c r="AG3" s="271"/>
    </row>
    <row r="4" spans="1:33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IF(C4=1,'Rate Application - REM Cycle I'!$X$65,IF(C4=3,'Rate Application - REM Cycle I'!$X$66,IF(C4=4,'Rate Application - REM Cycle I'!$X$67,IF(C4=5,'Rate Application - REM Cycle I'!$X$68,0))))</f>
        <v>16863.368236533166</v>
      </c>
      <c r="E4" s="87">
        <v>0</v>
      </c>
      <c r="F4" s="87">
        <v>0</v>
      </c>
      <c r="G4" s="87">
        <v>0</v>
      </c>
      <c r="H4" s="87">
        <f t="shared" si="0"/>
        <v>16863.368236533166</v>
      </c>
      <c r="I4" s="65">
        <f>VLOOKUP(A4,'Rate Application - REM Cycle I'!$1:$65535,15,FALSE)</f>
        <v>53406.112545307114</v>
      </c>
      <c r="J4" s="19">
        <f>VLOOKUP(A4,'Rate Application - REM Cycle I'!$1:$65535,20,FALSE)</f>
        <v>2904.7925350190649</v>
      </c>
      <c r="K4" s="11">
        <f t="shared" si="1"/>
        <v>19768.16077155223</v>
      </c>
      <c r="L4" s="11">
        <f t="shared" si="2"/>
        <v>1055740618.9792435</v>
      </c>
      <c r="M4" s="36">
        <f>VLOOKUP(A4,'Variable Input'!$1:$1048576,23,FALSE)</f>
        <v>0.99671861092415948</v>
      </c>
      <c r="N4" s="22">
        <f t="shared" si="3"/>
        <v>1052276323.245204</v>
      </c>
      <c r="O4" s="19">
        <f t="shared" si="4"/>
        <v>19703.293744746999</v>
      </c>
      <c r="P4" s="18">
        <f>VLOOKUP(A4,'Rate Application - REM Cycle I'!$1:$65535,11,FALSE)</f>
        <v>59584704.514455065</v>
      </c>
      <c r="Q4" s="18">
        <f t="shared" si="5"/>
        <v>1111861027.7596591</v>
      </c>
      <c r="R4" s="19">
        <f t="shared" si="6"/>
        <v>20818.984471420026</v>
      </c>
      <c r="S4" s="81">
        <f>VLOOKUP(A4,'Rate Application - REM Cycle I'!$1:$65535,9,FALSE)</f>
        <v>1.1149630516096494</v>
      </c>
      <c r="T4" s="19">
        <f t="shared" si="7"/>
        <v>1239683964.4767506</v>
      </c>
      <c r="U4" s="22">
        <f t="shared" si="8"/>
        <v>23212.398457668376</v>
      </c>
      <c r="V4" s="88">
        <f>IFERROR(VLOOKUP(A4,'PAU Volume'!$AX:$AZ,3,FALSE),0)</f>
        <v>1497.8899264155948</v>
      </c>
      <c r="W4" s="79">
        <f t="shared" si="9"/>
        <v>54904.002471722706</v>
      </c>
      <c r="X4" s="15">
        <f t="shared" si="10"/>
        <v>1274453582.2944369</v>
      </c>
      <c r="Y4" s="11">
        <f>VLOOKUP(A4,'Rate Application - REM Cycle I'!$1:$65535,7,FALSE)</f>
        <v>1331249266.2329757</v>
      </c>
      <c r="Z4" s="78">
        <f t="shared" si="11"/>
        <v>-4.2663448070287435E-2</v>
      </c>
      <c r="AA4" s="82">
        <f>IFERROR(VLOOKUP(A4,'GBR Revenue for ICC'!#REF!,17,FALSE),0)</f>
        <v>0</v>
      </c>
      <c r="AB4" s="82">
        <f t="shared" si="12"/>
        <v>0</v>
      </c>
      <c r="AC4" s="11">
        <f t="shared" si="13"/>
        <v>1331249266.2329757</v>
      </c>
      <c r="AD4" s="11">
        <f t="shared" si="14"/>
        <v>1274453582.2944369</v>
      </c>
      <c r="AE4" s="10">
        <v>1</v>
      </c>
      <c r="AG4" s="271"/>
    </row>
    <row r="5" spans="1:33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IF(C5=1,'Rate Application - REM Cycle I'!$X$65,IF(C5=3,'Rate Application - REM Cycle I'!$X$66,IF(C5=4,'Rate Application - REM Cycle I'!$X$67,IF(C5=5,'Rate Application - REM Cycle I'!$X$68,0))))</f>
        <v>14752.82215273459</v>
      </c>
      <c r="E5" s="87">
        <v>0</v>
      </c>
      <c r="F5" s="87">
        <v>0</v>
      </c>
      <c r="G5" s="87">
        <v>0</v>
      </c>
      <c r="H5" s="87">
        <f t="shared" si="0"/>
        <v>14752.82215273459</v>
      </c>
      <c r="I5" s="65">
        <f>VLOOKUP(A5,'Rate Application - REM Cycle I'!$1:$65535,15,FALSE)</f>
        <v>16622.361523679996</v>
      </c>
      <c r="J5" s="19">
        <f>VLOOKUP(A5,'Rate Application - REM Cycle I'!$1:$65535,20,FALSE)</f>
        <v>380.94476637289404</v>
      </c>
      <c r="K5" s="11">
        <f t="shared" si="1"/>
        <v>15133.766919107484</v>
      </c>
      <c r="L5" s="11">
        <f t="shared" si="2"/>
        <v>251558944.94451338</v>
      </c>
      <c r="M5" s="36">
        <f>VLOOKUP(A5,'Variable Input'!$1:$1048576,23,FALSE)</f>
        <v>1.0181752931904677</v>
      </c>
      <c r="N5" s="22">
        <f t="shared" si="3"/>
        <v>256131102.52356464</v>
      </c>
      <c r="O5" s="19">
        <f t="shared" si="4"/>
        <v>15408.827569938463</v>
      </c>
      <c r="P5" s="18">
        <f>VLOOKUP(A5,'Rate Application - REM Cycle I'!$1:$65535,11,FALSE)</f>
        <v>10600897.780621644</v>
      </c>
      <c r="Q5" s="18">
        <f t="shared" si="5"/>
        <v>266732000.30418628</v>
      </c>
      <c r="R5" s="19">
        <f t="shared" si="6"/>
        <v>16046.576770948184</v>
      </c>
      <c r="S5" s="81">
        <f>VLOOKUP(A5,'Rate Application - REM Cycle I'!$1:$65535,9,FALSE)</f>
        <v>1.1150592197193865</v>
      </c>
      <c r="T5" s="19">
        <f t="shared" si="7"/>
        <v>297421976.13337713</v>
      </c>
      <c r="U5" s="22">
        <f t="shared" si="8"/>
        <v>17892.883373380715</v>
      </c>
      <c r="V5" s="88">
        <f>IFERROR(VLOOKUP(A5,'PAU Volume'!$AX:$AZ,3,FALSE),0)</f>
        <v>475.40970309217568</v>
      </c>
      <c r="W5" s="79">
        <f t="shared" si="9"/>
        <v>17097.771226772173</v>
      </c>
      <c r="X5" s="15">
        <f t="shared" si="10"/>
        <v>305928426.50537902</v>
      </c>
      <c r="Y5" s="11">
        <f>VLOOKUP(A5,'Rate Application - REM Cycle I'!$1:$65535,7,FALSE)</f>
        <v>379598110.09410959</v>
      </c>
      <c r="Z5" s="78">
        <f t="shared" si="11"/>
        <v>-0.19407284080120013</v>
      </c>
      <c r="AA5" s="82">
        <f>IFERROR(VLOOKUP(A5,'GBR Revenue for ICC'!#REF!,17,FALSE),0)</f>
        <v>0</v>
      </c>
      <c r="AB5" s="82">
        <f t="shared" si="12"/>
        <v>0</v>
      </c>
      <c r="AC5" s="11">
        <f t="shared" si="13"/>
        <v>379598110.09410959</v>
      </c>
      <c r="AD5" s="11">
        <f t="shared" si="14"/>
        <v>305928426.50537902</v>
      </c>
      <c r="AE5" s="10">
        <v>1</v>
      </c>
      <c r="AG5" s="271"/>
    </row>
    <row r="6" spans="1:33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87">
        <f>IF(C6=1,'Rate Application - REM Cycle I'!$X$65,IF(C6=3,'Rate Application - REM Cycle I'!$X$66,IF(C6=4,'Rate Application - REM Cycle I'!$X$67,IF(C6=5,'Rate Application - REM Cycle I'!$X$68,0))))</f>
        <v>14752.82215273459</v>
      </c>
      <c r="E6" s="87">
        <v>0</v>
      </c>
      <c r="F6" s="87">
        <v>0</v>
      </c>
      <c r="G6" s="87">
        <v>0</v>
      </c>
      <c r="H6" s="87">
        <f t="shared" si="0"/>
        <v>14752.82215273459</v>
      </c>
      <c r="I6" s="65">
        <f>VLOOKUP(A6,'Rate Application - REM Cycle I'!$1:$65535,15,FALSE)</f>
        <v>35389.172988776867</v>
      </c>
      <c r="J6" s="19">
        <f>VLOOKUP(A6,'Rate Application - REM Cycle I'!$1:$65535,20,FALSE)</f>
        <v>70.826647410772608</v>
      </c>
      <c r="K6" s="11">
        <f t="shared" si="1"/>
        <v>14823.648800145364</v>
      </c>
      <c r="L6" s="11">
        <f t="shared" si="2"/>
        <v>524596671.71321893</v>
      </c>
      <c r="M6" s="36">
        <f>VLOOKUP(A6,'Variable Input'!$1:$1048576,23,FALSE)</f>
        <v>1.0181752931904677</v>
      </c>
      <c r="N6" s="22">
        <f t="shared" si="3"/>
        <v>534131370.02835023</v>
      </c>
      <c r="O6" s="19">
        <f t="shared" si="4"/>
        <v>15093.072963240531</v>
      </c>
      <c r="P6" s="18">
        <f>VLOOKUP(A6,'Rate Application - REM Cycle I'!$1:$65535,11,FALSE)</f>
        <v>1942313.1270902995</v>
      </c>
      <c r="Q6" s="18">
        <f t="shared" si="5"/>
        <v>536073683.15544051</v>
      </c>
      <c r="R6" s="19">
        <f t="shared" si="6"/>
        <v>15147.957351968866</v>
      </c>
      <c r="S6" s="81">
        <f>VLOOKUP(A6,'Rate Application - REM Cycle I'!$1:$65535,9,FALSE)</f>
        <v>1.1099846191041804</v>
      </c>
      <c r="T6" s="19">
        <f t="shared" si="7"/>
        <v>595033543.0090667</v>
      </c>
      <c r="U6" s="22">
        <f t="shared" si="8"/>
        <v>16813.999671531528</v>
      </c>
      <c r="V6" s="88">
        <f>IFERROR(VLOOKUP(A6,'PAU Volume'!$AX:$AZ,3,FALSE),0)</f>
        <v>284.09261788646165</v>
      </c>
      <c r="W6" s="79">
        <f t="shared" si="9"/>
        <v>35673.265606663328</v>
      </c>
      <c r="X6" s="15">
        <f t="shared" si="10"/>
        <v>599810276.19289422</v>
      </c>
      <c r="Y6" s="11">
        <f>VLOOKUP(A6,'Rate Application - REM Cycle I'!$1:$65535,7,FALSE)</f>
        <v>562162526.23688054</v>
      </c>
      <c r="Z6" s="78">
        <f t="shared" si="11"/>
        <v>6.6969511838556706E-2</v>
      </c>
      <c r="AA6" s="82">
        <f>IFERROR(VLOOKUP(A6,'GBR Revenue for ICC'!#REF!,17,FALSE),0)</f>
        <v>0</v>
      </c>
      <c r="AB6" s="82">
        <f t="shared" si="12"/>
        <v>0</v>
      </c>
      <c r="AC6" s="11">
        <f t="shared" si="13"/>
        <v>562162526.23688054</v>
      </c>
      <c r="AD6" s="11">
        <f t="shared" si="14"/>
        <v>599810276.19289422</v>
      </c>
      <c r="AG6" s="271"/>
    </row>
    <row r="7" spans="1:33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IF(C7=1,'Rate Application - REM Cycle I'!$X$65,IF(C7=3,'Rate Application - REM Cycle I'!$X$66,IF(C7=4,'Rate Application - REM Cycle I'!$X$67,IF(C7=5,'Rate Application - REM Cycle I'!$X$68,0))))</f>
        <v>14752.82215273459</v>
      </c>
      <c r="E7" s="87">
        <v>0</v>
      </c>
      <c r="F7" s="87">
        <v>0</v>
      </c>
      <c r="G7" s="87">
        <v>0</v>
      </c>
      <c r="H7" s="87">
        <f t="shared" si="0"/>
        <v>14752.82215273459</v>
      </c>
      <c r="I7" s="65">
        <f>VLOOKUP(A7,'Rate Application - REM Cycle I'!$1:$65535,15,FALSE)</f>
        <v>24661.79924888902</v>
      </c>
      <c r="J7" s="19">
        <f>VLOOKUP(A7,'Rate Application - REM Cycle I'!$1:$65535,20,FALSE)</f>
        <v>0</v>
      </c>
      <c r="K7" s="11">
        <f t="shared" si="1"/>
        <v>14752.82215273459</v>
      </c>
      <c r="L7" s="11">
        <f t="shared" si="2"/>
        <v>363831138.28530324</v>
      </c>
      <c r="M7" s="36">
        <f>VLOOKUP(A7,'Variable Input'!$1:$1048576,23,FALSE)</f>
        <v>0.99671861092415948</v>
      </c>
      <c r="N7" s="22">
        <f t="shared" si="3"/>
        <v>362637266.76268321</v>
      </c>
      <c r="O7" s="19">
        <f t="shared" si="4"/>
        <v>14704.41240328479</v>
      </c>
      <c r="P7" s="18">
        <f>VLOOKUP(A7,'Rate Application - REM Cycle I'!$1:$65535,11,FALSE)</f>
        <v>424862.32800000021</v>
      </c>
      <c r="Q7" s="18">
        <f t="shared" si="5"/>
        <v>363062129.09068322</v>
      </c>
      <c r="R7" s="19">
        <f t="shared" si="6"/>
        <v>14721.639951190449</v>
      </c>
      <c r="S7" s="81">
        <f>VLOOKUP(A7,'Rate Application - REM Cycle I'!$1:$65535,9,FALSE)</f>
        <v>1.1133096880777904</v>
      </c>
      <c r="T7" s="19">
        <f t="shared" si="7"/>
        <v>404200585.69080698</v>
      </c>
      <c r="U7" s="22">
        <f t="shared" si="8"/>
        <v>16389.744382053377</v>
      </c>
      <c r="V7" s="88">
        <f>IFERROR(VLOOKUP(A7,'PAU Volume'!$AX:$AZ,3,FALSE),0)</f>
        <v>258.56044792628478</v>
      </c>
      <c r="W7" s="79">
        <f t="shared" si="9"/>
        <v>24920.359696815303</v>
      </c>
      <c r="X7" s="15">
        <f t="shared" si="10"/>
        <v>408438325.33962804</v>
      </c>
      <c r="Y7" s="11">
        <f>VLOOKUP(A7,'Rate Application - REM Cycle I'!$1:$65535,7,FALSE)</f>
        <v>403201661.03720772</v>
      </c>
      <c r="Z7" s="78">
        <f t="shared" si="11"/>
        <v>1.2987705181941367E-2</v>
      </c>
      <c r="AA7" s="82">
        <f>IFERROR(VLOOKUP(A7,'GBR Revenue for ICC'!#REF!,17,FALSE),0)</f>
        <v>0</v>
      </c>
      <c r="AB7" s="82">
        <f t="shared" si="12"/>
        <v>0</v>
      </c>
      <c r="AC7" s="11">
        <f t="shared" si="13"/>
        <v>403201661.03720772</v>
      </c>
      <c r="AD7" s="11">
        <f t="shared" si="14"/>
        <v>408438325.33962804</v>
      </c>
      <c r="AE7" s="10">
        <v>1</v>
      </c>
      <c r="AG7" s="271"/>
    </row>
    <row r="8" spans="1:33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IF(C8=1,'Rate Application - REM Cycle I'!$X$65,IF(C8=3,'Rate Application - REM Cycle I'!$X$66,IF(C8=4,'Rate Application - REM Cycle I'!$X$67,IF(C8=5,'Rate Application - REM Cycle I'!$X$68,0))))</f>
        <v>14752.82215273459</v>
      </c>
      <c r="E8" s="87">
        <v>0</v>
      </c>
      <c r="F8" s="87">
        <v>0</v>
      </c>
      <c r="G8" s="87">
        <v>0</v>
      </c>
      <c r="H8" s="87">
        <f t="shared" si="0"/>
        <v>14752.82215273459</v>
      </c>
      <c r="I8" s="65">
        <f>VLOOKUP(A8,'Rate Application - REM Cycle I'!$1:$65535,15,FALSE)</f>
        <v>6404.5558703010038</v>
      </c>
      <c r="J8" s="19">
        <f>VLOOKUP(A8,'Rate Application - REM Cycle I'!$1:$65535,20,FALSE)</f>
        <v>0</v>
      </c>
      <c r="K8" s="11">
        <f t="shared" si="1"/>
        <v>14752.82215273459</v>
      </c>
      <c r="L8" s="11">
        <f t="shared" si="2"/>
        <v>94485273.72180301</v>
      </c>
      <c r="M8" s="36">
        <f>VLOOKUP(A8,'Variable Input'!$1:$1048576,23,FALSE)</f>
        <v>0.99671861092415948</v>
      </c>
      <c r="N8" s="22">
        <f t="shared" si="3"/>
        <v>94175230.77678448</v>
      </c>
      <c r="O8" s="19">
        <f t="shared" si="4"/>
        <v>14704.412403284789</v>
      </c>
      <c r="P8" s="18">
        <f>VLOOKUP(A8,'Rate Application - REM Cycle I'!$1:$65535,11,FALSE)</f>
        <v>0</v>
      </c>
      <c r="Q8" s="18">
        <f t="shared" si="5"/>
        <v>94175230.77678448</v>
      </c>
      <c r="R8" s="19">
        <f t="shared" si="6"/>
        <v>14704.412403284789</v>
      </c>
      <c r="S8" s="81">
        <f>VLOOKUP(A8,'Rate Application - REM Cycle I'!$1:$65535,9,FALSE)</f>
        <v>1.1180012832443968</v>
      </c>
      <c r="T8" s="19">
        <f t="shared" si="7"/>
        <v>105288028.85828227</v>
      </c>
      <c r="U8" s="22">
        <f t="shared" si="8"/>
        <v>16439.551936227221</v>
      </c>
      <c r="V8" s="88">
        <f>IFERROR(VLOOKUP(A8,'PAU Volume'!$AX:$AZ,3,FALSE),0)</f>
        <v>326.3815102216322</v>
      </c>
      <c r="W8" s="79">
        <f t="shared" si="9"/>
        <v>6730.937380522636</v>
      </c>
      <c r="X8" s="15">
        <f t="shared" si="10"/>
        <v>110653594.64659508</v>
      </c>
      <c r="Y8" s="11">
        <f>VLOOKUP(A8,'Rate Application - REM Cycle I'!$1:$65535,7,FALSE)</f>
        <v>115237915.49091636</v>
      </c>
      <c r="Z8" s="78">
        <f t="shared" si="11"/>
        <v>-3.9781358633501518E-2</v>
      </c>
      <c r="AA8" s="82">
        <f>IFERROR(VLOOKUP(A8,'GBR Revenue for ICC'!#REF!,17,FALSE),0)</f>
        <v>0</v>
      </c>
      <c r="AB8" s="82">
        <f t="shared" si="12"/>
        <v>0</v>
      </c>
      <c r="AC8" s="11">
        <f t="shared" si="13"/>
        <v>115237915.49091636</v>
      </c>
      <c r="AD8" s="11">
        <f t="shared" si="14"/>
        <v>110653594.64659508</v>
      </c>
      <c r="AE8" s="10">
        <v>1</v>
      </c>
      <c r="AG8" s="271"/>
    </row>
    <row r="9" spans="1:33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IF(C9=1,'Rate Application - REM Cycle I'!$X$65,IF(C9=3,'Rate Application - REM Cycle I'!$X$66,IF(C9=4,'Rate Application - REM Cycle I'!$X$67,IF(C9=5,'Rate Application - REM Cycle I'!$X$68,0))))</f>
        <v>14752.82215273459</v>
      </c>
      <c r="E9" s="87">
        <v>0</v>
      </c>
      <c r="F9" s="87">
        <v>0</v>
      </c>
      <c r="G9" s="87">
        <v>0</v>
      </c>
      <c r="H9" s="87">
        <f t="shared" si="0"/>
        <v>14752.82215273459</v>
      </c>
      <c r="I9" s="65">
        <f>VLOOKUP(A9,'Rate Application - REM Cycle I'!$1:$65535,15,FALSE)</f>
        <v>37187.68418079293</v>
      </c>
      <c r="J9" s="19">
        <f>VLOOKUP(A9,'Rate Application - REM Cycle I'!$1:$65535,20,FALSE)</f>
        <v>171.73315453928049</v>
      </c>
      <c r="K9" s="11">
        <f t="shared" si="1"/>
        <v>14924.555307273871</v>
      </c>
      <c r="L9" s="11">
        <f t="shared" si="2"/>
        <v>555009649.30567777</v>
      </c>
      <c r="M9" s="36">
        <f>VLOOKUP(A9,'Variable Input'!$1:$1048576,23,FALSE)</f>
        <v>0.99671861092415948</v>
      </c>
      <c r="N9" s="22">
        <f t="shared" si="3"/>
        <v>553188446.70546007</v>
      </c>
      <c r="O9" s="19">
        <f t="shared" si="4"/>
        <v>14875.582034526808</v>
      </c>
      <c r="P9" s="18">
        <f>VLOOKUP(A9,'Rate Application - REM Cycle I'!$1:$65535,11,FALSE)</f>
        <v>5003207.6874727393</v>
      </c>
      <c r="Q9" s="18">
        <f t="shared" si="5"/>
        <v>558191654.39293277</v>
      </c>
      <c r="R9" s="19">
        <f t="shared" si="6"/>
        <v>15010.121406840204</v>
      </c>
      <c r="S9" s="81">
        <f>VLOOKUP(A9,'Rate Application - REM Cycle I'!$1:$65535,9,FALSE)</f>
        <v>1.1102695565875482</v>
      </c>
      <c r="T9" s="19">
        <f t="shared" si="7"/>
        <v>619743200.61371148</v>
      </c>
      <c r="U9" s="22">
        <f t="shared" si="8"/>
        <v>16665.280838697741</v>
      </c>
      <c r="V9" s="88">
        <f>IFERROR(VLOOKUP(A9,'PAU Volume'!$AX:$AZ,3,FALSE),0)</f>
        <v>361.68554938791823</v>
      </c>
      <c r="W9" s="79">
        <f t="shared" si="9"/>
        <v>37549.36973018085</v>
      </c>
      <c r="X9" s="15">
        <f t="shared" si="10"/>
        <v>625770791.86955988</v>
      </c>
      <c r="Y9" s="11">
        <f>VLOOKUP(A9,'Rate Application - REM Cycle I'!$1:$65535,7,FALSE)</f>
        <v>630435213.30233288</v>
      </c>
      <c r="Z9" s="78">
        <f t="shared" si="11"/>
        <v>-7.3987323905019275E-3</v>
      </c>
      <c r="AA9" s="82">
        <f>IFERROR(VLOOKUP(A9,'GBR Revenue for ICC'!#REF!,17,FALSE),0)</f>
        <v>0</v>
      </c>
      <c r="AB9" s="82">
        <f t="shared" si="12"/>
        <v>0</v>
      </c>
      <c r="AC9" s="11">
        <f t="shared" si="13"/>
        <v>630435213.30233288</v>
      </c>
      <c r="AD9" s="11">
        <f t="shared" si="14"/>
        <v>625770791.86955988</v>
      </c>
      <c r="AE9" s="10">
        <v>1</v>
      </c>
      <c r="AG9" s="271"/>
    </row>
    <row r="10" spans="1:33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IF(C10=1,'Rate Application - REM Cycle I'!$X$65,IF(C10=3,'Rate Application - REM Cycle I'!$X$66,IF(C10=4,'Rate Application - REM Cycle I'!$X$67,IF(C10=5,'Rate Application - REM Cycle I'!$X$68,0))))</f>
        <v>16863.368236533166</v>
      </c>
      <c r="E10" s="87">
        <v>0</v>
      </c>
      <c r="F10" s="87">
        <v>0</v>
      </c>
      <c r="G10" s="87">
        <v>0</v>
      </c>
      <c r="H10" s="87">
        <f t="shared" si="0"/>
        <v>16863.368236533166</v>
      </c>
      <c r="I10" s="65">
        <f>VLOOKUP(A10,'Rate Application - REM Cycle I'!$1:$65535,15,FALSE)</f>
        <v>104111.82276682714</v>
      </c>
      <c r="J10" s="19">
        <f>VLOOKUP(A10,'Rate Application - REM Cycle I'!$1:$65535,20,FALSE)</f>
        <v>2718.743197387912</v>
      </c>
      <c r="K10" s="11">
        <f t="shared" si="1"/>
        <v>19582.111433921076</v>
      </c>
      <c r="L10" s="11">
        <f t="shared" si="2"/>
        <v>2038729315.0086503</v>
      </c>
      <c r="M10" s="36">
        <f>VLOOKUP(A10,'Variable Input'!$1:$1048576,23,FALSE)</f>
        <v>0.99671861092415948</v>
      </c>
      <c r="N10" s="22">
        <f t="shared" si="3"/>
        <v>2032039450.9057851</v>
      </c>
      <c r="O10" s="19">
        <f t="shared" si="4"/>
        <v>19517.854907379915</v>
      </c>
      <c r="P10" s="18">
        <f>VLOOKUP(A10,'Rate Application - REM Cycle I'!$1:$65535,11,FALSE)</f>
        <v>121878078.47076836</v>
      </c>
      <c r="Q10" s="18">
        <f t="shared" si="5"/>
        <v>2153917529.3765535</v>
      </c>
      <c r="R10" s="19">
        <f t="shared" si="6"/>
        <v>20688.500807449604</v>
      </c>
      <c r="S10" s="81">
        <f>VLOOKUP(A10,'Rate Application - REM Cycle I'!$1:$65535,9,FALSE)</f>
        <v>1.106052155233989</v>
      </c>
      <c r="T10" s="19">
        <f t="shared" si="7"/>
        <v>2382345125.5632057</v>
      </c>
      <c r="U10" s="22">
        <f t="shared" si="8"/>
        <v>22882.560906639756</v>
      </c>
      <c r="V10" s="88">
        <f>IFERROR(VLOOKUP(A10,'PAU Volume'!$AX:$AZ,3,FALSE),0)</f>
        <v>575.36949094230442</v>
      </c>
      <c r="W10" s="79">
        <f t="shared" si="9"/>
        <v>104687.19225776945</v>
      </c>
      <c r="X10" s="15">
        <f t="shared" si="10"/>
        <v>2395511052.9835153</v>
      </c>
      <c r="Y10" s="11">
        <f>VLOOKUP(A10,'Rate Application - REM Cycle I'!$1:$65535,7,FALSE)</f>
        <v>2426767253.0622015</v>
      </c>
      <c r="Z10" s="78">
        <f t="shared" si="11"/>
        <v>-1.2879768358191712E-2</v>
      </c>
      <c r="AA10" s="82">
        <f>IFERROR(VLOOKUP(A10,'GBR Revenue for ICC'!#REF!,17,FALSE),0)</f>
        <v>0</v>
      </c>
      <c r="AB10" s="82">
        <f t="shared" si="12"/>
        <v>0</v>
      </c>
      <c r="AC10" s="11">
        <f t="shared" si="13"/>
        <v>2426767253.0622015</v>
      </c>
      <c r="AD10" s="11">
        <f t="shared" si="14"/>
        <v>2395511052.9835153</v>
      </c>
      <c r="AE10" s="10">
        <v>1</v>
      </c>
      <c r="AG10" s="271"/>
    </row>
    <row r="11" spans="1:33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IF(C11=1,'Rate Application - REM Cycle I'!$X$65,IF(C11=3,'Rate Application - REM Cycle I'!$X$66,IF(C11=4,'Rate Application - REM Cycle I'!$X$67,IF(C11=5,'Rate Application - REM Cycle I'!$X$68,0))))</f>
        <v>0</v>
      </c>
      <c r="E11" s="87">
        <v>0</v>
      </c>
      <c r="F11" s="87">
        <v>0</v>
      </c>
      <c r="G11" s="87">
        <v>0</v>
      </c>
      <c r="H11" s="87">
        <f t="shared" si="0"/>
        <v>0</v>
      </c>
      <c r="I11" s="65">
        <f>VLOOKUP(A11,'Rate Application - REM Cycle I'!$1:$65535,15,FALSE)</f>
        <v>1185.4899110060007</v>
      </c>
      <c r="J11" s="19">
        <f>VLOOKUP(A11,'Rate Application - REM Cycle I'!$1:$65535,20,FALSE)</f>
        <v>0</v>
      </c>
      <c r="K11" s="11">
        <f t="shared" si="1"/>
        <v>0</v>
      </c>
      <c r="L11" s="11">
        <f t="shared" si="2"/>
        <v>0</v>
      </c>
      <c r="M11" s="36">
        <f>VLOOKUP(A11,'Variable Input'!$1:$1048576,23,FALSE)</f>
        <v>0.99671861092415948</v>
      </c>
      <c r="N11" s="22">
        <f t="shared" si="3"/>
        <v>0</v>
      </c>
      <c r="O11" s="19">
        <f t="shared" si="4"/>
        <v>0</v>
      </c>
      <c r="P11" s="18">
        <f>VLOOKUP(A11,'Rate Application - REM Cycle I'!$1:$65535,11,FALSE)</f>
        <v>62612.30027663122</v>
      </c>
      <c r="Q11" s="18">
        <f t="shared" si="5"/>
        <v>62612.30027663122</v>
      </c>
      <c r="R11" s="19">
        <f t="shared" si="6"/>
        <v>52.815548825294293</v>
      </c>
      <c r="S11" s="81">
        <f>VLOOKUP(A11,'Rate Application - REM Cycle I'!$1:$65535,9,FALSE)</f>
        <v>1.1237799950517624</v>
      </c>
      <c r="T11" s="19">
        <f t="shared" si="7"/>
        <v>70362.450495052093</v>
      </c>
      <c r="U11" s="22">
        <f t="shared" si="8"/>
        <v>59.35305719754534</v>
      </c>
      <c r="V11" s="88">
        <f>IFERROR(VLOOKUP(A11,'PAU Volume'!$AX:$AZ,3,FALSE),0)</f>
        <v>150.95420675019076</v>
      </c>
      <c r="W11" s="79">
        <f t="shared" si="9"/>
        <v>1336.4441177561914</v>
      </c>
      <c r="X11" s="15">
        <f t="shared" si="10"/>
        <v>79322.044162506252</v>
      </c>
      <c r="Y11" s="11">
        <f>VLOOKUP(A11,'Rate Application - REM Cycle I'!$1:$65535,7,FALSE)</f>
        <v>13980115.965862775</v>
      </c>
      <c r="Z11" s="78">
        <f t="shared" si="11"/>
        <v>-0.99432608110288945</v>
      </c>
      <c r="AA11" s="82">
        <f>IFERROR(VLOOKUP(A11,'GBR Revenue for ICC'!#REF!,17,FALSE),0)</f>
        <v>0</v>
      </c>
      <c r="AB11" s="82">
        <f t="shared" si="12"/>
        <v>0</v>
      </c>
      <c r="AC11" s="11">
        <f t="shared" si="13"/>
        <v>13980115.965862775</v>
      </c>
      <c r="AD11" s="11">
        <f t="shared" si="14"/>
        <v>79322.044162506252</v>
      </c>
      <c r="AE11" s="10">
        <v>1</v>
      </c>
      <c r="AG11" s="271"/>
    </row>
    <row r="12" spans="1:33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IF(C12=1,'Rate Application - REM Cycle I'!$X$65,IF(C12=3,'Rate Application - REM Cycle I'!$X$66,IF(C12=4,'Rate Application - REM Cycle I'!$X$67,IF(C12=5,'Rate Application - REM Cycle I'!$X$68,0))))</f>
        <v>14752.82215273459</v>
      </c>
      <c r="E12" s="87">
        <v>0</v>
      </c>
      <c r="F12" s="87">
        <v>0</v>
      </c>
      <c r="G12" s="87">
        <v>0</v>
      </c>
      <c r="H12" s="87">
        <f t="shared" si="0"/>
        <v>14752.82215273459</v>
      </c>
      <c r="I12" s="65">
        <f>VLOOKUP(A12,'Rate Application - REM Cycle I'!$1:$65535,15,FALSE)</f>
        <v>24239.679898120015</v>
      </c>
      <c r="J12" s="19">
        <f>VLOOKUP(A12,'Rate Application - REM Cycle I'!$1:$65535,20,FALSE)</f>
        <v>352.12016602018389</v>
      </c>
      <c r="K12" s="11">
        <f t="shared" si="1"/>
        <v>15104.942318754775</v>
      </c>
      <c r="L12" s="11">
        <f t="shared" si="2"/>
        <v>366138966.68618244</v>
      </c>
      <c r="M12" s="36">
        <f>VLOOKUP(A12,'Variable Input'!$1:$1048576,23,FALSE)</f>
        <v>0.99671861092415948</v>
      </c>
      <c r="N12" s="22">
        <f t="shared" si="3"/>
        <v>364937522.28065884</v>
      </c>
      <c r="O12" s="19">
        <f t="shared" si="4"/>
        <v>15055.377126038811</v>
      </c>
      <c r="P12" s="18">
        <f>VLOOKUP(A12,'Rate Application - REM Cycle I'!$1:$65535,11,FALSE)</f>
        <v>5944161.5154257026</v>
      </c>
      <c r="Q12" s="18">
        <f t="shared" si="5"/>
        <v>370881683.79608452</v>
      </c>
      <c r="R12" s="19">
        <f t="shared" si="6"/>
        <v>15300.601548985365</v>
      </c>
      <c r="S12" s="81">
        <f>VLOOKUP(A12,'Rate Application - REM Cycle I'!$1:$65535,9,FALSE)</f>
        <v>1.1208321340194023</v>
      </c>
      <c r="T12" s="19">
        <f t="shared" si="7"/>
        <v>415696109.11787456</v>
      </c>
      <c r="U12" s="22">
        <f t="shared" si="8"/>
        <v>17149.405885929838</v>
      </c>
      <c r="V12" s="88">
        <f>IFERROR(VLOOKUP(A12,'PAU Volume'!$AX:$AZ,3,FALSE),0)</f>
        <v>1654.6617448541529</v>
      </c>
      <c r="W12" s="79">
        <f t="shared" si="9"/>
        <v>25894.34164297417</v>
      </c>
      <c r="X12" s="15">
        <f t="shared" si="10"/>
        <v>444072574.98429936</v>
      </c>
      <c r="Y12" s="11">
        <f>VLOOKUP(A12,'Rate Application - REM Cycle I'!$1:$65535,7,FALSE)</f>
        <v>463292938.08589423</v>
      </c>
      <c r="Z12" s="78">
        <f t="shared" si="11"/>
        <v>-4.1486415012074729E-2</v>
      </c>
      <c r="AA12" s="82">
        <f>IFERROR(VLOOKUP(A12,'GBR Revenue for ICC'!#REF!,17,FALSE),0)</f>
        <v>0</v>
      </c>
      <c r="AB12" s="82">
        <f t="shared" si="12"/>
        <v>0</v>
      </c>
      <c r="AC12" s="11">
        <f t="shared" si="13"/>
        <v>463292938.08589423</v>
      </c>
      <c r="AD12" s="11">
        <f t="shared" si="14"/>
        <v>444072574.98429936</v>
      </c>
      <c r="AE12" s="10">
        <v>1</v>
      </c>
      <c r="AG12" s="271"/>
    </row>
    <row r="13" spans="1:33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IF(C13=1,'Rate Application - REM Cycle I'!$X$65,IF(C13=3,'Rate Application - REM Cycle I'!$X$66,IF(C13=4,'Rate Application - REM Cycle I'!$X$67,IF(C13=5,'Rate Application - REM Cycle I'!$X$68,0))))</f>
        <v>14752.82215273459</v>
      </c>
      <c r="E13" s="87">
        <v>0</v>
      </c>
      <c r="F13" s="87">
        <v>0</v>
      </c>
      <c r="G13" s="87">
        <v>0</v>
      </c>
      <c r="H13" s="87">
        <f t="shared" si="0"/>
        <v>14752.82215273459</v>
      </c>
      <c r="I13" s="65">
        <f>VLOOKUP(A13,'Rate Application - REM Cycle I'!$1:$65535,15,FALSE)</f>
        <v>39233.431532673072</v>
      </c>
      <c r="J13" s="19">
        <f>VLOOKUP(A13,'Rate Application - REM Cycle I'!$1:$65535,20,FALSE)</f>
        <v>423.6700340006721</v>
      </c>
      <c r="K13" s="11">
        <f t="shared" si="1"/>
        <v>15176.492186735262</v>
      </c>
      <c r="L13" s="11">
        <f t="shared" si="2"/>
        <v>595425867.11442578</v>
      </c>
      <c r="M13" s="36">
        <f>VLOOKUP(A13,'Variable Input'!$1:$1048576,23,FALSE)</f>
        <v>0.99671861092415948</v>
      </c>
      <c r="N13" s="22">
        <f t="shared" si="3"/>
        <v>593472043.17860365</v>
      </c>
      <c r="O13" s="19">
        <f t="shared" si="4"/>
        <v>15126.692211064132</v>
      </c>
      <c r="P13" s="18">
        <f>VLOOKUP(A13,'Rate Application - REM Cycle I'!$1:$65535,11,FALSE)</f>
        <v>20760568.355981968</v>
      </c>
      <c r="Q13" s="18">
        <f t="shared" si="5"/>
        <v>614232611.5345856</v>
      </c>
      <c r="R13" s="19">
        <f t="shared" si="6"/>
        <v>15655.847259321708</v>
      </c>
      <c r="S13" s="81">
        <f>VLOOKUP(A13,'Rate Application - REM Cycle I'!$1:$65535,9,FALSE)</f>
        <v>1.1214469245143464</v>
      </c>
      <c r="T13" s="19">
        <f t="shared" si="7"/>
        <v>688829273.14187622</v>
      </c>
      <c r="U13" s="22">
        <f t="shared" si="8"/>
        <v>17557.201759632688</v>
      </c>
      <c r="V13" s="88">
        <f>IFERROR(VLOOKUP(A13,'PAU Volume'!$AX:$AZ,3,FALSE),0)</f>
        <v>778.56440518458942</v>
      </c>
      <c r="W13" s="79">
        <f t="shared" si="9"/>
        <v>40011.99593785766</v>
      </c>
      <c r="X13" s="15">
        <f t="shared" si="10"/>
        <v>702498685.48657048</v>
      </c>
      <c r="Y13" s="11">
        <f>VLOOKUP(A13,'Rate Application - REM Cycle I'!$1:$65535,7,FALSE)</f>
        <v>853868775.33511937</v>
      </c>
      <c r="Z13" s="78">
        <f t="shared" si="11"/>
        <v>-0.17727558873333948</v>
      </c>
      <c r="AA13" s="82">
        <f>IFERROR(VLOOKUP(A13,'GBR Revenue for ICC'!#REF!,17,FALSE),0)</f>
        <v>0</v>
      </c>
      <c r="AB13" s="82">
        <f t="shared" si="12"/>
        <v>0</v>
      </c>
      <c r="AC13" s="11">
        <f t="shared" si="13"/>
        <v>853868775.33511937</v>
      </c>
      <c r="AD13" s="11">
        <f t="shared" si="14"/>
        <v>702498685.48657048</v>
      </c>
      <c r="AE13" s="10">
        <v>1</v>
      </c>
      <c r="AG13" s="271"/>
    </row>
    <row r="14" spans="1:33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IF(C14=1,'Rate Application - REM Cycle I'!$X$65,IF(C14=3,'Rate Application - REM Cycle I'!$X$66,IF(C14=4,'Rate Application - REM Cycle I'!$X$67,IF(C14=5,'Rate Application - REM Cycle I'!$X$68,0))))</f>
        <v>0</v>
      </c>
      <c r="E14" s="87">
        <v>0</v>
      </c>
      <c r="F14" s="87">
        <v>0</v>
      </c>
      <c r="G14" s="87">
        <v>0</v>
      </c>
      <c r="H14" s="87">
        <f t="shared" si="0"/>
        <v>0</v>
      </c>
      <c r="I14" s="65">
        <f>VLOOKUP(A14,'Rate Application - REM Cycle I'!$1:$65535,15,FALSE)</f>
        <v>1608.5265612699982</v>
      </c>
      <c r="J14" s="19">
        <f>VLOOKUP(A14,'Rate Application - REM Cycle I'!$1:$65535,20,FALSE)</f>
        <v>0</v>
      </c>
      <c r="K14" s="11">
        <f t="shared" si="1"/>
        <v>0</v>
      </c>
      <c r="L14" s="11">
        <f t="shared" si="2"/>
        <v>0</v>
      </c>
      <c r="M14" s="36">
        <f>VLOOKUP(A14,'Variable Input'!$1:$1048576,23,FALSE)</f>
        <v>0.99671861092415948</v>
      </c>
      <c r="N14" s="22">
        <f t="shared" si="3"/>
        <v>0</v>
      </c>
      <c r="O14" s="19">
        <f t="shared" si="4"/>
        <v>0</v>
      </c>
      <c r="P14" s="18">
        <f>VLOOKUP(A14,'Rate Application - REM Cycle I'!$1:$65535,11,FALSE)</f>
        <v>0</v>
      </c>
      <c r="Q14" s="18">
        <f t="shared" si="5"/>
        <v>0</v>
      </c>
      <c r="R14" s="19">
        <f t="shared" si="6"/>
        <v>0</v>
      </c>
      <c r="S14" s="81">
        <f>VLOOKUP(A14,'Rate Application - REM Cycle I'!$1:$65535,9,FALSE)</f>
        <v>1.1357641348932981</v>
      </c>
      <c r="T14" s="19">
        <f t="shared" si="7"/>
        <v>0</v>
      </c>
      <c r="U14" s="22">
        <f t="shared" si="8"/>
        <v>0</v>
      </c>
      <c r="V14" s="88">
        <f>IFERROR(VLOOKUP(A14,'PAU Volume'!$AX:$AZ,3,FALSE),0)</f>
        <v>152.05791062315805</v>
      </c>
      <c r="W14" s="79">
        <f t="shared" si="9"/>
        <v>1760.5844718931562</v>
      </c>
      <c r="X14" s="15">
        <f t="shared" si="10"/>
        <v>0</v>
      </c>
      <c r="Y14" s="11">
        <f>VLOOKUP(A14,'Rate Application - REM Cycle I'!$1:$65535,7,FALSE)</f>
        <v>24727459.158067033</v>
      </c>
      <c r="Z14" s="78">
        <f t="shared" si="11"/>
        <v>-1</v>
      </c>
      <c r="AA14" s="82">
        <f>IFERROR(VLOOKUP(A14,'GBR Revenue for ICC'!#REF!,17,FALSE),0)</f>
        <v>0</v>
      </c>
      <c r="AB14" s="82">
        <f t="shared" si="12"/>
        <v>0</v>
      </c>
      <c r="AC14" s="11">
        <f t="shared" si="13"/>
        <v>24727459.158067033</v>
      </c>
      <c r="AD14" s="11">
        <f t="shared" si="14"/>
        <v>0</v>
      </c>
      <c r="AE14" s="10">
        <v>1</v>
      </c>
      <c r="AG14" s="271"/>
    </row>
    <row r="15" spans="1:33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IF(C15=1,'Rate Application - REM Cycle I'!$X$65,IF(C15=3,'Rate Application - REM Cycle I'!$X$66,IF(C15=4,'Rate Application - REM Cycle I'!$X$67,IF(C15=5,'Rate Application - REM Cycle I'!$X$68,0))))</f>
        <v>14752.82215273459</v>
      </c>
      <c r="E15" s="87">
        <v>0</v>
      </c>
      <c r="F15" s="87">
        <v>0</v>
      </c>
      <c r="G15" s="87">
        <v>0</v>
      </c>
      <c r="H15" s="87">
        <f t="shared" si="0"/>
        <v>14752.82215273459</v>
      </c>
      <c r="I15" s="65">
        <f>VLOOKUP(A15,'Rate Application - REM Cycle I'!$1:$65535,15,FALSE)</f>
        <v>36896.780287905021</v>
      </c>
      <c r="J15" s="19">
        <f>VLOOKUP(A15,'Rate Application - REM Cycle I'!$1:$65535,20,FALSE)</f>
        <v>278.88145154984312</v>
      </c>
      <c r="K15" s="11">
        <f t="shared" si="1"/>
        <v>15031.703604284434</v>
      </c>
      <c r="L15" s="11">
        <f t="shared" si="2"/>
        <v>554621465.24019277</v>
      </c>
      <c r="M15" s="36">
        <f>VLOOKUP(A15,'Variable Input'!$1:$1048576,23,FALSE)</f>
        <v>0.99671861092415948</v>
      </c>
      <c r="N15" s="22">
        <f t="shared" si="3"/>
        <v>552801536.4229269</v>
      </c>
      <c r="O15" s="19">
        <f t="shared" si="4"/>
        <v>14982.378736286062</v>
      </c>
      <c r="P15" s="18">
        <f>VLOOKUP(A15,'Rate Application - REM Cycle I'!$1:$65535,11,FALSE)</f>
        <v>10719878.177063769</v>
      </c>
      <c r="Q15" s="18">
        <f t="shared" si="5"/>
        <v>563521414.59999073</v>
      </c>
      <c r="R15" s="19">
        <f t="shared" si="6"/>
        <v>15272.915690822929</v>
      </c>
      <c r="S15" s="81">
        <f>VLOOKUP(A15,'Rate Application - REM Cycle I'!$1:$65535,9,FALSE)</f>
        <v>1.1215228084765592</v>
      </c>
      <c r="T15" s="19">
        <f t="shared" si="7"/>
        <v>632002119.53886509</v>
      </c>
      <c r="U15" s="22">
        <f t="shared" si="8"/>
        <v>17128.923299197439</v>
      </c>
      <c r="V15" s="88">
        <f>IFERROR(VLOOKUP(A15,'PAU Volume'!$AX:$AZ,3,FALSE),0)</f>
        <v>1145.7804087483232</v>
      </c>
      <c r="W15" s="79">
        <f t="shared" si="9"/>
        <v>38042.560696653345</v>
      </c>
      <c r="X15" s="15">
        <f t="shared" si="10"/>
        <v>651628104.27803826</v>
      </c>
      <c r="Y15" s="11">
        <f>VLOOKUP(A15,'Rate Application - REM Cycle I'!$1:$65535,7,FALSE)</f>
        <v>604791227.6741339</v>
      </c>
      <c r="Z15" s="78">
        <f t="shared" si="11"/>
        <v>7.7443048874942466E-2</v>
      </c>
      <c r="AA15" s="82">
        <f>IFERROR(VLOOKUP(A15,'GBR Revenue for ICC'!#REF!,17,FALSE),0)</f>
        <v>0</v>
      </c>
      <c r="AB15" s="82">
        <f t="shared" si="12"/>
        <v>0</v>
      </c>
      <c r="AC15" s="11">
        <f t="shared" si="13"/>
        <v>604791227.6741339</v>
      </c>
      <c r="AD15" s="11">
        <f t="shared" si="14"/>
        <v>651628104.27803826</v>
      </c>
      <c r="AE15" s="10">
        <v>1</v>
      </c>
      <c r="AG15" s="271"/>
    </row>
    <row r="16" spans="1:33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IF(C16=1,'Rate Application - REM Cycle I'!$X$65,IF(C16=3,'Rate Application - REM Cycle I'!$X$66,IF(C16=4,'Rate Application - REM Cycle I'!$X$67,IF(C16=5,'Rate Application - REM Cycle I'!$X$68,0))))</f>
        <v>14752.82215273459</v>
      </c>
      <c r="E16" s="87">
        <v>0</v>
      </c>
      <c r="F16" s="87">
        <v>0</v>
      </c>
      <c r="G16" s="87">
        <v>0</v>
      </c>
      <c r="H16" s="87">
        <f t="shared" si="0"/>
        <v>14752.82215273459</v>
      </c>
      <c r="I16" s="65">
        <f>VLOOKUP(A16,'Rate Application - REM Cycle I'!$1:$65535,15,FALSE)</f>
        <v>19503.503490301038</v>
      </c>
      <c r="J16" s="19">
        <f>VLOOKUP(A16,'Rate Application - REM Cycle I'!$1:$65535,20,FALSE)</f>
        <v>0</v>
      </c>
      <c r="K16" s="11">
        <f t="shared" si="1"/>
        <v>14752.82215273459</v>
      </c>
      <c r="L16" s="11">
        <f t="shared" si="2"/>
        <v>287731718.34764957</v>
      </c>
      <c r="M16" s="36">
        <f>VLOOKUP(A16,'Variable Input'!$1:$1048576,23,FALSE)</f>
        <v>1.0181752931904677</v>
      </c>
      <c r="N16" s="22">
        <f t="shared" si="3"/>
        <v>292961326.68881518</v>
      </c>
      <c r="O16" s="19">
        <f t="shared" si="4"/>
        <v>15020.959020747368</v>
      </c>
      <c r="P16" s="18">
        <f>VLOOKUP(A16,'Rate Application - REM Cycle I'!$1:$65535,11,FALSE)</f>
        <v>0</v>
      </c>
      <c r="Q16" s="18">
        <f t="shared" si="5"/>
        <v>292961326.68881518</v>
      </c>
      <c r="R16" s="19">
        <f t="shared" si="6"/>
        <v>15020.959020747368</v>
      </c>
      <c r="S16" s="81">
        <f>VLOOKUP(A16,'Rate Application - REM Cycle I'!$1:$65535,9,FALSE)</f>
        <v>1.1206186736274211</v>
      </c>
      <c r="T16" s="19">
        <f t="shared" si="7"/>
        <v>328297933.33814967</v>
      </c>
      <c r="U16" s="22">
        <f t="shared" si="8"/>
        <v>16832.767174441764</v>
      </c>
      <c r="V16" s="88">
        <f>IFERROR(VLOOKUP(A16,'PAU Volume'!$AX:$AZ,3,FALSE),0)</f>
        <v>-563.66061534430389</v>
      </c>
      <c r="W16" s="79">
        <f t="shared" si="9"/>
        <v>18939.842874956736</v>
      </c>
      <c r="X16" s="15">
        <f t="shared" si="10"/>
        <v>318809965.43465644</v>
      </c>
      <c r="Y16" s="11">
        <f>VLOOKUP(A16,'Rate Application - REM Cycle I'!$1:$65535,7,FALSE)</f>
        <v>348939116.84586889</v>
      </c>
      <c r="Z16" s="78">
        <f t="shared" si="11"/>
        <v>-8.6345009649694604E-2</v>
      </c>
      <c r="AA16" s="82">
        <f>IFERROR(VLOOKUP(A16,'GBR Revenue for ICC'!#REF!,17,FALSE),0)</f>
        <v>0</v>
      </c>
      <c r="AB16" s="82">
        <f t="shared" si="12"/>
        <v>0</v>
      </c>
      <c r="AC16" s="11">
        <f t="shared" si="13"/>
        <v>348939116.84586889</v>
      </c>
      <c r="AD16" s="11">
        <f t="shared" si="14"/>
        <v>318809965.43465644</v>
      </c>
      <c r="AE16" s="10">
        <v>1</v>
      </c>
      <c r="AG16" s="271"/>
    </row>
    <row r="17" spans="1:33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IF(C17=1,'Rate Application - REM Cycle I'!$X$65,IF(C17=3,'Rate Application - REM Cycle I'!$X$66,IF(C17=4,'Rate Application - REM Cycle I'!$X$67,IF(C17=5,'Rate Application - REM Cycle I'!$X$68,0))))</f>
        <v>14752.82215273459</v>
      </c>
      <c r="E17" s="87">
        <v>0</v>
      </c>
      <c r="F17" s="87">
        <v>0</v>
      </c>
      <c r="G17" s="87">
        <v>0</v>
      </c>
      <c r="H17" s="87">
        <f t="shared" si="0"/>
        <v>14752.82215273459</v>
      </c>
      <c r="I17" s="65">
        <f>VLOOKUP(A17,'Rate Application - REM Cycle I'!$1:$65535,15,FALSE)</f>
        <v>5661.7590092090077</v>
      </c>
      <c r="J17" s="19">
        <f>VLOOKUP(A17,'Rate Application - REM Cycle I'!$1:$65535,20,FALSE)</f>
        <v>0</v>
      </c>
      <c r="K17" s="11">
        <f t="shared" si="1"/>
        <v>14752.82215273459</v>
      </c>
      <c r="L17" s="11">
        <f t="shared" si="2"/>
        <v>83526923.734503299</v>
      </c>
      <c r="M17" s="36">
        <f>VLOOKUP(A17,'Variable Input'!$1:$1048576,23,FALSE)</f>
        <v>0.99671861092415948</v>
      </c>
      <c r="N17" s="22">
        <f t="shared" si="3"/>
        <v>83252839.399422333</v>
      </c>
      <c r="O17" s="19">
        <f t="shared" si="4"/>
        <v>14704.412403284789</v>
      </c>
      <c r="P17" s="18">
        <f>VLOOKUP(A17,'Rate Application - REM Cycle I'!$1:$65535,11,FALSE)</f>
        <v>0</v>
      </c>
      <c r="Q17" s="18">
        <f t="shared" si="5"/>
        <v>83252839.399422333</v>
      </c>
      <c r="R17" s="19">
        <f t="shared" si="6"/>
        <v>14704.412403284789</v>
      </c>
      <c r="S17" s="81">
        <f>VLOOKUP(A17,'Rate Application - REM Cycle I'!$1:$65535,9,FALSE)</f>
        <v>1.1207568789217148</v>
      </c>
      <c r="T17" s="19">
        <f t="shared" si="7"/>
        <v>93306192.446667343</v>
      </c>
      <c r="U17" s="22">
        <f t="shared" si="8"/>
        <v>16480.071351483213</v>
      </c>
      <c r="V17" s="88">
        <f>IFERROR(VLOOKUP(A17,'PAU Volume'!$AX:$AZ,3,FALSE),0)</f>
        <v>67.809346583489727</v>
      </c>
      <c r="W17" s="79">
        <f t="shared" si="9"/>
        <v>5729.5683557924976</v>
      </c>
      <c r="X17" s="15">
        <f t="shared" si="10"/>
        <v>94423695.316660717</v>
      </c>
      <c r="Y17" s="11">
        <f>VLOOKUP(A17,'Rate Application - REM Cycle I'!$1:$65535,7,FALSE)</f>
        <v>73641018.606041223</v>
      </c>
      <c r="Z17" s="78">
        <f t="shared" si="11"/>
        <v>0.28221604078836804</v>
      </c>
      <c r="AA17" s="82">
        <f>IFERROR(VLOOKUP(A17,'GBR Revenue for ICC'!#REF!,17,FALSE),0)</f>
        <v>0</v>
      </c>
      <c r="AB17" s="82">
        <f t="shared" si="12"/>
        <v>0</v>
      </c>
      <c r="AC17" s="11">
        <f t="shared" si="13"/>
        <v>73641018.606041223</v>
      </c>
      <c r="AD17" s="11">
        <f t="shared" si="14"/>
        <v>94423695.316660717</v>
      </c>
      <c r="AE17" s="10">
        <v>1</v>
      </c>
      <c r="AG17" s="271"/>
    </row>
    <row r="18" spans="1:33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IF(C18=1,'Rate Application - REM Cycle I'!$X$65,IF(C18=3,'Rate Application - REM Cycle I'!$X$66,IF(C18=4,'Rate Application - REM Cycle I'!$X$67,IF(C18=5,'Rate Application - REM Cycle I'!$X$68,0))))</f>
        <v>14752.82215273459</v>
      </c>
      <c r="E18" s="87">
        <v>0</v>
      </c>
      <c r="F18" s="87">
        <v>0</v>
      </c>
      <c r="G18" s="87">
        <v>0</v>
      </c>
      <c r="H18" s="87">
        <f t="shared" si="0"/>
        <v>14752.82215273459</v>
      </c>
      <c r="I18" s="65">
        <f>VLOOKUP(A18,'Rate Application - REM Cycle I'!$1:$65535,15,FALSE)</f>
        <v>11828.629976083985</v>
      </c>
      <c r="J18" s="19">
        <f>VLOOKUP(A18,'Rate Application - REM Cycle I'!$1:$65535,20,FALSE)</f>
        <v>0</v>
      </c>
      <c r="K18" s="11">
        <f t="shared" si="1"/>
        <v>14752.82215273459</v>
      </c>
      <c r="L18" s="11">
        <f t="shared" si="2"/>
        <v>174505674.34767222</v>
      </c>
      <c r="M18" s="36">
        <f>VLOOKUP(A18,'Variable Input'!$1:$1048576,23,FALSE)</f>
        <v>1.0181752931904677</v>
      </c>
      <c r="N18" s="22">
        <f t="shared" si="3"/>
        <v>177677366.14234146</v>
      </c>
      <c r="O18" s="19">
        <f t="shared" si="4"/>
        <v>15020.959020747368</v>
      </c>
      <c r="P18" s="18">
        <f>VLOOKUP(A18,'Rate Application - REM Cycle I'!$1:$65535,11,FALSE)</f>
        <v>0</v>
      </c>
      <c r="Q18" s="18">
        <f t="shared" si="5"/>
        <v>177677366.14234146</v>
      </c>
      <c r="R18" s="19">
        <f t="shared" si="6"/>
        <v>15020.959020747368</v>
      </c>
      <c r="S18" s="81">
        <f>VLOOKUP(A18,'Rate Application - REM Cycle I'!$1:$65535,9,FALSE)</f>
        <v>1.1159266108518389</v>
      </c>
      <c r="T18" s="19">
        <f t="shared" si="7"/>
        <v>198274901.02430436</v>
      </c>
      <c r="U18" s="22">
        <f t="shared" si="8"/>
        <v>16762.287891766966</v>
      </c>
      <c r="V18" s="88">
        <f>IFERROR(VLOOKUP(A18,'PAU Volume'!$AX:$AZ,3,FALSE),0)</f>
        <v>389.63730493183124</v>
      </c>
      <c r="W18" s="79">
        <f t="shared" si="9"/>
        <v>12218.267281015816</v>
      </c>
      <c r="X18" s="15">
        <f t="shared" si="10"/>
        <v>204806113.70294392</v>
      </c>
      <c r="Y18" s="11">
        <f>VLOOKUP(A18,'Rate Application - REM Cycle I'!$1:$65535,7,FALSE)</f>
        <v>196654013.68149054</v>
      </c>
      <c r="Z18" s="78">
        <f t="shared" si="11"/>
        <v>4.1454023077590829E-2</v>
      </c>
      <c r="AA18" s="82">
        <f>IFERROR(VLOOKUP(A18,'GBR Revenue for ICC'!#REF!,17,FALSE),0)</f>
        <v>0</v>
      </c>
      <c r="AB18" s="82">
        <f t="shared" si="12"/>
        <v>0</v>
      </c>
      <c r="AC18" s="11">
        <f t="shared" si="13"/>
        <v>196654013.68149054</v>
      </c>
      <c r="AD18" s="11">
        <f t="shared" si="14"/>
        <v>204806113.70294392</v>
      </c>
      <c r="AE18" s="10">
        <v>1</v>
      </c>
      <c r="AG18" s="271"/>
    </row>
    <row r="19" spans="1:33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IF(C19=1,'Rate Application - REM Cycle I'!$X$65,IF(C19=3,'Rate Application - REM Cycle I'!$X$66,IF(C19=4,'Rate Application - REM Cycle I'!$X$67,IF(C19=5,'Rate Application - REM Cycle I'!$X$68,0))))</f>
        <v>14752.82215273459</v>
      </c>
      <c r="E19" s="87">
        <v>0</v>
      </c>
      <c r="F19" s="87">
        <v>0</v>
      </c>
      <c r="G19" s="87">
        <v>0</v>
      </c>
      <c r="H19" s="87">
        <f t="shared" si="0"/>
        <v>14752.82215273459</v>
      </c>
      <c r="I19" s="65">
        <f>VLOOKUP(A19,'Rate Application - REM Cycle I'!$1:$65535,15,FALSE)</f>
        <v>35575.296562612995</v>
      </c>
      <c r="J19" s="19">
        <f>VLOOKUP(A19,'Rate Application - REM Cycle I'!$1:$65535,20,FALSE)</f>
        <v>37.082155310001518</v>
      </c>
      <c r="K19" s="11">
        <f t="shared" si="1"/>
        <v>14789.904308044592</v>
      </c>
      <c r="L19" s="11">
        <f t="shared" si="2"/>
        <v>526155231.89135391</v>
      </c>
      <c r="M19" s="36">
        <f>VLOOKUP(A19,'Variable Input'!$1:$1048576,23,FALSE)</f>
        <v>0.99671861092415948</v>
      </c>
      <c r="N19" s="22">
        <f t="shared" si="3"/>
        <v>524428711.8612293</v>
      </c>
      <c r="O19" s="19">
        <f t="shared" si="4"/>
        <v>14741.372877615448</v>
      </c>
      <c r="P19" s="18">
        <f>VLOOKUP(A19,'Rate Application - REM Cycle I'!$1:$65535,11,FALSE)</f>
        <v>3385733.4707238162</v>
      </c>
      <c r="Q19" s="18">
        <f t="shared" si="5"/>
        <v>527814445.33195311</v>
      </c>
      <c r="R19" s="19">
        <f t="shared" si="6"/>
        <v>14836.543791082462</v>
      </c>
      <c r="S19" s="81">
        <f>VLOOKUP(A19,'Rate Application - REM Cycle I'!$1:$65535,9,FALSE)</f>
        <v>1.1235285459397526</v>
      </c>
      <c r="T19" s="19">
        <f t="shared" si="7"/>
        <v>593014596.28980637</v>
      </c>
      <c r="U19" s="22">
        <f t="shared" si="8"/>
        <v>16669.280472366347</v>
      </c>
      <c r="V19" s="88">
        <f>IFERROR(VLOOKUP(A19,'PAU Volume'!$AX:$AZ,3,FALSE),0)</f>
        <v>895.68887388813062</v>
      </c>
      <c r="W19" s="79">
        <f t="shared" si="9"/>
        <v>36470.985436501127</v>
      </c>
      <c r="X19" s="15">
        <f t="shared" si="10"/>
        <v>607945085.34462571</v>
      </c>
      <c r="Y19" s="11">
        <f>VLOOKUP(A19,'Rate Application - REM Cycle I'!$1:$65535,7,FALSE)</f>
        <v>514736173.59971368</v>
      </c>
      <c r="Z19" s="78">
        <f t="shared" si="11"/>
        <v>0.18108094306462363</v>
      </c>
      <c r="AA19" s="82">
        <f>IFERROR(VLOOKUP(A19,'GBR Revenue for ICC'!#REF!,17,FALSE),0)</f>
        <v>0</v>
      </c>
      <c r="AB19" s="82">
        <f t="shared" si="12"/>
        <v>0</v>
      </c>
      <c r="AC19" s="11">
        <f t="shared" si="13"/>
        <v>514736173.59971368</v>
      </c>
      <c r="AD19" s="11">
        <f t="shared" si="14"/>
        <v>607945085.34462571</v>
      </c>
      <c r="AE19" s="10">
        <v>1</v>
      </c>
      <c r="AG19" s="271"/>
    </row>
    <row r="20" spans="1:33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IF(C20=1,'Rate Application - REM Cycle I'!$X$65,IF(C20=3,'Rate Application - REM Cycle I'!$X$66,IF(C20=4,'Rate Application - REM Cycle I'!$X$67,IF(C20=5,'Rate Application - REM Cycle I'!$X$68,0))))</f>
        <v>14752.82215273459</v>
      </c>
      <c r="E20" s="87">
        <v>0</v>
      </c>
      <c r="F20" s="87">
        <v>0</v>
      </c>
      <c r="G20" s="87">
        <v>0</v>
      </c>
      <c r="H20" s="87">
        <f t="shared" si="0"/>
        <v>14752.82215273459</v>
      </c>
      <c r="I20" s="65">
        <f>VLOOKUP(A20,'Rate Application - REM Cycle I'!$1:$65535,15,FALSE)</f>
        <v>24909.085237375984</v>
      </c>
      <c r="J20" s="19">
        <f>VLOOKUP(A20,'Rate Application - REM Cycle I'!$1:$65535,20,FALSE)</f>
        <v>21.184377664013301</v>
      </c>
      <c r="K20" s="11">
        <f t="shared" si="1"/>
        <v>14774.006530398603</v>
      </c>
      <c r="L20" s="11">
        <f t="shared" si="2"/>
        <v>368006987.96324825</v>
      </c>
      <c r="M20" s="36">
        <f>VLOOKUP(A20,'Variable Input'!$1:$1048576,23,FALSE)</f>
        <v>1.0181752931904677</v>
      </c>
      <c r="N20" s="22">
        <f t="shared" si="3"/>
        <v>374695622.86562121</v>
      </c>
      <c r="O20" s="19">
        <f t="shared" si="4"/>
        <v>15042.528430686483</v>
      </c>
      <c r="P20" s="18">
        <f>VLOOKUP(A20,'Rate Application - REM Cycle I'!$1:$65535,11,FALSE)</f>
        <v>4332162.9357895656</v>
      </c>
      <c r="Q20" s="18">
        <f t="shared" si="5"/>
        <v>379027785.80141079</v>
      </c>
      <c r="R20" s="19">
        <f t="shared" si="6"/>
        <v>15216.447420264198</v>
      </c>
      <c r="S20" s="81">
        <f>VLOOKUP(A20,'Rate Application - REM Cycle I'!$1:$65535,9,FALSE)</f>
        <v>1.106961162419857</v>
      </c>
      <c r="T20" s="19">
        <f t="shared" si="7"/>
        <v>419569038.36015427</v>
      </c>
      <c r="U20" s="22">
        <f t="shared" si="8"/>
        <v>16844.016324236291</v>
      </c>
      <c r="V20" s="88">
        <f>IFERROR(VLOOKUP(A20,'PAU Volume'!$AX:$AZ,3,FALSE),0)</f>
        <v>528.64482335725529</v>
      </c>
      <c r="W20" s="79">
        <f t="shared" si="9"/>
        <v>25437.73006073324</v>
      </c>
      <c r="X20" s="15">
        <f t="shared" si="10"/>
        <v>428473540.39450687</v>
      </c>
      <c r="Y20" s="11">
        <f>VLOOKUP(A20,'Rate Application - REM Cycle I'!$1:$65535,7,FALSE)</f>
        <v>398364615.39914006</v>
      </c>
      <c r="Z20" s="78">
        <f t="shared" si="11"/>
        <v>7.5581323821141355E-2</v>
      </c>
      <c r="AA20" s="82">
        <f>IFERROR(VLOOKUP(A20,'GBR Revenue for ICC'!#REF!,17,FALSE),0)</f>
        <v>0</v>
      </c>
      <c r="AB20" s="82">
        <f t="shared" si="12"/>
        <v>0</v>
      </c>
      <c r="AC20" s="11">
        <f t="shared" si="13"/>
        <v>398364615.39914006</v>
      </c>
      <c r="AD20" s="11">
        <f t="shared" si="14"/>
        <v>428473540.39450687</v>
      </c>
      <c r="AE20" s="10">
        <v>1</v>
      </c>
      <c r="AG20" s="271"/>
    </row>
    <row r="21" spans="1:33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IF(C21=1,'Rate Application - REM Cycle I'!$X$65,IF(C21=3,'Rate Application - REM Cycle I'!$X$66,IF(C21=4,'Rate Application - REM Cycle I'!$X$67,IF(C21=5,'Rate Application - REM Cycle I'!$X$68,0))))</f>
        <v>14752.82215273459</v>
      </c>
      <c r="E21" s="87">
        <v>0</v>
      </c>
      <c r="F21" s="87">
        <v>0</v>
      </c>
      <c r="G21" s="87">
        <v>0</v>
      </c>
      <c r="H21" s="87">
        <f t="shared" si="0"/>
        <v>14752.82215273459</v>
      </c>
      <c r="I21" s="65">
        <f>VLOOKUP(A21,'Rate Application - REM Cycle I'!$1:$65535,15,FALSE)</f>
        <v>47800.030712699874</v>
      </c>
      <c r="J21" s="19">
        <f>VLOOKUP(A21,'Rate Application - REM Cycle I'!$1:$65535,20,FALSE)</f>
        <v>152.06768021239117</v>
      </c>
      <c r="K21" s="11">
        <f t="shared" si="1"/>
        <v>14904.889832946981</v>
      </c>
      <c r="L21" s="11">
        <f t="shared" si="2"/>
        <v>712454191.78427374</v>
      </c>
      <c r="M21" s="36">
        <f>VLOOKUP(A21,'Variable Input'!$1:$1048576,23,FALSE)</f>
        <v>0.99671861092415948</v>
      </c>
      <c r="N21" s="22">
        <f t="shared" si="3"/>
        <v>710116352.38231599</v>
      </c>
      <c r="O21" s="19">
        <f t="shared" si="4"/>
        <v>14855.98109027254</v>
      </c>
      <c r="P21" s="18">
        <f>VLOOKUP(A21,'Rate Application - REM Cycle I'!$1:$65535,11,FALSE)</f>
        <v>6692185.3853537869</v>
      </c>
      <c r="Q21" s="18">
        <f t="shared" si="5"/>
        <v>716808537.7676698</v>
      </c>
      <c r="R21" s="19">
        <f t="shared" si="6"/>
        <v>14995.984878671274</v>
      </c>
      <c r="S21" s="81">
        <f>VLOOKUP(A21,'Rate Application - REM Cycle I'!$1:$65535,9,FALSE)</f>
        <v>1.1086069567461017</v>
      </c>
      <c r="T21" s="19">
        <f t="shared" si="7"/>
        <v>794658931.62423944</v>
      </c>
      <c r="U21" s="22">
        <f t="shared" si="8"/>
        <v>16624.653159754318</v>
      </c>
      <c r="V21" s="88">
        <f>IFERROR(VLOOKUP(A21,'PAU Volume'!$AX:$AZ,3,FALSE),0)</f>
        <v>-1311.7021578670669</v>
      </c>
      <c r="W21" s="79">
        <f t="shared" si="9"/>
        <v>46488.328554832806</v>
      </c>
      <c r="X21" s="15">
        <f t="shared" si="10"/>
        <v>772852338.20079815</v>
      </c>
      <c r="Y21" s="11">
        <f>VLOOKUP(A21,'Rate Application - REM Cycle I'!$1:$65535,7,FALSE)</f>
        <v>712352222.34826219</v>
      </c>
      <c r="Z21" s="78">
        <f t="shared" si="11"/>
        <v>8.4930058410006559E-2</v>
      </c>
      <c r="AA21" s="82">
        <f>IFERROR(VLOOKUP(A21,'GBR Revenue for ICC'!#REF!,17,FALSE),0)</f>
        <v>0</v>
      </c>
      <c r="AB21" s="82">
        <f t="shared" si="12"/>
        <v>0</v>
      </c>
      <c r="AC21" s="11">
        <f t="shared" si="13"/>
        <v>712352222.34826219</v>
      </c>
      <c r="AD21" s="11">
        <f t="shared" si="14"/>
        <v>772852338.20079815</v>
      </c>
      <c r="AE21" s="10">
        <v>1</v>
      </c>
      <c r="AG21" s="271"/>
    </row>
    <row r="22" spans="1:33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IF(C22=1,'Rate Application - REM Cycle I'!$X$65,IF(C22=3,'Rate Application - REM Cycle I'!$X$66,IF(C22=4,'Rate Application - REM Cycle I'!$X$67,IF(C22=5,'Rate Application - REM Cycle I'!$X$68,0))))</f>
        <v>14752.82215273459</v>
      </c>
      <c r="E22" s="87">
        <v>0</v>
      </c>
      <c r="F22" s="87">
        <v>0</v>
      </c>
      <c r="G22" s="87">
        <v>0</v>
      </c>
      <c r="H22" s="87">
        <f t="shared" si="0"/>
        <v>14752.82215273459</v>
      </c>
      <c r="I22" s="65">
        <f>VLOOKUP(A22,'Rate Application - REM Cycle I'!$1:$65535,15,FALSE)</f>
        <v>26999.26188542712</v>
      </c>
      <c r="J22" s="19">
        <f>VLOOKUP(A22,'Rate Application - REM Cycle I'!$1:$65535,20,FALSE)</f>
        <v>429.97606252364841</v>
      </c>
      <c r="K22" s="11">
        <f t="shared" si="1"/>
        <v>15182.798215258239</v>
      </c>
      <c r="L22" s="11">
        <f t="shared" si="2"/>
        <v>409924345.16735268</v>
      </c>
      <c r="M22" s="36">
        <f>VLOOKUP(A22,'Variable Input'!$1:$1048576,23,FALSE)</f>
        <v>0.99671861092415948</v>
      </c>
      <c r="N22" s="22">
        <f t="shared" si="3"/>
        <v>408579223.89919943</v>
      </c>
      <c r="O22" s="19">
        <f t="shared" si="4"/>
        <v>15132.977547053999</v>
      </c>
      <c r="P22" s="18">
        <f>VLOOKUP(A22,'Rate Application - REM Cycle I'!$1:$65535,11,FALSE)</f>
        <v>12196844.09297953</v>
      </c>
      <c r="Q22" s="18">
        <f t="shared" si="5"/>
        <v>420776067.99217898</v>
      </c>
      <c r="R22" s="19">
        <f t="shared" si="6"/>
        <v>15584.724863137584</v>
      </c>
      <c r="S22" s="81">
        <f>VLOOKUP(A22,'Rate Application - REM Cycle I'!$1:$65535,9,FALSE)</f>
        <v>1.1223202362274129</v>
      </c>
      <c r="T22" s="19">
        <f t="shared" si="7"/>
        <v>472245496.02782428</v>
      </c>
      <c r="U22" s="22">
        <f t="shared" si="8"/>
        <v>17491.052089935809</v>
      </c>
      <c r="V22" s="88">
        <f>IFERROR(VLOOKUP(A22,'PAU Volume'!$AX:$AZ,3,FALSE),0)</f>
        <v>519.93028670117792</v>
      </c>
      <c r="W22" s="79">
        <f t="shared" si="9"/>
        <v>27519.1921721283</v>
      </c>
      <c r="X22" s="15">
        <f t="shared" si="10"/>
        <v>481339623.75564986</v>
      </c>
      <c r="Y22" s="11">
        <f>VLOOKUP(A22,'Rate Application - REM Cycle I'!$1:$65535,7,FALSE)</f>
        <v>481596679.12083691</v>
      </c>
      <c r="Z22" s="78">
        <f t="shared" si="11"/>
        <v>-5.337565152158108E-4</v>
      </c>
      <c r="AA22" s="82">
        <f>IFERROR(VLOOKUP(A22,'GBR Revenue for ICC'!#REF!,17,FALSE),0)</f>
        <v>0</v>
      </c>
      <c r="AB22" s="82">
        <f t="shared" si="12"/>
        <v>0</v>
      </c>
      <c r="AC22" s="11">
        <f t="shared" si="13"/>
        <v>481596679.12083691</v>
      </c>
      <c r="AD22" s="11">
        <f t="shared" si="14"/>
        <v>481339623.75564986</v>
      </c>
      <c r="AE22" s="10">
        <v>1</v>
      </c>
      <c r="AG22" s="271"/>
    </row>
    <row r="23" spans="1:33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IF(C23=1,'Rate Application - REM Cycle I'!$X$65,IF(C23=3,'Rate Application - REM Cycle I'!$X$66,IF(C23=4,'Rate Application - REM Cycle I'!$X$67,IF(C23=5,'Rate Application - REM Cycle I'!$X$68,0))))</f>
        <v>14752.82215273459</v>
      </c>
      <c r="E23" s="87">
        <v>0</v>
      </c>
      <c r="F23" s="87">
        <v>0</v>
      </c>
      <c r="G23" s="87">
        <v>0</v>
      </c>
      <c r="H23" s="87">
        <f t="shared" si="0"/>
        <v>14752.82215273459</v>
      </c>
      <c r="I23" s="65">
        <f>VLOOKUP(A23,'Rate Application - REM Cycle I'!$1:$65535,15,FALSE)</f>
        <v>22692.781590576982</v>
      </c>
      <c r="J23" s="19">
        <f>VLOOKUP(A23,'Rate Application - REM Cycle I'!$1:$65535,20,FALSE)</f>
        <v>0</v>
      </c>
      <c r="K23" s="11">
        <f t="shared" si="1"/>
        <v>14752.82215273459</v>
      </c>
      <c r="L23" s="11">
        <f t="shared" si="2"/>
        <v>334782570.95663178</v>
      </c>
      <c r="M23" s="36">
        <f>VLOOKUP(A23,'Variable Input'!$1:$1048576,23,FALSE)</f>
        <v>0.99671861092415948</v>
      </c>
      <c r="N23" s="22">
        <f t="shared" si="3"/>
        <v>333684019.08551288</v>
      </c>
      <c r="O23" s="19">
        <f t="shared" si="4"/>
        <v>14704.412403284789</v>
      </c>
      <c r="P23" s="18">
        <f>VLOOKUP(A23,'Rate Application - REM Cycle I'!$1:$65535,11,FALSE)</f>
        <v>1887638.9011087576</v>
      </c>
      <c r="Q23" s="18">
        <f t="shared" si="5"/>
        <v>335571657.98662162</v>
      </c>
      <c r="R23" s="19">
        <f t="shared" si="6"/>
        <v>14787.594753300997</v>
      </c>
      <c r="S23" s="81">
        <f>VLOOKUP(A23,'Rate Application - REM Cycle I'!$1:$65535,9,FALSE)</f>
        <v>1.1268001645719641</v>
      </c>
      <c r="T23" s="19">
        <f t="shared" si="7"/>
        <v>378122199.44501209</v>
      </c>
      <c r="U23" s="22">
        <f t="shared" si="8"/>
        <v>16662.664201643074</v>
      </c>
      <c r="V23" s="88">
        <f>IFERROR(VLOOKUP(A23,'PAU Volume'!$AX:$AZ,3,FALSE),0)</f>
        <v>181.91222036402647</v>
      </c>
      <c r="W23" s="79">
        <f t="shared" si="9"/>
        <v>22874.693810941008</v>
      </c>
      <c r="X23" s="15">
        <f t="shared" si="10"/>
        <v>381153341.68711311</v>
      </c>
      <c r="Y23" s="11">
        <f>VLOOKUP(A23,'Rate Application - REM Cycle I'!$1:$65535,7,FALSE)</f>
        <v>346927138.42145127</v>
      </c>
      <c r="Z23" s="78">
        <f t="shared" si="11"/>
        <v>9.8655306763818063E-2</v>
      </c>
      <c r="AA23" s="82">
        <f>IFERROR(VLOOKUP(A23,'GBR Revenue for ICC'!#REF!,17,FALSE),0)</f>
        <v>0</v>
      </c>
      <c r="AB23" s="82">
        <f t="shared" si="12"/>
        <v>0</v>
      </c>
      <c r="AC23" s="11">
        <f t="shared" si="13"/>
        <v>346927138.42145127</v>
      </c>
      <c r="AD23" s="11">
        <f t="shared" si="14"/>
        <v>381153341.68711311</v>
      </c>
      <c r="AE23" s="10">
        <v>1</v>
      </c>
      <c r="AG23" s="271"/>
    </row>
    <row r="24" spans="1:33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IF(C24=1,'Rate Application - REM Cycle I'!$X$65,IF(C24=3,'Rate Application - REM Cycle I'!$X$66,IF(C24=4,'Rate Application - REM Cycle I'!$X$67,IF(C24=5,'Rate Application - REM Cycle I'!$X$68,0))))</f>
        <v>14752.82215273459</v>
      </c>
      <c r="E24" s="87">
        <v>0</v>
      </c>
      <c r="F24" s="87">
        <v>0</v>
      </c>
      <c r="G24" s="87">
        <v>0</v>
      </c>
      <c r="H24" s="87">
        <f t="shared" si="0"/>
        <v>14752.82215273459</v>
      </c>
      <c r="I24" s="65">
        <f>VLOOKUP(A24,'Rate Application - REM Cycle I'!$1:$65535,15,FALSE)</f>
        <v>14672.575577466996</v>
      </c>
      <c r="J24" s="19">
        <f>VLOOKUP(A24,'Rate Application - REM Cycle I'!$1:$65535,20,FALSE)</f>
        <v>0</v>
      </c>
      <c r="K24" s="11">
        <f t="shared" si="1"/>
        <v>14752.82215273459</v>
      </c>
      <c r="L24" s="11">
        <f t="shared" si="2"/>
        <v>216461898.01692763</v>
      </c>
      <c r="M24" s="36">
        <f>VLOOKUP(A24,'Variable Input'!$1:$1048576,23,FALSE)</f>
        <v>0.99671861092415948</v>
      </c>
      <c r="N24" s="22">
        <f t="shared" si="3"/>
        <v>215751602.30943918</v>
      </c>
      <c r="O24" s="19">
        <f t="shared" si="4"/>
        <v>14704.41240328479</v>
      </c>
      <c r="P24" s="18">
        <f>VLOOKUP(A24,'Rate Application - REM Cycle I'!$1:$65535,11,FALSE)</f>
        <v>0</v>
      </c>
      <c r="Q24" s="18">
        <f t="shared" si="5"/>
        <v>215751602.30943918</v>
      </c>
      <c r="R24" s="19">
        <f t="shared" si="6"/>
        <v>14704.41240328479</v>
      </c>
      <c r="S24" s="81">
        <f>VLOOKUP(A24,'Rate Application - REM Cycle I'!$1:$65535,9,FALSE)</f>
        <v>1.1136722213908725</v>
      </c>
      <c r="T24" s="19">
        <f t="shared" si="7"/>
        <v>240276566.21259323</v>
      </c>
      <c r="U24" s="22">
        <f t="shared" si="8"/>
        <v>16375.89562541367</v>
      </c>
      <c r="V24" s="88">
        <f>IFERROR(VLOOKUP(A24,'PAU Volume'!$AX:$AZ,3,FALSE),0)</f>
        <v>437.57428336017193</v>
      </c>
      <c r="W24" s="79">
        <f t="shared" si="9"/>
        <v>15110.149860827169</v>
      </c>
      <c r="X24" s="15">
        <f t="shared" si="10"/>
        <v>247442237.00526461</v>
      </c>
      <c r="Y24" s="11">
        <f>VLOOKUP(A24,'Rate Application - REM Cycle I'!$1:$65535,7,FALSE)</f>
        <v>208234246.15730399</v>
      </c>
      <c r="Z24" s="78">
        <f t="shared" si="11"/>
        <v>0.18828790927282046</v>
      </c>
      <c r="AA24" s="82">
        <f>IFERROR(VLOOKUP(A24,'GBR Revenue for ICC'!#REF!,17,FALSE),0)</f>
        <v>0</v>
      </c>
      <c r="AB24" s="82">
        <f t="shared" si="12"/>
        <v>0</v>
      </c>
      <c r="AC24" s="11">
        <f t="shared" si="13"/>
        <v>208234246.15730399</v>
      </c>
      <c r="AD24" s="11">
        <f t="shared" si="14"/>
        <v>247442237.00526461</v>
      </c>
      <c r="AE24" s="10">
        <v>1</v>
      </c>
      <c r="AG24" s="271"/>
    </row>
    <row r="25" spans="1:33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IF(C25=1,'Rate Application - REM Cycle I'!$X$65,IF(C25=3,'Rate Application - REM Cycle I'!$X$66,IF(C25=4,'Rate Application - REM Cycle I'!$X$67,IF(C25=5,'Rate Application - REM Cycle I'!$X$68,0))))</f>
        <v>14752.82215273459</v>
      </c>
      <c r="E25" s="87">
        <v>0</v>
      </c>
      <c r="F25" s="87">
        <v>0</v>
      </c>
      <c r="G25" s="87">
        <v>0</v>
      </c>
      <c r="H25" s="87">
        <f t="shared" si="0"/>
        <v>14752.82215273459</v>
      </c>
      <c r="I25" s="65">
        <f>VLOOKUP(A25,'Rate Application - REM Cycle I'!$1:$65535,15,FALSE)</f>
        <v>35540.799933832066</v>
      </c>
      <c r="J25" s="19">
        <f>VLOOKUP(A25,'Rate Application - REM Cycle I'!$1:$65535,20,FALSE)</f>
        <v>523.78238472766361</v>
      </c>
      <c r="K25" s="11">
        <f t="shared" si="1"/>
        <v>15276.604537462254</v>
      </c>
      <c r="L25" s="11">
        <f t="shared" si="2"/>
        <v>542942745.53421712</v>
      </c>
      <c r="M25" s="36">
        <f>VLOOKUP(A25,'Variable Input'!$1:$1048576,23,FALSE)</f>
        <v>0.99671861092415948</v>
      </c>
      <c r="N25" s="22">
        <f t="shared" si="3"/>
        <v>541161139.14021432</v>
      </c>
      <c r="O25" s="19">
        <f t="shared" si="4"/>
        <v>15226.476054217092</v>
      </c>
      <c r="P25" s="18">
        <f>VLOOKUP(A25,'Rate Application - REM Cycle I'!$1:$65535,11,FALSE)</f>
        <v>27476780.845164478</v>
      </c>
      <c r="Q25" s="18">
        <f t="shared" si="5"/>
        <v>568637919.98537874</v>
      </c>
      <c r="R25" s="19">
        <f t="shared" si="6"/>
        <v>15999.581355626153</v>
      </c>
      <c r="S25" s="81">
        <f>VLOOKUP(A25,'Rate Application - REM Cycle I'!$1:$65535,9,FALSE)</f>
        <v>1.1160480491569686</v>
      </c>
      <c r="T25" s="19">
        <f t="shared" si="7"/>
        <v>634627241.27635837</v>
      </c>
      <c r="U25" s="22">
        <f t="shared" si="8"/>
        <v>17856.301559274776</v>
      </c>
      <c r="V25" s="88">
        <f>IFERROR(VLOOKUP(A25,'PAU Volume'!$AX:$AZ,3,FALSE),0)</f>
        <v>687.5622884232024</v>
      </c>
      <c r="W25" s="79">
        <f t="shared" si="9"/>
        <v>36228.362222255266</v>
      </c>
      <c r="X25" s="15">
        <f t="shared" si="10"/>
        <v>646904560.83922815</v>
      </c>
      <c r="Y25" s="11">
        <f>VLOOKUP(A25,'Rate Application - REM Cycle I'!$1:$65535,7,FALSE)</f>
        <v>714563622.53195643</v>
      </c>
      <c r="Z25" s="78">
        <f t="shared" si="11"/>
        <v>-9.4685846801139784E-2</v>
      </c>
      <c r="AA25" s="82">
        <f>IFERROR(VLOOKUP(A25,'GBR Revenue for ICC'!#REF!,17,FALSE),0)</f>
        <v>0</v>
      </c>
      <c r="AB25" s="82">
        <f t="shared" si="12"/>
        <v>0</v>
      </c>
      <c r="AC25" s="11">
        <f t="shared" si="13"/>
        <v>714563622.53195643</v>
      </c>
      <c r="AD25" s="11">
        <f t="shared" si="14"/>
        <v>646904560.83922815</v>
      </c>
      <c r="AE25" s="10">
        <v>1</v>
      </c>
      <c r="AG25" s="271"/>
    </row>
    <row r="26" spans="1:33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IF(C26=1,'Rate Application - REM Cycle I'!$X$65,IF(C26=3,'Rate Application - REM Cycle I'!$X$66,IF(C26=4,'Rate Application - REM Cycle I'!$X$67,IF(C26=5,'Rate Application - REM Cycle I'!$X$68,0))))</f>
        <v>14752.82215273459</v>
      </c>
      <c r="E26" s="87">
        <v>0</v>
      </c>
      <c r="F26" s="87">
        <v>0</v>
      </c>
      <c r="G26" s="87">
        <v>0</v>
      </c>
      <c r="H26" s="87">
        <f t="shared" si="0"/>
        <v>14752.82215273459</v>
      </c>
      <c r="I26" s="65">
        <f>VLOOKUP(A26,'Rate Application - REM Cycle I'!$1:$65535,15,FALSE)</f>
        <v>2175.2241478610003</v>
      </c>
      <c r="J26" s="19">
        <f>VLOOKUP(A26,'Rate Application - REM Cycle I'!$1:$65535,20,FALSE)</f>
        <v>0</v>
      </c>
      <c r="K26" s="11">
        <f t="shared" si="1"/>
        <v>14752.82215273459</v>
      </c>
      <c r="L26" s="11">
        <f t="shared" si="2"/>
        <v>32090694.995726988</v>
      </c>
      <c r="M26" s="36">
        <f>VLOOKUP(A26,'Variable Input'!$1:$1048576,23,FALSE)</f>
        <v>0.99671861092415948</v>
      </c>
      <c r="N26" s="22">
        <f t="shared" si="3"/>
        <v>31985392.939731877</v>
      </c>
      <c r="O26" s="19">
        <f t="shared" si="4"/>
        <v>14704.412403284789</v>
      </c>
      <c r="P26" s="18">
        <f>VLOOKUP(A26,'Rate Application - REM Cycle I'!$1:$65535,11,FALSE)</f>
        <v>208535.14400062207</v>
      </c>
      <c r="Q26" s="18">
        <f t="shared" si="5"/>
        <v>32193928.083732501</v>
      </c>
      <c r="R26" s="19">
        <f t="shared" si="6"/>
        <v>14800.280750556349</v>
      </c>
      <c r="S26" s="81">
        <f>VLOOKUP(A26,'Rate Application - REM Cycle I'!$1:$65535,9,FALSE)</f>
        <v>1.1237498376689119</v>
      </c>
      <c r="T26" s="19">
        <f t="shared" si="7"/>
        <v>36177921.458019018</v>
      </c>
      <c r="U26" s="22">
        <f t="shared" si="8"/>
        <v>16631.813090892017</v>
      </c>
      <c r="V26" s="88">
        <f>IFERROR(VLOOKUP(A26,'PAU Volume'!$AX:$AZ,3,FALSE),0)</f>
        <v>101.34107967410326</v>
      </c>
      <c r="W26" s="79">
        <f t="shared" si="9"/>
        <v>2276.5652275351035</v>
      </c>
      <c r="X26" s="15">
        <f t="shared" si="10"/>
        <v>37863407.353587903</v>
      </c>
      <c r="Y26" s="11">
        <f>VLOOKUP(A26,'Rate Application - REM Cycle I'!$1:$65535,7,FALSE)</f>
        <v>53886862.099348657</v>
      </c>
      <c r="Z26" s="78">
        <f t="shared" si="11"/>
        <v>-0.29735364282705989</v>
      </c>
      <c r="AA26" s="82">
        <f>IFERROR(VLOOKUP(A26,'GBR Revenue for ICC'!#REF!,17,FALSE),0)</f>
        <v>0</v>
      </c>
      <c r="AB26" s="82">
        <f t="shared" si="12"/>
        <v>0</v>
      </c>
      <c r="AC26" s="11">
        <f t="shared" si="13"/>
        <v>53886862.099348657</v>
      </c>
      <c r="AD26" s="11">
        <f t="shared" si="14"/>
        <v>37863407.353587903</v>
      </c>
      <c r="AE26" s="10">
        <v>1</v>
      </c>
      <c r="AG26" s="271"/>
    </row>
    <row r="27" spans="1:33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IF(C27=1,'Rate Application - REM Cycle I'!$X$65,IF(C27=3,'Rate Application - REM Cycle I'!$X$66,IF(C27=4,'Rate Application - REM Cycle I'!$X$67,IF(C27=5,'Rate Application - REM Cycle I'!$X$68,0))))</f>
        <v>14752.82215273459</v>
      </c>
      <c r="E27" s="87">
        <v>0</v>
      </c>
      <c r="F27" s="87">
        <v>0</v>
      </c>
      <c r="G27" s="87">
        <v>0</v>
      </c>
      <c r="H27" s="87">
        <f t="shared" si="0"/>
        <v>14752.82215273459</v>
      </c>
      <c r="I27" s="65">
        <f>VLOOKUP(A27,'Rate Application - REM Cycle I'!$1:$65535,15,FALSE)</f>
        <v>10926.435215269013</v>
      </c>
      <c r="J27" s="19">
        <f>VLOOKUP(A27,'Rate Application - REM Cycle I'!$1:$65535,20,FALSE)</f>
        <v>0</v>
      </c>
      <c r="K27" s="11">
        <f t="shared" si="1"/>
        <v>14752.82215273459</v>
      </c>
      <c r="L27" s="11">
        <f t="shared" si="2"/>
        <v>161195755.49424005</v>
      </c>
      <c r="M27" s="36">
        <f>VLOOKUP(A27,'Variable Input'!$1:$1048576,23,FALSE)</f>
        <v>0.99671861092415948</v>
      </c>
      <c r="N27" s="22">
        <f t="shared" si="3"/>
        <v>160666809.5030894</v>
      </c>
      <c r="O27" s="19">
        <f t="shared" si="4"/>
        <v>14704.41240328479</v>
      </c>
      <c r="P27" s="18">
        <f>VLOOKUP(A27,'Rate Application - REM Cycle I'!$1:$65535,11,FALSE)</f>
        <v>0</v>
      </c>
      <c r="Q27" s="18">
        <f t="shared" si="5"/>
        <v>160666809.5030894</v>
      </c>
      <c r="R27" s="19">
        <f t="shared" si="6"/>
        <v>14704.41240328479</v>
      </c>
      <c r="S27" s="81">
        <f>VLOOKUP(A27,'Rate Application - REM Cycle I'!$1:$65535,9,FALSE)</f>
        <v>1.1182795268578634</v>
      </c>
      <c r="T27" s="19">
        <f t="shared" si="7"/>
        <v>179670403.71287727</v>
      </c>
      <c r="U27" s="22">
        <f t="shared" si="8"/>
        <v>16443.643345068213</v>
      </c>
      <c r="V27" s="88">
        <f>IFERROR(VLOOKUP(A27,'PAU Volume'!$AX:$AZ,3,FALSE),0)</f>
        <v>-503.20552908257918</v>
      </c>
      <c r="W27" s="79">
        <f t="shared" si="9"/>
        <v>10423.229686186434</v>
      </c>
      <c r="X27" s="15">
        <f t="shared" si="10"/>
        <v>171395871.463377</v>
      </c>
      <c r="Y27" s="11">
        <f>VLOOKUP(A27,'Rate Application - REM Cycle I'!$1:$65535,7,FALSE)</f>
        <v>188376183.84885556</v>
      </c>
      <c r="Z27" s="78">
        <f t="shared" si="11"/>
        <v>-9.0140441527909787E-2</v>
      </c>
      <c r="AA27" s="82">
        <f>IFERROR(VLOOKUP(A27,'GBR Revenue for ICC'!#REF!,17,FALSE),0)</f>
        <v>0</v>
      </c>
      <c r="AB27" s="82">
        <f t="shared" si="12"/>
        <v>0</v>
      </c>
      <c r="AC27" s="11">
        <f t="shared" si="13"/>
        <v>188376183.84885556</v>
      </c>
      <c r="AD27" s="11">
        <f t="shared" si="14"/>
        <v>171395871.463377</v>
      </c>
      <c r="AE27" s="10">
        <v>1</v>
      </c>
      <c r="AG27" s="271"/>
    </row>
    <row r="28" spans="1:33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IF(C28=1,'Rate Application - REM Cycle I'!$X$65,IF(C28=3,'Rate Application - REM Cycle I'!$X$66,IF(C28=4,'Rate Application - REM Cycle I'!$X$67,IF(C28=5,'Rate Application - REM Cycle I'!$X$68,0))))</f>
        <v>14752.82215273459</v>
      </c>
      <c r="E28" s="87">
        <v>0</v>
      </c>
      <c r="F28" s="87">
        <v>0</v>
      </c>
      <c r="G28" s="87">
        <v>0</v>
      </c>
      <c r="H28" s="87">
        <f t="shared" si="0"/>
        <v>14752.82215273459</v>
      </c>
      <c r="I28" s="65">
        <f>VLOOKUP(A28,'Rate Application - REM Cycle I'!$1:$65535,15,FALSE)</f>
        <v>16462.876928917998</v>
      </c>
      <c r="J28" s="19">
        <f>VLOOKUP(A28,'Rate Application - REM Cycle I'!$1:$65535,20,FALSE)</f>
        <v>0</v>
      </c>
      <c r="K28" s="11">
        <f t="shared" si="1"/>
        <v>14752.82215273459</v>
      </c>
      <c r="L28" s="11">
        <f t="shared" si="2"/>
        <v>242873895.45468464</v>
      </c>
      <c r="M28" s="36">
        <f>VLOOKUP(A28,'Variable Input'!$1:$1048576,23,FALSE)</f>
        <v>0.99671861092415948</v>
      </c>
      <c r="N28" s="22">
        <f t="shared" si="3"/>
        <v>242076931.70733282</v>
      </c>
      <c r="O28" s="19">
        <f t="shared" si="4"/>
        <v>14704.41240328479</v>
      </c>
      <c r="P28" s="18">
        <f>VLOOKUP(A28,'Rate Application - REM Cycle I'!$1:$65535,11,FALSE)</f>
        <v>0</v>
      </c>
      <c r="Q28" s="18">
        <f t="shared" si="5"/>
        <v>242076931.70733282</v>
      </c>
      <c r="R28" s="19">
        <f t="shared" si="6"/>
        <v>14704.41240328479</v>
      </c>
      <c r="S28" s="81">
        <f>VLOOKUP(A28,'Rate Application - REM Cycle I'!$1:$65535,9,FALSE)</f>
        <v>1.1165021686409196</v>
      </c>
      <c r="T28" s="19">
        <f t="shared" si="7"/>
        <v>270279419.22917688</v>
      </c>
      <c r="U28" s="22">
        <f t="shared" si="8"/>
        <v>16417.508336857903</v>
      </c>
      <c r="V28" s="88">
        <f>IFERROR(VLOOKUP(A28,'PAU Volume'!$AX:$AZ,3,FALSE),0)</f>
        <v>244.15669929131019</v>
      </c>
      <c r="W28" s="79">
        <f t="shared" si="9"/>
        <v>16707.033628209309</v>
      </c>
      <c r="X28" s="15">
        <f t="shared" si="10"/>
        <v>274287863.87529165</v>
      </c>
      <c r="Y28" s="11">
        <f>VLOOKUP(A28,'Rate Application - REM Cycle I'!$1:$65535,7,FALSE)</f>
        <v>270127753.60721987</v>
      </c>
      <c r="Z28" s="78">
        <f t="shared" si="11"/>
        <v>1.5400528870205488E-2</v>
      </c>
      <c r="AA28" s="82">
        <f>IFERROR(VLOOKUP(A28,'GBR Revenue for ICC'!#REF!,17,FALSE),0)</f>
        <v>0</v>
      </c>
      <c r="AB28" s="82">
        <f t="shared" si="12"/>
        <v>0</v>
      </c>
      <c r="AC28" s="11">
        <f t="shared" si="13"/>
        <v>270127753.60721987</v>
      </c>
      <c r="AD28" s="11">
        <f t="shared" si="14"/>
        <v>274287863.87529165</v>
      </c>
      <c r="AE28" s="10">
        <v>1</v>
      </c>
      <c r="AG28" s="271"/>
    </row>
    <row r="29" spans="1:33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IF(C29=1,'Rate Application - REM Cycle I'!$X$65,IF(C29=3,'Rate Application - REM Cycle I'!$X$66,IF(C29=4,'Rate Application - REM Cycle I'!$X$67,IF(C29=5,'Rate Application - REM Cycle I'!$X$68,0))))</f>
        <v>14752.82215273459</v>
      </c>
      <c r="E29" s="87">
        <v>0</v>
      </c>
      <c r="F29" s="87">
        <v>0</v>
      </c>
      <c r="G29" s="87">
        <v>0</v>
      </c>
      <c r="H29" s="87">
        <f t="shared" si="0"/>
        <v>14752.82215273459</v>
      </c>
      <c r="I29" s="65">
        <f>VLOOKUP(A29,'Rate Application - REM Cycle I'!$1:$65535,15,FALSE)</f>
        <v>11637.098158323013</v>
      </c>
      <c r="J29" s="19">
        <f>VLOOKUP(A29,'Rate Application - REM Cycle I'!$1:$65535,20,FALSE)</f>
        <v>219.3949496707223</v>
      </c>
      <c r="K29" s="11">
        <f t="shared" si="1"/>
        <v>14972.217102405313</v>
      </c>
      <c r="L29" s="11">
        <f t="shared" si="2"/>
        <v>174233160.0684132</v>
      </c>
      <c r="M29" s="36">
        <f>VLOOKUP(A29,'Variable Input'!$1:$1048576,23,FALSE)</f>
        <v>0.99671861092415948</v>
      </c>
      <c r="N29" s="22">
        <f t="shared" si="3"/>
        <v>173661433.28031555</v>
      </c>
      <c r="O29" s="19">
        <f t="shared" si="4"/>
        <v>14923.087432764369</v>
      </c>
      <c r="P29" s="18">
        <f>VLOOKUP(A29,'Rate Application - REM Cycle I'!$1:$65535,11,FALSE)</f>
        <v>2578337.9692581748</v>
      </c>
      <c r="Q29" s="18">
        <f t="shared" si="5"/>
        <v>176239771.24957374</v>
      </c>
      <c r="R29" s="19">
        <f t="shared" si="6"/>
        <v>15144.649366347798</v>
      </c>
      <c r="S29" s="81">
        <f>VLOOKUP(A29,'Rate Application - REM Cycle I'!$1:$65535,9,FALSE)</f>
        <v>1.1252449607173489</v>
      </c>
      <c r="T29" s="19">
        <f t="shared" si="7"/>
        <v>198312914.47656116</v>
      </c>
      <c r="U29" s="22">
        <f t="shared" si="8"/>
        <v>17041.440381314049</v>
      </c>
      <c r="V29" s="88">
        <f>IFERROR(VLOOKUP(A29,'PAU Volume'!$AX:$AZ,3,FALSE),0)</f>
        <v>446.58010102652418</v>
      </c>
      <c r="W29" s="79">
        <f t="shared" si="9"/>
        <v>12083.678259349537</v>
      </c>
      <c r="X29" s="15">
        <f t="shared" si="10"/>
        <v>205923282.64368585</v>
      </c>
      <c r="Y29" s="11">
        <f>VLOOKUP(A29,'Rate Application - REM Cycle I'!$1:$65535,7,FALSE)</f>
        <v>207708721.24780929</v>
      </c>
      <c r="Z29" s="78">
        <f t="shared" si="11"/>
        <v>-8.595876925135526E-3</v>
      </c>
      <c r="AA29" s="82">
        <f>IFERROR(VLOOKUP(A29,'GBR Revenue for ICC'!#REF!,17,FALSE),0)</f>
        <v>0</v>
      </c>
      <c r="AB29" s="82">
        <f t="shared" si="12"/>
        <v>0</v>
      </c>
      <c r="AC29" s="11">
        <f t="shared" si="13"/>
        <v>207708721.24780929</v>
      </c>
      <c r="AD29" s="11">
        <f t="shared" si="14"/>
        <v>205923282.64368585</v>
      </c>
      <c r="AE29" s="10">
        <v>1</v>
      </c>
      <c r="AG29" s="271"/>
    </row>
    <row r="30" spans="1:33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IF(C30=1,'Rate Application - REM Cycle I'!$X$65,IF(C30=3,'Rate Application - REM Cycle I'!$X$66,IF(C30=4,'Rate Application - REM Cycle I'!$X$67,IF(C30=5,'Rate Application - REM Cycle I'!$X$68,0))))</f>
        <v>14752.82215273459</v>
      </c>
      <c r="E30" s="87">
        <v>0</v>
      </c>
      <c r="F30" s="87">
        <v>0</v>
      </c>
      <c r="G30" s="87">
        <v>0</v>
      </c>
      <c r="H30" s="87">
        <f t="shared" si="0"/>
        <v>14752.82215273459</v>
      </c>
      <c r="I30" s="65">
        <f>VLOOKUP(A30,'Rate Application - REM Cycle I'!$1:$65535,15,FALSE)</f>
        <v>12134.106723412984</v>
      </c>
      <c r="J30" s="19">
        <f>VLOOKUP(A30,'Rate Application - REM Cycle I'!$1:$65535,20,FALSE)</f>
        <v>0</v>
      </c>
      <c r="K30" s="11">
        <f t="shared" si="1"/>
        <v>14752.82215273459</v>
      </c>
      <c r="L30" s="11">
        <f t="shared" si="2"/>
        <v>179012318.4728128</v>
      </c>
      <c r="M30" s="36">
        <f>VLOOKUP(A30,'Variable Input'!$1:$1048576,23,FALSE)</f>
        <v>0.99671861092415948</v>
      </c>
      <c r="N30" s="22">
        <f t="shared" si="3"/>
        <v>178424909.40653524</v>
      </c>
      <c r="O30" s="19">
        <f t="shared" si="4"/>
        <v>14704.412403284789</v>
      </c>
      <c r="P30" s="18">
        <f>VLOOKUP(A30,'Rate Application - REM Cycle I'!$1:$65535,11,FALSE)</f>
        <v>0</v>
      </c>
      <c r="Q30" s="18">
        <f t="shared" si="5"/>
        <v>178424909.40653524</v>
      </c>
      <c r="R30" s="19">
        <f t="shared" si="6"/>
        <v>14704.412403284789</v>
      </c>
      <c r="S30" s="81">
        <f>VLOOKUP(A30,'Rate Application - REM Cycle I'!$1:$65535,9,FALSE)</f>
        <v>1.1148847928711076</v>
      </c>
      <c r="T30" s="19">
        <f t="shared" si="7"/>
        <v>198923218.16675118</v>
      </c>
      <c r="U30" s="22">
        <f t="shared" si="8"/>
        <v>16393.725776527506</v>
      </c>
      <c r="V30" s="88">
        <f>IFERROR(VLOOKUP(A30,'PAU Volume'!$AX:$AZ,3,FALSE),0)</f>
        <v>115.78799861804177</v>
      </c>
      <c r="W30" s="79">
        <f t="shared" si="9"/>
        <v>12249.894722031026</v>
      </c>
      <c r="X30" s="15">
        <f t="shared" si="10"/>
        <v>200821414.86430827</v>
      </c>
      <c r="Y30" s="11">
        <f>VLOOKUP(A30,'Rate Application - REM Cycle I'!$1:$65535,7,FALSE)</f>
        <v>178746811.03130147</v>
      </c>
      <c r="Z30" s="78">
        <f t="shared" si="11"/>
        <v>0.1234964904025122</v>
      </c>
      <c r="AA30" s="82">
        <f>IFERROR(VLOOKUP(A30,'GBR Revenue for ICC'!#REF!,17,FALSE),0)</f>
        <v>0</v>
      </c>
      <c r="AB30" s="82">
        <f t="shared" si="12"/>
        <v>0</v>
      </c>
      <c r="AC30" s="11">
        <f t="shared" si="13"/>
        <v>178746811.03130147</v>
      </c>
      <c r="AD30" s="11">
        <f t="shared" si="14"/>
        <v>200821414.86430827</v>
      </c>
      <c r="AE30" s="10">
        <v>1</v>
      </c>
      <c r="AG30" s="271"/>
    </row>
    <row r="31" spans="1:33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IF(C31=1,'Rate Application - REM Cycle I'!$X$65,IF(C31=3,'Rate Application - REM Cycle I'!$X$66,IF(C31=4,'Rate Application - REM Cycle I'!$X$67,IF(C31=5,'Rate Application - REM Cycle I'!$X$68,0))))</f>
        <v>14752.82215273459</v>
      </c>
      <c r="E31" s="87">
        <v>0</v>
      </c>
      <c r="F31" s="87">
        <v>0</v>
      </c>
      <c r="G31" s="87">
        <v>0</v>
      </c>
      <c r="H31" s="87">
        <f t="shared" si="0"/>
        <v>14752.82215273459</v>
      </c>
      <c r="I31" s="65">
        <f>VLOOKUP(A31,'Rate Application - REM Cycle I'!$1:$65535,15,FALSE)</f>
        <v>14334.792159748988</v>
      </c>
      <c r="J31" s="19">
        <f>VLOOKUP(A31,'Rate Application - REM Cycle I'!$1:$65535,20,FALSE)</f>
        <v>0</v>
      </c>
      <c r="K31" s="11">
        <f t="shared" si="1"/>
        <v>14752.82215273459</v>
      </c>
      <c r="L31" s="11">
        <f t="shared" si="2"/>
        <v>211478639.329191</v>
      </c>
      <c r="M31" s="36">
        <f>VLOOKUP(A31,'Variable Input'!$1:$1048576,23,FALSE)</f>
        <v>0.99671861092415948</v>
      </c>
      <c r="N31" s="22">
        <f t="shared" si="3"/>
        <v>210784695.63232258</v>
      </c>
      <c r="O31" s="19">
        <f t="shared" si="4"/>
        <v>14704.41240328479</v>
      </c>
      <c r="P31" s="18">
        <f>VLOOKUP(A31,'Rate Application - REM Cycle I'!$1:$65535,11,FALSE)</f>
        <v>832816.30724702065</v>
      </c>
      <c r="Q31" s="18">
        <f t="shared" si="5"/>
        <v>211617511.93956959</v>
      </c>
      <c r="R31" s="19">
        <f t="shared" si="6"/>
        <v>14762.509953494517</v>
      </c>
      <c r="S31" s="81">
        <f>VLOOKUP(A31,'Rate Application - REM Cycle I'!$1:$65535,9,FALSE)</f>
        <v>1.1240965147015685</v>
      </c>
      <c r="T31" s="19">
        <f t="shared" si="7"/>
        <v>237878507.62108773</v>
      </c>
      <c r="U31" s="22">
        <f t="shared" si="8"/>
        <v>16594.485986970401</v>
      </c>
      <c r="V31" s="88">
        <f>IFERROR(VLOOKUP(A31,'PAU Volume'!$AX:$AZ,3,FALSE),0)</f>
        <v>157.86666074242012</v>
      </c>
      <c r="W31" s="79">
        <f t="shared" si="9"/>
        <v>14492.658820491408</v>
      </c>
      <c r="X31" s="15">
        <f t="shared" si="10"/>
        <v>240498223.71058765</v>
      </c>
      <c r="Y31" s="11">
        <f>VLOOKUP(A31,'Rate Application - REM Cycle I'!$1:$65535,7,FALSE)</f>
        <v>263996559.9878093</v>
      </c>
      <c r="Z31" s="78">
        <f t="shared" si="11"/>
        <v>-8.9010009366435439E-2</v>
      </c>
      <c r="AA31" s="82">
        <f>IFERROR(VLOOKUP(A31,'GBR Revenue for ICC'!#REF!,17,FALSE),0)</f>
        <v>0</v>
      </c>
      <c r="AB31" s="82">
        <f t="shared" si="12"/>
        <v>0</v>
      </c>
      <c r="AC31" s="11">
        <f t="shared" si="13"/>
        <v>263996559.9878093</v>
      </c>
      <c r="AD31" s="11">
        <f t="shared" si="14"/>
        <v>240498223.71058765</v>
      </c>
      <c r="AE31" s="10">
        <v>1</v>
      </c>
      <c r="AG31" s="271"/>
    </row>
    <row r="32" spans="1:33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IF(C32=1,'Rate Application - REM Cycle I'!$X$65,IF(C32=3,'Rate Application - REM Cycle I'!$X$66,IF(C32=4,'Rate Application - REM Cycle I'!$X$67,IF(C32=5,'Rate Application - REM Cycle I'!$X$68,0))))</f>
        <v>14752.82215273459</v>
      </c>
      <c r="E32" s="87">
        <v>0</v>
      </c>
      <c r="F32" s="87">
        <v>0</v>
      </c>
      <c r="G32" s="87">
        <v>0</v>
      </c>
      <c r="H32" s="87">
        <f t="shared" si="0"/>
        <v>14752.82215273459</v>
      </c>
      <c r="I32" s="65">
        <f>VLOOKUP(A32,'Rate Application - REM Cycle I'!$1:$65535,15,FALSE)</f>
        <v>10658.398211444006</v>
      </c>
      <c r="J32" s="19">
        <f>VLOOKUP(A32,'Rate Application - REM Cycle I'!$1:$65535,20,FALSE)</f>
        <v>458.6754750324082</v>
      </c>
      <c r="K32" s="11">
        <f t="shared" si="1"/>
        <v>15211.497627766999</v>
      </c>
      <c r="L32" s="11">
        <f t="shared" si="2"/>
        <v>162130199.10917652</v>
      </c>
      <c r="M32" s="36">
        <f>VLOOKUP(A32,'Variable Input'!$1:$1048576,23,FALSE)</f>
        <v>0.99671861092415948</v>
      </c>
      <c r="N32" s="22">
        <f t="shared" si="3"/>
        <v>161598186.8449558</v>
      </c>
      <c r="O32" s="19">
        <f t="shared" si="4"/>
        <v>15161.582785624068</v>
      </c>
      <c r="P32" s="18">
        <f>VLOOKUP(A32,'Rate Application - REM Cycle I'!$1:$65535,11,FALSE)</f>
        <v>2754406.3071728726</v>
      </c>
      <c r="Q32" s="18">
        <f t="shared" si="5"/>
        <v>164352593.15212867</v>
      </c>
      <c r="R32" s="19">
        <f t="shared" si="6"/>
        <v>15420.008700337541</v>
      </c>
      <c r="S32" s="81">
        <f>VLOOKUP(A32,'Rate Application - REM Cycle I'!$1:$65535,9,FALSE)</f>
        <v>1.1259331913445376</v>
      </c>
      <c r="T32" s="19">
        <f t="shared" si="7"/>
        <v>185050039.71352664</v>
      </c>
      <c r="U32" s="22">
        <f t="shared" si="8"/>
        <v>17361.899606531584</v>
      </c>
      <c r="V32" s="88">
        <f>IFERROR(VLOOKUP(A32,'PAU Volume'!$AX:$AZ,3,FALSE),0)</f>
        <v>190.30303516036531</v>
      </c>
      <c r="W32" s="79">
        <f t="shared" si="9"/>
        <v>10848.701246604371</v>
      </c>
      <c r="X32" s="15">
        <f t="shared" si="10"/>
        <v>188354061.90479913</v>
      </c>
      <c r="Y32" s="11">
        <f>VLOOKUP(A32,'Rate Application - REM Cycle I'!$1:$65535,7,FALSE)</f>
        <v>245342788.39216566</v>
      </c>
      <c r="Z32" s="78">
        <f t="shared" si="11"/>
        <v>-0.23228205263679269</v>
      </c>
      <c r="AA32" s="82">
        <f>IFERROR(VLOOKUP(A32,'GBR Revenue for ICC'!#REF!,17,FALSE),0)</f>
        <v>0</v>
      </c>
      <c r="AB32" s="82">
        <f t="shared" si="12"/>
        <v>0</v>
      </c>
      <c r="AC32" s="11">
        <f t="shared" si="13"/>
        <v>245342788.39216566</v>
      </c>
      <c r="AD32" s="11">
        <f t="shared" si="14"/>
        <v>188354061.90479913</v>
      </c>
      <c r="AE32" s="10">
        <v>1</v>
      </c>
      <c r="AG32" s="271"/>
    </row>
    <row r="33" spans="1:33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IF(C33=1,'Rate Application - REM Cycle I'!$X$65,IF(C33=3,'Rate Application - REM Cycle I'!$X$66,IF(C33=4,'Rate Application - REM Cycle I'!$X$67,IF(C33=5,'Rate Application - REM Cycle I'!$X$68,0))))</f>
        <v>14752.82215273459</v>
      </c>
      <c r="E33" s="87">
        <v>0</v>
      </c>
      <c r="F33" s="87">
        <v>0</v>
      </c>
      <c r="G33" s="87">
        <v>0</v>
      </c>
      <c r="H33" s="87">
        <f t="shared" si="0"/>
        <v>14752.82215273459</v>
      </c>
      <c r="I33" s="65">
        <f>VLOOKUP(A33,'Rate Application - REM Cycle I'!$1:$65535,15,FALSE)</f>
        <v>10412.594138032973</v>
      </c>
      <c r="J33" s="19">
        <f>VLOOKUP(A33,'Rate Application - REM Cycle I'!$1:$65535,20,FALSE)</f>
        <v>0</v>
      </c>
      <c r="K33" s="11">
        <f t="shared" si="1"/>
        <v>14752.82215273459</v>
      </c>
      <c r="L33" s="11">
        <f t="shared" si="2"/>
        <v>153615149.46700719</v>
      </c>
      <c r="M33" s="36">
        <f>VLOOKUP(A33,'Variable Input'!$1:$1048576,23,FALSE)</f>
        <v>0.99671861092415948</v>
      </c>
      <c r="N33" s="22">
        <f t="shared" si="3"/>
        <v>153111078.39366254</v>
      </c>
      <c r="O33" s="19">
        <f t="shared" si="4"/>
        <v>14704.41240328479</v>
      </c>
      <c r="P33" s="18">
        <f>VLOOKUP(A33,'Rate Application - REM Cycle I'!$1:$65535,11,FALSE)</f>
        <v>0</v>
      </c>
      <c r="Q33" s="18">
        <f t="shared" si="5"/>
        <v>153111078.39366254</v>
      </c>
      <c r="R33" s="19">
        <f t="shared" si="6"/>
        <v>14704.41240328479</v>
      </c>
      <c r="S33" s="81">
        <f>VLOOKUP(A33,'Rate Application - REM Cycle I'!$1:$65535,9,FALSE)</f>
        <v>1.1205505604288228</v>
      </c>
      <c r="T33" s="19">
        <f t="shared" si="7"/>
        <v>171568704.70187998</v>
      </c>
      <c r="U33" s="22">
        <f t="shared" si="8"/>
        <v>16477.037559277305</v>
      </c>
      <c r="V33" s="88">
        <f>IFERROR(VLOOKUP(A33,'PAU Volume'!$AX:$AZ,3,FALSE),0)</f>
        <v>-535.51929151537263</v>
      </c>
      <c r="W33" s="79">
        <f t="shared" si="9"/>
        <v>9877.0748465176002</v>
      </c>
      <c r="X33" s="15">
        <f t="shared" si="10"/>
        <v>162744933.22186363</v>
      </c>
      <c r="Y33" s="11">
        <f>VLOOKUP(A33,'Rate Application - REM Cycle I'!$1:$65535,7,FALSE)</f>
        <v>167288474.26448706</v>
      </c>
      <c r="Z33" s="78">
        <f t="shared" si="11"/>
        <v>-2.7159916800006068E-2</v>
      </c>
      <c r="AA33" s="82">
        <f>IFERROR(VLOOKUP(A33,'GBR Revenue for ICC'!#REF!,17,FALSE),0)</f>
        <v>0</v>
      </c>
      <c r="AB33" s="82">
        <f t="shared" si="12"/>
        <v>0</v>
      </c>
      <c r="AC33" s="11">
        <f t="shared" si="13"/>
        <v>167288474.26448706</v>
      </c>
      <c r="AD33" s="11">
        <f t="shared" si="14"/>
        <v>162744933.22186363</v>
      </c>
      <c r="AE33" s="10">
        <v>1</v>
      </c>
      <c r="AG33" s="271"/>
    </row>
    <row r="34" spans="1:33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IF(C34=1,'Rate Application - REM Cycle I'!$X$65,IF(C34=3,'Rate Application - REM Cycle I'!$X$66,IF(C34=4,'Rate Application - REM Cycle I'!$X$67,IF(C34=5,'Rate Application - REM Cycle I'!$X$68,0))))</f>
        <v>14752.82215273459</v>
      </c>
      <c r="E34" s="87">
        <v>0</v>
      </c>
      <c r="F34" s="87">
        <v>0</v>
      </c>
      <c r="G34" s="87">
        <v>0</v>
      </c>
      <c r="H34" s="87">
        <f t="shared" si="0"/>
        <v>14752.82215273459</v>
      </c>
      <c r="I34" s="65">
        <f>VLOOKUP(A34,'Rate Application - REM Cycle I'!$1:$65535,15,FALSE)</f>
        <v>15965.725843327995</v>
      </c>
      <c r="J34" s="19">
        <f>VLOOKUP(A34,'Rate Application - REM Cycle I'!$1:$65535,20,FALSE)</f>
        <v>0</v>
      </c>
      <c r="K34" s="11">
        <f t="shared" si="1"/>
        <v>14752.82215273459</v>
      </c>
      <c r="L34" s="11">
        <f t="shared" si="2"/>
        <v>235539513.90593639</v>
      </c>
      <c r="M34" s="36">
        <f>VLOOKUP(A34,'Variable Input'!$1:$1048576,23,FALSE)</f>
        <v>0.99671861092415948</v>
      </c>
      <c r="N34" s="22">
        <f t="shared" si="3"/>
        <v>234766617.11807665</v>
      </c>
      <c r="O34" s="19">
        <f t="shared" si="4"/>
        <v>14704.412403284789</v>
      </c>
      <c r="P34" s="18">
        <f>VLOOKUP(A34,'Rate Application - REM Cycle I'!$1:$65535,11,FALSE)</f>
        <v>0</v>
      </c>
      <c r="Q34" s="18">
        <f t="shared" si="5"/>
        <v>234766617.11807665</v>
      </c>
      <c r="R34" s="19">
        <f t="shared" si="6"/>
        <v>14704.412403284789</v>
      </c>
      <c r="S34" s="81">
        <f>VLOOKUP(A34,'Rate Application - REM Cycle I'!$1:$65535,9,FALSE)</f>
        <v>1.120710322524318</v>
      </c>
      <c r="T34" s="19">
        <f t="shared" si="7"/>
        <v>263105371.18834275</v>
      </c>
      <c r="U34" s="22">
        <f t="shared" si="8"/>
        <v>16479.386767015876</v>
      </c>
      <c r="V34" s="88">
        <f>IFERROR(VLOOKUP(A34,'PAU Volume'!$AX:$AZ,3,FALSE),0)</f>
        <v>840.3235671536911</v>
      </c>
      <c r="W34" s="79">
        <f t="shared" si="9"/>
        <v>16806.049410481686</v>
      </c>
      <c r="X34" s="15">
        <f t="shared" si="10"/>
        <v>276953388.26090688</v>
      </c>
      <c r="Y34" s="11">
        <f>VLOOKUP(A34,'Rate Application - REM Cycle I'!$1:$65535,7,FALSE)</f>
        <v>293088731.67995536</v>
      </c>
      <c r="Z34" s="78">
        <f t="shared" si="11"/>
        <v>-5.505275936936338E-2</v>
      </c>
      <c r="AA34" s="82">
        <f>IFERROR(VLOOKUP(A34,'GBR Revenue for ICC'!#REF!,17,FALSE),0)</f>
        <v>0</v>
      </c>
      <c r="AB34" s="82">
        <f t="shared" si="12"/>
        <v>0</v>
      </c>
      <c r="AC34" s="11">
        <f t="shared" si="13"/>
        <v>293088731.67995536</v>
      </c>
      <c r="AD34" s="11">
        <f t="shared" si="14"/>
        <v>276953388.26090688</v>
      </c>
      <c r="AE34" s="10">
        <v>1</v>
      </c>
      <c r="AG34" s="271"/>
    </row>
    <row r="35" spans="1:33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IF(C35=1,'Rate Application - REM Cycle I'!$X$65,IF(C35=3,'Rate Application - REM Cycle I'!$X$66,IF(C35=4,'Rate Application - REM Cycle I'!$X$67,IF(C35=5,'Rate Application - REM Cycle I'!$X$68,0))))</f>
        <v>14752.82215273459</v>
      </c>
      <c r="E35" s="87">
        <v>0</v>
      </c>
      <c r="F35" s="87">
        <v>0</v>
      </c>
      <c r="G35" s="87">
        <v>0</v>
      </c>
      <c r="H35" s="87">
        <f t="shared" si="0"/>
        <v>14752.82215273459</v>
      </c>
      <c r="I35" s="65">
        <f>VLOOKUP(A35,'Rate Application - REM Cycle I'!$1:$65535,15,FALSE)</f>
        <v>30943.516611114035</v>
      </c>
      <c r="J35" s="19">
        <f>VLOOKUP(A35,'Rate Application - REM Cycle I'!$1:$65535,20,FALSE)</f>
        <v>21.316398664597084</v>
      </c>
      <c r="K35" s="11">
        <f t="shared" si="1"/>
        <v>14774.138551399188</v>
      </c>
      <c r="L35" s="11">
        <f t="shared" si="2"/>
        <v>457163801.680121</v>
      </c>
      <c r="M35" s="36">
        <f>VLOOKUP(A35,'Variable Input'!$1:$1048576,23,FALSE)</f>
        <v>0.99671861092415948</v>
      </c>
      <c r="N35" s="22">
        <f t="shared" si="3"/>
        <v>455663669.37541813</v>
      </c>
      <c r="O35" s="19">
        <f t="shared" si="4"/>
        <v>14725.658854551672</v>
      </c>
      <c r="P35" s="18">
        <f>VLOOKUP(A35,'Rate Application - REM Cycle I'!$1:$65535,11,FALSE)</f>
        <v>751420.3248961916</v>
      </c>
      <c r="Q35" s="18">
        <f t="shared" si="5"/>
        <v>456415089.70031434</v>
      </c>
      <c r="R35" s="19">
        <f t="shared" si="6"/>
        <v>14749.942465698387</v>
      </c>
      <c r="S35" s="81">
        <f>VLOOKUP(A35,'Rate Application - REM Cycle I'!$1:$65535,9,FALSE)</f>
        <v>1.1174861425645124</v>
      </c>
      <c r="T35" s="19">
        <f t="shared" si="7"/>
        <v>510037537.99744016</v>
      </c>
      <c r="U35" s="22">
        <f t="shared" si="8"/>
        <v>16482.856309041781</v>
      </c>
      <c r="V35" s="88">
        <f>IFERROR(VLOOKUP(A35,'PAU Volume'!$AX:$AZ,3,FALSE),0)</f>
        <v>-42.786420465506588</v>
      </c>
      <c r="W35" s="79">
        <f t="shared" si="9"/>
        <v>30900.73019064853</v>
      </c>
      <c r="X35" s="15">
        <f t="shared" si="10"/>
        <v>509332295.57692897</v>
      </c>
      <c r="Y35" s="11">
        <f>VLOOKUP(A35,'Rate Application - REM Cycle I'!$1:$65535,7,FALSE)</f>
        <v>494588494.72270107</v>
      </c>
      <c r="Z35" s="78">
        <f t="shared" si="11"/>
        <v>2.9810238231469999E-2</v>
      </c>
      <c r="AA35" s="82">
        <f>IFERROR(VLOOKUP(A35,'GBR Revenue for ICC'!#REF!,17,FALSE),0)</f>
        <v>0</v>
      </c>
      <c r="AB35" s="82">
        <f t="shared" si="12"/>
        <v>0</v>
      </c>
      <c r="AC35" s="11">
        <f t="shared" si="13"/>
        <v>494588494.72270107</v>
      </c>
      <c r="AD35" s="11">
        <f t="shared" si="14"/>
        <v>509332295.57692897</v>
      </c>
      <c r="AE35" s="10">
        <v>1</v>
      </c>
      <c r="AG35" s="271"/>
    </row>
    <row r="36" spans="1:33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IF(C36=1,'Rate Application - REM Cycle I'!$X$65,IF(C36=3,'Rate Application - REM Cycle I'!$X$66,IF(C36=4,'Rate Application - REM Cycle I'!$X$67,IF(C36=5,'Rate Application - REM Cycle I'!$X$68,0))))</f>
        <v>14752.82215273459</v>
      </c>
      <c r="E36" s="87">
        <v>0</v>
      </c>
      <c r="F36" s="87">
        <v>0</v>
      </c>
      <c r="G36" s="87">
        <v>0</v>
      </c>
      <c r="H36" s="87">
        <f t="shared" si="0"/>
        <v>14752.82215273459</v>
      </c>
      <c r="I36" s="65">
        <f>VLOOKUP(A36,'Rate Application - REM Cycle I'!$1:$65535,15,FALSE)</f>
        <v>30637.922123716067</v>
      </c>
      <c r="J36" s="19">
        <f>VLOOKUP(A36,'Rate Application - REM Cycle I'!$1:$65535,20,FALSE)</f>
        <v>249.73659338390533</v>
      </c>
      <c r="K36" s="11">
        <f t="shared" si="1"/>
        <v>15002.558746118495</v>
      </c>
      <c r="L36" s="11">
        <f t="shared" si="2"/>
        <v>459647226.5200538</v>
      </c>
      <c r="M36" s="36">
        <f>VLOOKUP(A36,'Variable Input'!$1:$1048576,23,FALSE)</f>
        <v>0.99671861092415948</v>
      </c>
      <c r="N36" s="22">
        <f t="shared" si="3"/>
        <v>458138945.13221049</v>
      </c>
      <c r="O36" s="19">
        <f t="shared" si="4"/>
        <v>14953.329513739325</v>
      </c>
      <c r="P36" s="18">
        <f>VLOOKUP(A36,'Rate Application - REM Cycle I'!$1:$65535,11,FALSE)</f>
        <v>7270460.1939369692</v>
      </c>
      <c r="Q36" s="18">
        <f t="shared" si="5"/>
        <v>465409405.32614744</v>
      </c>
      <c r="R36" s="19">
        <f t="shared" si="6"/>
        <v>15190.632166464233</v>
      </c>
      <c r="S36" s="81">
        <f>VLOOKUP(A36,'Rate Application - REM Cycle I'!$1:$65535,9,FALSE)</f>
        <v>1.1074866213835981</v>
      </c>
      <c r="T36" s="19">
        <f t="shared" si="7"/>
        <v>515434689.86480457</v>
      </c>
      <c r="U36" s="22">
        <f t="shared" si="8"/>
        <v>16823.421894718478</v>
      </c>
      <c r="V36" s="88">
        <f>IFERROR(VLOOKUP(A36,'PAU Volume'!$AX:$AZ,3,FALSE),0)</f>
        <v>791.34911601934573</v>
      </c>
      <c r="W36" s="79">
        <f t="shared" si="9"/>
        <v>31429.271239735412</v>
      </c>
      <c r="X36" s="15">
        <f t="shared" si="10"/>
        <v>528747889.90961051</v>
      </c>
      <c r="Y36" s="11">
        <f>VLOOKUP(A36,'Rate Application - REM Cycle I'!$1:$65535,7,FALSE)</f>
        <v>487480078.48555809</v>
      </c>
      <c r="Z36" s="78">
        <f t="shared" si="11"/>
        <v>8.4655380281914328E-2</v>
      </c>
      <c r="AA36" s="82">
        <f>IFERROR(VLOOKUP(A36,'GBR Revenue for ICC'!#REF!,17,FALSE),0)</f>
        <v>0</v>
      </c>
      <c r="AB36" s="82">
        <f t="shared" si="12"/>
        <v>0</v>
      </c>
      <c r="AC36" s="11">
        <f t="shared" si="13"/>
        <v>487480078.48555809</v>
      </c>
      <c r="AD36" s="11">
        <f t="shared" si="14"/>
        <v>528747889.90961051</v>
      </c>
      <c r="AE36" s="10">
        <v>1</v>
      </c>
      <c r="AG36" s="271"/>
    </row>
    <row r="37" spans="1:33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IF(C37=1,'Rate Application - REM Cycle I'!$X$65,IF(C37=3,'Rate Application - REM Cycle I'!$X$66,IF(C37=4,'Rate Application - REM Cycle I'!$X$67,IF(C37=5,'Rate Application - REM Cycle I'!$X$68,0))))</f>
        <v>0</v>
      </c>
      <c r="E37" s="87">
        <v>0</v>
      </c>
      <c r="F37" s="87">
        <v>0</v>
      </c>
      <c r="G37" s="87">
        <v>0</v>
      </c>
      <c r="H37" s="87">
        <f t="shared" si="0"/>
        <v>0</v>
      </c>
      <c r="I37" s="65">
        <f>VLOOKUP(A37,'Rate Application - REM Cycle I'!$1:$65535,15,FALSE)</f>
        <v>566.52872944799947</v>
      </c>
      <c r="J37" s="19">
        <f>VLOOKUP(A37,'Rate Application - REM Cycle I'!$1:$65535,20,FALSE)</f>
        <v>0</v>
      </c>
      <c r="K37" s="11">
        <f t="shared" si="1"/>
        <v>0</v>
      </c>
      <c r="L37" s="11">
        <f t="shared" si="2"/>
        <v>0</v>
      </c>
      <c r="M37" s="36">
        <f>VLOOKUP(A37,'Variable Input'!$1:$1048576,23,FALSE)</f>
        <v>0.99671861092415948</v>
      </c>
      <c r="N37" s="22">
        <f t="shared" si="3"/>
        <v>0</v>
      </c>
      <c r="O37" s="19">
        <f t="shared" si="4"/>
        <v>0</v>
      </c>
      <c r="P37" s="18">
        <f>VLOOKUP(A37,'Rate Application - REM Cycle I'!$1:$65535,11,FALSE)</f>
        <v>0</v>
      </c>
      <c r="Q37" s="18">
        <f t="shared" si="5"/>
        <v>0</v>
      </c>
      <c r="R37" s="19">
        <f t="shared" si="6"/>
        <v>0</v>
      </c>
      <c r="S37" s="81">
        <f>VLOOKUP(A37,'Rate Application - REM Cycle I'!$1:$65535,9,FALSE)</f>
        <v>1.1235285459397526</v>
      </c>
      <c r="T37" s="19">
        <f t="shared" si="7"/>
        <v>0</v>
      </c>
      <c r="U37" s="22">
        <f t="shared" si="8"/>
        <v>0</v>
      </c>
      <c r="V37" s="88">
        <f>IFERROR(VLOOKUP(A37,'PAU Volume'!$AX:$AZ,3,FALSE),0)</f>
        <v>0</v>
      </c>
      <c r="W37" s="79">
        <f t="shared" si="9"/>
        <v>566.52872944799947</v>
      </c>
      <c r="X37" s="15">
        <f t="shared" si="10"/>
        <v>0</v>
      </c>
      <c r="Y37" s="11">
        <f>VLOOKUP(A37,'Rate Application - REM Cycle I'!$1:$65535,7,FALSE)</f>
        <v>6750663.1586297443</v>
      </c>
      <c r="Z37" s="78">
        <f t="shared" si="11"/>
        <v>-1</v>
      </c>
      <c r="AA37" s="82">
        <f>IFERROR(VLOOKUP(A37,'GBR Revenue for ICC'!#REF!,17,FALSE),0)</f>
        <v>0</v>
      </c>
      <c r="AB37" s="82">
        <f t="shared" si="12"/>
        <v>0</v>
      </c>
      <c r="AC37" s="11">
        <f t="shared" si="13"/>
        <v>6750663.1586297443</v>
      </c>
      <c r="AD37" s="11">
        <f t="shared" si="14"/>
        <v>0</v>
      </c>
      <c r="AE37" s="10">
        <v>1</v>
      </c>
      <c r="AG37" s="271"/>
    </row>
    <row r="38" spans="1:33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IF(C38=1,'Rate Application - REM Cycle I'!$X$65,IF(C38=3,'Rate Application - REM Cycle I'!$X$66,IF(C38=4,'Rate Application - REM Cycle I'!$X$67,IF(C38=5,'Rate Application - REM Cycle I'!$X$68,0))))</f>
        <v>14752.82215273459</v>
      </c>
      <c r="E38" s="87">
        <v>0</v>
      </c>
      <c r="F38" s="87">
        <v>0</v>
      </c>
      <c r="G38" s="87">
        <v>0</v>
      </c>
      <c r="H38" s="87">
        <f t="shared" si="0"/>
        <v>14752.82215273459</v>
      </c>
      <c r="I38" s="65">
        <f>VLOOKUP(A38,'Rate Application - REM Cycle I'!$1:$65535,15,FALSE)</f>
        <v>24559.146065829038</v>
      </c>
      <c r="J38" s="19">
        <f>VLOOKUP(A38,'Rate Application - REM Cycle I'!$1:$65535,20,FALSE)</f>
        <v>0</v>
      </c>
      <c r="K38" s="11">
        <f t="shared" si="1"/>
        <v>14752.82215273459</v>
      </c>
      <c r="L38" s="11">
        <f t="shared" si="2"/>
        <v>362316714.13220721</v>
      </c>
      <c r="M38" s="36">
        <f>VLOOKUP(A38,'Variable Input'!$1:$1048576,23,FALSE)</f>
        <v>0.99671861092415948</v>
      </c>
      <c r="N38" s="22">
        <f t="shared" si="3"/>
        <v>361127812.02445936</v>
      </c>
      <c r="O38" s="19">
        <f t="shared" si="4"/>
        <v>14704.41240328479</v>
      </c>
      <c r="P38" s="18">
        <f>VLOOKUP(A38,'Rate Application - REM Cycle I'!$1:$65535,11,FALSE)</f>
        <v>0</v>
      </c>
      <c r="Q38" s="18">
        <f t="shared" si="5"/>
        <v>361127812.02445936</v>
      </c>
      <c r="R38" s="19">
        <f t="shared" si="6"/>
        <v>14704.41240328479</v>
      </c>
      <c r="S38" s="81">
        <f>VLOOKUP(A38,'Rate Application - REM Cycle I'!$1:$65535,9,FALSE)</f>
        <v>1.1035189993630976</v>
      </c>
      <c r="T38" s="19">
        <f t="shared" si="7"/>
        <v>398511401.76741618</v>
      </c>
      <c r="U38" s="22">
        <f t="shared" si="8"/>
        <v>16226.598461495152</v>
      </c>
      <c r="V38" s="88">
        <f>IFERROR(VLOOKUP(A38,'PAU Volume'!$AX:$AZ,3,FALSE),0)</f>
        <v>620.36017053612238</v>
      </c>
      <c r="W38" s="79">
        <f t="shared" si="9"/>
        <v>25179.50623636516</v>
      </c>
      <c r="X38" s="15">
        <f t="shared" si="10"/>
        <v>408577737.15621048</v>
      </c>
      <c r="Y38" s="11">
        <f>VLOOKUP(A38,'Rate Application - REM Cycle I'!$1:$65535,7,FALSE)</f>
        <v>347364244.13401937</v>
      </c>
      <c r="Z38" s="78">
        <f t="shared" si="11"/>
        <v>0.17622278071479869</v>
      </c>
      <c r="AA38" s="82">
        <f>IFERROR(VLOOKUP(A38,'GBR Revenue for ICC'!#REF!,17,FALSE),0)</f>
        <v>0</v>
      </c>
      <c r="AB38" s="82">
        <f t="shared" si="12"/>
        <v>0</v>
      </c>
      <c r="AC38" s="11">
        <f t="shared" si="13"/>
        <v>347364244.13401937</v>
      </c>
      <c r="AD38" s="11">
        <f t="shared" si="14"/>
        <v>408577737.15621048</v>
      </c>
      <c r="AE38" s="10">
        <v>1</v>
      </c>
      <c r="AG38" s="271"/>
    </row>
    <row r="39" spans="1:33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IF(C39=1,'Rate Application - REM Cycle I'!$X$65,IF(C39=3,'Rate Application - REM Cycle I'!$X$66,IF(C39=4,'Rate Application - REM Cycle I'!$X$67,IF(C39=5,'Rate Application - REM Cycle I'!$X$68,0))))</f>
        <v>14752.82215273459</v>
      </c>
      <c r="E39" s="87">
        <v>0</v>
      </c>
      <c r="F39" s="87">
        <v>0</v>
      </c>
      <c r="G39" s="87">
        <v>0</v>
      </c>
      <c r="H39" s="87">
        <f t="shared" si="0"/>
        <v>14752.82215273459</v>
      </c>
      <c r="I39" s="65">
        <f>VLOOKUP(A39,'Rate Application - REM Cycle I'!$1:$65535,15,FALSE)</f>
        <v>24233.031990069048</v>
      </c>
      <c r="J39" s="19">
        <f>VLOOKUP(A39,'Rate Application - REM Cycle I'!$1:$65535,20,FALSE)</f>
        <v>0</v>
      </c>
      <c r="K39" s="11">
        <f t="shared" si="1"/>
        <v>14752.82215273459</v>
      </c>
      <c r="L39" s="11">
        <f t="shared" si="2"/>
        <v>357505611.17101663</v>
      </c>
      <c r="M39" s="36">
        <f>VLOOKUP(A39,'Variable Input'!$1:$1048576,23,FALSE)</f>
        <v>0.99671861092415948</v>
      </c>
      <c r="N39" s="22">
        <f t="shared" si="3"/>
        <v>356332496.16396838</v>
      </c>
      <c r="O39" s="19">
        <f t="shared" si="4"/>
        <v>14704.412403284789</v>
      </c>
      <c r="P39" s="18">
        <f>VLOOKUP(A39,'Rate Application - REM Cycle I'!$1:$65535,11,FALSE)</f>
        <v>0</v>
      </c>
      <c r="Q39" s="18">
        <f t="shared" si="5"/>
        <v>356332496.16396838</v>
      </c>
      <c r="R39" s="19">
        <f t="shared" si="6"/>
        <v>14704.412403284789</v>
      </c>
      <c r="S39" s="81">
        <f>VLOOKUP(A39,'Rate Application - REM Cycle I'!$1:$65535,9,FALSE)</f>
        <v>1.1147926720978587</v>
      </c>
      <c r="T39" s="19">
        <f t="shared" si="7"/>
        <v>397236855.55393028</v>
      </c>
      <c r="U39" s="22">
        <f t="shared" si="8"/>
        <v>16392.371194686744</v>
      </c>
      <c r="V39" s="88">
        <f>IFERROR(VLOOKUP(A39,'PAU Volume'!$AX:$AZ,3,FALSE),0)</f>
        <v>669.6269599996217</v>
      </c>
      <c r="W39" s="79">
        <f t="shared" si="9"/>
        <v>24902.658950068671</v>
      </c>
      <c r="X39" s="15">
        <f t="shared" si="10"/>
        <v>408213629.24421376</v>
      </c>
      <c r="Y39" s="11">
        <f>VLOOKUP(A39,'Rate Application - REM Cycle I'!$1:$65535,7,FALSE)</f>
        <v>360755199.70698422</v>
      </c>
      <c r="Z39" s="78">
        <f t="shared" si="11"/>
        <v>0.13155300207946174</v>
      </c>
      <c r="AA39" s="82">
        <f>IFERROR(VLOOKUP(A39,'GBR Revenue for ICC'!#REF!,17,FALSE),0)</f>
        <v>0</v>
      </c>
      <c r="AB39" s="82">
        <f t="shared" si="12"/>
        <v>0</v>
      </c>
      <c r="AC39" s="11">
        <f t="shared" si="13"/>
        <v>360755199.70698422</v>
      </c>
      <c r="AD39" s="11">
        <f t="shared" si="14"/>
        <v>408213629.24421376</v>
      </c>
      <c r="AE39" s="10">
        <v>1</v>
      </c>
      <c r="AG39" s="271"/>
    </row>
    <row r="40" spans="1:33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IF(C40=1,'Rate Application - REM Cycle I'!$X$65,IF(C40=3,'Rate Application - REM Cycle I'!$X$66,IF(C40=4,'Rate Application - REM Cycle I'!$X$67,IF(C40=5,'Rate Application - REM Cycle I'!$X$68,0))))</f>
        <v>14752.82215273459</v>
      </c>
      <c r="E40" s="87">
        <v>0</v>
      </c>
      <c r="F40" s="87">
        <v>0</v>
      </c>
      <c r="G40" s="87">
        <v>0</v>
      </c>
      <c r="H40" s="87">
        <f t="shared" si="0"/>
        <v>14752.82215273459</v>
      </c>
      <c r="I40" s="65">
        <f>VLOOKUP(A40,'Rate Application - REM Cycle I'!$1:$65535,15,FALSE)</f>
        <v>15907.038226505023</v>
      </c>
      <c r="J40" s="19">
        <f>VLOOKUP(A40,'Rate Application - REM Cycle I'!$1:$65535,20,FALSE)</f>
        <v>0</v>
      </c>
      <c r="K40" s="11">
        <f t="shared" si="1"/>
        <v>14752.82215273459</v>
      </c>
      <c r="L40" s="11">
        <f t="shared" si="2"/>
        <v>234673705.93237925</v>
      </c>
      <c r="M40" s="36">
        <f>VLOOKUP(A40,'Variable Input'!$1:$1048576,23,FALSE)</f>
        <v>1.0181752931904677</v>
      </c>
      <c r="N40" s="22">
        <f t="shared" si="3"/>
        <v>238938969.34179384</v>
      </c>
      <c r="O40" s="19">
        <f t="shared" si="4"/>
        <v>15020.959020747368</v>
      </c>
      <c r="P40" s="18">
        <f>VLOOKUP(A40,'Rate Application - REM Cycle I'!$1:$65535,11,FALSE)</f>
        <v>0</v>
      </c>
      <c r="Q40" s="18">
        <f t="shared" si="5"/>
        <v>238938969.34179384</v>
      </c>
      <c r="R40" s="19">
        <f t="shared" si="6"/>
        <v>15020.959020747368</v>
      </c>
      <c r="S40" s="81">
        <f>VLOOKUP(A40,'Rate Application - REM Cycle I'!$1:$65535,9,FALSE)</f>
        <v>1.1175427593245362</v>
      </c>
      <c r="T40" s="19">
        <f t="shared" si="7"/>
        <v>267024515.10838905</v>
      </c>
      <c r="U40" s="22">
        <f t="shared" si="8"/>
        <v>16786.563991746796</v>
      </c>
      <c r="V40" s="88">
        <f>IFERROR(VLOOKUP(A40,'PAU Volume'!$AX:$AZ,3,FALSE),0)</f>
        <v>-155.02990790879309</v>
      </c>
      <c r="W40" s="79">
        <f t="shared" si="9"/>
        <v>15752.00831859623</v>
      </c>
      <c r="X40" s="15">
        <f t="shared" si="10"/>
        <v>264422095.63864347</v>
      </c>
      <c r="Y40" s="11">
        <f>VLOOKUP(A40,'Rate Application - REM Cycle I'!$1:$65535,7,FALSE)</f>
        <v>285985121.35552841</v>
      </c>
      <c r="Z40" s="78">
        <f t="shared" si="11"/>
        <v>-7.5399117320087528E-2</v>
      </c>
      <c r="AA40" s="82">
        <f>IFERROR(VLOOKUP(A40,'GBR Revenue for ICC'!#REF!,17,FALSE),0)</f>
        <v>0</v>
      </c>
      <c r="AB40" s="82">
        <f t="shared" si="12"/>
        <v>0</v>
      </c>
      <c r="AC40" s="11">
        <f t="shared" si="13"/>
        <v>285985121.35552841</v>
      </c>
      <c r="AD40" s="11">
        <f t="shared" si="14"/>
        <v>264422095.63864347</v>
      </c>
      <c r="AE40" s="10">
        <v>1</v>
      </c>
      <c r="AG40" s="271"/>
    </row>
    <row r="41" spans="1:33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IF(C41=1,'Rate Application - REM Cycle I'!$X$65,IF(C41=3,'Rate Application - REM Cycle I'!$X$66,IF(C41=4,'Rate Application - REM Cycle I'!$X$67,IF(C41=5,'Rate Application - REM Cycle I'!$X$68,0))))</f>
        <v>0</v>
      </c>
      <c r="E41" s="87">
        <v>0</v>
      </c>
      <c r="F41" s="87">
        <v>0</v>
      </c>
      <c r="G41" s="87">
        <v>0</v>
      </c>
      <c r="H41" s="87">
        <f t="shared" si="0"/>
        <v>0</v>
      </c>
      <c r="I41" s="65">
        <f>VLOOKUP(A41,'Rate Application - REM Cycle I'!$1:$65535,15,FALSE)</f>
        <v>1984.4844588999965</v>
      </c>
      <c r="J41" s="19">
        <f>VLOOKUP(A41,'Rate Application - REM Cycle I'!$1:$65535,20,FALSE)</f>
        <v>0</v>
      </c>
      <c r="K41" s="11">
        <f t="shared" si="1"/>
        <v>0</v>
      </c>
      <c r="L41" s="11">
        <f t="shared" si="2"/>
        <v>0</v>
      </c>
      <c r="M41" s="36">
        <f>VLOOKUP(A41,'Variable Input'!$1:$1048576,23,FALSE)</f>
        <v>1.0181752931904677</v>
      </c>
      <c r="N41" s="22">
        <f t="shared" si="3"/>
        <v>0</v>
      </c>
      <c r="O41" s="19">
        <f t="shared" si="4"/>
        <v>0</v>
      </c>
      <c r="P41" s="18">
        <f>VLOOKUP(A41,'Rate Application - REM Cycle I'!$1:$65535,11,FALSE)</f>
        <v>141502.60406345228</v>
      </c>
      <c r="Q41" s="18">
        <f t="shared" si="5"/>
        <v>141502.60406345228</v>
      </c>
      <c r="R41" s="19">
        <f t="shared" si="6"/>
        <v>71.304465715940879</v>
      </c>
      <c r="S41" s="81">
        <f>VLOOKUP(A41,'Rate Application - REM Cycle I'!$1:$65535,9,FALSE)</f>
        <v>1.2317684965243516</v>
      </c>
      <c r="T41" s="19">
        <f t="shared" si="7"/>
        <v>174298.44986151921</v>
      </c>
      <c r="U41" s="22">
        <f t="shared" si="8"/>
        <v>87.830594530396667</v>
      </c>
      <c r="V41" s="88">
        <f>IFERROR(VLOOKUP(A41,'PAU Volume'!$AX:$AZ,3,FALSE),0)</f>
        <v>84.946009723338292</v>
      </c>
      <c r="W41" s="79">
        <f t="shared" si="9"/>
        <v>2069.4304686233349</v>
      </c>
      <c r="X41" s="15">
        <f t="shared" si="10"/>
        <v>181759.30839850489</v>
      </c>
      <c r="Y41" s="11">
        <f>VLOOKUP(A41,'Rate Application - REM Cycle I'!$1:$65535,7,FALSE)</f>
        <v>40225326.036725186</v>
      </c>
      <c r="Z41" s="78">
        <f t="shared" si="11"/>
        <v>-0.99548147084668592</v>
      </c>
      <c r="AA41" s="82">
        <f>IFERROR(VLOOKUP(A41,'GBR Revenue for ICC'!#REF!,17,FALSE),0)</f>
        <v>0</v>
      </c>
      <c r="AB41" s="82">
        <f t="shared" si="12"/>
        <v>0</v>
      </c>
      <c r="AC41" s="11">
        <f t="shared" si="13"/>
        <v>40225326.036725186</v>
      </c>
      <c r="AD41" s="11">
        <f t="shared" si="14"/>
        <v>181759.30839850489</v>
      </c>
      <c r="AE41" s="10">
        <v>1</v>
      </c>
      <c r="AG41" s="271"/>
    </row>
    <row r="42" spans="1:33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IF(C42=1,'Rate Application - REM Cycle I'!$X$65,IF(C42=3,'Rate Application - REM Cycle I'!$X$66,IF(C42=4,'Rate Application - REM Cycle I'!$X$67,IF(C42=5,'Rate Application - REM Cycle I'!$X$68,0))))</f>
        <v>14752.82215273459</v>
      </c>
      <c r="E42" s="87">
        <v>0</v>
      </c>
      <c r="F42" s="87">
        <v>0</v>
      </c>
      <c r="G42" s="87">
        <v>0</v>
      </c>
      <c r="H42" s="87">
        <f t="shared" si="0"/>
        <v>14752.82215273459</v>
      </c>
      <c r="I42" s="65">
        <f>VLOOKUP(A42,'Rate Application - REM Cycle I'!$1:$65535,15,FALSE)</f>
        <v>16881.552106553001</v>
      </c>
      <c r="J42" s="19">
        <f>VLOOKUP(A42,'Rate Application - REM Cycle I'!$1:$65535,20,FALSE)</f>
        <v>118.19803973248145</v>
      </c>
      <c r="K42" s="11">
        <f t="shared" si="1"/>
        <v>14871.020192467073</v>
      </c>
      <c r="L42" s="11">
        <f t="shared" si="2"/>
        <v>251045902.25673473</v>
      </c>
      <c r="M42" s="36">
        <f>VLOOKUP(A42,'Variable Input'!$1:$1048576,23,FALSE)</f>
        <v>0.99671861092415948</v>
      </c>
      <c r="N42" s="22">
        <f t="shared" si="3"/>
        <v>250222122.97553495</v>
      </c>
      <c r="O42" s="19">
        <f t="shared" si="4"/>
        <v>14822.222589260908</v>
      </c>
      <c r="P42" s="18">
        <f>VLOOKUP(A42,'Rate Application - REM Cycle I'!$1:$65535,11,FALSE)</f>
        <v>1799367.1419683334</v>
      </c>
      <c r="Q42" s="18">
        <f t="shared" si="5"/>
        <v>252021490.11750329</v>
      </c>
      <c r="R42" s="19">
        <f t="shared" si="6"/>
        <v>14928.810368074792</v>
      </c>
      <c r="S42" s="81">
        <f>VLOOKUP(A42,'Rate Application - REM Cycle I'!$1:$65535,9,FALSE)</f>
        <v>1.1293262174048309</v>
      </c>
      <c r="T42" s="19">
        <f t="shared" si="7"/>
        <v>284614476.13912892</v>
      </c>
      <c r="U42" s="22">
        <f t="shared" si="8"/>
        <v>16859.496943331924</v>
      </c>
      <c r="V42" s="88">
        <f>IFERROR(VLOOKUP(A42,'PAU Volume'!$AX:$AZ,3,FALSE),0)</f>
        <v>438.78077166626639</v>
      </c>
      <c r="W42" s="79">
        <f t="shared" si="9"/>
        <v>17320.332878219266</v>
      </c>
      <c r="X42" s="15">
        <f t="shared" si="10"/>
        <v>292012099.21782911</v>
      </c>
      <c r="Y42" s="11">
        <f>VLOOKUP(A42,'Rate Application - REM Cycle I'!$1:$65535,7,FALSE)</f>
        <v>303653479.39780694</v>
      </c>
      <c r="Z42" s="78">
        <f t="shared" si="11"/>
        <v>-3.8337713775137838E-2</v>
      </c>
      <c r="AA42" s="82">
        <f>IFERROR(VLOOKUP(A42,'GBR Revenue for ICC'!#REF!,17,FALSE),0)</f>
        <v>0</v>
      </c>
      <c r="AB42" s="82">
        <f t="shared" si="12"/>
        <v>0</v>
      </c>
      <c r="AC42" s="11">
        <f t="shared" si="13"/>
        <v>303653479.39780694</v>
      </c>
      <c r="AD42" s="11">
        <f t="shared" si="14"/>
        <v>292012099.21782911</v>
      </c>
      <c r="AE42" s="10">
        <v>1</v>
      </c>
    </row>
    <row r="43" spans="1:33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IF(C43=1,'Rate Application - REM Cycle I'!$X$65,IF(C43=3,'Rate Application - REM Cycle I'!$X$66,IF(C43=4,'Rate Application - REM Cycle I'!$X$67,IF(C43=5,'Rate Application - REM Cycle I'!$X$68,0))))</f>
        <v>14752.82215273459</v>
      </c>
      <c r="E43" s="87">
        <v>0</v>
      </c>
      <c r="F43" s="87">
        <v>0</v>
      </c>
      <c r="G43" s="87">
        <v>0</v>
      </c>
      <c r="H43" s="87">
        <f t="shared" si="0"/>
        <v>14752.82215273459</v>
      </c>
      <c r="I43" s="65">
        <f>VLOOKUP(A43,'Rate Application - REM Cycle I'!$1:$65535,15,FALSE)</f>
        <v>29567.442541858047</v>
      </c>
      <c r="J43" s="19">
        <f>VLOOKUP(A43,'Rate Application - REM Cycle I'!$1:$65535,20,FALSE)</f>
        <v>0</v>
      </c>
      <c r="K43" s="11">
        <f t="shared" si="1"/>
        <v>14752.82215273459</v>
      </c>
      <c r="L43" s="11">
        <f t="shared" si="2"/>
        <v>436203221.33123052</v>
      </c>
      <c r="M43" s="36">
        <f>VLOOKUP(A43,'Variable Input'!$1:$1048576,23,FALSE)</f>
        <v>1.0181752931904677</v>
      </c>
      <c r="N43" s="22">
        <f t="shared" si="3"/>
        <v>444131342.76955211</v>
      </c>
      <c r="O43" s="19">
        <f t="shared" si="4"/>
        <v>15020.959020747368</v>
      </c>
      <c r="P43" s="18">
        <f>VLOOKUP(A43,'Rate Application - REM Cycle I'!$1:$65535,11,FALSE)</f>
        <v>0</v>
      </c>
      <c r="Q43" s="18">
        <f t="shared" si="5"/>
        <v>444131342.76955211</v>
      </c>
      <c r="R43" s="19">
        <f t="shared" si="6"/>
        <v>15020.959020747368</v>
      </c>
      <c r="S43" s="81">
        <f>VLOOKUP(A43,'Rate Application - REM Cycle I'!$1:$65535,9,FALSE)</f>
        <v>1.1115105879568932</v>
      </c>
      <c r="T43" s="19">
        <f t="shared" si="7"/>
        <v>493656689.93186933</v>
      </c>
      <c r="U43" s="22">
        <f t="shared" si="8"/>
        <v>16695.954992827305</v>
      </c>
      <c r="V43" s="88">
        <f>IFERROR(VLOOKUP(A43,'PAU Volume'!$AX:$AZ,3,FALSE),0)</f>
        <v>322.10217237676216</v>
      </c>
      <c r="W43" s="79">
        <f t="shared" si="9"/>
        <v>29889.544714234809</v>
      </c>
      <c r="X43" s="15">
        <f t="shared" si="10"/>
        <v>499034493.30496365</v>
      </c>
      <c r="Y43" s="11">
        <f>VLOOKUP(A43,'Rate Application - REM Cycle I'!$1:$65535,7,FALSE)</f>
        <v>501735159.42853135</v>
      </c>
      <c r="Z43" s="78">
        <f t="shared" si="11"/>
        <v>-5.3826527258797885E-3</v>
      </c>
      <c r="AA43" s="82">
        <f>IFERROR(VLOOKUP(A43,'GBR Revenue for ICC'!#REF!,17,FALSE),0)</f>
        <v>0</v>
      </c>
      <c r="AB43" s="82">
        <f t="shared" si="12"/>
        <v>0</v>
      </c>
      <c r="AC43" s="11">
        <f t="shared" si="13"/>
        <v>501735159.42853135</v>
      </c>
      <c r="AD43" s="11">
        <f t="shared" si="14"/>
        <v>499034493.30496365</v>
      </c>
      <c r="AE43" s="10">
        <v>1</v>
      </c>
    </row>
    <row r="44" spans="1:33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IF(C44=1,'Rate Application - REM Cycle I'!$X$65,IF(C44=3,'Rate Application - REM Cycle I'!$X$66,IF(C44=4,'Rate Application - REM Cycle I'!$X$67,IF(C44=5,'Rate Application - REM Cycle I'!$X$68,0))))</f>
        <v>14752.82215273459</v>
      </c>
      <c r="E44" s="87">
        <v>0</v>
      </c>
      <c r="F44" s="87">
        <v>0</v>
      </c>
      <c r="G44" s="87">
        <v>0</v>
      </c>
      <c r="H44" s="87">
        <f t="shared" si="0"/>
        <v>14752.82215273459</v>
      </c>
      <c r="I44" s="65">
        <f>VLOOKUP(A44,'Rate Application - REM Cycle I'!$1:$65535,15,FALSE)</f>
        <v>5264.4707007620054</v>
      </c>
      <c r="J44" s="19">
        <f>VLOOKUP(A44,'Rate Application - REM Cycle I'!$1:$65535,20,FALSE)</f>
        <v>238.48799212817485</v>
      </c>
      <c r="K44" s="11">
        <f t="shared" si="1"/>
        <v>14991.310144862766</v>
      </c>
      <c r="L44" s="11">
        <f t="shared" si="2"/>
        <v>78921313.023666248</v>
      </c>
      <c r="M44" s="36">
        <f>VLOOKUP(A44,'Variable Input'!$1:$1048576,23,FALSE)</f>
        <v>0.99671861092415948</v>
      </c>
      <c r="N44" s="22">
        <f t="shared" si="3"/>
        <v>78662341.489259392</v>
      </c>
      <c r="O44" s="19">
        <f t="shared" si="4"/>
        <v>14942.117823520875</v>
      </c>
      <c r="P44" s="18">
        <f>VLOOKUP(A44,'Rate Application - REM Cycle I'!$1:$65535,11,FALSE)</f>
        <v>1538688.3210319907</v>
      </c>
      <c r="Q44" s="18">
        <f t="shared" si="5"/>
        <v>80201029.81029138</v>
      </c>
      <c r="R44" s="19">
        <f t="shared" si="6"/>
        <v>15234.395700726891</v>
      </c>
      <c r="S44" s="81">
        <f>VLOOKUP(A44,'Rate Application - REM Cycle I'!$1:$65535,9,FALSE)</f>
        <v>1.1120223070717381</v>
      </c>
      <c r="T44" s="19">
        <f t="shared" si="7"/>
        <v>89185334.199169457</v>
      </c>
      <c r="U44" s="22">
        <f t="shared" si="8"/>
        <v>16940.987853966086</v>
      </c>
      <c r="V44" s="88">
        <f>IFERROR(VLOOKUP(A44,'PAU Volume'!$AX:$AZ,3,FALSE),0)</f>
        <v>7.9296529790451151</v>
      </c>
      <c r="W44" s="79">
        <f t="shared" si="9"/>
        <v>5272.4003537410508</v>
      </c>
      <c r="X44" s="15">
        <f t="shared" si="10"/>
        <v>89319670.353973642</v>
      </c>
      <c r="Y44" s="11">
        <f>VLOOKUP(A44,'Rate Application - REM Cycle I'!$1:$65535,7,FALSE)</f>
        <v>117697098.70628487</v>
      </c>
      <c r="Z44" s="78">
        <f t="shared" si="11"/>
        <v>-0.24110558938353766</v>
      </c>
      <c r="AA44" s="82">
        <f>IFERROR(VLOOKUP(A44,'GBR Revenue for ICC'!#REF!,17,FALSE),0)</f>
        <v>0</v>
      </c>
      <c r="AB44" s="82">
        <f t="shared" si="12"/>
        <v>0</v>
      </c>
      <c r="AC44" s="11">
        <f t="shared" si="13"/>
        <v>117697098.70628487</v>
      </c>
      <c r="AD44" s="11">
        <f t="shared" si="14"/>
        <v>89319670.353973642</v>
      </c>
      <c r="AE44" s="10">
        <v>1</v>
      </c>
    </row>
    <row r="45" spans="1:33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IF(C45=1,'Rate Application - REM Cycle I'!$X$65,IF(C45=3,'Rate Application - REM Cycle I'!$X$66,IF(C45=4,'Rate Application - REM Cycle I'!$X$67,IF(C45=5,'Rate Application - REM Cycle I'!$X$68,0))))</f>
        <v>14752.82215273459</v>
      </c>
      <c r="E45" s="87">
        <v>0</v>
      </c>
      <c r="F45" s="87">
        <v>0</v>
      </c>
      <c r="G45" s="87">
        <v>0</v>
      </c>
      <c r="H45" s="87">
        <f t="shared" si="0"/>
        <v>14752.82215273459</v>
      </c>
      <c r="I45" s="65">
        <f>VLOOKUP(A45,'Rate Application - REM Cycle I'!$1:$65535,15,FALSE)</f>
        <v>3719.0107248960016</v>
      </c>
      <c r="J45" s="19">
        <f>VLOOKUP(A45,'Rate Application - REM Cycle I'!$1:$65535,20,FALSE)</f>
        <v>0</v>
      </c>
      <c r="K45" s="11">
        <f t="shared" si="1"/>
        <v>14752.82215273459</v>
      </c>
      <c r="L45" s="11">
        <f t="shared" si="2"/>
        <v>54865903.808503263</v>
      </c>
      <c r="M45" s="36">
        <f>VLOOKUP(A45,'Variable Input'!$1:$1048576,23,FALSE)</f>
        <v>1.0181752931904677</v>
      </c>
      <c r="N45" s="22">
        <f t="shared" si="3"/>
        <v>55863107.696382813</v>
      </c>
      <c r="O45" s="19">
        <f t="shared" si="4"/>
        <v>15020.95902074737</v>
      </c>
      <c r="P45" s="18">
        <f>VLOOKUP(A45,'Rate Application - REM Cycle I'!$1:$65535,11,FALSE)</f>
        <v>0</v>
      </c>
      <c r="Q45" s="18">
        <f t="shared" si="5"/>
        <v>55863107.696382813</v>
      </c>
      <c r="R45" s="19">
        <f t="shared" si="6"/>
        <v>15020.95902074737</v>
      </c>
      <c r="S45" s="81">
        <f>VLOOKUP(A45,'Rate Application - REM Cycle I'!$1:$65535,9,FALSE)</f>
        <v>1.1180896691644482</v>
      </c>
      <c r="T45" s="19">
        <f t="shared" si="7"/>
        <v>62459963.602746598</v>
      </c>
      <c r="U45" s="22">
        <f t="shared" si="8"/>
        <v>16794.77910204016</v>
      </c>
      <c r="V45" s="88">
        <f>IFERROR(VLOOKUP(A45,'PAU Volume'!$AX:$AZ,3,FALSE),0)</f>
        <v>180.719932962033</v>
      </c>
      <c r="W45" s="79">
        <f t="shared" si="9"/>
        <v>3899.7306578580346</v>
      </c>
      <c r="X45" s="15">
        <f t="shared" si="10"/>
        <v>65495114.956179447</v>
      </c>
      <c r="Y45" s="11">
        <f>VLOOKUP(A45,'Rate Application - REM Cycle I'!$1:$65535,7,FALSE)</f>
        <v>66045058.94902806</v>
      </c>
      <c r="Z45" s="78">
        <f t="shared" si="11"/>
        <v>-8.3267999393118464E-3</v>
      </c>
      <c r="AA45" s="82">
        <f>IFERROR(VLOOKUP(A45,'GBR Revenue for ICC'!#REF!,17,FALSE),0)</f>
        <v>0</v>
      </c>
      <c r="AB45" s="82">
        <f t="shared" si="12"/>
        <v>0</v>
      </c>
      <c r="AC45" s="11">
        <f t="shared" si="13"/>
        <v>66045058.94902806</v>
      </c>
      <c r="AD45" s="11">
        <f t="shared" si="14"/>
        <v>65495114.956179447</v>
      </c>
      <c r="AE45" s="10">
        <v>1</v>
      </c>
    </row>
    <row r="46" spans="1:33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IF(C46=1,'Rate Application - REM Cycle I'!$X$65,IF(C46=3,'Rate Application - REM Cycle I'!$X$66,IF(C46=4,'Rate Application - REM Cycle I'!$X$67,IF(C46=5,'Rate Application - REM Cycle I'!$X$68,0))))</f>
        <v>14752.82215273459</v>
      </c>
      <c r="E46" s="87">
        <v>0</v>
      </c>
      <c r="F46" s="87">
        <v>0</v>
      </c>
      <c r="G46" s="87">
        <v>0</v>
      </c>
      <c r="H46" s="87">
        <f t="shared" si="0"/>
        <v>14752.82215273459</v>
      </c>
      <c r="I46" s="65">
        <f>VLOOKUP(A46,'Rate Application - REM Cycle I'!$1:$65535,15,FALSE)</f>
        <v>9011.8464937300014</v>
      </c>
      <c r="J46" s="19">
        <f>VLOOKUP(A46,'Rate Application - REM Cycle I'!$1:$65535,20,FALSE)</f>
        <v>0</v>
      </c>
      <c r="K46" s="11">
        <f t="shared" si="1"/>
        <v>14752.82215273459</v>
      </c>
      <c r="L46" s="11">
        <f t="shared" si="2"/>
        <v>132950168.58974351</v>
      </c>
      <c r="M46" s="36">
        <f>VLOOKUP(A46,'Variable Input'!$1:$1048576,23,FALSE)</f>
        <v>0.99671861092415948</v>
      </c>
      <c r="N46" s="22">
        <f t="shared" si="3"/>
        <v>132513907.35890196</v>
      </c>
      <c r="O46" s="19">
        <f t="shared" si="4"/>
        <v>14704.412403284789</v>
      </c>
      <c r="P46" s="18">
        <f>VLOOKUP(A46,'Rate Application - REM Cycle I'!$1:$65535,11,FALSE)</f>
        <v>0</v>
      </c>
      <c r="Q46" s="18">
        <f t="shared" si="5"/>
        <v>132513907.35890196</v>
      </c>
      <c r="R46" s="19">
        <f t="shared" si="6"/>
        <v>14704.412403284789</v>
      </c>
      <c r="S46" s="81">
        <f>VLOOKUP(A46,'Rate Application - REM Cycle I'!$1:$65535,9,FALSE)</f>
        <v>1.1146605541082666</v>
      </c>
      <c r="T46" s="19">
        <f t="shared" si="7"/>
        <v>147708025.40372518</v>
      </c>
      <c r="U46" s="22">
        <f t="shared" si="8"/>
        <v>16390.42847728189</v>
      </c>
      <c r="V46" s="88">
        <f>IFERROR(VLOOKUP(A46,'PAU Volume'!$AX:$AZ,3,FALSE),0)</f>
        <v>126.29928815319566</v>
      </c>
      <c r="W46" s="79">
        <f t="shared" si="9"/>
        <v>9138.1457818831968</v>
      </c>
      <c r="X46" s="15">
        <f t="shared" si="10"/>
        <v>149778124.85293174</v>
      </c>
      <c r="Y46" s="11">
        <f>VLOOKUP(A46,'Rate Application - REM Cycle I'!$1:$65535,7,FALSE)</f>
        <v>123667555.66396882</v>
      </c>
      <c r="Z46" s="78">
        <f t="shared" si="11"/>
        <v>0.21113516029952861</v>
      </c>
      <c r="AA46" s="82">
        <f>IFERROR(VLOOKUP(A46,'GBR Revenue for ICC'!#REF!,17,FALSE),0)</f>
        <v>0</v>
      </c>
      <c r="AB46" s="82">
        <f t="shared" si="12"/>
        <v>0</v>
      </c>
      <c r="AC46" s="11">
        <f t="shared" si="13"/>
        <v>123667555.66396882</v>
      </c>
      <c r="AD46" s="11">
        <f t="shared" si="14"/>
        <v>149778124.85293174</v>
      </c>
      <c r="AE46" s="10">
        <v>1</v>
      </c>
    </row>
    <row r="47" spans="1:33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IF(C47=1,'Rate Application - REM Cycle I'!$X$65,IF(C47=3,'Rate Application - REM Cycle I'!$X$66,IF(C47=4,'Rate Application - REM Cycle I'!$X$67,IF(C47=5,'Rate Application - REM Cycle I'!$X$68,0))))</f>
        <v>14752.82215273459</v>
      </c>
      <c r="E47" s="87">
        <v>0</v>
      </c>
      <c r="F47" s="87">
        <v>0</v>
      </c>
      <c r="G47" s="87">
        <v>0</v>
      </c>
      <c r="H47" s="87">
        <f t="shared" si="0"/>
        <v>14752.82215273459</v>
      </c>
      <c r="I47" s="65">
        <f>VLOOKUP(A47,'Rate Application - REM Cycle I'!$1:$65535,15,FALSE)</f>
        <v>17485.311336287028</v>
      </c>
      <c r="J47" s="19">
        <f>VLOOKUP(A47,'Rate Application - REM Cycle I'!$1:$65535,20,FALSE)</f>
        <v>0</v>
      </c>
      <c r="K47" s="11">
        <f t="shared" si="1"/>
        <v>14752.82215273459</v>
      </c>
      <c r="L47" s="11">
        <f t="shared" si="2"/>
        <v>257957688.42943653</v>
      </c>
      <c r="M47" s="36">
        <f>VLOOKUP(A47,'Variable Input'!$1:$1048576,23,FALSE)</f>
        <v>1.0181752931904677</v>
      </c>
      <c r="N47" s="22">
        <f t="shared" si="3"/>
        <v>262646145.04737687</v>
      </c>
      <c r="O47" s="19">
        <f t="shared" si="4"/>
        <v>15020.959020747368</v>
      </c>
      <c r="P47" s="18">
        <f>VLOOKUP(A47,'Rate Application - REM Cycle I'!$1:$65535,11,FALSE)</f>
        <v>0</v>
      </c>
      <c r="Q47" s="18">
        <f t="shared" si="5"/>
        <v>262646145.04737687</v>
      </c>
      <c r="R47" s="19">
        <f t="shared" si="6"/>
        <v>15020.959020747368</v>
      </c>
      <c r="S47" s="81">
        <f>VLOOKUP(A47,'Rate Application - REM Cycle I'!$1:$65535,9,FALSE)</f>
        <v>1.1171440000317876</v>
      </c>
      <c r="T47" s="19">
        <f t="shared" si="7"/>
        <v>293413565.07115567</v>
      </c>
      <c r="U47" s="22">
        <f t="shared" si="8"/>
        <v>16780.574244751278</v>
      </c>
      <c r="V47" s="88">
        <f>IFERROR(VLOOKUP(A47,'PAU Volume'!$AX:$AZ,3,FALSE),0)</f>
        <v>544.18028465011332</v>
      </c>
      <c r="W47" s="79">
        <f t="shared" si="9"/>
        <v>18029.49162093714</v>
      </c>
      <c r="X47" s="15">
        <f t="shared" si="10"/>
        <v>302545222.74025679</v>
      </c>
      <c r="Y47" s="11">
        <f>VLOOKUP(A47,'Rate Application - REM Cycle I'!$1:$65535,7,FALSE)</f>
        <v>312472727.05601329</v>
      </c>
      <c r="Z47" s="78">
        <f t="shared" si="11"/>
        <v>-3.1770786555643693E-2</v>
      </c>
      <c r="AA47" s="82">
        <f>IFERROR(VLOOKUP(A47,'GBR Revenue for ICC'!#REF!,17,FALSE),0)</f>
        <v>0</v>
      </c>
      <c r="AB47" s="82">
        <f t="shared" si="12"/>
        <v>0</v>
      </c>
      <c r="AC47" s="11">
        <f t="shared" si="13"/>
        <v>312472727.05601329</v>
      </c>
      <c r="AD47" s="11">
        <f t="shared" si="14"/>
        <v>302545222.74025679</v>
      </c>
      <c r="AE47" s="10">
        <v>1</v>
      </c>
    </row>
    <row r="48" spans="1:33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IF(C48=1,'Rate Application - REM Cycle I'!$X$65,IF(C48=3,'Rate Application - REM Cycle I'!$X$66,IF(C48=4,'Rate Application - REM Cycle I'!$X$67,IF(C48=5,'Rate Application - REM Cycle I'!$X$68,0))))</f>
        <v>14752.82215273459</v>
      </c>
      <c r="E48" s="87">
        <v>0</v>
      </c>
      <c r="F48" s="87">
        <v>0</v>
      </c>
      <c r="G48" s="87">
        <v>0</v>
      </c>
      <c r="H48" s="87">
        <f t="shared" si="0"/>
        <v>14752.82215273459</v>
      </c>
      <c r="I48" s="65">
        <f>VLOOKUP(A48,'Rate Application - REM Cycle I'!$1:$65535,15,FALSE)</f>
        <v>30821.946526509015</v>
      </c>
      <c r="J48" s="19">
        <f>VLOOKUP(A48,'Rate Application - REM Cycle I'!$1:$65535,20,FALSE)</f>
        <v>0</v>
      </c>
      <c r="K48" s="11">
        <f t="shared" si="1"/>
        <v>14752.82215273459</v>
      </c>
      <c r="L48" s="11">
        <f t="shared" si="2"/>
        <v>454710695.50668317</v>
      </c>
      <c r="M48" s="36">
        <f>VLOOKUP(A48,'Variable Input'!$1:$1048576,23,FALSE)</f>
        <v>0.99671861092415948</v>
      </c>
      <c r="N48" s="22">
        <f t="shared" si="3"/>
        <v>453218612.79777968</v>
      </c>
      <c r="O48" s="19">
        <f t="shared" si="4"/>
        <v>14704.412403284789</v>
      </c>
      <c r="P48" s="18">
        <f>VLOOKUP(A48,'Rate Application - REM Cycle I'!$1:$65535,11,FALSE)</f>
        <v>0</v>
      </c>
      <c r="Q48" s="18">
        <f t="shared" si="5"/>
        <v>453218612.79777968</v>
      </c>
      <c r="R48" s="19">
        <f t="shared" si="6"/>
        <v>14704.412403284789</v>
      </c>
      <c r="S48" s="81">
        <f>VLOOKUP(A48,'Rate Application - REM Cycle I'!$1:$65535,9,FALSE)</f>
        <v>1.1140199775247721</v>
      </c>
      <c r="T48" s="19">
        <f t="shared" si="7"/>
        <v>504894588.8427909</v>
      </c>
      <c r="U48" s="22">
        <f t="shared" si="8"/>
        <v>16381.0091750223</v>
      </c>
      <c r="V48" s="88">
        <f>IFERROR(VLOOKUP(A48,'PAU Volume'!$AX:$AZ,3,FALSE),0)</f>
        <v>-309.04607773963369</v>
      </c>
      <c r="W48" s="79">
        <f t="shared" si="9"/>
        <v>30512.900448769382</v>
      </c>
      <c r="X48" s="15">
        <f t="shared" si="10"/>
        <v>499832102.20783329</v>
      </c>
      <c r="Y48" s="11">
        <f>VLOOKUP(A48,'Rate Application - REM Cycle I'!$1:$65535,7,FALSE)</f>
        <v>440856003.87718481</v>
      </c>
      <c r="Z48" s="78">
        <f t="shared" si="11"/>
        <v>0.13377633016670498</v>
      </c>
      <c r="AA48" s="82">
        <f>IFERROR(VLOOKUP(A48,'GBR Revenue for ICC'!#REF!,17,FALSE),0)</f>
        <v>0</v>
      </c>
      <c r="AB48" s="82">
        <f t="shared" si="12"/>
        <v>0</v>
      </c>
      <c r="AC48" s="11">
        <f t="shared" si="13"/>
        <v>440856003.87718481</v>
      </c>
      <c r="AD48" s="11">
        <f t="shared" si="14"/>
        <v>499832102.20783329</v>
      </c>
      <c r="AE48" s="10">
        <v>1</v>
      </c>
    </row>
    <row r="49" spans="1:30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87">
        <f>IF(C49=1,'Rate Application - REM Cycle I'!$X$65,IF(C49=3,'Rate Application - REM Cycle I'!$X$66,IF(C49=4,'Rate Application - REM Cycle I'!$X$67,IF(C49=5,'Rate Application - REM Cycle I'!$X$68,0))))</f>
        <v>14752.82215273459</v>
      </c>
      <c r="E49" s="87">
        <v>0</v>
      </c>
      <c r="F49" s="87">
        <v>0</v>
      </c>
      <c r="G49" s="87">
        <v>0</v>
      </c>
      <c r="H49" s="87">
        <f t="shared" si="0"/>
        <v>14752.82215273459</v>
      </c>
      <c r="I49" s="65">
        <f>VLOOKUP(A49,'Rate Application - REM Cycle I'!$1:$65535,15,FALSE)</f>
        <v>9743.687453664008</v>
      </c>
      <c r="J49" s="19">
        <f>VLOOKUP(A49,'Rate Application - REM Cycle I'!$1:$65535,20,FALSE)</f>
        <v>0</v>
      </c>
      <c r="K49" s="11">
        <f t="shared" si="1"/>
        <v>14752.82215273459</v>
      </c>
      <c r="L49" s="11">
        <f t="shared" si="2"/>
        <v>143746888.11573648</v>
      </c>
      <c r="M49" s="36">
        <f>VLOOKUP(A49,'Variable Input'!$1:$1048576,23,FALSE)</f>
        <v>1.0181752931904677</v>
      </c>
      <c r="N49" s="22">
        <f t="shared" si="3"/>
        <v>146359529.95245737</v>
      </c>
      <c r="O49" s="19">
        <f t="shared" si="4"/>
        <v>15020.959020747372</v>
      </c>
      <c r="P49" s="18">
        <f>VLOOKUP(A49,'Rate Application - REM Cycle I'!$1:$65535,11,FALSE)</f>
        <v>0</v>
      </c>
      <c r="Q49" s="18">
        <f t="shared" si="5"/>
        <v>146359529.95245737</v>
      </c>
      <c r="R49" s="19">
        <f t="shared" si="6"/>
        <v>15020.959020747372</v>
      </c>
      <c r="S49" s="81">
        <f>VLOOKUP(A49,'Rate Application - REM Cycle I'!$1:$65535,9,FALSE)</f>
        <v>1.1083143930424924</v>
      </c>
      <c r="T49" s="19">
        <f t="shared" si="7"/>
        <v>162212373.60524228</v>
      </c>
      <c r="U49" s="22">
        <f t="shared" si="8"/>
        <v>16647.945079995774</v>
      </c>
      <c r="V49" s="88">
        <f>IFERROR(VLOOKUP(A49,'PAU Volume'!$AX:$AZ,3,FALSE),0)</f>
        <v>-256.12774493151665</v>
      </c>
      <c r="W49" s="79">
        <f t="shared" si="9"/>
        <v>9487.5597087324913</v>
      </c>
      <c r="X49" s="15">
        <f t="shared" si="10"/>
        <v>157948372.97415921</v>
      </c>
      <c r="Y49" s="11">
        <f>VLOOKUP(A49,'Rate Application - REM Cycle I'!$1:$65535,7,FALSE)</f>
        <v>145302528.81887707</v>
      </c>
      <c r="Z49" s="78">
        <f t="shared" si="11"/>
        <v>8.703113605851609E-2</v>
      </c>
      <c r="AA49" s="82">
        <f>IFERROR(VLOOKUP(A49,'GBR Revenue for ICC'!#REF!,17,FALSE),0)</f>
        <v>0</v>
      </c>
      <c r="AB49" s="82">
        <f t="shared" si="12"/>
        <v>0</v>
      </c>
      <c r="AC49" s="11">
        <f t="shared" si="13"/>
        <v>145302528.81887707</v>
      </c>
      <c r="AD49" s="11">
        <f t="shared" si="14"/>
        <v>157948372.97415921</v>
      </c>
    </row>
    <row r="50" spans="1:30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87">
        <f>IF(C50=1,'Rate Application - REM Cycle I'!$X$65,IF(C50=3,'Rate Application - REM Cycle I'!$X$66,IF(C50=4,'Rate Application - REM Cycle I'!$X$67,IF(C50=5,'Rate Application - REM Cycle I'!$X$68,0))))</f>
        <v>16863.368236533166</v>
      </c>
      <c r="E50" s="87">
        <v>0</v>
      </c>
      <c r="F50" s="87">
        <v>0</v>
      </c>
      <c r="G50" s="87">
        <v>0</v>
      </c>
      <c r="H50" s="87">
        <f t="shared" si="0"/>
        <v>16863.368236533166</v>
      </c>
      <c r="I50" s="65">
        <f>VLOOKUP(A50,'Rate Application - REM Cycle I'!$1:$65535,15,FALSE)</f>
        <v>16622.361523679996</v>
      </c>
      <c r="J50" s="19">
        <f>VLOOKUP(A50,'Rate Application - REM Cycle I'!$1:$65535,20,FALSE)</f>
        <v>1047.5835053585402</v>
      </c>
      <c r="K50" s="11">
        <f t="shared" si="1"/>
        <v>17910.951741891706</v>
      </c>
      <c r="L50" s="11">
        <f t="shared" si="2"/>
        <v>297722315.08690989</v>
      </c>
      <c r="M50" s="36">
        <f>VLOOKUP(A50,'Variable Input'!$1:$1048576,23,FALSE)</f>
        <v>1.0181752931904677</v>
      </c>
      <c r="N50" s="22">
        <f t="shared" si="3"/>
        <v>303133505.4529593</v>
      </c>
      <c r="O50" s="19">
        <f t="shared" si="4"/>
        <v>18236.488541120907</v>
      </c>
      <c r="P50" s="18">
        <f>VLOOKUP(A50,'Rate Application - REM Cycle I'!$1:$65535,11,FALSE)</f>
        <v>10600897.780621644</v>
      </c>
      <c r="Q50" s="18">
        <f t="shared" si="5"/>
        <v>313734403.23358095</v>
      </c>
      <c r="R50" s="19">
        <f t="shared" si="6"/>
        <v>18874.237742130626</v>
      </c>
      <c r="S50" s="81">
        <f>VLOOKUP(A50,'Rate Application - REM Cycle I'!$1:$65535,9,FALSE)</f>
        <v>1.1150592197193865</v>
      </c>
      <c r="T50" s="19">
        <f t="shared" si="7"/>
        <v>349832438.86876416</v>
      </c>
      <c r="U50" s="22">
        <f t="shared" si="8"/>
        <v>21045.892809538374</v>
      </c>
      <c r="V50" s="35">
        <f>SUMIF($A$1:$A$65535,210003,V$1:V$65535)</f>
        <v>475.40970309217568</v>
      </c>
      <c r="W50" s="79">
        <f t="shared" si="9"/>
        <v>17097.771226772173</v>
      </c>
      <c r="X50" s="15">
        <f t="shared" si="10"/>
        <v>359837860.52065659</v>
      </c>
      <c r="Y50" s="11">
        <f>VLOOKUP(A50,'Rate Application - REM Cycle I'!$1:$65535,7,FALSE)</f>
        <v>379598110.09410959</v>
      </c>
      <c r="Z50" s="78">
        <f t="shared" si="11"/>
        <v>-5.2055711153446094E-2</v>
      </c>
      <c r="AA50" s="82">
        <f>IFERROR(VLOOKUP(A50,'GBR Revenue for ICC'!#REF!,17,FALSE),0)</f>
        <v>0</v>
      </c>
      <c r="AB50" s="82">
        <f t="shared" si="12"/>
        <v>0</v>
      </c>
      <c r="AC50" s="11">
        <f t="shared" si="13"/>
        <v>379598110.09410959</v>
      </c>
      <c r="AD50" s="11">
        <f t="shared" si="14"/>
        <v>359837860.52065659</v>
      </c>
    </row>
    <row r="51" spans="1:30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87">
        <f>IF(C51=1,'Rate Application - REM Cycle I'!$X$65,IF(C51=3,'Rate Application - REM Cycle I'!$X$66,IF(C51=4,'Rate Application - REM Cycle I'!$X$67,IF(C51=5,'Rate Application - REM Cycle I'!$X$68,0))))</f>
        <v>16863.368236533166</v>
      </c>
      <c r="E51" s="87">
        <v>0</v>
      </c>
      <c r="F51" s="87">
        <v>0</v>
      </c>
      <c r="G51" s="87">
        <v>0</v>
      </c>
      <c r="H51" s="87">
        <f t="shared" si="0"/>
        <v>16863.368236533166</v>
      </c>
      <c r="I51" s="65">
        <f>VLOOKUP(A51,'Rate Application - REM Cycle I'!$1:$65535,15,FALSE)</f>
        <v>37187.68418079293</v>
      </c>
      <c r="J51" s="19">
        <f>VLOOKUP(A51,'Rate Application - REM Cycle I'!$1:$65535,20,FALSE)</f>
        <v>472.25959220144938</v>
      </c>
      <c r="K51" s="11">
        <f t="shared" si="1"/>
        <v>17335.627828734614</v>
      </c>
      <c r="L51" s="11">
        <f t="shared" si="2"/>
        <v>644671852.7707479</v>
      </c>
      <c r="M51" s="36">
        <f>VLOOKUP(A51,'Variable Input'!$1:$1048576,23,FALSE)</f>
        <v>0.99671861092415948</v>
      </c>
      <c r="N51" s="22">
        <f t="shared" si="3"/>
        <v>642556433.59556413</v>
      </c>
      <c r="O51" s="19">
        <f t="shared" si="4"/>
        <v>17278.742888954566</v>
      </c>
      <c r="P51" s="18">
        <f>VLOOKUP(A51,'Rate Application - REM Cycle I'!$1:$65535,11,FALSE)</f>
        <v>5003207.6874727393</v>
      </c>
      <c r="Q51" s="18">
        <f t="shared" si="5"/>
        <v>647559641.28303683</v>
      </c>
      <c r="R51" s="19">
        <f t="shared" si="6"/>
        <v>17413.282261267963</v>
      </c>
      <c r="S51" s="81">
        <f>VLOOKUP(A51,'Rate Application - REM Cycle I'!$1:$65535,9,FALSE)</f>
        <v>1.1102695565875482</v>
      </c>
      <c r="T51" s="19">
        <f t="shared" si="7"/>
        <v>718965755.79130912</v>
      </c>
      <c r="U51" s="22">
        <f t="shared" si="8"/>
        <v>19333.437174951803</v>
      </c>
      <c r="V51" s="35">
        <f>SUMIF($A$1:$A$65535,210008,V$1:V$65535)</f>
        <v>361.68554938791823</v>
      </c>
      <c r="W51" s="79">
        <f t="shared" si="9"/>
        <v>37549.36973018085</v>
      </c>
      <c r="X51" s="15">
        <f t="shared" si="10"/>
        <v>725958380.63748837</v>
      </c>
      <c r="Y51" s="11">
        <f>VLOOKUP(A51,'Rate Application - REM Cycle I'!$1:$65535,7,FALSE)</f>
        <v>630435213.30233288</v>
      </c>
      <c r="Z51" s="78">
        <f t="shared" si="11"/>
        <v>0.15151940329409586</v>
      </c>
      <c r="AA51" s="82">
        <f>IFERROR(VLOOKUP(A51,'GBR Revenue for ICC'!#REF!,17,FALSE),0)</f>
        <v>0</v>
      </c>
      <c r="AB51" s="82">
        <f t="shared" si="12"/>
        <v>0</v>
      </c>
      <c r="AC51" s="11">
        <f t="shared" si="13"/>
        <v>630435213.30233288</v>
      </c>
      <c r="AD51" s="11">
        <f t="shared" si="14"/>
        <v>725958380.63748837</v>
      </c>
    </row>
    <row r="52" spans="1:30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87">
        <f>IF(C52=1,'Rate Application - REM Cycle I'!$X$65,IF(C52=3,'Rate Application - REM Cycle I'!$X$66,IF(C52=4,'Rate Application - REM Cycle I'!$X$67,IF(C52=5,'Rate Application - REM Cycle I'!$X$68,0))))</f>
        <v>16863.368236533166</v>
      </c>
      <c r="E52" s="87">
        <v>0</v>
      </c>
      <c r="F52" s="87">
        <v>0</v>
      </c>
      <c r="G52" s="87">
        <v>0</v>
      </c>
      <c r="H52" s="87">
        <f t="shared" si="0"/>
        <v>16863.368236533166</v>
      </c>
      <c r="I52" s="65">
        <f>VLOOKUP(A52,'Rate Application - REM Cycle I'!$1:$65535,15,FALSE)</f>
        <v>39233.431532673072</v>
      </c>
      <c r="J52" s="19">
        <f>VLOOKUP(A52,'Rate Application - REM Cycle I'!$1:$65535,20,FALSE)</f>
        <v>1165.0763536132847</v>
      </c>
      <c r="K52" s="11">
        <f t="shared" si="1"/>
        <v>18028.44459014645</v>
      </c>
      <c r="L52" s="11">
        <f t="shared" si="2"/>
        <v>707317746.46810102</v>
      </c>
      <c r="M52" s="36">
        <f>VLOOKUP(A52,'Variable Input'!$1:$1048576,23,FALSE)</f>
        <v>0.99671861092415948</v>
      </c>
      <c r="N52" s="22">
        <f t="shared" si="3"/>
        <v>704996761.74169242</v>
      </c>
      <c r="O52" s="19">
        <f t="shared" si="4"/>
        <v>17969.286249013949</v>
      </c>
      <c r="P52" s="18">
        <f>VLOOKUP(A52,'Rate Application - REM Cycle I'!$1:$65535,11,FALSE)</f>
        <v>20760568.355981968</v>
      </c>
      <c r="Q52" s="18">
        <f t="shared" si="5"/>
        <v>725757330.09767437</v>
      </c>
      <c r="R52" s="19">
        <f t="shared" si="6"/>
        <v>18498.441297271525</v>
      </c>
      <c r="S52" s="81">
        <f>VLOOKUP(A52,'Rate Application - REM Cycle I'!$1:$65535,9,FALSE)</f>
        <v>1.1214469245143464</v>
      </c>
      <c r="T52" s="19">
        <f t="shared" si="7"/>
        <v>813898325.78178012</v>
      </c>
      <c r="U52" s="22">
        <f t="shared" si="8"/>
        <v>20745.020101134323</v>
      </c>
      <c r="V52" s="35">
        <f>SUMIF($A$1:$A$65535,210012,V$1:V$65535)</f>
        <v>778.56440518458942</v>
      </c>
      <c r="W52" s="79">
        <f t="shared" si="9"/>
        <v>40011.99593785766</v>
      </c>
      <c r="X52" s="15">
        <f t="shared" si="10"/>
        <v>830049660.01736212</v>
      </c>
      <c r="Y52" s="11">
        <f>VLOOKUP(A52,'Rate Application - REM Cycle I'!$1:$65535,7,FALSE)</f>
        <v>853868775.33511937</v>
      </c>
      <c r="Z52" s="78">
        <f t="shared" si="11"/>
        <v>-2.7895522129157246E-2</v>
      </c>
      <c r="AA52" s="82">
        <f>IFERROR(VLOOKUP(A52,'GBR Revenue for ICC'!#REF!,17,FALSE),0)</f>
        <v>0</v>
      </c>
      <c r="AB52" s="82">
        <f t="shared" si="12"/>
        <v>0</v>
      </c>
      <c r="AC52" s="11">
        <f t="shared" si="13"/>
        <v>853868775.33511937</v>
      </c>
      <c r="AD52" s="11">
        <f t="shared" si="14"/>
        <v>830049660.01736212</v>
      </c>
    </row>
    <row r="53" spans="1:30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87">
        <f>IF(C53=1,'Rate Application - REM Cycle I'!$X$65,IF(C53=3,'Rate Application - REM Cycle I'!$X$66,IF(C53=4,'Rate Application - REM Cycle I'!$X$67,IF(C53=5,'Rate Application - REM Cycle I'!$X$68,0))))</f>
        <v>16863.368236533166</v>
      </c>
      <c r="E53" s="87">
        <v>0</v>
      </c>
      <c r="F53" s="87">
        <v>0</v>
      </c>
      <c r="G53" s="87">
        <v>0</v>
      </c>
      <c r="H53" s="87">
        <f t="shared" si="0"/>
        <v>16863.368236533166</v>
      </c>
      <c r="I53" s="65">
        <f>VLOOKUP(A53,'Rate Application - REM Cycle I'!$1:$65535,15,FALSE)</f>
        <v>26999.26188542712</v>
      </c>
      <c r="J53" s="19">
        <f>VLOOKUP(A53,'Rate Application - REM Cycle I'!$1:$65535,20,FALSE)</f>
        <v>1182.417690332225</v>
      </c>
      <c r="K53" s="11">
        <f t="shared" si="1"/>
        <v>18045.785926865392</v>
      </c>
      <c r="L53" s="11">
        <f t="shared" si="2"/>
        <v>487222900.16779387</v>
      </c>
      <c r="M53" s="36">
        <f>VLOOKUP(A53,'Variable Input'!$1:$1048576,23,FALSE)</f>
        <v>0.99671861092415948</v>
      </c>
      <c r="N53" s="22">
        <f t="shared" si="3"/>
        <v>485624132.26568395</v>
      </c>
      <c r="O53" s="19">
        <f t="shared" si="4"/>
        <v>17986.570682060017</v>
      </c>
      <c r="P53" s="18">
        <f>VLOOKUP(A53,'Rate Application - REM Cycle I'!$1:$65535,11,FALSE)</f>
        <v>12196844.09297953</v>
      </c>
      <c r="Q53" s="18">
        <f t="shared" si="5"/>
        <v>497820976.3586635</v>
      </c>
      <c r="R53" s="19">
        <f t="shared" si="6"/>
        <v>18438.317998143604</v>
      </c>
      <c r="S53" s="81">
        <f>VLOOKUP(A53,'Rate Application - REM Cycle I'!$1:$65535,9,FALSE)</f>
        <v>1.1223202362274129</v>
      </c>
      <c r="T53" s="19">
        <f t="shared" si="7"/>
        <v>558714555.78581655</v>
      </c>
      <c r="U53" s="22">
        <f t="shared" si="8"/>
        <v>20693.697411312689</v>
      </c>
      <c r="V53" s="35">
        <f>SUMIF($A$1:$A$65535,210024,V$1:V$65535)</f>
        <v>519.93028670117792</v>
      </c>
      <c r="W53" s="79">
        <f t="shared" si="9"/>
        <v>27519.1921721283</v>
      </c>
      <c r="X53" s="15">
        <f t="shared" si="10"/>
        <v>569473835.81378782</v>
      </c>
      <c r="Y53" s="11">
        <f>VLOOKUP(A53,'Rate Application - REM Cycle I'!$1:$65535,7,FALSE)</f>
        <v>481596679.12083691</v>
      </c>
      <c r="Z53" s="78">
        <f t="shared" si="11"/>
        <v>0.1824704374070274</v>
      </c>
      <c r="AA53" s="82">
        <f>IFERROR(VLOOKUP(A53,'GBR Revenue for ICC'!#REF!,17,FALSE),0)</f>
        <v>0</v>
      </c>
      <c r="AB53" s="82">
        <f t="shared" si="12"/>
        <v>0</v>
      </c>
      <c r="AC53" s="11">
        <f t="shared" si="13"/>
        <v>481596679.12083691</v>
      </c>
      <c r="AD53" s="11">
        <f t="shared" si="14"/>
        <v>569473835.81378782</v>
      </c>
    </row>
    <row r="54" spans="1:30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87">
        <f>IF(C54=1,'Rate Application - REM Cycle I'!$X$65,IF(C54=3,'Rate Application - REM Cycle I'!$X$66,IF(C54=4,'Rate Application - REM Cycle I'!$X$67,IF(C54=5,'Rate Application - REM Cycle I'!$X$68,0))))</f>
        <v>16863.368236533166</v>
      </c>
      <c r="E54" s="87">
        <v>0</v>
      </c>
      <c r="F54" s="87">
        <v>0</v>
      </c>
      <c r="G54" s="87">
        <v>0</v>
      </c>
      <c r="H54" s="87">
        <f t="shared" si="0"/>
        <v>16863.368236533166</v>
      </c>
      <c r="I54" s="65">
        <f>VLOOKUP(A54,'Rate Application - REM Cycle I'!$1:$65535,15,FALSE)</f>
        <v>35540.799933832066</v>
      </c>
      <c r="J54" s="19">
        <f>VLOOKUP(A54,'Rate Application - REM Cycle I'!$1:$65535,20,FALSE)</f>
        <v>1440.3814806605105</v>
      </c>
      <c r="K54" s="11">
        <f t="shared" si="1"/>
        <v>18303.749717193677</v>
      </c>
      <c r="L54" s="11">
        <f t="shared" si="2"/>
        <v>650529906.73771572</v>
      </c>
      <c r="M54" s="36">
        <f>VLOOKUP(A54,'Variable Input'!$1:$1048576,23,FALSE)</f>
        <v>0.99671861092415948</v>
      </c>
      <c r="N54" s="22">
        <f t="shared" si="3"/>
        <v>648395265.00823903</v>
      </c>
      <c r="O54" s="19">
        <f t="shared" si="4"/>
        <v>18243.687992824758</v>
      </c>
      <c r="P54" s="18">
        <f>VLOOKUP(A54,'Rate Application - REM Cycle I'!$1:$65535,11,FALSE)</f>
        <v>27476780.845164478</v>
      </c>
      <c r="Q54" s="18">
        <f t="shared" si="5"/>
        <v>675872045.85340357</v>
      </c>
      <c r="R54" s="19">
        <f t="shared" si="6"/>
        <v>19016.793294233823</v>
      </c>
      <c r="S54" s="81">
        <f>VLOOKUP(A54,'Rate Application - REM Cycle I'!$1:$65535,9,FALSE)</f>
        <v>1.1160480491569686</v>
      </c>
      <c r="T54" s="19">
        <f t="shared" si="7"/>
        <v>754305678.25442028</v>
      </c>
      <c r="U54" s="22">
        <f t="shared" si="8"/>
        <v>21223.65505725098</v>
      </c>
      <c r="V54" s="35">
        <f>SUMIF($A$1:$A$65535,210029,V$1:V$65535)</f>
        <v>687.5622884232024</v>
      </c>
      <c r="W54" s="79">
        <f t="shared" si="9"/>
        <v>36228.362222255266</v>
      </c>
      <c r="X54" s="15">
        <f t="shared" si="10"/>
        <v>768898263.09428835</v>
      </c>
      <c r="Y54" s="11">
        <f>VLOOKUP(A54,'Rate Application - REM Cycle I'!$1:$65535,7,FALSE)</f>
        <v>714563622.53195643</v>
      </c>
      <c r="Z54" s="78">
        <f t="shared" si="11"/>
        <v>7.6038912210230736E-2</v>
      </c>
      <c r="AA54" s="82">
        <f>IFERROR(VLOOKUP(A54,'GBR Revenue for ICC'!#REF!,17,FALSE),0)</f>
        <v>0</v>
      </c>
      <c r="AB54" s="82">
        <f t="shared" si="12"/>
        <v>0</v>
      </c>
      <c r="AC54" s="11">
        <f t="shared" si="13"/>
        <v>714563622.53195643</v>
      </c>
      <c r="AD54" s="11">
        <f t="shared" si="14"/>
        <v>768898263.09428835</v>
      </c>
    </row>
    <row r="55" spans="1:30" ht="17.7" x14ac:dyDescent="0.6">
      <c r="A55" s="26"/>
      <c r="B55" s="26"/>
      <c r="C55" s="31"/>
      <c r="D55" s="19"/>
      <c r="E55" s="19"/>
      <c r="F55" s="19"/>
      <c r="G55" s="19"/>
      <c r="H55" s="19"/>
      <c r="I55" s="31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</row>
    <row r="56" spans="1:30" ht="17.7" x14ac:dyDescent="0.6">
      <c r="A56" s="26"/>
      <c r="B56" s="26"/>
      <c r="C56" s="31"/>
      <c r="D56" s="19"/>
      <c r="E56" s="19"/>
      <c r="F56" s="85"/>
      <c r="G56" s="19"/>
      <c r="H56" s="19"/>
      <c r="I56" s="31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0" ht="17.7" x14ac:dyDescent="0.6">
      <c r="A57" s="26"/>
      <c r="B57" s="26"/>
      <c r="C57" s="31"/>
      <c r="D57" s="19"/>
      <c r="E57" s="19"/>
      <c r="F57" s="34"/>
      <c r="G57" s="19"/>
      <c r="H57" s="19"/>
      <c r="I57" s="31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0" ht="17.7" x14ac:dyDescent="0.6">
      <c r="A58" s="26"/>
      <c r="B58" s="26"/>
      <c r="C58" s="31"/>
      <c r="D58" s="19"/>
      <c r="E58" s="19"/>
      <c r="F58" s="19"/>
      <c r="G58" s="19"/>
      <c r="H58" s="19"/>
      <c r="I58" s="31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0" ht="17.7" x14ac:dyDescent="0.6">
      <c r="A59" s="26"/>
      <c r="B59" s="26"/>
      <c r="C59" s="31"/>
      <c r="D59" s="19"/>
      <c r="E59" s="19"/>
      <c r="F59" s="19"/>
      <c r="G59" s="19"/>
      <c r="H59" s="19"/>
      <c r="I59" s="31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0" ht="17.7" x14ac:dyDescent="0.6">
      <c r="A60" s="26"/>
      <c r="B60" s="26"/>
      <c r="C60" s="31"/>
      <c r="D60" s="19"/>
      <c r="E60" s="19"/>
      <c r="F60" s="19"/>
      <c r="G60" s="19"/>
      <c r="H60" s="19"/>
      <c r="I60" s="31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0" ht="21" customHeight="1" x14ac:dyDescent="0.6">
      <c r="A61" s="32" t="s">
        <v>78</v>
      </c>
      <c r="B61" s="26" t="s">
        <v>77</v>
      </c>
      <c r="C61" s="31"/>
      <c r="D61" s="65">
        <f>SUBTOTAL(1,D2:D59)</f>
        <v>13902.101652266363</v>
      </c>
      <c r="E61" s="65">
        <f>SUBTOTAL(1,E2:E59)</f>
        <v>0</v>
      </c>
      <c r="F61" s="65">
        <f>SUBTOTAL(1,F2:F59)</f>
        <v>0</v>
      </c>
      <c r="G61" s="65">
        <f>SUBTOTAL(1,G2:G59)</f>
        <v>0</v>
      </c>
      <c r="H61" s="65">
        <f>SUBTOTAL(1,H2:H59)</f>
        <v>13902.101652266363</v>
      </c>
      <c r="I61" s="65">
        <f>SUBTOTAL(9,I2:I59)</f>
        <v>1166982.8882188969</v>
      </c>
      <c r="J61" s="22"/>
      <c r="L61" s="22">
        <f>SUBTOTAL(9,L2:L59)</f>
        <v>18511631964.013309</v>
      </c>
      <c r="M61" s="36">
        <f>'Rate Application - REM Cycle I'!M61</f>
        <v>1.0003666335632411</v>
      </c>
      <c r="N61" s="22">
        <f>SUBTOTAL(9,N2:N59)</f>
        <v>18515935525.361252</v>
      </c>
      <c r="O61" s="19">
        <f>N61/I61</f>
        <v>15866.501310590018</v>
      </c>
      <c r="P61" s="22">
        <f>SUBTOTAL(9,P2:P59)</f>
        <v>393431841.98609471</v>
      </c>
      <c r="Q61" s="22">
        <f>SUBTOTAL(9,Q2:Q59)</f>
        <v>18909367367.347351</v>
      </c>
      <c r="R61" s="19">
        <f>Q61/I61</f>
        <v>16203.637224027936</v>
      </c>
      <c r="S61" s="81">
        <f>'Rate Application - REM Cycle I'!I61</f>
        <v>1.0900365956927256</v>
      </c>
      <c r="T61" s="22">
        <f>SUBTOTAL(9,T2:T59)</f>
        <v>21087327587.124672</v>
      </c>
      <c r="U61" s="22">
        <f>SUBTOTAL(9,U2:U59)</f>
        <v>836772.00210247049</v>
      </c>
      <c r="V61" s="65">
        <f>SUBTOTAL(9,V2:V59)</f>
        <v>16451.223151337861</v>
      </c>
      <c r="W61" s="79">
        <f>I61-V61</f>
        <v>1150531.6650675591</v>
      </c>
      <c r="X61" s="22">
        <f>SUBTOTAL(9,X2:X59)</f>
        <v>21383748464.132385</v>
      </c>
      <c r="Y61" s="22">
        <f>SUBTOTAL(9,Y2:Y59)</f>
        <v>21177755106.99963</v>
      </c>
      <c r="Z61" s="78">
        <f>X61/Y61-1</f>
        <v>9.7268740757452399E-3</v>
      </c>
    </row>
    <row r="62" spans="1:30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87">
        <f>IF(C62=1,$F$71,IF(C62=3,$F$66,IF(C62=4,$F$67,IF(C62=5,$F$74,0))))</f>
        <v>0</v>
      </c>
      <c r="H62" s="19"/>
      <c r="I62" s="65">
        <f>SUM(I3:I54)-SUMPRODUCT((LEFT($A$3:$A$54,1)+0=9)*I3:I54)</f>
        <v>1011399.3491624917</v>
      </c>
      <c r="J62" s="22">
        <f>'Rate Application - ICC Cycle I'!U62</f>
        <v>543.38370905082365</v>
      </c>
      <c r="K62" s="11">
        <f>+H62+J62</f>
        <v>543.38370905082365</v>
      </c>
      <c r="L62" s="11">
        <f>K62*I62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N62/I62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16048622970.520992</v>
      </c>
      <c r="R62" s="19">
        <f>Q62/I62</f>
        <v>15867.741049873481</v>
      </c>
      <c r="S62" s="81">
        <f>'Rate Application - REM Cycle I'!I62</f>
        <v>1.090209793286856</v>
      </c>
      <c r="T62" s="22">
        <f>SUM(T3:T54)-SUMPRODUCT((LEFT($A$3:$A$54,1)+0=9)*T3:T54)</f>
        <v>17891610832.642582</v>
      </c>
      <c r="U62" s="22">
        <f>SUM(U3:U54)-SUMPRODUCT((LEFT($A$3:$A$54,1)+0=9)*U3:U54)</f>
        <v>733730.29954828229</v>
      </c>
      <c r="V62" s="65">
        <f>SUM(V3:V54)-SUMPRODUCT((LEFT($A$3:$A$54,1)+0=9)*V3:V54)</f>
        <v>13628.070918548798</v>
      </c>
      <c r="W62" s="79">
        <f>I62-V62</f>
        <v>997771.27824394288</v>
      </c>
      <c r="X62" s="22">
        <f>SUM(X3:X54)-SUMPRODUCT((LEFT($A$3:$A$54,1)+0=9)*X3:X54)</f>
        <v>18129530464.048801</v>
      </c>
      <c r="Y62" s="22">
        <f>SUM(Y3:Y54)-SUMPRODUCT((LEFT($A$3:$A$54,1)+0=9)*Y3:Y54)</f>
        <v>18117692706.615276</v>
      </c>
      <c r="Z62" s="78">
        <f>X62/Y62-1</f>
        <v>6.5338106927947948E-4</v>
      </c>
    </row>
    <row r="63" spans="1:30" ht="17.7" x14ac:dyDescent="0.6">
      <c r="I63" s="82"/>
      <c r="J63" s="22"/>
      <c r="K63" s="12"/>
      <c r="L63" s="12"/>
      <c r="M63" s="36"/>
      <c r="S63" s="81"/>
      <c r="T63" s="12"/>
      <c r="V63" s="83"/>
      <c r="X63" s="12"/>
      <c r="Y63" s="12"/>
    </row>
    <row r="64" spans="1:30" ht="17.7" x14ac:dyDescent="0.6">
      <c r="I64" s="8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14752.822152734607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0</v>
      </c>
      <c r="H65" s="23">
        <f>AVERAGEIF($C$1:$C$65535,1,H$1:H$65535)</f>
        <v>14752.822152734607</v>
      </c>
      <c r="I65" s="80">
        <f>SUMIF($C$1:$C$65535,1,I$1:I$65535)</f>
        <v>848536.38418973342</v>
      </c>
      <c r="J65" s="22">
        <f>'Rate Application - ICC Cycle I'!U65</f>
        <v>131.27420908993491</v>
      </c>
      <c r="K65" s="11">
        <f>+H65+J65</f>
        <v>14884.096361824542</v>
      </c>
      <c r="L65" s="11">
        <f>K65*I65</f>
        <v>12629697308.794163</v>
      </c>
      <c r="M65" s="36">
        <f>'Rate Application - REM Cycle I'!M65</f>
        <v>1.0014818635818203</v>
      </c>
      <c r="N65" s="18">
        <f>SUMIF($C$1:$C$65535,1,N$1:N$65535)</f>
        <v>12646913653.146122</v>
      </c>
      <c r="O65" s="19">
        <f>N65/I65</f>
        <v>14904.385821030701</v>
      </c>
      <c r="P65" s="18">
        <f>SUMIF($C$1:$C$65535,1,P$1:P$65535)</f>
        <v>135726645.33431077</v>
      </c>
      <c r="Q65" s="18">
        <f>SUMIF($C$1:$C$65535,1,Q$1:Q$65535)</f>
        <v>12782640298.480436</v>
      </c>
      <c r="R65" s="19">
        <f>Q65/I65</f>
        <v>15064.339651960319</v>
      </c>
      <c r="S65" s="81">
        <f>'Rate Application - REM Cycle I'!I65</f>
        <v>1.0993762674816792</v>
      </c>
      <c r="T65" s="18">
        <f>SUMIF($C$1:$C$65535,1,T$1:T$65535)</f>
        <v>14269337081.702265</v>
      </c>
      <c r="U65" s="18">
        <f>SUMIF($C$1:$C$65535,1,U$1:U$65535)</f>
        <v>687488.15653224627</v>
      </c>
      <c r="V65" s="80">
        <f>SUMIF($C$1:$C$65535,1,V$1:V$65535)</f>
        <v>11166.853374094211</v>
      </c>
      <c r="W65" s="79">
        <f>I65-V65</f>
        <v>837369.53081563918</v>
      </c>
      <c r="X65" s="18">
        <f>SUMIF($C$1:$C$65535,1,X$1:X$65535)</f>
        <v>14459304747.418289</v>
      </c>
      <c r="Y65" s="18">
        <f>SUMIF($C$1:$C$65535,1,Y$1:Y$65535)</f>
        <v>14273992623.000803</v>
      </c>
      <c r="Z65" s="78">
        <f>X65/Y65-1</f>
        <v>1.298250106412957E-2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23" t="e">
        <f>AVERAGEIF($C$1:$C$65535,3,H$1:H$65535)</f>
        <v>#DIV/0!</v>
      </c>
      <c r="I66" s="80">
        <f>SUMIF($C$1:$C$65535,3,I$1:I$65535)</f>
        <v>0</v>
      </c>
      <c r="J66" s="22" t="e">
        <f>'Rate Application - ICC Cycle I'!U66</f>
        <v>#DIV/0!</v>
      </c>
      <c r="K66" s="11" t="e">
        <f>+H66+J66</f>
        <v>#DIV/0!</v>
      </c>
      <c r="L66" s="11" t="e">
        <f>K66*I66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N66/I66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Q66/I66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I66-V66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23" t="e">
        <f>AVERAGEIF($C$1:$C$65535,4,H$1:H$65535)</f>
        <v>#DIV/0!</v>
      </c>
      <c r="I67" s="80">
        <f>SUMIF($C$1:$C$65535,4,I$1:I$65535)</f>
        <v>0</v>
      </c>
      <c r="J67" s="22" t="e">
        <f>'Rate Application - ICC Cycle I'!U67</f>
        <v>#DIV/0!</v>
      </c>
      <c r="K67" s="11" t="e">
        <f>+H67+J67</f>
        <v>#DIV/0!</v>
      </c>
      <c r="L67" s="11" t="e">
        <f>K67*I67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N67/I67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Q67/I67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I67-V67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16863.368236533166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0</v>
      </c>
      <c r="H68" s="23">
        <f>AVERAGEIF($C$1:$C$65535,5,H$1:H$65535)</f>
        <v>16863.368236533166</v>
      </c>
      <c r="I68" s="80">
        <f>SUMIF($C$1:$C$65535,5,I$1:I$65535)</f>
        <v>313101.47436853946</v>
      </c>
      <c r="J68" s="22">
        <f>'Rate Application - ICC Cycle I'!U68</f>
        <v>1922.6648445368019</v>
      </c>
      <c r="K68" s="11">
        <f>+H68+J68</f>
        <v>18786.033081069967</v>
      </c>
      <c r="L68" s="11">
        <f>K68*I68</f>
        <v>5881934655.2191629</v>
      </c>
      <c r="M68" s="36">
        <f>'Rate Application - REM Cycle I'!M68</f>
        <v>0.99790031034215976</v>
      </c>
      <c r="N68" s="18">
        <f>SUMIF($C$1:$C$65535,5,N$1:N$65535)</f>
        <v>5869021872.2151279</v>
      </c>
      <c r="O68" s="19">
        <f>N68/I68</f>
        <v>18744.791553766154</v>
      </c>
      <c r="P68" s="18">
        <f>SUMIF($C$1:$C$65535,5,P$1:P$65535)</f>
        <v>257501081.74744377</v>
      </c>
      <c r="Q68" s="18">
        <f>SUMIF($C$1:$C$65535,5,Q$1:Q$65535)</f>
        <v>6126522953.9625721</v>
      </c>
      <c r="R68" s="19">
        <f>Q68/I68</f>
        <v>19567.212087769611</v>
      </c>
      <c r="S68" s="81">
        <f>'Rate Application - REM Cycle I'!I68</f>
        <v>1.0695902147917553</v>
      </c>
      <c r="T68" s="18">
        <f>SUMIF($C$1:$C$65535,5,T$1:T$65535)</f>
        <v>6817745844.5220461</v>
      </c>
      <c r="U68" s="18">
        <f>SUMIF($C$1:$C$65535,5,U$1:U$65535)</f>
        <v>149136.66191849631</v>
      </c>
      <c r="V68" s="80">
        <f>SUMIF($C$1:$C$65535,5,V$1:V$65535)</f>
        <v>4896.4116501469625</v>
      </c>
      <c r="W68" s="79">
        <f>I68-V68</f>
        <v>308205.06271839252</v>
      </c>
      <c r="X68" s="18">
        <f>SUMIF($C$1:$C$65535,5,X$1:X$65535)</f>
        <v>6924182635.3615341</v>
      </c>
      <c r="Y68" s="18">
        <f>SUMIF($C$1:$C$65535,5,Y$1:Y$65535)</f>
        <v>6818078919.679533</v>
      </c>
      <c r="Z68" s="78">
        <f>X68/Y68-1</f>
        <v>1.5562113160020097E-2</v>
      </c>
    </row>
    <row r="69" spans="1:26" x14ac:dyDescent="0.5">
      <c r="I69" s="77"/>
    </row>
    <row r="70" spans="1:26" x14ac:dyDescent="0.5">
      <c r="E70" s="76"/>
      <c r="F70" s="76"/>
      <c r="G70" s="74"/>
    </row>
    <row r="71" spans="1:26" x14ac:dyDescent="0.5">
      <c r="E71" s="76"/>
      <c r="F71" s="75">
        <f>-2%*D65</f>
        <v>-295.05644305469212</v>
      </c>
      <c r="G71" s="73">
        <f>G65/D65</f>
        <v>0</v>
      </c>
      <c r="H71" s="75"/>
    </row>
    <row r="72" spans="1:26" x14ac:dyDescent="0.5">
      <c r="E72" s="76"/>
      <c r="F72" s="75" t="e">
        <f>-2%*D66</f>
        <v>#DIV/0!</v>
      </c>
      <c r="G72" s="73" t="e">
        <f>G66/D66</f>
        <v>#DIV/0!</v>
      </c>
      <c r="H72" s="75"/>
    </row>
    <row r="73" spans="1:26" x14ac:dyDescent="0.5">
      <c r="E73" s="76"/>
      <c r="F73" s="75" t="e">
        <f>-2%*D67</f>
        <v>#DIV/0!</v>
      </c>
      <c r="G73" s="73" t="e">
        <f>G67/D67</f>
        <v>#DIV/0!</v>
      </c>
      <c r="H73" s="75"/>
    </row>
    <row r="74" spans="1:26" x14ac:dyDescent="0.5">
      <c r="F74" s="75">
        <f>-2%*D68</f>
        <v>-337.2673647306633</v>
      </c>
      <c r="G74" s="73">
        <f>G68/D68</f>
        <v>0</v>
      </c>
      <c r="H74" s="75"/>
    </row>
    <row r="75" spans="1:26" x14ac:dyDescent="0.5">
      <c r="G75" s="74"/>
    </row>
    <row r="76" spans="1:26" x14ac:dyDescent="0.5">
      <c r="G76" s="73">
        <f>G61/D61</f>
        <v>0</v>
      </c>
      <c r="H76" s="73"/>
    </row>
  </sheetData>
  <sheetCalcPr fullCalcOnLoad="1"/>
  <autoFilter ref="A2:AG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62"/>
  <sheetViews>
    <sheetView workbookViewId="0">
      <selection activeCell="C34" sqref="C34"/>
    </sheetView>
  </sheetViews>
  <sheetFormatPr defaultRowHeight="14.4" x14ac:dyDescent="0.55000000000000004"/>
  <cols>
    <col min="1" max="1" width="51" bestFit="1" customWidth="1"/>
    <col min="2" max="2" width="37.68359375" style="2" bestFit="1" customWidth="1"/>
    <col min="3" max="3" width="44.26171875" style="2" bestFit="1" customWidth="1"/>
    <col min="4" max="4" width="49.68359375" style="93" bestFit="1" customWidth="1"/>
  </cols>
  <sheetData>
    <row r="1" spans="1:4" x14ac:dyDescent="0.55000000000000004">
      <c r="A1" s="1" t="s">
        <v>106</v>
      </c>
      <c r="B1" t="s">
        <v>51</v>
      </c>
    </row>
    <row r="3" spans="1:4" x14ac:dyDescent="0.55000000000000004">
      <c r="A3" s="1" t="s">
        <v>0</v>
      </c>
      <c r="B3" s="2" t="s">
        <v>178</v>
      </c>
      <c r="C3" s="2" t="s">
        <v>177</v>
      </c>
      <c r="D3" s="309" t="s">
        <v>176</v>
      </c>
    </row>
    <row r="4" spans="1:4" x14ac:dyDescent="0.55000000000000004">
      <c r="A4" s="318">
        <v>1</v>
      </c>
      <c r="D4" s="309"/>
    </row>
    <row r="5" spans="1:4" x14ac:dyDescent="0.55000000000000004">
      <c r="A5" s="312" t="s">
        <v>391</v>
      </c>
      <c r="B5" s="2">
        <v>457680358.38583815</v>
      </c>
      <c r="C5" s="2">
        <v>474486346.26785135</v>
      </c>
      <c r="D5" s="309">
        <v>3.6719923794163112E-2</v>
      </c>
    </row>
    <row r="6" spans="1:4" x14ac:dyDescent="0.55000000000000004">
      <c r="A6" s="312" t="s">
        <v>79</v>
      </c>
      <c r="B6" s="2">
        <v>635318079.82826042</v>
      </c>
      <c r="C6" s="2">
        <v>660025563.55591083</v>
      </c>
      <c r="D6" s="309">
        <v>3.8889942710790493E-2</v>
      </c>
    </row>
    <row r="7" spans="1:4" x14ac:dyDescent="0.55000000000000004">
      <c r="A7" s="312" t="s">
        <v>413</v>
      </c>
      <c r="B7" s="2">
        <v>535372097.11053395</v>
      </c>
      <c r="C7" s="2">
        <v>497000429.11066657</v>
      </c>
      <c r="D7" s="309">
        <v>-7.167289480898198E-2</v>
      </c>
    </row>
    <row r="8" spans="1:4" x14ac:dyDescent="0.55000000000000004">
      <c r="A8" s="312" t="s">
        <v>384</v>
      </c>
      <c r="B8" s="2">
        <v>271172412.47944635</v>
      </c>
      <c r="C8" s="2">
        <v>250604362.299088</v>
      </c>
      <c r="D8" s="309">
        <v>-7.5848608611384205E-2</v>
      </c>
    </row>
    <row r="9" spans="1:4" x14ac:dyDescent="0.55000000000000004">
      <c r="A9" s="312" t="s">
        <v>416</v>
      </c>
      <c r="B9" s="2">
        <v>419698004.06819934</v>
      </c>
      <c r="C9" s="2">
        <v>412088966.41450185</v>
      </c>
      <c r="D9" s="309">
        <v>-1.812979232672518E-2</v>
      </c>
    </row>
    <row r="10" spans="1:4" x14ac:dyDescent="0.55000000000000004">
      <c r="A10" s="312" t="s">
        <v>408</v>
      </c>
      <c r="B10" s="2">
        <v>342538188.60094124</v>
      </c>
      <c r="C10" s="2">
        <v>352543456.84460407</v>
      </c>
      <c r="D10" s="309">
        <v>2.9209205211623956E-2</v>
      </c>
    </row>
    <row r="11" spans="1:4" x14ac:dyDescent="0.55000000000000004">
      <c r="A11" s="312" t="s">
        <v>392</v>
      </c>
      <c r="B11" s="2">
        <v>451684822.75135535</v>
      </c>
      <c r="C11" s="2">
        <v>473609301.09778154</v>
      </c>
      <c r="D11" s="309">
        <v>4.8539329289120747E-2</v>
      </c>
    </row>
    <row r="12" spans="1:4" x14ac:dyDescent="0.55000000000000004">
      <c r="A12" s="312" t="s">
        <v>382</v>
      </c>
      <c r="B12" s="2">
        <v>112879486.6648809</v>
      </c>
      <c r="C12" s="2">
        <v>96922015.585123554</v>
      </c>
      <c r="D12" s="309">
        <v>-0.14136732502276728</v>
      </c>
    </row>
    <row r="13" spans="1:4" x14ac:dyDescent="0.55000000000000004">
      <c r="A13" s="318">
        <v>3</v>
      </c>
      <c r="D13" s="309"/>
    </row>
    <row r="14" spans="1:4" x14ac:dyDescent="0.55000000000000004">
      <c r="A14" s="312" t="s">
        <v>407</v>
      </c>
      <c r="B14" s="2">
        <v>600418061.67072093</v>
      </c>
      <c r="C14" s="2">
        <v>678712481.25944173</v>
      </c>
      <c r="D14" s="309">
        <v>0.13039984068910093</v>
      </c>
    </row>
    <row r="15" spans="1:4" x14ac:dyDescent="0.55000000000000004">
      <c r="A15" s="312" t="s">
        <v>380</v>
      </c>
      <c r="B15" s="2">
        <v>109187672.68500334</v>
      </c>
      <c r="C15" s="2">
        <v>144353272.30152908</v>
      </c>
      <c r="D15" s="309">
        <v>0.3220656577045593</v>
      </c>
    </row>
    <row r="16" spans="1:4" x14ac:dyDescent="0.55000000000000004">
      <c r="A16" s="312" t="s">
        <v>394</v>
      </c>
      <c r="B16" s="2">
        <v>146495336.70909449</v>
      </c>
      <c r="C16" s="2">
        <v>148634062.66508114</v>
      </c>
      <c r="D16" s="309">
        <v>1.4599276700757002E-2</v>
      </c>
    </row>
    <row r="17" spans="1:4" x14ac:dyDescent="0.55000000000000004">
      <c r="A17" s="312" t="s">
        <v>399</v>
      </c>
      <c r="B17" s="2">
        <v>236445528.84781078</v>
      </c>
      <c r="C17" s="2">
        <v>234519232.20627126</v>
      </c>
      <c r="D17" s="309">
        <v>-8.1468939206686963E-3</v>
      </c>
    </row>
    <row r="18" spans="1:4" x14ac:dyDescent="0.55000000000000004">
      <c r="A18" s="312" t="s">
        <v>386</v>
      </c>
      <c r="B18" s="2">
        <v>260063804.41883573</v>
      </c>
      <c r="C18" s="2">
        <v>260209153.61187536</v>
      </c>
      <c r="D18" s="309">
        <v>5.5889820332533091E-4</v>
      </c>
    </row>
    <row r="19" spans="1:4" x14ac:dyDescent="0.55000000000000004">
      <c r="A19" s="312" t="s">
        <v>381</v>
      </c>
      <c r="B19" s="2">
        <v>52381829.042422429</v>
      </c>
      <c r="C19" s="2">
        <v>59842348.996827714</v>
      </c>
      <c r="D19" s="309">
        <v>0.1424257245458771</v>
      </c>
    </row>
    <row r="20" spans="1:4" x14ac:dyDescent="0.55000000000000004">
      <c r="A20" s="312" t="s">
        <v>421</v>
      </c>
      <c r="B20" s="2">
        <v>360857545.22088104</v>
      </c>
      <c r="C20" s="2">
        <v>365593388.23747969</v>
      </c>
      <c r="D20" s="309">
        <v>1.3123857542454376E-2</v>
      </c>
    </row>
    <row r="21" spans="1:4" x14ac:dyDescent="0.55000000000000004">
      <c r="A21" s="312" t="s">
        <v>411</v>
      </c>
      <c r="B21" s="2">
        <v>60551506.467737034</v>
      </c>
      <c r="C21" s="2">
        <v>74803735.44529143</v>
      </c>
      <c r="D21" s="309">
        <v>0.23537364813785833</v>
      </c>
    </row>
    <row r="22" spans="1:4" x14ac:dyDescent="0.55000000000000004">
      <c r="A22" s="312" t="s">
        <v>388</v>
      </c>
      <c r="B22" s="2">
        <v>310083750.7349233</v>
      </c>
      <c r="C22" s="2">
        <v>341907198.24444366</v>
      </c>
      <c r="D22" s="309">
        <v>0.10262855578241759</v>
      </c>
    </row>
    <row r="23" spans="1:4" x14ac:dyDescent="0.55000000000000004">
      <c r="A23" s="312" t="s">
        <v>410</v>
      </c>
      <c r="B23" s="2">
        <v>175022384.52083069</v>
      </c>
      <c r="C23" s="2">
        <v>158339026.45686159</v>
      </c>
      <c r="D23" s="309">
        <v>-9.5321281958557158E-2</v>
      </c>
    </row>
    <row r="24" spans="1:4" x14ac:dyDescent="0.55000000000000004">
      <c r="A24" s="312" t="s">
        <v>378</v>
      </c>
      <c r="B24" s="2">
        <v>280210093.93168741</v>
      </c>
      <c r="C24" s="2">
        <v>241851644.9806461</v>
      </c>
      <c r="D24" s="309">
        <v>-0.13689174580696128</v>
      </c>
    </row>
    <row r="25" spans="1:4" x14ac:dyDescent="0.55000000000000004">
      <c r="A25" s="312" t="s">
        <v>403</v>
      </c>
      <c r="B25" s="2">
        <v>182980923.24185652</v>
      </c>
      <c r="C25" s="2">
        <v>205411930.57159743</v>
      </c>
      <c r="D25" s="309">
        <v>0.12258658953257418</v>
      </c>
    </row>
    <row r="26" spans="1:4" x14ac:dyDescent="0.55000000000000004">
      <c r="A26" s="312" t="s">
        <v>425</v>
      </c>
      <c r="B26" s="2">
        <v>368710793.99844563</v>
      </c>
      <c r="C26" s="2">
        <v>395224100.02421057</v>
      </c>
      <c r="D26" s="309">
        <v>7.1908136288184377E-2</v>
      </c>
    </row>
    <row r="27" spans="1:4" x14ac:dyDescent="0.55000000000000004">
      <c r="A27" s="312" t="s">
        <v>393</v>
      </c>
      <c r="B27" s="2">
        <v>267911196.64727661</v>
      </c>
      <c r="C27" s="2">
        <v>248192568.98698899</v>
      </c>
      <c r="D27" s="309">
        <v>-7.3601357117778599E-2</v>
      </c>
    </row>
    <row r="28" spans="1:4" x14ac:dyDescent="0.55000000000000004">
      <c r="A28" s="312" t="s">
        <v>409</v>
      </c>
      <c r="B28" s="2">
        <v>447111194.77019799</v>
      </c>
      <c r="C28" s="2">
        <v>465373430.2834447</v>
      </c>
      <c r="D28" s="309">
        <v>4.084495250143072E-2</v>
      </c>
    </row>
    <row r="29" spans="1:4" x14ac:dyDescent="0.55000000000000004">
      <c r="A29" s="312" t="s">
        <v>383</v>
      </c>
      <c r="B29" s="2">
        <v>465462446.66788989</v>
      </c>
      <c r="C29" s="2">
        <v>424630730.26308471</v>
      </c>
      <c r="D29" s="309">
        <v>-8.7722901594118996E-2</v>
      </c>
    </row>
    <row r="30" spans="1:4" x14ac:dyDescent="0.55000000000000004">
      <c r="A30" s="312" t="s">
        <v>397</v>
      </c>
      <c r="B30" s="2">
        <v>155992589.33780089</v>
      </c>
      <c r="C30" s="2">
        <v>154497886.6933406</v>
      </c>
      <c r="D30" s="309">
        <v>-9.5818823881660409E-3</v>
      </c>
    </row>
    <row r="31" spans="1:4" x14ac:dyDescent="0.55000000000000004">
      <c r="A31" s="312" t="s">
        <v>420</v>
      </c>
      <c r="B31" s="2">
        <v>108217974.62571737</v>
      </c>
      <c r="C31" s="2">
        <v>112239702.31759423</v>
      </c>
      <c r="D31" s="309">
        <v>3.7163213466029132E-2</v>
      </c>
    </row>
    <row r="32" spans="1:4" x14ac:dyDescent="0.55000000000000004">
      <c r="A32" s="312" t="s">
        <v>401</v>
      </c>
      <c r="B32" s="2">
        <v>51896602.087173186</v>
      </c>
      <c r="C32" s="2">
        <v>42072177.869699977</v>
      </c>
      <c r="D32" s="309">
        <v>-0.18930765835055363</v>
      </c>
    </row>
    <row r="33" spans="1:4" x14ac:dyDescent="0.55000000000000004">
      <c r="A33" s="312" t="s">
        <v>417</v>
      </c>
      <c r="B33" s="2">
        <v>46170653.566977315</v>
      </c>
      <c r="C33" s="2">
        <v>71680434.820106283</v>
      </c>
      <c r="D33" s="309">
        <v>0.55251072450432792</v>
      </c>
    </row>
    <row r="34" spans="1:4" x14ac:dyDescent="0.55000000000000004">
      <c r="A34" s="312" t="s">
        <v>396</v>
      </c>
      <c r="B34" s="2">
        <v>218006630.93565437</v>
      </c>
      <c r="C34" s="2">
        <v>200707482.75170583</v>
      </c>
      <c r="D34" s="309">
        <v>-7.9351477107384216E-2</v>
      </c>
    </row>
    <row r="35" spans="1:4" x14ac:dyDescent="0.55000000000000004">
      <c r="A35" s="312" t="s">
        <v>377</v>
      </c>
      <c r="B35" s="2">
        <v>390481566.18922573</v>
      </c>
      <c r="C35" s="2">
        <v>391172412.04797435</v>
      </c>
      <c r="D35" s="309">
        <v>1.76921503744909E-3</v>
      </c>
    </row>
    <row r="36" spans="1:4" x14ac:dyDescent="0.55000000000000004">
      <c r="A36" s="312" t="s">
        <v>387</v>
      </c>
      <c r="B36" s="2">
        <v>322468123.03384435</v>
      </c>
      <c r="C36" s="2">
        <v>328222729.06687522</v>
      </c>
      <c r="D36" s="309">
        <v>1.7845503545871111E-2</v>
      </c>
    </row>
    <row r="37" spans="1:4" x14ac:dyDescent="0.55000000000000004">
      <c r="A37" s="312" t="s">
        <v>400</v>
      </c>
      <c r="B37" s="2">
        <v>163695078.94233933</v>
      </c>
      <c r="C37" s="2">
        <v>143959819.0473991</v>
      </c>
      <c r="D37" s="309">
        <v>-0.12056110679962384</v>
      </c>
    </row>
    <row r="38" spans="1:4" x14ac:dyDescent="0.55000000000000004">
      <c r="A38" s="312" t="s">
        <v>412</v>
      </c>
      <c r="B38" s="2">
        <v>300441387.436185</v>
      </c>
      <c r="C38" s="2">
        <v>270878248.50566357</v>
      </c>
      <c r="D38" s="309">
        <v>-9.8399022793757895E-2</v>
      </c>
    </row>
    <row r="39" spans="1:4" x14ac:dyDescent="0.55000000000000004">
      <c r="A39" s="312" t="s">
        <v>405</v>
      </c>
      <c r="B39" s="2">
        <v>321001887.90953296</v>
      </c>
      <c r="C39" s="2">
        <v>321660612.14135516</v>
      </c>
      <c r="D39" s="309">
        <v>2.0520883416357272E-3</v>
      </c>
    </row>
    <row r="40" spans="1:4" x14ac:dyDescent="0.55000000000000004">
      <c r="A40" s="318">
        <v>4</v>
      </c>
      <c r="D40" s="309"/>
    </row>
    <row r="41" spans="1:4" x14ac:dyDescent="0.55000000000000004">
      <c r="A41" s="312" t="s">
        <v>402</v>
      </c>
      <c r="B41" s="2">
        <v>651137459.23030555</v>
      </c>
      <c r="C41" s="2">
        <v>661743718.15076756</v>
      </c>
      <c r="D41" s="309">
        <v>1.6288817008008438E-2</v>
      </c>
    </row>
    <row r="42" spans="1:4" x14ac:dyDescent="0.55000000000000004">
      <c r="A42" s="312" t="s">
        <v>398</v>
      </c>
      <c r="B42" s="2">
        <v>191973195.94856057</v>
      </c>
      <c r="C42" s="2">
        <v>200612522.46611363</v>
      </c>
      <c r="D42" s="309">
        <v>4.5002774865861905E-2</v>
      </c>
    </row>
    <row r="43" spans="1:4" x14ac:dyDescent="0.55000000000000004">
      <c r="A43" s="312" t="s">
        <v>406</v>
      </c>
      <c r="B43" s="2">
        <v>427752442.19632149</v>
      </c>
      <c r="C43" s="2">
        <v>437840000.54251671</v>
      </c>
      <c r="D43" s="309">
        <v>2.3582701934792061E-2</v>
      </c>
    </row>
    <row r="44" spans="1:4" x14ac:dyDescent="0.55000000000000004">
      <c r="A44" s="312" t="s">
        <v>419</v>
      </c>
      <c r="B44" s="2">
        <v>538516504.83492351</v>
      </c>
      <c r="C44" s="2">
        <v>628249624.55116916</v>
      </c>
      <c r="D44" s="309">
        <v>0.16663021265012556</v>
      </c>
    </row>
    <row r="45" spans="1:4" x14ac:dyDescent="0.55000000000000004">
      <c r="A45" s="312" t="s">
        <v>423</v>
      </c>
      <c r="B45" s="2">
        <v>347925179.07457805</v>
      </c>
      <c r="C45" s="2">
        <v>328590881.70103461</v>
      </c>
      <c r="D45" s="309">
        <v>-5.5570273542631776E-2</v>
      </c>
    </row>
    <row r="46" spans="1:4" x14ac:dyDescent="0.55000000000000004">
      <c r="A46" s="312" t="s">
        <v>415</v>
      </c>
      <c r="B46" s="2">
        <v>807990924.62363875</v>
      </c>
      <c r="C46" s="2">
        <v>689476610.97082341</v>
      </c>
      <c r="D46" s="309">
        <v>-0.14667777822878292</v>
      </c>
    </row>
    <row r="47" spans="1:4" x14ac:dyDescent="0.55000000000000004">
      <c r="A47" s="312" t="s">
        <v>395</v>
      </c>
      <c r="B47" s="2">
        <v>209879428.41413811</v>
      </c>
      <c r="C47" s="2">
        <v>160191332.51236084</v>
      </c>
      <c r="D47" s="309">
        <v>-0.23674590824466968</v>
      </c>
    </row>
    <row r="48" spans="1:4" x14ac:dyDescent="0.55000000000000004">
      <c r="A48" s="318">
        <v>5</v>
      </c>
      <c r="D48" s="309"/>
    </row>
    <row r="49" spans="1:4" x14ac:dyDescent="0.55000000000000004">
      <c r="A49" s="312" t="s">
        <v>418</v>
      </c>
      <c r="B49" s="2">
        <v>2271913453.7494617</v>
      </c>
      <c r="C49" s="2">
        <v>2253091480.9728293</v>
      </c>
      <c r="D49" s="309">
        <v>-8.2846345865725812E-3</v>
      </c>
    </row>
    <row r="50" spans="1:4" x14ac:dyDescent="0.55000000000000004">
      <c r="A50" s="312" t="s">
        <v>424</v>
      </c>
      <c r="B50" s="2">
        <v>1363046478.5751929</v>
      </c>
      <c r="C50" s="2">
        <v>1251889990.9258571</v>
      </c>
      <c r="D50" s="309">
        <v>-8.1550034717472686E-2</v>
      </c>
    </row>
    <row r="51" spans="1:4" x14ac:dyDescent="0.55000000000000004">
      <c r="A51" s="318" t="s">
        <v>80</v>
      </c>
      <c r="D51" s="309"/>
    </row>
    <row r="52" spans="1:4" x14ac:dyDescent="0.55000000000000004">
      <c r="A52" s="312" t="s">
        <v>414</v>
      </c>
      <c r="B52" s="2">
        <v>-1387911.6579789929</v>
      </c>
      <c r="C52" s="2">
        <v>0</v>
      </c>
      <c r="D52" s="309">
        <v>-1</v>
      </c>
    </row>
    <row r="53" spans="1:4" x14ac:dyDescent="0.55000000000000004">
      <c r="A53" s="312" t="s">
        <v>385</v>
      </c>
      <c r="B53" s="2">
        <v>88874955.839464456</v>
      </c>
      <c r="C53" s="2">
        <v>772.5421174984341</v>
      </c>
      <c r="D53" s="309">
        <v>-0.99999130753866261</v>
      </c>
    </row>
    <row r="54" spans="1:4" x14ac:dyDescent="0.55000000000000004">
      <c r="A54" s="312" t="s">
        <v>389</v>
      </c>
      <c r="B54" s="2">
        <v>13700537.261961408</v>
      </c>
      <c r="C54" s="2">
        <v>0</v>
      </c>
      <c r="D54" s="309">
        <v>-1</v>
      </c>
    </row>
    <row r="55" spans="1:4" x14ac:dyDescent="0.55000000000000004">
      <c r="B55"/>
      <c r="C55"/>
      <c r="D55"/>
    </row>
    <row r="56" spans="1:4" x14ac:dyDescent="0.55000000000000004">
      <c r="B56"/>
      <c r="C56"/>
      <c r="D56"/>
    </row>
    <row r="57" spans="1:4" x14ac:dyDescent="0.55000000000000004">
      <c r="B57"/>
      <c r="C57"/>
      <c r="D57"/>
    </row>
    <row r="58" spans="1:4" x14ac:dyDescent="0.55000000000000004">
      <c r="B58"/>
      <c r="C58"/>
      <c r="D58"/>
    </row>
    <row r="59" spans="1:4" x14ac:dyDescent="0.55000000000000004">
      <c r="B59"/>
      <c r="C59"/>
      <c r="D59"/>
    </row>
    <row r="60" spans="1:4" x14ac:dyDescent="0.55000000000000004">
      <c r="B60"/>
      <c r="C60"/>
      <c r="D60"/>
    </row>
    <row r="61" spans="1:4" x14ac:dyDescent="0.55000000000000004">
      <c r="B61"/>
      <c r="C61"/>
      <c r="D61"/>
    </row>
    <row r="62" spans="1:4" x14ac:dyDescent="0.55000000000000004">
      <c r="B62"/>
      <c r="C62"/>
      <c r="D6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3"/>
  <sheetViews>
    <sheetView zoomScaleNormal="100" workbookViewId="0">
      <pane xSplit="2" ySplit="3" topLeftCell="Q42" activePane="bottomRight" state="frozen"/>
      <selection pane="topRight" activeCell="C1" sqref="C1"/>
      <selection pane="bottomLeft" activeCell="A4" sqref="A4"/>
      <selection pane="bottomRight" activeCell="U50" sqref="U50:U54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3" style="58" customWidth="1"/>
    <col min="4" max="4" width="20.15625" style="11" customWidth="1"/>
    <col min="5" max="5" width="17.68359375" style="11" customWidth="1"/>
    <col min="6" max="8" width="20.15625" style="11" customWidth="1"/>
    <col min="9" max="9" width="12.41796875" style="10" customWidth="1"/>
    <col min="10" max="10" width="22.578125" style="11" customWidth="1"/>
    <col min="11" max="11" width="22.578125" style="57" customWidth="1"/>
    <col min="12" max="12" width="20.578125" style="11" customWidth="1"/>
    <col min="13" max="13" width="26.15625" style="12" bestFit="1" customWidth="1"/>
    <col min="14" max="14" width="12.41796875" style="10" customWidth="1"/>
    <col min="15" max="15" width="20.15625" style="12" customWidth="1"/>
    <col min="16" max="16" width="16.26171875" style="10" customWidth="1"/>
    <col min="17" max="17" width="20.578125" style="12" customWidth="1"/>
    <col min="18" max="18" width="19.41796875" style="12" customWidth="1"/>
    <col min="19" max="19" width="20.83984375" style="10" customWidth="1"/>
    <col min="20" max="20" width="18.41796875" style="11" customWidth="1"/>
    <col min="21" max="21" width="18" style="11" bestFit="1" customWidth="1"/>
    <col min="22" max="22" width="23.41796875" style="11" customWidth="1"/>
    <col min="23" max="23" width="20.26171875" style="10" customWidth="1"/>
    <col min="24" max="24" width="18.83984375" style="11" customWidth="1"/>
    <col min="25" max="25" width="20" style="11" customWidth="1"/>
    <col min="26" max="26" width="20" style="10" customWidth="1"/>
    <col min="27" max="27" width="20.15625" style="10" customWidth="1"/>
    <col min="28" max="28" width="20.15625" style="10" hidden="1" customWidth="1"/>
    <col min="29" max="29" width="19.578125" style="10" hidden="1" customWidth="1"/>
    <col min="30" max="16384" width="12.41796875" style="10"/>
  </cols>
  <sheetData>
    <row r="1" spans="1:29" ht="46.5" x14ac:dyDescent="1.5">
      <c r="A1" s="56" t="s">
        <v>498</v>
      </c>
      <c r="B1" s="55"/>
      <c r="C1" s="70"/>
      <c r="D1" s="50"/>
      <c r="E1" s="50"/>
      <c r="F1" s="50"/>
      <c r="G1" s="50"/>
      <c r="H1" s="50"/>
      <c r="I1" s="51"/>
      <c r="J1" s="50"/>
      <c r="K1" s="69"/>
      <c r="L1" s="50"/>
      <c r="M1" s="53"/>
      <c r="N1" s="49"/>
      <c r="O1" s="53"/>
      <c r="P1" s="49"/>
      <c r="Q1" s="53"/>
      <c r="R1" s="53"/>
      <c r="S1" s="52"/>
      <c r="T1" s="50"/>
      <c r="U1" s="50"/>
      <c r="V1" s="50"/>
      <c r="W1" s="51"/>
      <c r="X1" s="50"/>
      <c r="Y1" s="50"/>
      <c r="Z1" s="49"/>
      <c r="AA1" s="49"/>
      <c r="AB1" s="49"/>
    </row>
    <row r="2" spans="1:29" ht="90.3" x14ac:dyDescent="0.55000000000000004">
      <c r="A2" s="48" t="s">
        <v>106</v>
      </c>
      <c r="B2" s="47" t="s">
        <v>105</v>
      </c>
      <c r="C2" s="48" t="s">
        <v>104</v>
      </c>
      <c r="D2" s="46" t="s">
        <v>103</v>
      </c>
      <c r="E2" s="46" t="s">
        <v>102</v>
      </c>
      <c r="F2" s="286" t="s">
        <v>101</v>
      </c>
      <c r="G2" s="45" t="s">
        <v>100</v>
      </c>
      <c r="H2" s="45" t="s">
        <v>99</v>
      </c>
      <c r="I2" s="44" t="s">
        <v>98</v>
      </c>
      <c r="J2" s="40" t="s">
        <v>97</v>
      </c>
      <c r="K2" s="68" t="s">
        <v>109</v>
      </c>
      <c r="L2" s="287" t="s">
        <v>96</v>
      </c>
      <c r="M2" s="42" t="s">
        <v>95</v>
      </c>
      <c r="N2" s="44" t="s">
        <v>94</v>
      </c>
      <c r="O2" s="42" t="s">
        <v>93</v>
      </c>
      <c r="P2" s="41" t="s">
        <v>92</v>
      </c>
      <c r="Q2" s="42" t="s">
        <v>91</v>
      </c>
      <c r="R2" s="42" t="s">
        <v>90</v>
      </c>
      <c r="S2" s="43" t="s">
        <v>89</v>
      </c>
      <c r="T2" s="287" t="s">
        <v>88</v>
      </c>
      <c r="U2" s="40" t="s">
        <v>508</v>
      </c>
      <c r="V2" s="42" t="s">
        <v>85</v>
      </c>
      <c r="W2" s="41" t="s">
        <v>86</v>
      </c>
      <c r="X2" s="40" t="s">
        <v>108</v>
      </c>
      <c r="Y2" s="40" t="s">
        <v>107</v>
      </c>
      <c r="Z2" s="39" t="s">
        <v>83</v>
      </c>
      <c r="AA2" s="39" t="s">
        <v>82</v>
      </c>
      <c r="AB2" s="39" t="s">
        <v>469</v>
      </c>
      <c r="AC2" s="39" t="s">
        <v>463</v>
      </c>
    </row>
    <row r="3" spans="1:29" ht="18.75" customHeight="1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19">
        <f>IFERROR(VLOOKUP(A3,'Variable Input'!$1:$1048576,6,FALSE),0)</f>
        <v>406935783.94573671</v>
      </c>
      <c r="E3" s="19">
        <f t="shared" ref="E3:E54" si="0">IFERROR(D3/P3,0)</f>
        <v>13919.939180231155</v>
      </c>
      <c r="F3" s="19">
        <f>IFERROR(VLOOKUP(A3,'Drug Overhead'!$1:$1048576,13,FALSE)*VLOOKUP(A3,Volume!A:K,11,FALSE),0)</f>
        <v>2293988.6249724138</v>
      </c>
      <c r="G3" s="19">
        <f t="shared" ref="G3:G54" si="1">D3+F3</f>
        <v>409229772.57070911</v>
      </c>
      <c r="H3" s="19">
        <f>IFERROR(G3/P3,0)</f>
        <v>13998.409011097678</v>
      </c>
      <c r="I3" s="36">
        <f>VLOOKUP(A3,'Variable Input'!$1:$1048576,8,FALSE)</f>
        <v>1.1196537153887776</v>
      </c>
      <c r="J3" s="19">
        <f t="shared" ref="J3:J54" si="2">G3/I3</f>
        <v>365496730.77145302</v>
      </c>
      <c r="K3" s="63">
        <f>IFERROR(J3*(1-VLOOKUP(A3,PROFIT!$A$1:$IT$65527,7,FALSE)),J3)</f>
        <v>330855649.76606548</v>
      </c>
      <c r="L3" s="19">
        <f>IFERROR(VLOOKUP(A3,'Variable Input'!$1:$1048576,26,FALSE)*VLOOKUP(A3,Volume!A:K,11,FALSE),0)</f>
        <v>6625379.0220225165</v>
      </c>
      <c r="M3" s="22">
        <f t="shared" ref="M3:M54" si="3">K3-L3</f>
        <v>324230270.74404293</v>
      </c>
      <c r="N3" s="36">
        <f>VLOOKUP(A3,'Variable Input'!$1:$1048576,23,FALSE)</f>
        <v>0.99671861092415948</v>
      </c>
      <c r="O3" s="22">
        <f t="shared" ref="O3:O54" si="4">M3/N3</f>
        <v>325297699.06013495</v>
      </c>
      <c r="P3" s="27">
        <f>IFERROR(VLOOKUP(A3,'Variable Input'!$1:$1048576,7,FALSE),0)</f>
        <v>29234.020255178955</v>
      </c>
      <c r="Q3" s="18">
        <f t="shared" ref="Q3:Q54" si="5">IFERROR(+O3/P3,0)</f>
        <v>11127.367916580231</v>
      </c>
      <c r="R3" s="18">
        <f t="shared" ref="R3:R54" si="6">+Q3*P3</f>
        <v>325297699.06013495</v>
      </c>
      <c r="S3" s="20">
        <f>IFERROR(VLOOKUP(A3,RESCMAD!$1:$1048576,8,FALSE),0)</f>
        <v>6.1572099365331744E-4</v>
      </c>
      <c r="T3" s="19">
        <f>IF(C3=5,(S3*P3)*IME!$M$7,(S3*P3)*IME!$M$8)</f>
        <v>2374575.6102015208</v>
      </c>
      <c r="U3" s="19">
        <f>IFERROR(VLOOKUP(A3,'DSH (Cumulative)'!$1:$1048576,12,FALSE)*P3*'DSH (Cumulative)'!$AB$2,0)</f>
        <v>88034101.408408701</v>
      </c>
      <c r="V3" s="22">
        <f>R3-T3</f>
        <v>322923123.44993341</v>
      </c>
      <c r="W3" s="17">
        <f>IFERROR((V3/R3)-1,0)</f>
        <v>-7.2996999888479408E-3</v>
      </c>
      <c r="X3" s="19">
        <f>R3-T3-U3</f>
        <v>234889022.04152471</v>
      </c>
      <c r="Y3" s="15">
        <f>IFERROR(X3/P3,0)</f>
        <v>8034.7834472035338</v>
      </c>
      <c r="Z3" s="14">
        <f t="shared" ref="Z3:Z34" si="7">IFERROR(Y3/VLOOKUP(C3,$61:$68,25,FALSE)-1," ")</f>
        <v>-0.23185250700329063</v>
      </c>
      <c r="AA3" s="14">
        <f>Y3/$Y$62-1</f>
        <v>-0.26852889486468368</v>
      </c>
      <c r="AB3" s="80">
        <v>1</v>
      </c>
      <c r="AC3" s="11">
        <f>IFERROR(K3/J3*G3/P3,0)</f>
        <v>12671.666581756486</v>
      </c>
    </row>
    <row r="4" spans="1:29" ht="18.75" customHeight="1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19">
        <f>IFERROR(VLOOKUP(A4,'Variable Input'!$1:$1048576,6,FALSE),0)</f>
        <v>1254329650.1456954</v>
      </c>
      <c r="E4" s="19">
        <f t="shared" si="0"/>
        <v>23486.630843643299</v>
      </c>
      <c r="F4" s="19">
        <f>IFERROR(VLOOKUP(A4,'Drug Overhead'!$1:$1048576,13,FALSE)*VLOOKUP(A4,Volume!A:K,11,FALSE),0)</f>
        <v>76919616.087280333</v>
      </c>
      <c r="G4" s="19">
        <f t="shared" si="1"/>
        <v>1331249266.2329757</v>
      </c>
      <c r="H4" s="19">
        <f t="shared" ref="H4:H54" si="8">IFERROR(G4/P4,0)</f>
        <v>24926.908228034936</v>
      </c>
      <c r="I4" s="36">
        <f>VLOOKUP(A4,'Variable Input'!$1:$1048576,8,FALSE)</f>
        <v>1.1149630516096494</v>
      </c>
      <c r="J4" s="19">
        <f t="shared" si="2"/>
        <v>1193985096.0182745</v>
      </c>
      <c r="K4" s="63">
        <f>IFERROR(J4*(1-VLOOKUP(A4,PROFIT!$A$1:$IT$65527,7,FALSE)),J4)</f>
        <v>1171505195.1831951</v>
      </c>
      <c r="L4" s="19">
        <f>IFERROR(VLOOKUP(A4,'Variable Input'!$1:$1048576,26,FALSE)*VLOOKUP(A4,Volume!A:K,11,FALSE),0)</f>
        <v>59584704.514455065</v>
      </c>
      <c r="M4" s="22">
        <f t="shared" si="3"/>
        <v>1111920490.66874</v>
      </c>
      <c r="N4" s="36">
        <f>VLOOKUP(A4,'Variable Input'!$1:$1048576,23,FALSE)</f>
        <v>0.99671861092415948</v>
      </c>
      <c r="O4" s="22">
        <f t="shared" si="4"/>
        <v>1115581146.4559343</v>
      </c>
      <c r="P4" s="27">
        <f>IFERROR(VLOOKUP(A4,'Variable Input'!$1:$1048576,7,FALSE),0)</f>
        <v>53406.112545307114</v>
      </c>
      <c r="Q4" s="18">
        <f t="shared" si="5"/>
        <v>20888.641642087881</v>
      </c>
      <c r="R4" s="18">
        <f t="shared" si="6"/>
        <v>1115581146.4559343</v>
      </c>
      <c r="S4" s="20">
        <f>IFERROR(VLOOKUP(A4,RESCMAD!$1:$1048576,8,FALSE),0)</f>
        <v>8.0070950123769438E-3</v>
      </c>
      <c r="T4" s="19">
        <f>IF(C4=5,(S4*P4)*IME!$M$7,(S4*P4)*IME!$M$8)</f>
        <v>155133677.04599613</v>
      </c>
      <c r="U4" s="19">
        <f>IFERROR(VLOOKUP(A4,'DSH (Cumulative)'!$1:$1048576,12,FALSE)*P4*'DSH (Cumulative)'!$AB$2,0)</f>
        <v>190506812.30562609</v>
      </c>
      <c r="V4" s="22">
        <f t="shared" ref="V4:V54" si="9">R4-T4</f>
        <v>960447469.4099381</v>
      </c>
      <c r="W4" s="17">
        <f t="shared" ref="W4:W54" si="10">IFERROR((V4/R4)-1,0)</f>
        <v>-0.13906086306570975</v>
      </c>
      <c r="X4" s="19">
        <f t="shared" ref="X4:X54" si="11">R4-T4-U4</f>
        <v>769940657.10431194</v>
      </c>
      <c r="Y4" s="15">
        <f t="shared" ref="Y4:Y54" si="12">IFERROR(X4/P4,0)</f>
        <v>14416.714125206778</v>
      </c>
      <c r="Z4" s="14">
        <f t="shared" si="7"/>
        <v>0.14096084570734524</v>
      </c>
      <c r="AA4" s="14">
        <f t="shared" ref="AA4:AA34" si="13">Y4/$Y$62-1</f>
        <v>0.31246969913734302</v>
      </c>
      <c r="AB4" s="80">
        <v>1</v>
      </c>
      <c r="AC4" s="11">
        <f t="shared" ref="AC4:AC54" si="14">IFERROR(K4/J4*G4/P4,0)</f>
        <v>24457.593806138022</v>
      </c>
    </row>
    <row r="5" spans="1:29" ht="18.75" customHeight="1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19">
        <f>IFERROR(VLOOKUP(A5,'Variable Input'!$1:$1048576,6,FALSE),0)</f>
        <v>379138438.61161411</v>
      </c>
      <c r="E5" s="19">
        <f t="shared" si="0"/>
        <v>22808.939516295475</v>
      </c>
      <c r="F5" s="19">
        <f>IFERROR(VLOOKUP(A5,'Drug Overhead'!$1:$1048576,13,FALSE)*VLOOKUP(A5,Volume!A:K,11,FALSE),0)</f>
        <v>459671.4824954826</v>
      </c>
      <c r="G5" s="19">
        <f t="shared" si="1"/>
        <v>379598110.09410959</v>
      </c>
      <c r="H5" s="19">
        <f t="shared" si="8"/>
        <v>22836.59331758241</v>
      </c>
      <c r="I5" s="36">
        <f>VLOOKUP(A5,'Variable Input'!$1:$1048576,8,FALSE)</f>
        <v>1.1150592197193865</v>
      </c>
      <c r="J5" s="19">
        <f t="shared" si="2"/>
        <v>340428654.71274114</v>
      </c>
      <c r="K5" s="63">
        <f>IFERROR(J5*(1-VLOOKUP(A5,PROFIT!$A$1:$IT$65527,7,FALSE)),J5)</f>
        <v>319587725.13393217</v>
      </c>
      <c r="L5" s="19">
        <f>IFERROR(VLOOKUP(A5,'Variable Input'!$1:$1048576,26,FALSE)*VLOOKUP(A5,Volume!A:K,11,FALSE),0)</f>
        <v>10600897.780621644</v>
      </c>
      <c r="M5" s="22">
        <f t="shared" si="3"/>
        <v>308986827.35331053</v>
      </c>
      <c r="N5" s="36">
        <f>VLOOKUP(A5,'Variable Input'!$1:$1048576,23,FALSE)</f>
        <v>1.0181752931904677</v>
      </c>
      <c r="O5" s="22">
        <f t="shared" si="4"/>
        <v>303471150.22315621</v>
      </c>
      <c r="P5" s="27">
        <f>IFERROR(VLOOKUP(A5,'Variable Input'!$1:$1048576,7,FALSE),0)</f>
        <v>16622.361523679996</v>
      </c>
      <c r="Q5" s="18">
        <f t="shared" si="5"/>
        <v>18256.801224713781</v>
      </c>
      <c r="R5" s="18">
        <f t="shared" si="6"/>
        <v>303471150.22315621</v>
      </c>
      <c r="S5" s="20">
        <f>IFERROR(VLOOKUP(A5,RESCMAD!$1:$1048576,8,FALSE),0)</f>
        <v>2.8876763347746859E-3</v>
      </c>
      <c r="T5" s="19">
        <f>IF(C5=5,(S5*P5)*IME!$M$7,(S5*P5)*IME!$M$8)</f>
        <v>6332201.6272040587</v>
      </c>
      <c r="U5" s="19">
        <f>IFERROR(VLOOKUP(A5,'DSH (Cumulative)'!$1:$1048576,12,FALSE)*P5*'DSH (Cumulative)'!$AB$2,0)</f>
        <v>70224081.820376605</v>
      </c>
      <c r="V5" s="22">
        <f t="shared" si="9"/>
        <v>297138948.59595215</v>
      </c>
      <c r="W5" s="17">
        <f t="shared" si="10"/>
        <v>-2.0865909733257082E-2</v>
      </c>
      <c r="X5" s="19">
        <f t="shared" si="11"/>
        <v>226914866.77557555</v>
      </c>
      <c r="Y5" s="15">
        <f t="shared" si="12"/>
        <v>13651.181058257916</v>
      </c>
      <c r="Z5" s="14">
        <f t="shared" si="7"/>
        <v>0.30509061946089244</v>
      </c>
      <c r="AA5" s="14">
        <f t="shared" si="13"/>
        <v>0.24277705313409514</v>
      </c>
      <c r="AB5" s="80">
        <v>1</v>
      </c>
      <c r="AC5" s="11">
        <f t="shared" si="14"/>
        <v>21438.544632305799</v>
      </c>
    </row>
    <row r="6" spans="1:29" ht="18.75" customHeight="1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19">
        <f>IFERROR(VLOOKUP(A6,'Variable Input'!$1:$1048576,6,FALSE),0)</f>
        <v>560071845.3178103</v>
      </c>
      <c r="E6" s="19">
        <f t="shared" si="0"/>
        <v>15826.078939324987</v>
      </c>
      <c r="F6" s="19">
        <f>IFERROR(VLOOKUP(A6,'Drug Overhead'!$1:$1048576,13,FALSE)*VLOOKUP(A6,Volume!A:K,11,FALSE),0)</f>
        <v>2090680.9190701842</v>
      </c>
      <c r="G6" s="19">
        <f t="shared" si="1"/>
        <v>562162526.23688054</v>
      </c>
      <c r="H6" s="19">
        <f t="shared" si="8"/>
        <v>15885.15579087315</v>
      </c>
      <c r="I6" s="36">
        <f>VLOOKUP(A6,'Variable Input'!$1:$1048576,8,FALSE)</f>
        <v>1.1099846191041804</v>
      </c>
      <c r="J6" s="19">
        <f t="shared" si="2"/>
        <v>506459744.18147981</v>
      </c>
      <c r="K6" s="63">
        <f>IFERROR(J6*(1-VLOOKUP(A6,PROFIT!$A$1:$IT$65527,7,FALSE)),J6)</f>
        <v>458727360.55655724</v>
      </c>
      <c r="L6" s="19">
        <f>IFERROR(VLOOKUP(A6,'Variable Input'!$1:$1048576,26,FALSE)*VLOOKUP(A6,Volume!A:K,11,FALSE),0)</f>
        <v>1942313.1270902995</v>
      </c>
      <c r="M6" s="22">
        <f t="shared" si="3"/>
        <v>456785047.42946696</v>
      </c>
      <c r="N6" s="36">
        <f>VLOOKUP(A6,'Variable Input'!$1:$1048576,23,FALSE)</f>
        <v>1.0181752931904677</v>
      </c>
      <c r="O6" s="22">
        <f t="shared" si="4"/>
        <v>448631046.62275207</v>
      </c>
      <c r="P6" s="27">
        <f>IFERROR(VLOOKUP(A6,'Variable Input'!$1:$1048576,7,FALSE),0)</f>
        <v>35389.172988776867</v>
      </c>
      <c r="Q6" s="18">
        <f t="shared" si="5"/>
        <v>12677.070661273394</v>
      </c>
      <c r="R6" s="18">
        <f t="shared" si="6"/>
        <v>448631046.62275207</v>
      </c>
      <c r="S6" s="20">
        <f>IFERROR(VLOOKUP(A6,RESCMAD!$1:$1048576,8,FALSE),0)</f>
        <v>5.3688736964906027E-4</v>
      </c>
      <c r="T6" s="19">
        <f>IF(C6=5,(S6*P6)*IME!$M$7,(S6*P6)*IME!$M$8)</f>
        <v>2506496.4774349369</v>
      </c>
      <c r="U6" s="19">
        <f>IFERROR(VLOOKUP(A6,'DSH (Cumulative)'!$1:$1048576,12,FALSE)*P6*'DSH (Cumulative)'!$AB$2,0)</f>
        <v>127566368.91719225</v>
      </c>
      <c r="V6" s="22">
        <f t="shared" si="9"/>
        <v>446124550.14531714</v>
      </c>
      <c r="W6" s="17">
        <f t="shared" si="10"/>
        <v>-5.5869884536604575E-3</v>
      </c>
      <c r="X6" s="19">
        <f t="shared" si="11"/>
        <v>318558181.22812486</v>
      </c>
      <c r="Y6" s="15">
        <f t="shared" si="12"/>
        <v>9001.5717894608806</v>
      </c>
      <c r="Z6" s="14">
        <f t="shared" si="7"/>
        <v>-0.13942487080832933</v>
      </c>
      <c r="AA6" s="14">
        <f t="shared" si="13"/>
        <v>-0.18051435884267664</v>
      </c>
      <c r="AB6" s="80">
        <v>1</v>
      </c>
      <c r="AC6" s="11">
        <f t="shared" si="14"/>
        <v>14388.025251155626</v>
      </c>
    </row>
    <row r="7" spans="1:29" ht="18.75" customHeight="1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19">
        <f>IFERROR(VLOOKUP(A7,'Variable Input'!$1:$1048576,6,FALSE),0)</f>
        <v>403101812.74028164</v>
      </c>
      <c r="E7" s="19">
        <f t="shared" si="0"/>
        <v>16345.190741038119</v>
      </c>
      <c r="F7" s="19">
        <f>IFERROR(VLOOKUP(A7,'Drug Overhead'!$1:$1048576,13,FALSE)*VLOOKUP(A7,Volume!A:K,11,FALSE),0)</f>
        <v>99848.296926082141</v>
      </c>
      <c r="G7" s="19">
        <f t="shared" si="1"/>
        <v>403201661.03720772</v>
      </c>
      <c r="H7" s="19">
        <f t="shared" si="8"/>
        <v>16349.23944388897</v>
      </c>
      <c r="I7" s="36">
        <f>VLOOKUP(A7,'Variable Input'!$1:$1048576,8,FALSE)</f>
        <v>1.1133096880777904</v>
      </c>
      <c r="J7" s="19">
        <f t="shared" si="2"/>
        <v>362164872.32170278</v>
      </c>
      <c r="K7" s="63">
        <f>IFERROR(J7*(1-VLOOKUP(A7,PROFIT!$A$1:$IT$65527,7,FALSE)),J7)</f>
        <v>338902468.60380644</v>
      </c>
      <c r="L7" s="19">
        <f>IFERROR(VLOOKUP(A7,'Variable Input'!$1:$1048576,26,FALSE)*VLOOKUP(A7,Volume!A:K,11,FALSE),0)</f>
        <v>424862.32800000021</v>
      </c>
      <c r="M7" s="22">
        <f t="shared" si="3"/>
        <v>338477606.27580643</v>
      </c>
      <c r="N7" s="36">
        <f>VLOOKUP(A7,'Variable Input'!$1:$1048576,23,FALSE)</f>
        <v>0.99671861092415948</v>
      </c>
      <c r="O7" s="22">
        <f t="shared" si="4"/>
        <v>339591939.55651063</v>
      </c>
      <c r="P7" s="27">
        <f>IFERROR(VLOOKUP(A7,'Variable Input'!$1:$1048576,7,FALSE),0)</f>
        <v>24661.79924888902</v>
      </c>
      <c r="Q7" s="18">
        <f t="shared" si="5"/>
        <v>13769.957987627718</v>
      </c>
      <c r="R7" s="18">
        <f t="shared" si="6"/>
        <v>339591939.55651063</v>
      </c>
      <c r="S7" s="20">
        <f>IFERROR(VLOOKUP(A7,RESCMAD!$1:$1048576,8,FALSE),0)</f>
        <v>0</v>
      </c>
      <c r="T7" s="19">
        <f>IF(C7=5,(S7*P7)*IME!$M$7,(S7*P7)*IME!$M$8)</f>
        <v>0</v>
      </c>
      <c r="U7" s="19">
        <f>IFERROR(VLOOKUP(A7,'DSH (Cumulative)'!$1:$1048576,12,FALSE)*P7*'DSH (Cumulative)'!$AB$2,0)</f>
        <v>56465281.132680252</v>
      </c>
      <c r="V7" s="22">
        <f t="shared" si="9"/>
        <v>339591939.55651063</v>
      </c>
      <c r="W7" s="17">
        <f t="shared" si="10"/>
        <v>0</v>
      </c>
      <c r="X7" s="19">
        <f t="shared" si="11"/>
        <v>283126658.42383039</v>
      </c>
      <c r="Y7" s="15">
        <f t="shared" si="12"/>
        <v>11480.373170119972</v>
      </c>
      <c r="Z7" s="14">
        <f t="shared" si="7"/>
        <v>9.7555388672437404E-2</v>
      </c>
      <c r="AA7" s="14">
        <f t="shared" si="13"/>
        <v>4.5150912316898717E-2</v>
      </c>
      <c r="AB7" s="14"/>
      <c r="AC7" s="11">
        <f t="shared" si="14"/>
        <v>15299.102786553334</v>
      </c>
    </row>
    <row r="8" spans="1:29" ht="18.75" customHeight="1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19">
        <f>IFERROR(VLOOKUP(A8,'Variable Input'!$1:$1048576,6,FALSE),0)</f>
        <v>114755783.67342256</v>
      </c>
      <c r="E8" s="19">
        <f t="shared" si="0"/>
        <v>17917.836302367868</v>
      </c>
      <c r="F8" s="19">
        <f>IFERROR(VLOOKUP(A8,'Drug Overhead'!$1:$1048576,13,FALSE)*VLOOKUP(A8,Volume!A:K,11,FALSE),0)</f>
        <v>482131.81749379146</v>
      </c>
      <c r="G8" s="19">
        <f t="shared" si="1"/>
        <v>115237915.49091636</v>
      </c>
      <c r="H8" s="19">
        <f t="shared" si="8"/>
        <v>17993.115810776799</v>
      </c>
      <c r="I8" s="36">
        <f>VLOOKUP(A8,'Variable Input'!$1:$1048576,8,FALSE)</f>
        <v>1.1180012832443968</v>
      </c>
      <c r="J8" s="19">
        <f t="shared" si="2"/>
        <v>103074940.26885223</v>
      </c>
      <c r="K8" s="63">
        <f>IFERROR(J8*(1-VLOOKUP(A8,PROFIT!$A$1:$IT$65527,7,FALSE)),J8)</f>
        <v>94182585.077894405</v>
      </c>
      <c r="L8" s="19">
        <f>IFERROR(VLOOKUP(A8,'Variable Input'!$1:$1048576,26,FALSE)*VLOOKUP(A8,Volume!A:K,11,FALSE),0)</f>
        <v>0</v>
      </c>
      <c r="M8" s="22">
        <f t="shared" si="3"/>
        <v>94182585.077894405</v>
      </c>
      <c r="N8" s="36">
        <f>VLOOKUP(A8,'Variable Input'!$1:$1048576,23,FALSE)</f>
        <v>0.99671861092415948</v>
      </c>
      <c r="O8" s="22">
        <f t="shared" si="4"/>
        <v>94492652.234684497</v>
      </c>
      <c r="P8" s="27">
        <f>IFERROR(VLOOKUP(A8,'Variable Input'!$1:$1048576,7,FALSE),0)</f>
        <v>6404.5558703010038</v>
      </c>
      <c r="Q8" s="18">
        <f t="shared" si="5"/>
        <v>14753.974225264037</v>
      </c>
      <c r="R8" s="18">
        <f t="shared" si="6"/>
        <v>94492652.234684497</v>
      </c>
      <c r="S8" s="20">
        <f>IFERROR(VLOOKUP(A8,RESCMAD!$1:$1048576,8,FALSE),0)</f>
        <v>0</v>
      </c>
      <c r="T8" s="19">
        <f>IF(C8=5,(S8*P8)*IME!$M$7,(S8*P8)*IME!$M$8)</f>
        <v>0</v>
      </c>
      <c r="U8" s="19">
        <f>IFERROR(VLOOKUP(A8,'DSH (Cumulative)'!$1:$1048576,12,FALSE)*P8*'DSH (Cumulative)'!$AB$2,0)</f>
        <v>22547393.563589465</v>
      </c>
      <c r="V8" s="22">
        <f t="shared" si="9"/>
        <v>94492652.234684497</v>
      </c>
      <c r="W8" s="17">
        <f t="shared" si="10"/>
        <v>0</v>
      </c>
      <c r="X8" s="19">
        <f t="shared" si="11"/>
        <v>71945258.671095029</v>
      </c>
      <c r="Y8" s="15">
        <f t="shared" si="12"/>
        <v>11233.450082732079</v>
      </c>
      <c r="Z8" s="14">
        <f t="shared" si="7"/>
        <v>7.3948859412954704E-2</v>
      </c>
      <c r="AA8" s="14">
        <f t="shared" si="13"/>
        <v>2.2671513238892604E-2</v>
      </c>
      <c r="AB8" s="80">
        <v>1</v>
      </c>
      <c r="AC8" s="11">
        <f t="shared" si="14"/>
        <v>16440.835728303478</v>
      </c>
    </row>
    <row r="9" spans="1:29" ht="18.75" customHeight="1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19">
        <f>IFERROR(VLOOKUP(A9,'Variable Input'!$1:$1048576,6,FALSE),0)</f>
        <v>616154621.82218134</v>
      </c>
      <c r="E9" s="19">
        <f t="shared" si="0"/>
        <v>16568.781718879367</v>
      </c>
      <c r="F9" s="19">
        <f>IFERROR(VLOOKUP(A9,'Drug Overhead'!$1:$1048576,13,FALSE)*VLOOKUP(A9,Volume!A:K,11,FALSE),0)</f>
        <v>14280591.48015156</v>
      </c>
      <c r="G9" s="19">
        <f t="shared" si="1"/>
        <v>630435213.30233288</v>
      </c>
      <c r="H9" s="19">
        <f t="shared" si="8"/>
        <v>16952.79572229847</v>
      </c>
      <c r="I9" s="36">
        <f>VLOOKUP(A9,'Variable Input'!$1:$1048576,8,FALSE)</f>
        <v>1.1102695565875482</v>
      </c>
      <c r="J9" s="19">
        <f t="shared" si="2"/>
        <v>567821759.64546597</v>
      </c>
      <c r="K9" s="63">
        <f>IFERROR(J9*(1-VLOOKUP(A9,PROFIT!$A$1:$IT$65527,7,FALSE)),J9)</f>
        <v>512198074.17627144</v>
      </c>
      <c r="L9" s="19">
        <f>IFERROR(VLOOKUP(A9,'Variable Input'!$1:$1048576,26,FALSE)*VLOOKUP(A9,Volume!A:K,11,FALSE),0)</f>
        <v>5003207.6874727393</v>
      </c>
      <c r="M9" s="22">
        <f t="shared" si="3"/>
        <v>507194866.48879868</v>
      </c>
      <c r="N9" s="36">
        <f>VLOOKUP(A9,'Variable Input'!$1:$1048576,23,FALSE)</f>
        <v>0.99671861092415948</v>
      </c>
      <c r="O9" s="22">
        <f t="shared" si="4"/>
        <v>508864649.39038974</v>
      </c>
      <c r="P9" s="27">
        <f>IFERROR(VLOOKUP(A9,'Variable Input'!$1:$1048576,7,FALSE),0)</f>
        <v>37187.68418079293</v>
      </c>
      <c r="Q9" s="18">
        <f t="shared" si="5"/>
        <v>13683.687505693439</v>
      </c>
      <c r="R9" s="18">
        <f t="shared" si="6"/>
        <v>508864649.39038974</v>
      </c>
      <c r="S9" s="20">
        <f>IFERROR(VLOOKUP(A9,RESCMAD!$1:$1048576,8,FALSE),0)</f>
        <v>1.3017891569452743E-3</v>
      </c>
      <c r="T9" s="19">
        <f>IF(C9=5,(S9*P9)*IME!$M$7,(S9*P9)*IME!$M$8)</f>
        <v>6386358.3143780688</v>
      </c>
      <c r="U9" s="19">
        <f>IFERROR(VLOOKUP(A9,'DSH (Cumulative)'!$1:$1048576,12,FALSE)*P9*'DSH (Cumulative)'!$AB$2,0)</f>
        <v>107891180.4676746</v>
      </c>
      <c r="V9" s="22">
        <f t="shared" si="9"/>
        <v>502478291.07601166</v>
      </c>
      <c r="W9" s="17">
        <f t="shared" si="10"/>
        <v>-1.2550210202317724E-2</v>
      </c>
      <c r="X9" s="19">
        <f t="shared" si="11"/>
        <v>394587110.60833704</v>
      </c>
      <c r="Y9" s="15">
        <f t="shared" si="12"/>
        <v>10610.693279258765</v>
      </c>
      <c r="Z9" s="14">
        <f t="shared" si="7"/>
        <v>1.4411588685245835E-2</v>
      </c>
      <c r="AA9" s="14">
        <f t="shared" si="13"/>
        <v>-3.4023058588765864E-2</v>
      </c>
      <c r="AB9" s="80">
        <v>1</v>
      </c>
      <c r="AC9" s="11">
        <f t="shared" si="14"/>
        <v>15292.103857179725</v>
      </c>
    </row>
    <row r="10" spans="1:29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19">
        <f>IFERROR(VLOOKUP(A10,'Variable Input'!$1:$1048576,6,FALSE),0)</f>
        <v>2316322513.6232748</v>
      </c>
      <c r="E10" s="19">
        <f t="shared" si="0"/>
        <v>22248.409950625879</v>
      </c>
      <c r="F10" s="19">
        <f>IFERROR(VLOOKUP(A10,'Drug Overhead'!$1:$1048576,13,FALSE)*VLOOKUP(A10,Volume!A:K,11,FALSE),0)</f>
        <v>110444739.43892661</v>
      </c>
      <c r="G10" s="19">
        <f t="shared" si="1"/>
        <v>2426767253.0622015</v>
      </c>
      <c r="H10" s="19">
        <f t="shared" si="8"/>
        <v>23309.23797672127</v>
      </c>
      <c r="I10" s="36">
        <f>VLOOKUP(A10,'Variable Input'!$1:$1048576,8,FALSE)</f>
        <v>1.106052155233989</v>
      </c>
      <c r="J10" s="19">
        <f t="shared" si="2"/>
        <v>2194080307.67664</v>
      </c>
      <c r="K10" s="63">
        <f>IFERROR(J10*(1-VLOOKUP(A10,PROFIT!$A$1:$IT$65527,7,FALSE)),J10)</f>
        <v>2101826405.7239029</v>
      </c>
      <c r="L10" s="19">
        <f>IFERROR(VLOOKUP(A10,'Variable Input'!$1:$1048576,26,FALSE)*VLOOKUP(A10,Volume!A:K,11,FALSE),0)</f>
        <v>121878078.47076836</v>
      </c>
      <c r="M10" s="22">
        <f t="shared" si="3"/>
        <v>1979948327.2531345</v>
      </c>
      <c r="N10" s="36">
        <f>VLOOKUP(A10,'Variable Input'!$1:$1048576,23,FALSE)</f>
        <v>0.99671861092415948</v>
      </c>
      <c r="O10" s="22">
        <f t="shared" si="4"/>
        <v>1986466697.3734167</v>
      </c>
      <c r="P10" s="27">
        <f>IFERROR(VLOOKUP(A10,'Variable Input'!$1:$1048576,7,FALSE),0)</f>
        <v>104111.82276682714</v>
      </c>
      <c r="Q10" s="18">
        <f t="shared" si="5"/>
        <v>19080.126008574302</v>
      </c>
      <c r="R10" s="18">
        <f t="shared" si="6"/>
        <v>1986466697.3734167</v>
      </c>
      <c r="S10" s="20">
        <f>IFERROR(VLOOKUP(A10,RESCMAD!$1:$1048576,8,FALSE),0)</f>
        <v>7.4942478105740583E-3</v>
      </c>
      <c r="T10" s="19">
        <f>IF(C10=5,(S10*P10)*IME!$M$7,(S10*P10)*IME!$M$8)</f>
        <v>283053309.91496724</v>
      </c>
      <c r="U10" s="19">
        <f>IFERROR(VLOOKUP(A10,'DSH (Cumulative)'!$1:$1048576,12,FALSE)*P10*'DSH (Cumulative)'!$AB$2,0)</f>
        <v>288996980.26452404</v>
      </c>
      <c r="V10" s="22">
        <f t="shared" si="9"/>
        <v>1703413387.4584494</v>
      </c>
      <c r="W10" s="17">
        <f t="shared" si="10"/>
        <v>-0.14249084079246399</v>
      </c>
      <c r="X10" s="19">
        <f t="shared" si="11"/>
        <v>1414416407.1939254</v>
      </c>
      <c r="Y10" s="15">
        <f t="shared" si="12"/>
        <v>13585.550320847873</v>
      </c>
      <c r="Z10" s="14">
        <f t="shared" si="7"/>
        <v>7.5181268689543446E-2</v>
      </c>
      <c r="AA10" s="14">
        <f t="shared" si="13"/>
        <v>0.23680215806198479</v>
      </c>
      <c r="AB10" s="80">
        <v>1</v>
      </c>
      <c r="AC10" s="11">
        <f t="shared" si="14"/>
        <v>22329.16074464651</v>
      </c>
    </row>
    <row r="11" spans="1:29" ht="18.75" customHeight="1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19">
        <f>IFERROR(VLOOKUP(A11,'Variable Input'!$1:$1048576,6,FALSE),0)</f>
        <v>13957386.461778674</v>
      </c>
      <c r="E11" s="19">
        <f t="shared" si="0"/>
        <v>11773.517709597803</v>
      </c>
      <c r="F11" s="19">
        <f>IFERROR(VLOOKUP(A11,'Drug Overhead'!$1:$1048576,13,FALSE)*VLOOKUP(A11,Volume!A:K,11,FALSE),0)</f>
        <v>22729.504084101292</v>
      </c>
      <c r="G11" s="19">
        <f t="shared" si="1"/>
        <v>13980115.965862775</v>
      </c>
      <c r="H11" s="19">
        <f t="shared" si="8"/>
        <v>11792.690799029508</v>
      </c>
      <c r="I11" s="36">
        <f>VLOOKUP(A11,'Variable Input'!$1:$1048576,8,FALSE)</f>
        <v>1.1237799950517624</v>
      </c>
      <c r="J11" s="19">
        <f t="shared" si="2"/>
        <v>12440260.573617738</v>
      </c>
      <c r="K11" s="63">
        <f>IFERROR(J11*(1-VLOOKUP(A11,PROFIT!$A$1:$IT$65527,7,FALSE)),J11)</f>
        <v>12440260.573617738</v>
      </c>
      <c r="L11" s="19">
        <f>IFERROR(VLOOKUP(A11,'Variable Input'!$1:$1048576,26,FALSE)*VLOOKUP(A11,Volume!A:K,11,FALSE),0)</f>
        <v>62612.30027663122</v>
      </c>
      <c r="M11" s="22">
        <f t="shared" si="3"/>
        <v>12377648.273341106</v>
      </c>
      <c r="N11" s="36">
        <f>VLOOKUP(A11,'Variable Input'!$1:$1048576,23,FALSE)</f>
        <v>0.99671861092415948</v>
      </c>
      <c r="O11" s="22">
        <f t="shared" si="4"/>
        <v>12418397.868446067</v>
      </c>
      <c r="P11" s="27">
        <f>IFERROR(VLOOKUP(A11,'Variable Input'!$1:$1048576,7,FALSE),0)</f>
        <v>1185.4899110060007</v>
      </c>
      <c r="Q11" s="18">
        <f t="shared" si="5"/>
        <v>10475.329864180689</v>
      </c>
      <c r="R11" s="18">
        <f t="shared" si="6"/>
        <v>12418397.868446067</v>
      </c>
      <c r="S11" s="20">
        <f>IFERROR(VLOOKUP(A11,RESCMAD!$1:$1048576,8,FALSE),0)</f>
        <v>0</v>
      </c>
      <c r="T11" s="19">
        <f>IF(C11=5,(S11*P11)*IME!$M$7,(S11*P11)*IME!$M$8)</f>
        <v>0</v>
      </c>
      <c r="U11" s="19">
        <f>IFERROR(VLOOKUP(A11,'DSH (Cumulative)'!$1:$1048576,12,FALSE)*P11*'DSH (Cumulative)'!$AB$2,0)</f>
        <v>0</v>
      </c>
      <c r="V11" s="22">
        <f t="shared" si="9"/>
        <v>12418397.868446067</v>
      </c>
      <c r="W11" s="17">
        <f t="shared" si="10"/>
        <v>0</v>
      </c>
      <c r="X11" s="19">
        <f t="shared" si="11"/>
        <v>12418397.868446067</v>
      </c>
      <c r="Y11" s="15">
        <f t="shared" si="12"/>
        <v>10475.329864180689</v>
      </c>
      <c r="Z11" s="14" t="str">
        <f t="shared" si="7"/>
        <v xml:space="preserve"> </v>
      </c>
      <c r="AA11" s="14">
        <f t="shared" si="13"/>
        <v>-4.6346281420180491E-2</v>
      </c>
      <c r="AB11" s="80">
        <v>1</v>
      </c>
      <c r="AC11" s="11">
        <f t="shared" si="14"/>
        <v>11792.690799029508</v>
      </c>
    </row>
    <row r="12" spans="1:29" ht="18.75" customHeight="1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19">
        <f>IFERROR(VLOOKUP(A12,'Variable Input'!$1:$1048576,6,FALSE),0)</f>
        <v>447394832.37144083</v>
      </c>
      <c r="E12" s="19">
        <f t="shared" si="0"/>
        <v>18457.126259581502</v>
      </c>
      <c r="F12" s="19">
        <f>IFERROR(VLOOKUP(A12,'Drug Overhead'!$1:$1048576,13,FALSE)*VLOOKUP(A12,Volume!A:K,11,FALSE),0)</f>
        <v>15898105.714453403</v>
      </c>
      <c r="G12" s="19">
        <f t="shared" si="1"/>
        <v>463292938.08589423</v>
      </c>
      <c r="H12" s="19">
        <f t="shared" si="8"/>
        <v>19112.997367668471</v>
      </c>
      <c r="I12" s="36">
        <f>VLOOKUP(A12,'Variable Input'!$1:$1048576,8,FALSE)</f>
        <v>1.1208321340194023</v>
      </c>
      <c r="J12" s="19">
        <f t="shared" si="2"/>
        <v>413347301.54861385</v>
      </c>
      <c r="K12" s="63">
        <f>IFERROR(J12*(1-VLOOKUP(A12,PROFIT!$A$1:$IT$65527,7,FALSE)),J12)</f>
        <v>334875436.42143035</v>
      </c>
      <c r="L12" s="19">
        <f>IFERROR(VLOOKUP(A12,'Variable Input'!$1:$1048576,26,FALSE)*VLOOKUP(A12,Volume!A:K,11,FALSE),0)</f>
        <v>5944161.5154257026</v>
      </c>
      <c r="M12" s="22">
        <f t="shared" si="3"/>
        <v>328931274.90600467</v>
      </c>
      <c r="N12" s="36">
        <f>VLOOKUP(A12,'Variable Input'!$1:$1048576,23,FALSE)</f>
        <v>0.99671861092415948</v>
      </c>
      <c r="O12" s="22">
        <f t="shared" si="4"/>
        <v>330014179.8305732</v>
      </c>
      <c r="P12" s="27">
        <f>IFERROR(VLOOKUP(A12,'Variable Input'!$1:$1048576,7,FALSE),0)</f>
        <v>24239.679898120015</v>
      </c>
      <c r="Q12" s="18">
        <f t="shared" si="5"/>
        <v>13614.626150907567</v>
      </c>
      <c r="R12" s="18">
        <f t="shared" si="6"/>
        <v>330014179.8305732</v>
      </c>
      <c r="S12" s="20">
        <f>IFERROR(VLOOKUP(A12,RESCMAD!$1:$1048576,8,FALSE),0)</f>
        <v>2.6691771620720953E-3</v>
      </c>
      <c r="T12" s="19">
        <f>IF(C12=5,(S12*P12)*IME!$M$7,(S12*P12)*IME!$M$8)</f>
        <v>8535280.110002134</v>
      </c>
      <c r="U12" s="19">
        <f>IFERROR(VLOOKUP(A12,'DSH (Cumulative)'!$1:$1048576,12,FALSE)*P12*'DSH (Cumulative)'!$AB$2,0)</f>
        <v>87480292.753245845</v>
      </c>
      <c r="V12" s="22">
        <f t="shared" si="9"/>
        <v>321478899.72057104</v>
      </c>
      <c r="W12" s="17">
        <f t="shared" si="10"/>
        <v>-2.5863373853766247E-2</v>
      </c>
      <c r="X12" s="19">
        <f t="shared" si="11"/>
        <v>233998606.96732521</v>
      </c>
      <c r="Y12" s="15">
        <f t="shared" si="12"/>
        <v>9653.5353581741692</v>
      </c>
      <c r="Z12" s="14">
        <f t="shared" si="7"/>
        <v>-7.7095352642335246E-2</v>
      </c>
      <c r="AA12" s="14">
        <f t="shared" si="13"/>
        <v>-0.12116085974113533</v>
      </c>
      <c r="AB12" s="80">
        <v>1</v>
      </c>
      <c r="AC12" s="11">
        <f t="shared" si="14"/>
        <v>15484.492848604863</v>
      </c>
    </row>
    <row r="13" spans="1:29" ht="18.75" customHeight="1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19">
        <f>IFERROR(VLOOKUP(A13,'Variable Input'!$1:$1048576,6,FALSE),0)</f>
        <v>820426817.23668432</v>
      </c>
      <c r="E13" s="19">
        <f t="shared" si="0"/>
        <v>20911.421335996161</v>
      </c>
      <c r="F13" s="19">
        <f>IFERROR(VLOOKUP(A13,'Drug Overhead'!$1:$1048576,13,FALSE)*VLOOKUP(A13,Volume!A:K,11,FALSE),0)</f>
        <v>33441958.098435093</v>
      </c>
      <c r="G13" s="19">
        <f t="shared" si="1"/>
        <v>853868775.33511937</v>
      </c>
      <c r="H13" s="19">
        <f t="shared" si="8"/>
        <v>21763.805560164397</v>
      </c>
      <c r="I13" s="36">
        <f>VLOOKUP(A13,'Variable Input'!$1:$1048576,8,FALSE)</f>
        <v>1.1214469245143464</v>
      </c>
      <c r="J13" s="19">
        <f t="shared" si="2"/>
        <v>761399185.88202083</v>
      </c>
      <c r="K13" s="63">
        <f>IFERROR(J13*(1-VLOOKUP(A13,PROFIT!$A$1:$IT$65527,7,FALSE)),J13)</f>
        <v>653192721.82398355</v>
      </c>
      <c r="L13" s="19">
        <f>IFERROR(VLOOKUP(A13,'Variable Input'!$1:$1048576,26,FALSE)*VLOOKUP(A13,Volume!A:K,11,FALSE),0)</f>
        <v>20760568.355981968</v>
      </c>
      <c r="M13" s="22">
        <f t="shared" si="3"/>
        <v>632432153.4680016</v>
      </c>
      <c r="N13" s="36">
        <f>VLOOKUP(A13,'Variable Input'!$1:$1048576,23,FALSE)</f>
        <v>0.99671861092415948</v>
      </c>
      <c r="O13" s="22">
        <f t="shared" si="4"/>
        <v>634514241.5687505</v>
      </c>
      <c r="P13" s="27">
        <f>IFERROR(VLOOKUP(A13,'Variable Input'!$1:$1048576,7,FALSE),0)</f>
        <v>39233.431532673072</v>
      </c>
      <c r="Q13" s="18">
        <f t="shared" si="5"/>
        <v>16172.794904272791</v>
      </c>
      <c r="R13" s="18">
        <f t="shared" si="6"/>
        <v>634514241.5687505</v>
      </c>
      <c r="S13" s="20">
        <f>IFERROR(VLOOKUP(A13,RESCMAD!$1:$1048576,8,FALSE),0)</f>
        <v>3.2115467619769343E-3</v>
      </c>
      <c r="T13" s="19">
        <f>IF(C13=5,(S13*P13)*IME!$M$7,(S13*P13)*IME!$M$8)</f>
        <v>16622029.271410642</v>
      </c>
      <c r="U13" s="19">
        <f>IFERROR(VLOOKUP(A13,'DSH (Cumulative)'!$1:$1048576,12,FALSE)*P13*'DSH (Cumulative)'!$AB$2,0)</f>
        <v>148981363.33180904</v>
      </c>
      <c r="V13" s="22">
        <f t="shared" si="9"/>
        <v>617892212.29733992</v>
      </c>
      <c r="W13" s="17">
        <f t="shared" si="10"/>
        <v>-2.6196463660634106E-2</v>
      </c>
      <c r="X13" s="19">
        <f t="shared" si="11"/>
        <v>468910848.96553087</v>
      </c>
      <c r="Y13" s="15">
        <f t="shared" si="12"/>
        <v>11951.818401992909</v>
      </c>
      <c r="Z13" s="14">
        <f t="shared" si="7"/>
        <v>0.14262685516908458</v>
      </c>
      <c r="AA13" s="14">
        <f t="shared" si="13"/>
        <v>8.8070372067726943E-2</v>
      </c>
      <c r="AB13" s="80">
        <v>1</v>
      </c>
      <c r="AC13" s="11">
        <f t="shared" si="14"/>
        <v>18670.836080056564</v>
      </c>
    </row>
    <row r="14" spans="1:29" ht="18.75" customHeight="1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19">
        <f>IFERROR(VLOOKUP(A14,'Variable Input'!$1:$1048576,6,FALSE),0)</f>
        <v>24685753.024731949</v>
      </c>
      <c r="E14" s="19">
        <f t="shared" si="0"/>
        <v>15346.810938105695</v>
      </c>
      <c r="F14" s="19">
        <f>IFERROR(VLOOKUP(A14,'Drug Overhead'!$1:$1048576,13,FALSE)*VLOOKUP(A14,Volume!A:K,11,FALSE),0)</f>
        <v>41706.133335082472</v>
      </c>
      <c r="G14" s="19">
        <f t="shared" si="1"/>
        <v>24727459.158067033</v>
      </c>
      <c r="H14" s="19">
        <f t="shared" si="8"/>
        <v>15372.739097664438</v>
      </c>
      <c r="I14" s="36">
        <f>VLOOKUP(A14,'Variable Input'!$1:$1048576,8,FALSE)</f>
        <v>1.1357641348932981</v>
      </c>
      <c r="J14" s="19">
        <f t="shared" si="2"/>
        <v>21771649.938911047</v>
      </c>
      <c r="K14" s="63">
        <f>IFERROR(J14*(1-VLOOKUP(A14,PROFIT!$A$1:$IT$65527,7,FALSE)),J14)</f>
        <v>21771649.938911047</v>
      </c>
      <c r="L14" s="19">
        <f>IFERROR(VLOOKUP(A14,'Variable Input'!$1:$1048576,26,FALSE)*VLOOKUP(A14,Volume!A:K,11,FALSE),0)</f>
        <v>0</v>
      </c>
      <c r="M14" s="22">
        <f t="shared" si="3"/>
        <v>21771649.938911047</v>
      </c>
      <c r="N14" s="36">
        <f>VLOOKUP(A14,'Variable Input'!$1:$1048576,23,FALSE)</f>
        <v>0.99671861092415948</v>
      </c>
      <c r="O14" s="22">
        <f t="shared" si="4"/>
        <v>21843326.391512174</v>
      </c>
      <c r="P14" s="27">
        <f>IFERROR(VLOOKUP(A14,'Variable Input'!$1:$1048576,7,FALSE),0)</f>
        <v>1608.5265612699982</v>
      </c>
      <c r="Q14" s="18">
        <f t="shared" si="5"/>
        <v>13579.711344191895</v>
      </c>
      <c r="R14" s="18">
        <f t="shared" si="6"/>
        <v>21843326.391512174</v>
      </c>
      <c r="S14" s="20">
        <f>IFERROR(VLOOKUP(A14,RESCMAD!$1:$1048576,8,FALSE),0)</f>
        <v>0</v>
      </c>
      <c r="T14" s="19">
        <f>IF(C14=5,(S14*P14)*IME!$M$7,(S14*P14)*IME!$M$8)</f>
        <v>0</v>
      </c>
      <c r="U14" s="19">
        <f>IFERROR(VLOOKUP(A14,'DSH (Cumulative)'!$1:$1048576,12,FALSE)*P14*'DSH (Cumulative)'!$AB$2,0)</f>
        <v>12656764.264227461</v>
      </c>
      <c r="V14" s="22">
        <f t="shared" si="9"/>
        <v>21843326.391512174</v>
      </c>
      <c r="W14" s="17">
        <f t="shared" si="10"/>
        <v>0</v>
      </c>
      <c r="X14" s="19">
        <f t="shared" si="11"/>
        <v>9186562.1272847131</v>
      </c>
      <c r="Y14" s="15">
        <f t="shared" si="12"/>
        <v>5711.1659505526241</v>
      </c>
      <c r="Z14" s="14" t="str">
        <f t="shared" si="7"/>
        <v xml:space="preserve"> </v>
      </c>
      <c r="AA14" s="14">
        <f t="shared" si="13"/>
        <v>-0.48006652613445433</v>
      </c>
      <c r="AB14" s="80">
        <v>1</v>
      </c>
      <c r="AC14" s="11">
        <f t="shared" si="14"/>
        <v>15372.739097664438</v>
      </c>
    </row>
    <row r="15" spans="1:29" ht="18.75" customHeight="1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19">
        <f>IFERROR(VLOOKUP(A15,'Variable Input'!$1:$1048576,6,FALSE),0)</f>
        <v>584590033.71573627</v>
      </c>
      <c r="E15" s="19">
        <f t="shared" si="0"/>
        <v>15843.930802476234</v>
      </c>
      <c r="F15" s="19">
        <f>IFERROR(VLOOKUP(A15,'Drug Overhead'!$1:$1048576,13,FALSE)*VLOOKUP(A15,Volume!A:K,11,FALSE),0)</f>
        <v>20201193.958397634</v>
      </c>
      <c r="G15" s="19">
        <f t="shared" si="1"/>
        <v>604791227.6741339</v>
      </c>
      <c r="H15" s="19">
        <f t="shared" si="8"/>
        <v>16391.436405967052</v>
      </c>
      <c r="I15" s="36">
        <f>VLOOKUP(A15,'Variable Input'!$1:$1048576,8,FALSE)</f>
        <v>1.1215228084765592</v>
      </c>
      <c r="J15" s="19">
        <f t="shared" si="2"/>
        <v>539258963.88648844</v>
      </c>
      <c r="K15" s="63">
        <f>IFERROR(J15*(1-VLOOKUP(A15,PROFIT!$A$1:$IT$65527,7,FALSE)),J15)</f>
        <v>510996030.08999103</v>
      </c>
      <c r="L15" s="19">
        <f>IFERROR(VLOOKUP(A15,'Variable Input'!$1:$1048576,26,FALSE)*VLOOKUP(A15,Volume!A:K,11,FALSE),0)</f>
        <v>10719878.177063769</v>
      </c>
      <c r="M15" s="22">
        <f t="shared" si="3"/>
        <v>500276151.91292727</v>
      </c>
      <c r="N15" s="36">
        <f>VLOOKUP(A15,'Variable Input'!$1:$1048576,23,FALSE)</f>
        <v>0.99671861092415948</v>
      </c>
      <c r="O15" s="22">
        <f t="shared" si="4"/>
        <v>501923157.07747269</v>
      </c>
      <c r="P15" s="27">
        <f>IFERROR(VLOOKUP(A15,'Variable Input'!$1:$1048576,7,FALSE),0)</f>
        <v>36896.780287905021</v>
      </c>
      <c r="Q15" s="18">
        <f t="shared" si="5"/>
        <v>13603.440548497019</v>
      </c>
      <c r="R15" s="18">
        <f t="shared" si="6"/>
        <v>501923157.07747269</v>
      </c>
      <c r="S15" s="20">
        <f>IFERROR(VLOOKUP(A15,RESCMAD!$1:$1048576,8,FALSE),0)</f>
        <v>2.1140055959183207E-3</v>
      </c>
      <c r="T15" s="19">
        <f>IF(C15=5,(S15*P15)*IME!$M$7,(S15*P15)*IME!$M$8)</f>
        <v>10289827.644206591</v>
      </c>
      <c r="U15" s="19">
        <f>IFERROR(VLOOKUP(A15,'DSH (Cumulative)'!$1:$1048576,12,FALSE)*P15*'DSH (Cumulative)'!$AB$2,0)</f>
        <v>137635770.0629921</v>
      </c>
      <c r="V15" s="22">
        <f t="shared" si="9"/>
        <v>491633329.4332661</v>
      </c>
      <c r="W15" s="17">
        <f t="shared" si="10"/>
        <v>-2.0500802760567427E-2</v>
      </c>
      <c r="X15" s="19">
        <f t="shared" si="11"/>
        <v>353997559.37027401</v>
      </c>
      <c r="Y15" s="15">
        <f t="shared" si="12"/>
        <v>9594.266941669066</v>
      </c>
      <c r="Z15" s="14">
        <f t="shared" si="7"/>
        <v>-8.2761576984464291E-2</v>
      </c>
      <c r="AA15" s="14">
        <f t="shared" si="13"/>
        <v>-0.12655654145495876</v>
      </c>
      <c r="AB15" s="80">
        <v>1</v>
      </c>
      <c r="AC15" s="11">
        <f t="shared" si="14"/>
        <v>15532.349931757122</v>
      </c>
    </row>
    <row r="16" spans="1:29" ht="18.75" customHeight="1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19">
        <f>IFERROR(VLOOKUP(A16,'Variable Input'!$1:$1048576,6,FALSE),0)</f>
        <v>348459464.41440386</v>
      </c>
      <c r="E16" s="19">
        <f t="shared" si="0"/>
        <v>17866.506117103032</v>
      </c>
      <c r="F16" s="19">
        <f>IFERROR(VLOOKUP(A16,'Drug Overhead'!$1:$1048576,13,FALSE)*VLOOKUP(A16,Volume!A:K,11,FALSE),0)</f>
        <v>479652.43146501947</v>
      </c>
      <c r="G16" s="19">
        <f t="shared" si="1"/>
        <v>348939116.84586889</v>
      </c>
      <c r="H16" s="19">
        <f t="shared" si="8"/>
        <v>17891.099259135364</v>
      </c>
      <c r="I16" s="36">
        <f>VLOOKUP(A16,'Variable Input'!$1:$1048576,8,FALSE)</f>
        <v>1.1206186736274211</v>
      </c>
      <c r="J16" s="19">
        <f t="shared" si="2"/>
        <v>311380780.15098542</v>
      </c>
      <c r="K16" s="63">
        <f>IFERROR(J16*(1-VLOOKUP(A16,PROFIT!$A$1:$IT$65527,7,FALSE)),J16)</f>
        <v>282729351.36970454</v>
      </c>
      <c r="L16" s="19">
        <f>IFERROR(VLOOKUP(A16,'Variable Input'!$1:$1048576,26,FALSE)*VLOOKUP(A16,Volume!A:K,11,FALSE),0)</f>
        <v>0</v>
      </c>
      <c r="M16" s="22">
        <f t="shared" si="3"/>
        <v>282729351.36970454</v>
      </c>
      <c r="N16" s="36">
        <f>VLOOKUP(A16,'Variable Input'!$1:$1048576,23,FALSE)</f>
        <v>1.0181752931904677</v>
      </c>
      <c r="O16" s="22">
        <f t="shared" si="4"/>
        <v>277682392.47268301</v>
      </c>
      <c r="P16" s="27">
        <f>IFERROR(VLOOKUP(A16,'Variable Input'!$1:$1048576,7,FALSE),0)</f>
        <v>19503.503490301038</v>
      </c>
      <c r="Q16" s="18">
        <f t="shared" si="5"/>
        <v>14237.564682200436</v>
      </c>
      <c r="R16" s="18">
        <f t="shared" si="6"/>
        <v>277682392.47268301</v>
      </c>
      <c r="S16" s="20">
        <f>IFERROR(VLOOKUP(A16,RESCMAD!$1:$1048576,8,FALSE),0)</f>
        <v>0</v>
      </c>
      <c r="T16" s="19">
        <f>IF(C16=5,(S16*P16)*IME!$M$7,(S16*P16)*IME!$M$8)</f>
        <v>0</v>
      </c>
      <c r="U16" s="19">
        <f>IFERROR(VLOOKUP(A16,'DSH (Cumulative)'!$1:$1048576,12,FALSE)*P16*'DSH (Cumulative)'!$AB$2,0)</f>
        <v>68645100.116657302</v>
      </c>
      <c r="V16" s="22">
        <f t="shared" si="9"/>
        <v>277682392.47268301</v>
      </c>
      <c r="W16" s="17">
        <f t="shared" si="10"/>
        <v>0</v>
      </c>
      <c r="X16" s="19">
        <f t="shared" si="11"/>
        <v>209037292.3560257</v>
      </c>
      <c r="Y16" s="15">
        <f t="shared" si="12"/>
        <v>10717.935496049648</v>
      </c>
      <c r="Z16" s="14">
        <f t="shared" si="7"/>
        <v>2.4664240858466302E-2</v>
      </c>
      <c r="AA16" s="14">
        <f t="shared" si="13"/>
        <v>-2.4259935120828358E-2</v>
      </c>
      <c r="AB16" s="80">
        <v>1</v>
      </c>
      <c r="AC16" s="11">
        <f t="shared" si="14"/>
        <v>16244.865487117109</v>
      </c>
    </row>
    <row r="17" spans="1:29" ht="18.75" customHeight="1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19">
        <f>IFERROR(VLOOKUP(A17,'Variable Input'!$1:$1048576,6,FALSE),0)</f>
        <v>72534416.621152684</v>
      </c>
      <c r="E17" s="19">
        <f t="shared" si="0"/>
        <v>12811.28647531155</v>
      </c>
      <c r="F17" s="19">
        <f>IFERROR(VLOOKUP(A17,'Drug Overhead'!$1:$1048576,13,FALSE)*VLOOKUP(A17,Volume!A:K,11,FALSE),0)</f>
        <v>1106601.9848885359</v>
      </c>
      <c r="G17" s="19">
        <f t="shared" si="1"/>
        <v>73641018.606041223</v>
      </c>
      <c r="H17" s="19">
        <f t="shared" si="8"/>
        <v>13006.738451117766</v>
      </c>
      <c r="I17" s="36">
        <f>VLOOKUP(A17,'Variable Input'!$1:$1048576,8,FALSE)</f>
        <v>1.1207568789217148</v>
      </c>
      <c r="J17" s="19">
        <f t="shared" si="2"/>
        <v>65706506.01483845</v>
      </c>
      <c r="K17" s="63">
        <f>IFERROR(J17*(1-VLOOKUP(A17,PROFIT!$A$1:$IT$65527,7,FALSE)),J17)</f>
        <v>58546426.985040635</v>
      </c>
      <c r="L17" s="19">
        <f>IFERROR(VLOOKUP(A17,'Variable Input'!$1:$1048576,26,FALSE)*VLOOKUP(A17,Volume!A:K,11,FALSE),0)</f>
        <v>0</v>
      </c>
      <c r="M17" s="22">
        <f t="shared" si="3"/>
        <v>58546426.985040635</v>
      </c>
      <c r="N17" s="36">
        <f>VLOOKUP(A17,'Variable Input'!$1:$1048576,23,FALSE)</f>
        <v>0.99671861092415948</v>
      </c>
      <c r="O17" s="22">
        <f t="shared" si="4"/>
        <v>58739173.065862864</v>
      </c>
      <c r="P17" s="27">
        <f>IFERROR(VLOOKUP(A17,'Variable Input'!$1:$1048576,7,FALSE),0)</f>
        <v>5661.7590092090077</v>
      </c>
      <c r="Q17" s="18">
        <f t="shared" si="5"/>
        <v>10374.721525646353</v>
      </c>
      <c r="R17" s="18">
        <f t="shared" si="6"/>
        <v>58739173.065862864</v>
      </c>
      <c r="S17" s="20">
        <f>IFERROR(VLOOKUP(A17,RESCMAD!$1:$1048576,8,FALSE),0)</f>
        <v>0</v>
      </c>
      <c r="T17" s="19">
        <f>IF(C17=5,(S17*P17)*IME!$M$7,(S17*P17)*IME!$M$8)</f>
        <v>0</v>
      </c>
      <c r="U17" s="19">
        <f>IFERROR(VLOOKUP(A17,'DSH (Cumulative)'!$1:$1048576,12,FALSE)*P17*'DSH (Cumulative)'!$AB$2,0)</f>
        <v>15487585.723237062</v>
      </c>
      <c r="V17" s="22">
        <f t="shared" si="9"/>
        <v>58739173.065862864</v>
      </c>
      <c r="W17" s="17">
        <f t="shared" si="10"/>
        <v>0</v>
      </c>
      <c r="X17" s="19">
        <f t="shared" si="11"/>
        <v>43251587.342625804</v>
      </c>
      <c r="Y17" s="15">
        <f t="shared" si="12"/>
        <v>7639.2490871257323</v>
      </c>
      <c r="Z17" s="14">
        <f t="shared" si="7"/>
        <v>-0.2696666844586354</v>
      </c>
      <c r="AA17" s="14">
        <f t="shared" si="13"/>
        <v>-0.3045375760427429</v>
      </c>
      <c r="AB17" s="80">
        <v>1</v>
      </c>
      <c r="AC17" s="11">
        <f t="shared" si="14"/>
        <v>11589.386032334731</v>
      </c>
    </row>
    <row r="18" spans="1:29" ht="18.75" customHeight="1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19">
        <f>IFERROR(VLOOKUP(A18,'Variable Input'!$1:$1048576,6,FALSE),0)</f>
        <v>191380034.25950557</v>
      </c>
      <c r="E18" s="19">
        <f t="shared" si="0"/>
        <v>16179.39141273775</v>
      </c>
      <c r="F18" s="19">
        <f>IFERROR(VLOOKUP(A18,'Drug Overhead'!$1:$1048576,13,FALSE)*VLOOKUP(A18,Volume!A:K,11,FALSE),0)</f>
        <v>5273979.4219849585</v>
      </c>
      <c r="G18" s="19">
        <f t="shared" si="1"/>
        <v>196654013.68149054</v>
      </c>
      <c r="H18" s="19">
        <f t="shared" si="8"/>
        <v>16625.257031380679</v>
      </c>
      <c r="I18" s="36">
        <f>VLOOKUP(A18,'Variable Input'!$1:$1048576,8,FALSE)</f>
        <v>1.1159266108518389</v>
      </c>
      <c r="J18" s="19">
        <f t="shared" si="2"/>
        <v>176224862.6111491</v>
      </c>
      <c r="K18" s="63">
        <f>IFERROR(J18*(1-VLOOKUP(A18,PROFIT!$A$1:$IT$65527,7,FALSE)),J18)</f>
        <v>173232333.58568579</v>
      </c>
      <c r="L18" s="19">
        <f>IFERROR(VLOOKUP(A18,'Variable Input'!$1:$1048576,26,FALSE)*VLOOKUP(A18,Volume!A:K,11,FALSE),0)</f>
        <v>0</v>
      </c>
      <c r="M18" s="22">
        <f t="shared" si="3"/>
        <v>173232333.58568579</v>
      </c>
      <c r="N18" s="36">
        <f>VLOOKUP(A18,'Variable Input'!$1:$1048576,23,FALSE)</f>
        <v>1.0181752931904677</v>
      </c>
      <c r="O18" s="22">
        <f t="shared" si="4"/>
        <v>170139989.39500844</v>
      </c>
      <c r="P18" s="27">
        <f>IFERROR(VLOOKUP(A18,'Variable Input'!$1:$1048576,7,FALSE),0)</f>
        <v>11828.629976083985</v>
      </c>
      <c r="Q18" s="18">
        <f t="shared" si="5"/>
        <v>14383.744333791004</v>
      </c>
      <c r="R18" s="18">
        <f t="shared" si="6"/>
        <v>170139989.39500844</v>
      </c>
      <c r="S18" s="20">
        <f>IFERROR(VLOOKUP(A18,RESCMAD!$1:$1048576,8,FALSE),0)</f>
        <v>0</v>
      </c>
      <c r="T18" s="19">
        <f>IF(C18=5,(S18*P18)*IME!$M$7,(S18*P18)*IME!$M$8)</f>
        <v>0</v>
      </c>
      <c r="U18" s="19">
        <f>IFERROR(VLOOKUP(A18,'DSH (Cumulative)'!$1:$1048576,12,FALSE)*P18*'DSH (Cumulative)'!$AB$2,0)</f>
        <v>30440416.4932332</v>
      </c>
      <c r="V18" s="22">
        <f t="shared" si="9"/>
        <v>170139989.39500844</v>
      </c>
      <c r="W18" s="17">
        <f t="shared" si="10"/>
        <v>0</v>
      </c>
      <c r="X18" s="19">
        <f t="shared" si="11"/>
        <v>139699572.90177524</v>
      </c>
      <c r="Y18" s="15">
        <f t="shared" si="12"/>
        <v>11810.291909057123</v>
      </c>
      <c r="Z18" s="14">
        <f t="shared" si="7"/>
        <v>0.1290965314888517</v>
      </c>
      <c r="AA18" s="14">
        <f t="shared" si="13"/>
        <v>7.5186074578701856E-2</v>
      </c>
      <c r="AB18" s="80">
        <v>1</v>
      </c>
      <c r="AC18" s="11">
        <f t="shared" si="14"/>
        <v>16342.938387546783</v>
      </c>
    </row>
    <row r="19" spans="1:29" ht="18.75" customHeight="1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19">
        <f>IFERROR(VLOOKUP(A19,'Variable Input'!$1:$1048576,6,FALSE),0)</f>
        <v>507580746.06614465</v>
      </c>
      <c r="E19" s="19">
        <f t="shared" si="0"/>
        <v>14267.786782122696</v>
      </c>
      <c r="F19" s="19">
        <f>IFERROR(VLOOKUP(A19,'Drug Overhead'!$1:$1048576,13,FALSE)*VLOOKUP(A19,Volume!A:K,11,FALSE),0)</f>
        <v>7155427.5335690174</v>
      </c>
      <c r="G19" s="19">
        <f t="shared" si="1"/>
        <v>514736173.59971368</v>
      </c>
      <c r="H19" s="19">
        <f t="shared" si="8"/>
        <v>14468.921508321686</v>
      </c>
      <c r="I19" s="36">
        <f>VLOOKUP(A19,'Variable Input'!$1:$1048576,8,FALSE)</f>
        <v>1.1235285459397526</v>
      </c>
      <c r="J19" s="19">
        <f t="shared" si="2"/>
        <v>458142497.09977156</v>
      </c>
      <c r="K19" s="63">
        <f>IFERROR(J19*(1-VLOOKUP(A19,PROFIT!$A$1:$IT$65527,7,FALSE)),J19)</f>
        <v>413447863.45143002</v>
      </c>
      <c r="L19" s="19">
        <f>IFERROR(VLOOKUP(A19,'Variable Input'!$1:$1048576,26,FALSE)*VLOOKUP(A19,Volume!A:K,11,FALSE),0)</f>
        <v>3385733.4707238162</v>
      </c>
      <c r="M19" s="22">
        <f t="shared" si="3"/>
        <v>410062129.98070621</v>
      </c>
      <c r="N19" s="36">
        <f>VLOOKUP(A19,'Variable Input'!$1:$1048576,23,FALSE)</f>
        <v>0.99671861092415948</v>
      </c>
      <c r="O19" s="22">
        <f t="shared" si="4"/>
        <v>411412133.26045531</v>
      </c>
      <c r="P19" s="27">
        <f>IFERROR(VLOOKUP(A19,'Variable Input'!$1:$1048576,7,FALSE),0)</f>
        <v>35575.296562612995</v>
      </c>
      <c r="Q19" s="18">
        <f t="shared" si="5"/>
        <v>11564.545429336464</v>
      </c>
      <c r="R19" s="18">
        <f t="shared" si="6"/>
        <v>411412133.26045531</v>
      </c>
      <c r="S19" s="20">
        <f>IFERROR(VLOOKUP(A19,RESCMAD!$1:$1048576,8,FALSE),0)</f>
        <v>2.8109393220095488E-4</v>
      </c>
      <c r="T19" s="19">
        <f>IF(C19=5,(S19*P19)*IME!$M$7,(S19*P19)*IME!$M$8)</f>
        <v>1319208.6723341784</v>
      </c>
      <c r="U19" s="19">
        <f>IFERROR(VLOOKUP(A19,'DSH (Cumulative)'!$1:$1048576,12,FALSE)*P19*'DSH (Cumulative)'!$AB$2,0)</f>
        <v>109898440.49882717</v>
      </c>
      <c r="V19" s="22">
        <f t="shared" si="9"/>
        <v>410092924.58812112</v>
      </c>
      <c r="W19" s="17">
        <f t="shared" si="10"/>
        <v>-3.20653808111937E-3</v>
      </c>
      <c r="X19" s="19">
        <f t="shared" si="11"/>
        <v>300194484.08929396</v>
      </c>
      <c r="Y19" s="15">
        <f t="shared" si="12"/>
        <v>8438.2847957696613</v>
      </c>
      <c r="Z19" s="14">
        <f t="shared" si="7"/>
        <v>-0.19327666344029604</v>
      </c>
      <c r="AA19" s="14">
        <f t="shared" si="13"/>
        <v>-0.23179491450308709</v>
      </c>
      <c r="AB19" s="80">
        <v>1</v>
      </c>
      <c r="AC19" s="11">
        <f t="shared" si="14"/>
        <v>13057.388742435931</v>
      </c>
    </row>
    <row r="20" spans="1:29" ht="18.75" customHeight="1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19">
        <f>IFERROR(VLOOKUP(A20,'Variable Input'!$1:$1048576,6,FALSE),0)</f>
        <v>397812348.9639039</v>
      </c>
      <c r="E20" s="19">
        <f t="shared" si="0"/>
        <v>15970.572390470126</v>
      </c>
      <c r="F20" s="19">
        <f>IFERROR(VLOOKUP(A20,'Drug Overhead'!$1:$1048576,13,FALSE)*VLOOKUP(A20,Volume!A:K,11,FALSE),0)</f>
        <v>552266.43523613329</v>
      </c>
      <c r="G20" s="19">
        <f t="shared" si="1"/>
        <v>398364615.39914006</v>
      </c>
      <c r="H20" s="19">
        <f t="shared" si="8"/>
        <v>15992.743675765159</v>
      </c>
      <c r="I20" s="36">
        <f>VLOOKUP(A20,'Variable Input'!$1:$1048576,8,FALSE)</f>
        <v>1.106961162419857</v>
      </c>
      <c r="J20" s="19">
        <f t="shared" si="2"/>
        <v>359872260.13268673</v>
      </c>
      <c r="K20" s="63">
        <f>IFERROR(J20*(1-VLOOKUP(A20,PROFIT!$A$1:$IT$65527,7,FALSE)),J20)</f>
        <v>329939331.04824656</v>
      </c>
      <c r="L20" s="19">
        <f>IFERROR(VLOOKUP(A20,'Variable Input'!$1:$1048576,26,FALSE)*VLOOKUP(A20,Volume!A:K,11,FALSE),0)</f>
        <v>4332162.9357895656</v>
      </c>
      <c r="M20" s="22">
        <f t="shared" si="3"/>
        <v>325607168.11245698</v>
      </c>
      <c r="N20" s="36">
        <f>VLOOKUP(A20,'Variable Input'!$1:$1048576,23,FALSE)</f>
        <v>1.0181752931904677</v>
      </c>
      <c r="O20" s="22">
        <f t="shared" si="4"/>
        <v>319794803.79273587</v>
      </c>
      <c r="P20" s="27">
        <f>IFERROR(VLOOKUP(A20,'Variable Input'!$1:$1048576,7,FALSE),0)</f>
        <v>24909.085237375984</v>
      </c>
      <c r="Q20" s="18">
        <f t="shared" si="5"/>
        <v>12838.480447804042</v>
      </c>
      <c r="R20" s="18">
        <f t="shared" si="6"/>
        <v>319794803.79273587</v>
      </c>
      <c r="S20" s="20">
        <f>IFERROR(VLOOKUP(A20,RESCMAD!$1:$1048576,8,FALSE),0)</f>
        <v>1.6058397817026276E-4</v>
      </c>
      <c r="T20" s="19">
        <f>IF(C20=5,(S20*P20)*IME!$M$7,(S20*P20)*IME!$M$8)</f>
        <v>527683.46893367125</v>
      </c>
      <c r="U20" s="19">
        <f>IFERROR(VLOOKUP(A20,'DSH (Cumulative)'!$1:$1048576,12,FALSE)*P20*'DSH (Cumulative)'!$AB$2,0)</f>
        <v>40629201.863235101</v>
      </c>
      <c r="V20" s="22">
        <f t="shared" si="9"/>
        <v>319267120.32380223</v>
      </c>
      <c r="W20" s="17">
        <f t="shared" si="10"/>
        <v>-1.6500689275603664E-3</v>
      </c>
      <c r="X20" s="19">
        <f t="shared" si="11"/>
        <v>278637918.46056712</v>
      </c>
      <c r="Y20" s="15">
        <f t="shared" si="12"/>
        <v>11186.196353869793</v>
      </c>
      <c r="Z20" s="14">
        <f t="shared" si="7"/>
        <v>6.9431272399088861E-2</v>
      </c>
      <c r="AA20" s="14">
        <f t="shared" si="13"/>
        <v>1.8369625390914468E-2</v>
      </c>
      <c r="AB20" s="80">
        <v>1</v>
      </c>
      <c r="AC20" s="11">
        <f t="shared" si="14"/>
        <v>14662.522607501089</v>
      </c>
    </row>
    <row r="21" spans="1:29" ht="18.75" customHeight="1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19">
        <f>IFERROR(VLOOKUP(A21,'Variable Input'!$1:$1048576,6,FALSE),0)</f>
        <v>693070351.52284181</v>
      </c>
      <c r="E21" s="19">
        <f t="shared" si="0"/>
        <v>14499.370422762127</v>
      </c>
      <c r="F21" s="19">
        <f>IFERROR(VLOOKUP(A21,'Drug Overhead'!$1:$1048576,13,FALSE)*VLOOKUP(A21,Volume!A:K,11,FALSE),0)</f>
        <v>19281870.825420387</v>
      </c>
      <c r="G21" s="19">
        <f t="shared" si="1"/>
        <v>712352222.34826219</v>
      </c>
      <c r="H21" s="19">
        <f t="shared" si="8"/>
        <v>14902.756582518243</v>
      </c>
      <c r="I21" s="36">
        <f>VLOOKUP(A21,'Variable Input'!$1:$1048576,8,FALSE)</f>
        <v>1.1086069567461017</v>
      </c>
      <c r="J21" s="19">
        <f t="shared" si="2"/>
        <v>642565174.26077127</v>
      </c>
      <c r="K21" s="63">
        <f>IFERROR(J21*(1-VLOOKUP(A21,PROFIT!$A$1:$IT$65527,7,FALSE)),J21)</f>
        <v>611619103.033692</v>
      </c>
      <c r="L21" s="19">
        <f>IFERROR(VLOOKUP(A21,'Variable Input'!$1:$1048576,26,FALSE)*VLOOKUP(A21,Volume!A:K,11,FALSE),0)</f>
        <v>6692185.3853537869</v>
      </c>
      <c r="M21" s="22">
        <f t="shared" si="3"/>
        <v>604926917.6483382</v>
      </c>
      <c r="N21" s="36">
        <f>VLOOKUP(A21,'Variable Input'!$1:$1048576,23,FALSE)</f>
        <v>0.99671861092415948</v>
      </c>
      <c r="O21" s="22">
        <f t="shared" si="4"/>
        <v>606918453.23069549</v>
      </c>
      <c r="P21" s="27">
        <f>IFERROR(VLOOKUP(A21,'Variable Input'!$1:$1048576,7,FALSE),0)</f>
        <v>47800.030712699874</v>
      </c>
      <c r="Q21" s="18">
        <f t="shared" si="5"/>
        <v>12697.030612355753</v>
      </c>
      <c r="R21" s="18">
        <f t="shared" si="6"/>
        <v>606918453.23069549</v>
      </c>
      <c r="S21" s="20">
        <f>IFERROR(VLOOKUP(A21,RESCMAD!$1:$1048576,8,FALSE),0)</f>
        <v>1.1527189246211215E-3</v>
      </c>
      <c r="T21" s="19">
        <f>IF(C21=5,(S21*P21)*IME!$M$7,(S21*P21)*IME!$M$8)</f>
        <v>7268839.7845613202</v>
      </c>
      <c r="U21" s="19">
        <f>IFERROR(VLOOKUP(A21,'DSH (Cumulative)'!$1:$1048576,12,FALSE)*P21*'DSH (Cumulative)'!$AB$2,0)</f>
        <v>83820667.717318162</v>
      </c>
      <c r="V21" s="22">
        <f t="shared" si="9"/>
        <v>599649613.44613421</v>
      </c>
      <c r="W21" s="17">
        <f t="shared" si="10"/>
        <v>-1.1976633344839671E-2</v>
      </c>
      <c r="X21" s="19">
        <f t="shared" si="11"/>
        <v>515828945.72881603</v>
      </c>
      <c r="Y21" s="15">
        <f t="shared" si="12"/>
        <v>10791.393604518473</v>
      </c>
      <c r="Z21" s="14">
        <f t="shared" si="7"/>
        <v>3.1687038950211521E-2</v>
      </c>
      <c r="AA21" s="14">
        <f t="shared" si="13"/>
        <v>-1.7572451365240327E-2</v>
      </c>
      <c r="AB21" s="80">
        <v>1</v>
      </c>
      <c r="AC21" s="11">
        <f t="shared" si="14"/>
        <v>14185.03675399969</v>
      </c>
    </row>
    <row r="22" spans="1:29" ht="18.75" customHeight="1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19">
        <f>IFERROR(VLOOKUP(A22,'Variable Input'!$1:$1048576,6,FALSE),0)</f>
        <v>481457430.39623797</v>
      </c>
      <c r="E22" s="19">
        <f t="shared" si="0"/>
        <v>17832.24417168623</v>
      </c>
      <c r="F22" s="19">
        <f>IFERROR(VLOOKUP(A22,'Drug Overhead'!$1:$1048576,13,FALSE)*VLOOKUP(A22,Volume!A:K,11,FALSE),0)</f>
        <v>139248.72459896962</v>
      </c>
      <c r="G22" s="19">
        <f t="shared" si="1"/>
        <v>481596679.12083691</v>
      </c>
      <c r="H22" s="19">
        <f t="shared" si="8"/>
        <v>17837.401672850145</v>
      </c>
      <c r="I22" s="36">
        <f>VLOOKUP(A22,'Variable Input'!$1:$1048576,8,FALSE)</f>
        <v>1.1223202362274129</v>
      </c>
      <c r="J22" s="19">
        <f t="shared" si="2"/>
        <v>429108077.69062823</v>
      </c>
      <c r="K22" s="63">
        <f>IFERROR(J22*(1-VLOOKUP(A22,PROFIT!$A$1:$IT$65527,7,FALSE)),J22)</f>
        <v>410123688.55888373</v>
      </c>
      <c r="L22" s="19">
        <f>IFERROR(VLOOKUP(A22,'Variable Input'!$1:$1048576,26,FALSE)*VLOOKUP(A22,Volume!A:K,11,FALSE),0)</f>
        <v>12196844.09297953</v>
      </c>
      <c r="M22" s="22">
        <f t="shared" si="3"/>
        <v>397926844.46590418</v>
      </c>
      <c r="N22" s="36">
        <f>VLOOKUP(A22,'Variable Input'!$1:$1048576,23,FALSE)</f>
        <v>0.99671861092415948</v>
      </c>
      <c r="O22" s="22">
        <f t="shared" si="4"/>
        <v>399236896.05529249</v>
      </c>
      <c r="P22" s="27">
        <f>IFERROR(VLOOKUP(A22,'Variable Input'!$1:$1048576,7,FALSE),0)</f>
        <v>26999.26188542712</v>
      </c>
      <c r="Q22" s="18">
        <f t="shared" si="5"/>
        <v>14786.955945294972</v>
      </c>
      <c r="R22" s="18">
        <f t="shared" si="6"/>
        <v>399236896.05529249</v>
      </c>
      <c r="S22" s="20">
        <f>IFERROR(VLOOKUP(A22,RESCMAD!$1:$1048576,8,FALSE),0)</f>
        <v>3.2593483619453344E-3</v>
      </c>
      <c r="T22" s="19">
        <f>IF(C22=5,(S22*P22)*IME!$M$7,(S22*P22)*IME!$M$8)</f>
        <v>11609036.316540768</v>
      </c>
      <c r="U22" s="19">
        <f>IFERROR(VLOOKUP(A22,'DSH (Cumulative)'!$1:$1048576,12,FALSE)*P22*'DSH (Cumulative)'!$AB$2,0)</f>
        <v>88523347.724761173</v>
      </c>
      <c r="V22" s="22">
        <f t="shared" si="9"/>
        <v>387627859.73875171</v>
      </c>
      <c r="W22" s="17">
        <f t="shared" si="10"/>
        <v>-2.90780647561516E-2</v>
      </c>
      <c r="X22" s="19">
        <f t="shared" si="11"/>
        <v>299104512.01399052</v>
      </c>
      <c r="Y22" s="15">
        <f t="shared" si="12"/>
        <v>11078.247741855213</v>
      </c>
      <c r="Z22" s="14">
        <f t="shared" si="7"/>
        <v>5.9111086891123099E-2</v>
      </c>
      <c r="AA22" s="14">
        <f t="shared" si="13"/>
        <v>8.5421930715519068E-3</v>
      </c>
      <c r="AB22" s="80">
        <v>1</v>
      </c>
      <c r="AC22" s="11">
        <f t="shared" si="14"/>
        <v>17048.248095786144</v>
      </c>
    </row>
    <row r="23" spans="1:29" ht="18.75" customHeight="1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19">
        <f>IFERROR(VLOOKUP(A23,'Variable Input'!$1:$1048576,6,FALSE),0)</f>
        <v>329427490.80074435</v>
      </c>
      <c r="E23" s="19">
        <f t="shared" si="0"/>
        <v>14516.840497752677</v>
      </c>
      <c r="F23" s="19">
        <f>IFERROR(VLOOKUP(A23,'Drug Overhead'!$1:$1048576,13,FALSE)*VLOOKUP(A23,Volume!A:K,11,FALSE),0)</f>
        <v>17499647.620706905</v>
      </c>
      <c r="G23" s="19">
        <f t="shared" si="1"/>
        <v>346927138.42145127</v>
      </c>
      <c r="H23" s="19">
        <f t="shared" si="8"/>
        <v>15287.995305322567</v>
      </c>
      <c r="I23" s="36">
        <f>VLOOKUP(A23,'Variable Input'!$1:$1048576,8,FALSE)</f>
        <v>1.1268001645719641</v>
      </c>
      <c r="J23" s="19">
        <f t="shared" si="2"/>
        <v>307887014.33429235</v>
      </c>
      <c r="K23" s="63">
        <f>IFERROR(J23*(1-VLOOKUP(A23,PROFIT!$A$1:$IT$65527,7,FALSE)),J23)</f>
        <v>235287223.58022779</v>
      </c>
      <c r="L23" s="19">
        <f>IFERROR(VLOOKUP(A23,'Variable Input'!$1:$1048576,26,FALSE)*VLOOKUP(A23,Volume!A:K,11,FALSE),0)</f>
        <v>1887638.9011087576</v>
      </c>
      <c r="M23" s="22">
        <f t="shared" si="3"/>
        <v>233399584.67911902</v>
      </c>
      <c r="N23" s="36">
        <f>VLOOKUP(A23,'Variable Input'!$1:$1048576,23,FALSE)</f>
        <v>0.99671861092415948</v>
      </c>
      <c r="O23" s="22">
        <f t="shared" si="4"/>
        <v>234167980.93366638</v>
      </c>
      <c r="P23" s="27">
        <f>IFERROR(VLOOKUP(A23,'Variable Input'!$1:$1048576,7,FALSE),0)</f>
        <v>22692.781590576982</v>
      </c>
      <c r="Q23" s="18">
        <f t="shared" si="5"/>
        <v>10319.051456913638</v>
      </c>
      <c r="R23" s="18">
        <f t="shared" si="6"/>
        <v>234167980.93366638</v>
      </c>
      <c r="S23" s="20">
        <f>IFERROR(VLOOKUP(A23,RESCMAD!$1:$1048576,8,FALSE),0)</f>
        <v>0</v>
      </c>
      <c r="T23" s="19">
        <f>IF(C23=5,(S23*P23)*IME!$M$7,(S23*P23)*IME!$M$8)</f>
        <v>0</v>
      </c>
      <c r="U23" s="19">
        <f>IFERROR(VLOOKUP(A23,'DSH (Cumulative)'!$1:$1048576,12,FALSE)*P23*'DSH (Cumulative)'!$AB$2,0)</f>
        <v>57922655.895022668</v>
      </c>
      <c r="V23" s="22">
        <f t="shared" si="9"/>
        <v>234167980.93366638</v>
      </c>
      <c r="W23" s="17">
        <f t="shared" si="10"/>
        <v>0</v>
      </c>
      <c r="X23" s="19">
        <f t="shared" si="11"/>
        <v>176245325.03864372</v>
      </c>
      <c r="Y23" s="15">
        <f t="shared" si="12"/>
        <v>7766.580942718294</v>
      </c>
      <c r="Z23" s="14">
        <f t="shared" si="7"/>
        <v>-0.25749340731996062</v>
      </c>
      <c r="AA23" s="14">
        <f t="shared" si="13"/>
        <v>-0.29294553081324293</v>
      </c>
      <c r="AB23" s="80">
        <v>1</v>
      </c>
      <c r="AC23" s="11">
        <f t="shared" si="14"/>
        <v>11683.084384946933</v>
      </c>
    </row>
    <row r="24" spans="1:29" ht="18.75" customHeight="1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19">
        <f>IFERROR(VLOOKUP(A24,'Variable Input'!$1:$1048576,6,FALSE),0)</f>
        <v>202378391.95282602</v>
      </c>
      <c r="E24" s="19">
        <f t="shared" si="0"/>
        <v>13792.969808492455</v>
      </c>
      <c r="F24" s="19">
        <f>IFERROR(VLOOKUP(A24,'Drug Overhead'!$1:$1048576,13,FALSE)*VLOOKUP(A24,Volume!A:K,11,FALSE),0)</f>
        <v>5855854.2044779686</v>
      </c>
      <c r="G24" s="19">
        <f t="shared" si="1"/>
        <v>208234246.15730399</v>
      </c>
      <c r="H24" s="19">
        <f t="shared" si="8"/>
        <v>14192.071804836636</v>
      </c>
      <c r="I24" s="36">
        <f>VLOOKUP(A24,'Variable Input'!$1:$1048576,8,FALSE)</f>
        <v>1.1136722213908725</v>
      </c>
      <c r="J24" s="19">
        <f t="shared" si="2"/>
        <v>186979833.16602695</v>
      </c>
      <c r="K24" s="63">
        <f>IFERROR(J24*(1-VLOOKUP(A24,PROFIT!$A$1:$IT$65527,7,FALSE)),J24)</f>
        <v>162538392.84462202</v>
      </c>
      <c r="L24" s="19">
        <f>IFERROR(VLOOKUP(A24,'Variable Input'!$1:$1048576,26,FALSE)*VLOOKUP(A24,Volume!A:K,11,FALSE),0)</f>
        <v>0</v>
      </c>
      <c r="M24" s="22">
        <f t="shared" si="3"/>
        <v>162538392.84462202</v>
      </c>
      <c r="N24" s="36">
        <f>VLOOKUP(A24,'Variable Input'!$1:$1048576,23,FALSE)</f>
        <v>0.99671861092415948</v>
      </c>
      <c r="O24" s="22">
        <f t="shared" si="4"/>
        <v>163073500.44754967</v>
      </c>
      <c r="P24" s="27">
        <f>IFERROR(VLOOKUP(A24,'Variable Input'!$1:$1048576,7,FALSE),0)</f>
        <v>14672.575577466996</v>
      </c>
      <c r="Q24" s="18">
        <f t="shared" si="5"/>
        <v>11114.170077814102</v>
      </c>
      <c r="R24" s="18">
        <f t="shared" si="6"/>
        <v>163073500.44754967</v>
      </c>
      <c r="S24" s="20">
        <f>IFERROR(VLOOKUP(A24,RESCMAD!$1:$1048576,8,FALSE),0)</f>
        <v>0</v>
      </c>
      <c r="T24" s="19">
        <f>IF(C24=5,(S24*P24)*IME!$M$7,(S24*P24)*IME!$M$8)</f>
        <v>0</v>
      </c>
      <c r="U24" s="19">
        <f>IFERROR(VLOOKUP(A24,'DSH (Cumulative)'!$1:$1048576,12,FALSE)*P24*'DSH (Cumulative)'!$AB$2,0)</f>
        <v>40280021.861881152</v>
      </c>
      <c r="V24" s="22">
        <f t="shared" si="9"/>
        <v>163073500.44754967</v>
      </c>
      <c r="W24" s="17">
        <f t="shared" si="10"/>
        <v>0</v>
      </c>
      <c r="X24" s="19">
        <f t="shared" si="11"/>
        <v>122793478.58566852</v>
      </c>
      <c r="Y24" s="15">
        <f t="shared" si="12"/>
        <v>8368.9109616341138</v>
      </c>
      <c r="Z24" s="14">
        <f t="shared" si="7"/>
        <v>-0.19990899362330017</v>
      </c>
      <c r="AA24" s="14">
        <f t="shared" si="13"/>
        <v>-0.23811057384301182</v>
      </c>
      <c r="AB24" s="80">
        <v>1</v>
      </c>
      <c r="AC24" s="11">
        <f t="shared" si="14"/>
        <v>12336.926946797299</v>
      </c>
    </row>
    <row r="25" spans="1:29" ht="18.75" customHeight="1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19">
        <f>IFERROR(VLOOKUP(A25,'Variable Input'!$1:$1048576,6,FALSE),0)</f>
        <v>685641223.73208022</v>
      </c>
      <c r="E25" s="19">
        <f t="shared" si="0"/>
        <v>19291.665494546265</v>
      </c>
      <c r="F25" s="19">
        <f>IFERROR(VLOOKUP(A25,'Drug Overhead'!$1:$1048576,13,FALSE)*VLOOKUP(A25,Volume!A:K,11,FALSE),0)</f>
        <v>28922398.799876198</v>
      </c>
      <c r="G25" s="19">
        <f t="shared" si="1"/>
        <v>714563622.53195643</v>
      </c>
      <c r="H25" s="19">
        <f t="shared" si="8"/>
        <v>20105.44568108462</v>
      </c>
      <c r="I25" s="36">
        <f>VLOOKUP(A25,'Variable Input'!$1:$1048576,8,FALSE)</f>
        <v>1.1160480491569686</v>
      </c>
      <c r="J25" s="19">
        <f t="shared" si="2"/>
        <v>640262417.97718096</v>
      </c>
      <c r="K25" s="63">
        <f>IFERROR(J25*(1-VLOOKUP(A25,PROFIT!$A$1:$IT$65527,7,FALSE)),J25)</f>
        <v>649367261.8051877</v>
      </c>
      <c r="L25" s="19">
        <f>IFERROR(VLOOKUP(A25,'Variable Input'!$1:$1048576,26,FALSE)*VLOOKUP(A25,Volume!A:K,11,FALSE),0)</f>
        <v>27476780.845164478</v>
      </c>
      <c r="M25" s="22">
        <f t="shared" si="3"/>
        <v>621890480.96002316</v>
      </c>
      <c r="N25" s="36">
        <f>VLOOKUP(A25,'Variable Input'!$1:$1048576,23,FALSE)</f>
        <v>0.99671861092415948</v>
      </c>
      <c r="O25" s="22">
        <f t="shared" si="4"/>
        <v>623937863.8504653</v>
      </c>
      <c r="P25" s="27">
        <f>IFERROR(VLOOKUP(A25,'Variable Input'!$1:$1048576,7,FALSE),0)</f>
        <v>35540.799933832066</v>
      </c>
      <c r="Q25" s="18">
        <f t="shared" si="5"/>
        <v>17555.53800173544</v>
      </c>
      <c r="R25" s="18">
        <f t="shared" si="6"/>
        <v>623937863.8504653</v>
      </c>
      <c r="S25" s="20">
        <f>IFERROR(VLOOKUP(A25,RESCMAD!$1:$1048576,8,FALSE),0)</f>
        <v>3.9704286039970822E-3</v>
      </c>
      <c r="T25" s="19">
        <f>IF(C25=5,(S25*P25)*IME!$M$7,(S25*P25)*IME!$M$8)</f>
        <v>18615644.944471348</v>
      </c>
      <c r="U25" s="19">
        <f>IFERROR(VLOOKUP(A25,'DSH (Cumulative)'!$1:$1048576,12,FALSE)*P25*'DSH (Cumulative)'!$AB$2,0)</f>
        <v>118737638.31727661</v>
      </c>
      <c r="V25" s="22">
        <f t="shared" si="9"/>
        <v>605322218.90599394</v>
      </c>
      <c r="W25" s="17">
        <f t="shared" si="10"/>
        <v>-2.98357352919566E-2</v>
      </c>
      <c r="X25" s="19">
        <f t="shared" si="11"/>
        <v>486584580.58871734</v>
      </c>
      <c r="Y25" s="15">
        <f t="shared" si="12"/>
        <v>13690.873066858769</v>
      </c>
      <c r="Z25" s="14">
        <f t="shared" si="7"/>
        <v>0.30888528512912017</v>
      </c>
      <c r="AA25" s="14">
        <f t="shared" si="13"/>
        <v>0.24639053663207444</v>
      </c>
      <c r="AB25" s="80">
        <v>1</v>
      </c>
      <c r="AC25" s="11">
        <f t="shared" si="14"/>
        <v>20391.354923730923</v>
      </c>
    </row>
    <row r="26" spans="1:29" ht="18.75" customHeight="1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19">
        <f>IFERROR(VLOOKUP(A26,'Variable Input'!$1:$1048576,6,FALSE),0)</f>
        <v>53234979.529182494</v>
      </c>
      <c r="E26" s="19">
        <f t="shared" si="0"/>
        <v>24473.330521606676</v>
      </c>
      <c r="F26" s="19">
        <f>IFERROR(VLOOKUP(A26,'Drug Overhead'!$1:$1048576,13,FALSE)*VLOOKUP(A26,Volume!A:K,11,FALSE),0)</f>
        <v>651882.57016616105</v>
      </c>
      <c r="G26" s="19">
        <f t="shared" si="1"/>
        <v>53886862.099348657</v>
      </c>
      <c r="H26" s="19">
        <f t="shared" si="8"/>
        <v>24773.015761312749</v>
      </c>
      <c r="I26" s="36">
        <f>VLOOKUP(A26,'Variable Input'!$1:$1048576,8,FALSE)</f>
        <v>1.1237498376689119</v>
      </c>
      <c r="J26" s="19">
        <f t="shared" si="2"/>
        <v>47952720.697277851</v>
      </c>
      <c r="K26" s="63">
        <f>IFERROR(J26*(1-VLOOKUP(A26,PROFIT!$A$1:$IT$65527,7,FALSE)),J26)</f>
        <v>35431861.70133616</v>
      </c>
      <c r="L26" s="19">
        <f>IFERROR(VLOOKUP(A26,'Variable Input'!$1:$1048576,26,FALSE)*VLOOKUP(A26,Volume!A:K,11,FALSE),0)</f>
        <v>208535.14400062207</v>
      </c>
      <c r="M26" s="22">
        <f t="shared" si="3"/>
        <v>35223326.557335541</v>
      </c>
      <c r="N26" s="36">
        <f>VLOOKUP(A26,'Variable Input'!$1:$1048576,23,FALSE)</f>
        <v>0.99671861092415948</v>
      </c>
      <c r="O26" s="22">
        <f t="shared" si="4"/>
        <v>35339288.512608789</v>
      </c>
      <c r="P26" s="27">
        <f>IFERROR(VLOOKUP(A26,'Variable Input'!$1:$1048576,7,FALSE),0)</f>
        <v>2175.2241478610003</v>
      </c>
      <c r="Q26" s="18">
        <f t="shared" si="5"/>
        <v>16246.274457443646</v>
      </c>
      <c r="R26" s="18">
        <f t="shared" si="6"/>
        <v>35339288.512608789</v>
      </c>
      <c r="S26" s="20">
        <f>IFERROR(VLOOKUP(A26,RESCMAD!$1:$1048576,8,FALSE),0)</f>
        <v>0</v>
      </c>
      <c r="T26" s="19">
        <f>IF(C26=5,(S26*P26)*IME!$M$7,(S26*P26)*IME!$M$8)</f>
        <v>0</v>
      </c>
      <c r="U26" s="19">
        <f>IFERROR(VLOOKUP(A26,'DSH (Cumulative)'!$1:$1048576,12,FALSE)*P26*'DSH (Cumulative)'!$AB$2,0)</f>
        <v>6672454.1247779513</v>
      </c>
      <c r="V26" s="22">
        <f t="shared" si="9"/>
        <v>35339288.512608789</v>
      </c>
      <c r="W26" s="17">
        <f t="shared" si="10"/>
        <v>0</v>
      </c>
      <c r="X26" s="19">
        <f t="shared" si="11"/>
        <v>28666834.387830839</v>
      </c>
      <c r="Y26" s="15">
        <f t="shared" si="12"/>
        <v>13178.795581145179</v>
      </c>
      <c r="Z26" s="14">
        <f t="shared" si="7"/>
        <v>0.2599292629219685</v>
      </c>
      <c r="AA26" s="14">
        <f t="shared" si="13"/>
        <v>0.19977199527982403</v>
      </c>
      <c r="AB26" s="80">
        <v>1</v>
      </c>
      <c r="AC26" s="11">
        <f t="shared" si="14"/>
        <v>18304.572829580491</v>
      </c>
    </row>
    <row r="27" spans="1:29" ht="18.75" customHeight="1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19">
        <f>IFERROR(VLOOKUP(A27,'Variable Input'!$1:$1048576,6,FALSE),0)</f>
        <v>181246617.1663484</v>
      </c>
      <c r="E27" s="19">
        <f t="shared" si="0"/>
        <v>16587.900225049387</v>
      </c>
      <c r="F27" s="19">
        <f>IFERROR(VLOOKUP(A27,'Drug Overhead'!$1:$1048576,13,FALSE)*VLOOKUP(A27,Volume!A:K,11,FALSE),0)</f>
        <v>7129566.6825071555</v>
      </c>
      <c r="G27" s="19">
        <f t="shared" si="1"/>
        <v>188376183.84885556</v>
      </c>
      <c r="H27" s="19">
        <f t="shared" si="8"/>
        <v>17240.406421447642</v>
      </c>
      <c r="I27" s="36">
        <f>VLOOKUP(A27,'Variable Input'!$1:$1048576,8,FALSE)</f>
        <v>1.1182795268578634</v>
      </c>
      <c r="J27" s="19">
        <f t="shared" si="2"/>
        <v>168451786.27042747</v>
      </c>
      <c r="K27" s="63">
        <f>IFERROR(J27*(1-VLOOKUP(A27,PROFIT!$A$1:$IT$65527,7,FALSE)),J27)</f>
        <v>179818623.82439294</v>
      </c>
      <c r="L27" s="19">
        <f>IFERROR(VLOOKUP(A27,'Variable Input'!$1:$1048576,26,FALSE)*VLOOKUP(A27,Volume!A:K,11,FALSE),0)</f>
        <v>0</v>
      </c>
      <c r="M27" s="22">
        <f t="shared" si="3"/>
        <v>179818623.82439294</v>
      </c>
      <c r="N27" s="36">
        <f>VLOOKUP(A27,'Variable Input'!$1:$1048576,23,FALSE)</f>
        <v>0.99671861092415948</v>
      </c>
      <c r="O27" s="22">
        <f t="shared" si="4"/>
        <v>180410621.26618138</v>
      </c>
      <c r="P27" s="27">
        <f>IFERROR(VLOOKUP(A27,'Variable Input'!$1:$1048576,7,FALSE),0)</f>
        <v>10926.435215269013</v>
      </c>
      <c r="Q27" s="18">
        <f t="shared" si="5"/>
        <v>16511.388912466966</v>
      </c>
      <c r="R27" s="18">
        <f t="shared" si="6"/>
        <v>180410621.26618141</v>
      </c>
      <c r="S27" s="20">
        <f>IFERROR(VLOOKUP(A27,RESCMAD!$1:$1048576,8,FALSE),0)</f>
        <v>0</v>
      </c>
      <c r="T27" s="19">
        <f>IF(C27=5,(S27*P27)*IME!$M$7,(S27*P27)*IME!$M$8)</f>
        <v>0</v>
      </c>
      <c r="U27" s="19">
        <f>IFERROR(VLOOKUP(A27,'DSH (Cumulative)'!$1:$1048576,12,FALSE)*P27*'DSH (Cumulative)'!$AB$2,0)</f>
        <v>31988354.928923748</v>
      </c>
      <c r="V27" s="22">
        <f t="shared" si="9"/>
        <v>180410621.26618141</v>
      </c>
      <c r="W27" s="17">
        <f t="shared" si="10"/>
        <v>0</v>
      </c>
      <c r="X27" s="19">
        <f t="shared" si="11"/>
        <v>148422266.33725765</v>
      </c>
      <c r="Y27" s="15">
        <f t="shared" si="12"/>
        <v>13583.777637728248</v>
      </c>
      <c r="Z27" s="14">
        <f t="shared" si="7"/>
        <v>0.29864666626171954</v>
      </c>
      <c r="AA27" s="14">
        <f t="shared" si="13"/>
        <v>0.23664077642810666</v>
      </c>
      <c r="AB27" s="80">
        <v>1</v>
      </c>
      <c r="AC27" s="11">
        <f t="shared" si="14"/>
        <v>18403.759470386736</v>
      </c>
    </row>
    <row r="28" spans="1:29" ht="18.75" customHeight="1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19">
        <f>IFERROR(VLOOKUP(A28,'Variable Input'!$1:$1048576,6,FALSE),0)</f>
        <v>270049679.90851074</v>
      </c>
      <c r="E28" s="19">
        <f t="shared" si="0"/>
        <v>16403.553344564752</v>
      </c>
      <c r="F28" s="19">
        <f>IFERROR(VLOOKUP(A28,'Drug Overhead'!$1:$1048576,13,FALSE)*VLOOKUP(A28,Volume!A:K,11,FALSE),0)</f>
        <v>78073.698709112286</v>
      </c>
      <c r="G28" s="19">
        <f t="shared" si="1"/>
        <v>270127753.60721987</v>
      </c>
      <c r="H28" s="19">
        <f t="shared" si="8"/>
        <v>16408.295753746712</v>
      </c>
      <c r="I28" s="36">
        <f>VLOOKUP(A28,'Variable Input'!$1:$1048576,8,FALSE)</f>
        <v>1.1165021686409196</v>
      </c>
      <c r="J28" s="19">
        <f t="shared" si="2"/>
        <v>241941091.73655909</v>
      </c>
      <c r="K28" s="63">
        <f>IFERROR(J28*(1-VLOOKUP(A28,PROFIT!$A$1:$IT$65527,7,FALSE)),J28)</f>
        <v>217399485.68625996</v>
      </c>
      <c r="L28" s="19">
        <f>IFERROR(VLOOKUP(A28,'Variable Input'!$1:$1048576,26,FALSE)*VLOOKUP(A28,Volume!A:K,11,FALSE),0)</f>
        <v>0</v>
      </c>
      <c r="M28" s="22">
        <f t="shared" si="3"/>
        <v>217399485.68625996</v>
      </c>
      <c r="N28" s="36">
        <f>VLOOKUP(A28,'Variable Input'!$1:$1048576,23,FALSE)</f>
        <v>0.99671861092415948</v>
      </c>
      <c r="O28" s="22">
        <f t="shared" si="4"/>
        <v>218115206.54228249</v>
      </c>
      <c r="P28" s="27">
        <f>IFERROR(VLOOKUP(A28,'Variable Input'!$1:$1048576,7,FALSE),0)</f>
        <v>16462.876928917998</v>
      </c>
      <c r="Q28" s="18">
        <f t="shared" si="5"/>
        <v>13248.911929794633</v>
      </c>
      <c r="R28" s="18">
        <f t="shared" si="6"/>
        <v>218115206.54228249</v>
      </c>
      <c r="S28" s="20">
        <f>IFERROR(VLOOKUP(A28,RESCMAD!$1:$1048576,8,FALSE),0)</f>
        <v>0</v>
      </c>
      <c r="T28" s="19">
        <f>IF(C28=5,(S28*P28)*IME!$M$7,(S28*P28)*IME!$M$8)</f>
        <v>0</v>
      </c>
      <c r="U28" s="19">
        <f>IFERROR(VLOOKUP(A28,'DSH (Cumulative)'!$1:$1048576,12,FALSE)*P28*'DSH (Cumulative)'!$AB$2,0)</f>
        <v>35972938.205037512</v>
      </c>
      <c r="V28" s="22">
        <f t="shared" si="9"/>
        <v>218115206.54228249</v>
      </c>
      <c r="W28" s="17">
        <f t="shared" si="10"/>
        <v>0</v>
      </c>
      <c r="X28" s="19">
        <f t="shared" si="11"/>
        <v>182142268.33724499</v>
      </c>
      <c r="Y28" s="15">
        <f t="shared" si="12"/>
        <v>11063.817650079223</v>
      </c>
      <c r="Z28" s="14">
        <f t="shared" si="7"/>
        <v>5.7731530255368702E-2</v>
      </c>
      <c r="AA28" s="14">
        <f t="shared" si="13"/>
        <v>7.2285054970271378E-3</v>
      </c>
      <c r="AB28" s="80">
        <v>1</v>
      </c>
      <c r="AC28" s="11">
        <f t="shared" si="14"/>
        <v>14743.899154331022</v>
      </c>
    </row>
    <row r="29" spans="1:29" ht="18.75" customHeight="1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19">
        <f>IFERROR(VLOOKUP(A29,'Variable Input'!$1:$1048576,6,FALSE),0)</f>
        <v>206716555.07597718</v>
      </c>
      <c r="E29" s="19">
        <f t="shared" si="0"/>
        <v>17763.582661553013</v>
      </c>
      <c r="F29" s="19">
        <f>IFERROR(VLOOKUP(A29,'Drug Overhead'!$1:$1048576,13,FALSE)*VLOOKUP(A29,Volume!A:K,11,FALSE),0)</f>
        <v>992166.17183211725</v>
      </c>
      <c r="G29" s="19">
        <f t="shared" si="1"/>
        <v>207708721.24780929</v>
      </c>
      <c r="H29" s="19">
        <f t="shared" si="8"/>
        <v>17848.841560149009</v>
      </c>
      <c r="I29" s="36">
        <f>VLOOKUP(A29,'Variable Input'!$1:$1048576,8,FALSE)</f>
        <v>1.1252449607173489</v>
      </c>
      <c r="J29" s="19">
        <f t="shared" si="2"/>
        <v>184589781.33560714</v>
      </c>
      <c r="K29" s="63">
        <f>IFERROR(J29*(1-VLOOKUP(A29,PROFIT!$A$1:$IT$65527,7,FALSE)),J29)</f>
        <v>171771761.9475241</v>
      </c>
      <c r="L29" s="19">
        <f>IFERROR(VLOOKUP(A29,'Variable Input'!$1:$1048576,26,FALSE)*VLOOKUP(A29,Volume!A:K,11,FALSE),0)</f>
        <v>2578337.9692581748</v>
      </c>
      <c r="M29" s="22">
        <f t="shared" si="3"/>
        <v>169193423.97826591</v>
      </c>
      <c r="N29" s="36">
        <f>VLOOKUP(A29,'Variable Input'!$1:$1048576,23,FALSE)</f>
        <v>0.99671861092415948</v>
      </c>
      <c r="O29" s="22">
        <f t="shared" si="4"/>
        <v>169750441.22170994</v>
      </c>
      <c r="P29" s="27">
        <f>IFERROR(VLOOKUP(A29,'Variable Input'!$1:$1048576,7,FALSE),0)</f>
        <v>11637.098158323013</v>
      </c>
      <c r="Q29" s="18">
        <f t="shared" si="5"/>
        <v>14587.007767078263</v>
      </c>
      <c r="R29" s="18">
        <f t="shared" si="6"/>
        <v>169750441.22170994</v>
      </c>
      <c r="S29" s="20">
        <f>IFERROR(VLOOKUP(A29,RESCMAD!$1:$1048576,8,FALSE),0)</f>
        <v>1.6630799529427725E-3</v>
      </c>
      <c r="T29" s="19">
        <f>IF(C29=5,(S29*P29)*IME!$M$7,(S29*P29)*IME!$M$8)</f>
        <v>2553120.5647585327</v>
      </c>
      <c r="U29" s="19">
        <f>IFERROR(VLOOKUP(A29,'DSH (Cumulative)'!$1:$1048576,12,FALSE)*P29*'DSH (Cumulative)'!$AB$2,0)</f>
        <v>57923018.661138967</v>
      </c>
      <c r="V29" s="22">
        <f t="shared" si="9"/>
        <v>167197320.6569514</v>
      </c>
      <c r="W29" s="17">
        <f t="shared" si="10"/>
        <v>-1.504043551453238E-2</v>
      </c>
      <c r="X29" s="19">
        <f t="shared" si="11"/>
        <v>109274301.99581243</v>
      </c>
      <c r="Y29" s="15">
        <f t="shared" si="12"/>
        <v>9390.1675923956991</v>
      </c>
      <c r="Z29" s="14">
        <f t="shared" si="7"/>
        <v>-0.10227403858306061</v>
      </c>
      <c r="AA29" s="14">
        <f t="shared" si="13"/>
        <v>-0.14513735045266107</v>
      </c>
      <c r="AB29" s="80">
        <v>1</v>
      </c>
      <c r="AC29" s="11">
        <f t="shared" si="14"/>
        <v>16609.40785196963</v>
      </c>
    </row>
    <row r="30" spans="1:29" ht="18.75" customHeight="1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19">
        <f>IFERROR(VLOOKUP(A30,'Variable Input'!$1:$1048576,6,FALSE),0)</f>
        <v>178231569.15377906</v>
      </c>
      <c r="E30" s="19">
        <f t="shared" si="0"/>
        <v>14688.478782692586</v>
      </c>
      <c r="F30" s="19">
        <f>IFERROR(VLOOKUP(A30,'Drug Overhead'!$1:$1048576,13,FALSE)*VLOOKUP(A30,Volume!A:K,11,FALSE),0)</f>
        <v>515241.87752241391</v>
      </c>
      <c r="G30" s="19">
        <f t="shared" si="1"/>
        <v>178746811.03130147</v>
      </c>
      <c r="H30" s="19">
        <f t="shared" si="8"/>
        <v>14730.941066012398</v>
      </c>
      <c r="I30" s="36">
        <f>VLOOKUP(A30,'Variable Input'!$1:$1048576,8,FALSE)</f>
        <v>1.1148847928711076</v>
      </c>
      <c r="J30" s="19">
        <f t="shared" si="2"/>
        <v>160327607.09829366</v>
      </c>
      <c r="K30" s="63">
        <f>IFERROR(J30*(1-VLOOKUP(A30,PROFIT!$A$1:$IT$65527,7,FALSE)),J30)</f>
        <v>149692071.88455075</v>
      </c>
      <c r="L30" s="19">
        <f>IFERROR(VLOOKUP(A30,'Variable Input'!$1:$1048576,26,FALSE)*VLOOKUP(A30,Volume!A:K,11,FALSE),0)</f>
        <v>0</v>
      </c>
      <c r="M30" s="22">
        <f t="shared" si="3"/>
        <v>149692071.88455075</v>
      </c>
      <c r="N30" s="36">
        <f>VLOOKUP(A30,'Variable Input'!$1:$1048576,23,FALSE)</f>
        <v>0.99671861092415948</v>
      </c>
      <c r="O30" s="22">
        <f t="shared" si="4"/>
        <v>150184886.93188539</v>
      </c>
      <c r="P30" s="27">
        <f>IFERROR(VLOOKUP(A30,'Variable Input'!$1:$1048576,7,FALSE),0)</f>
        <v>12134.106723412984</v>
      </c>
      <c r="Q30" s="18">
        <f t="shared" si="5"/>
        <v>12377.086369456507</v>
      </c>
      <c r="R30" s="18">
        <f t="shared" si="6"/>
        <v>150184886.93188539</v>
      </c>
      <c r="S30" s="20">
        <f>IFERROR(VLOOKUP(A30,RESCMAD!$1:$1048576,8,FALSE),0)</f>
        <v>0</v>
      </c>
      <c r="T30" s="19">
        <f>IF(C30=5,(S30*P30)*IME!$M$7,(S30*P30)*IME!$M$8)</f>
        <v>0</v>
      </c>
      <c r="U30" s="19">
        <f>IFERROR(VLOOKUP(A30,'DSH (Cumulative)'!$1:$1048576,12,FALSE)*P30*'DSH (Cumulative)'!$AB$2,0)</f>
        <v>33777531.155568004</v>
      </c>
      <c r="V30" s="22">
        <f t="shared" si="9"/>
        <v>150184886.93188539</v>
      </c>
      <c r="W30" s="17">
        <f t="shared" si="10"/>
        <v>0</v>
      </c>
      <c r="X30" s="19">
        <f t="shared" si="11"/>
        <v>116407355.77631739</v>
      </c>
      <c r="Y30" s="15">
        <f t="shared" si="12"/>
        <v>9593.4013462818184</v>
      </c>
      <c r="Z30" s="14">
        <f t="shared" si="7"/>
        <v>-8.2844330294622903E-2</v>
      </c>
      <c r="AA30" s="14">
        <f t="shared" si="13"/>
        <v>-0.1266353435805756</v>
      </c>
      <c r="AB30" s="80">
        <v>1</v>
      </c>
      <c r="AC30" s="11">
        <f t="shared" si="14"/>
        <v>13753.745402241939</v>
      </c>
    </row>
    <row r="31" spans="1:29" ht="18.75" customHeight="1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19">
        <f>IFERROR(VLOOKUP(A31,'Variable Input'!$1:$1048576,6,FALSE),0)</f>
        <v>252795365.55476636</v>
      </c>
      <c r="E31" s="19">
        <f t="shared" si="0"/>
        <v>17635.09109428155</v>
      </c>
      <c r="F31" s="19">
        <f>IFERROR(VLOOKUP(A31,'Drug Overhead'!$1:$1048576,13,FALSE)*VLOOKUP(A31,Volume!A:K,11,FALSE),0)</f>
        <v>11201194.43304294</v>
      </c>
      <c r="G31" s="19">
        <f t="shared" si="1"/>
        <v>263996559.9878093</v>
      </c>
      <c r="H31" s="19">
        <f t="shared" si="8"/>
        <v>18416.490245954992</v>
      </c>
      <c r="I31" s="36">
        <f>VLOOKUP(A31,'Variable Input'!$1:$1048576,8,FALSE)</f>
        <v>1.1240965147015685</v>
      </c>
      <c r="J31" s="19">
        <f t="shared" si="2"/>
        <v>234852218.23492318</v>
      </c>
      <c r="K31" s="63">
        <f>IFERROR(J31*(1-VLOOKUP(A31,PROFIT!$A$1:$IT$65527,7,FALSE)),J31)</f>
        <v>167649554.26365992</v>
      </c>
      <c r="L31" s="19">
        <f>IFERROR(VLOOKUP(A31,'Variable Input'!$1:$1048576,26,FALSE)*VLOOKUP(A31,Volume!A:K,11,FALSE),0)</f>
        <v>832816.30724702065</v>
      </c>
      <c r="M31" s="22">
        <f t="shared" si="3"/>
        <v>166816737.95641291</v>
      </c>
      <c r="N31" s="36">
        <f>VLOOKUP(A31,'Variable Input'!$1:$1048576,23,FALSE)</f>
        <v>0.99671861092415948</v>
      </c>
      <c r="O31" s="22">
        <f t="shared" si="4"/>
        <v>167365930.693057</v>
      </c>
      <c r="P31" s="27">
        <f>IFERROR(VLOOKUP(A31,'Variable Input'!$1:$1048576,7,FALSE),0)</f>
        <v>14334.792159748988</v>
      </c>
      <c r="Q31" s="18">
        <f t="shared" si="5"/>
        <v>11675.504522696037</v>
      </c>
      <c r="R31" s="18">
        <f t="shared" si="6"/>
        <v>167365930.693057</v>
      </c>
      <c r="S31" s="20">
        <f>IFERROR(VLOOKUP(A31,RESCMAD!$1:$1048576,8,FALSE),0)</f>
        <v>0</v>
      </c>
      <c r="T31" s="19">
        <f>IF(C31=5,(S31*P31)*IME!$M$7,(S31*P31)*IME!$M$8)</f>
        <v>0</v>
      </c>
      <c r="U31" s="19">
        <f>IFERROR(VLOOKUP(A31,'DSH (Cumulative)'!$1:$1048576,12,FALSE)*P31*'DSH (Cumulative)'!$AB$2,0)</f>
        <v>41461869.977021448</v>
      </c>
      <c r="V31" s="22">
        <f t="shared" si="9"/>
        <v>167365930.693057</v>
      </c>
      <c r="W31" s="17">
        <f t="shared" si="10"/>
        <v>0</v>
      </c>
      <c r="X31" s="19">
        <f t="shared" si="11"/>
        <v>125904060.71603554</v>
      </c>
      <c r="Y31" s="15">
        <f t="shared" si="12"/>
        <v>8783.1103034451116</v>
      </c>
      <c r="Z31" s="14">
        <f t="shared" si="7"/>
        <v>-0.16031039235374867</v>
      </c>
      <c r="AA31" s="14">
        <f t="shared" si="13"/>
        <v>-0.20040266892041425</v>
      </c>
      <c r="AB31" s="80">
        <v>1</v>
      </c>
      <c r="AC31" s="11">
        <f t="shared" si="14"/>
        <v>13146.634952142311</v>
      </c>
    </row>
    <row r="32" spans="1:29" ht="18.75" customHeight="1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19">
        <f>IFERROR(VLOOKUP(A32,'Variable Input'!$1:$1048576,6,FALSE),0)</f>
        <v>245002626.74528134</v>
      </c>
      <c r="E32" s="19">
        <f t="shared" si="0"/>
        <v>22986.814893275434</v>
      </c>
      <c r="F32" s="19">
        <f>IFERROR(VLOOKUP(A32,'Drug Overhead'!$1:$1048576,13,FALSE)*VLOOKUP(A32,Volume!A:K,11,FALSE),0)</f>
        <v>340161.64688431198</v>
      </c>
      <c r="G32" s="19">
        <f t="shared" si="1"/>
        <v>245342788.39216566</v>
      </c>
      <c r="H32" s="19">
        <f t="shared" si="8"/>
        <v>23018.729787064924</v>
      </c>
      <c r="I32" s="36">
        <f>VLOOKUP(A32,'Variable Input'!$1:$1048576,8,FALSE)</f>
        <v>1.1259331913445376</v>
      </c>
      <c r="J32" s="19">
        <f t="shared" si="2"/>
        <v>217901728.3425037</v>
      </c>
      <c r="K32" s="63">
        <f>IFERROR(J32*(1-VLOOKUP(A32,PROFIT!$A$1:$IT$65527,7,FALSE)),J32)</f>
        <v>220586820.39341617</v>
      </c>
      <c r="L32" s="19">
        <f>IFERROR(VLOOKUP(A32,'Variable Input'!$1:$1048576,26,FALSE)*VLOOKUP(A32,Volume!A:K,11,FALSE),0)</f>
        <v>2754406.3071728726</v>
      </c>
      <c r="M32" s="22">
        <f t="shared" si="3"/>
        <v>217832414.0862433</v>
      </c>
      <c r="N32" s="36">
        <f>VLOOKUP(A32,'Variable Input'!$1:$1048576,23,FALSE)</f>
        <v>0.99671861092415948</v>
      </c>
      <c r="O32" s="22">
        <f t="shared" si="4"/>
        <v>218549560.22569767</v>
      </c>
      <c r="P32" s="27">
        <f>IFERROR(VLOOKUP(A32,'Variable Input'!$1:$1048576,7,FALSE),0)</f>
        <v>10658.398211444006</v>
      </c>
      <c r="Q32" s="18">
        <f t="shared" si="5"/>
        <v>20504.916019279452</v>
      </c>
      <c r="R32" s="18">
        <f t="shared" si="6"/>
        <v>218549560.22569767</v>
      </c>
      <c r="S32" s="20">
        <f>IFERROR(VLOOKUP(A32,RESCMAD!$1:$1048576,8,FALSE),0)</f>
        <v>3.4768985729970833E-3</v>
      </c>
      <c r="T32" s="19">
        <f>IF(C32=5,(S32*P32)*IME!$M$7,(S32*P32)*IME!$M$8)</f>
        <v>4888745.8627186492</v>
      </c>
      <c r="U32" s="19">
        <f>IFERROR(VLOOKUP(A32,'DSH (Cumulative)'!$1:$1048576,12,FALSE)*P32*'DSH (Cumulative)'!$AB$2,0)</f>
        <v>59701263.288443767</v>
      </c>
      <c r="V32" s="22">
        <f t="shared" si="9"/>
        <v>213660814.36297902</v>
      </c>
      <c r="W32" s="17">
        <f t="shared" si="10"/>
        <v>-2.2369049188065149E-2</v>
      </c>
      <c r="X32" s="19">
        <f t="shared" si="11"/>
        <v>153959551.07453525</v>
      </c>
      <c r="Y32" s="15">
        <f t="shared" si="12"/>
        <v>14444.905136798856</v>
      </c>
      <c r="Z32" s="14">
        <f t="shared" si="7"/>
        <v>0.3809728339684344</v>
      </c>
      <c r="AA32" s="14">
        <f t="shared" si="13"/>
        <v>0.31503615416872499</v>
      </c>
      <c r="AB32" s="80">
        <v>1</v>
      </c>
      <c r="AC32" s="11">
        <f t="shared" si="14"/>
        <v>23302.37787395022</v>
      </c>
    </row>
    <row r="33" spans="1:29" ht="18.75" customHeight="1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19">
        <f>IFERROR(VLOOKUP(A33,'Variable Input'!$1:$1048576,6,FALSE),0)</f>
        <v>161738343.1905202</v>
      </c>
      <c r="E33" s="19">
        <f t="shared" si="0"/>
        <v>15532.953752586571</v>
      </c>
      <c r="F33" s="19">
        <f>IFERROR(VLOOKUP(A33,'Drug Overhead'!$1:$1048576,13,FALSE)*VLOOKUP(A33,Volume!A:K,11,FALSE),0)</f>
        <v>5550131.0739668515</v>
      </c>
      <c r="G33" s="19">
        <f t="shared" si="1"/>
        <v>167288474.26448706</v>
      </c>
      <c r="H33" s="19">
        <f t="shared" si="8"/>
        <v>16065.974727032744</v>
      </c>
      <c r="I33" s="36">
        <f>VLOOKUP(A33,'Variable Input'!$1:$1048576,8,FALSE)</f>
        <v>1.1205505604288228</v>
      </c>
      <c r="J33" s="19">
        <f t="shared" si="2"/>
        <v>149291321.75924978</v>
      </c>
      <c r="K33" s="63">
        <f>IFERROR(J33*(1-VLOOKUP(A33,PROFIT!$A$1:$IT$65527,7,FALSE)),J33)</f>
        <v>135006349.81539115</v>
      </c>
      <c r="L33" s="19">
        <f>IFERROR(VLOOKUP(A33,'Variable Input'!$1:$1048576,26,FALSE)*VLOOKUP(A33,Volume!A:K,11,FALSE),0)</f>
        <v>0</v>
      </c>
      <c r="M33" s="22">
        <f t="shared" si="3"/>
        <v>135006349.81539115</v>
      </c>
      <c r="N33" s="36">
        <f>VLOOKUP(A33,'Variable Input'!$1:$1048576,23,FALSE)</f>
        <v>0.99671861092415948</v>
      </c>
      <c r="O33" s="22">
        <f t="shared" si="4"/>
        <v>135450816.6454452</v>
      </c>
      <c r="P33" s="27">
        <f>IFERROR(VLOOKUP(A33,'Variable Input'!$1:$1048576,7,FALSE),0)</f>
        <v>10412.594138032973</v>
      </c>
      <c r="Q33" s="18">
        <f t="shared" si="5"/>
        <v>13008.364183781872</v>
      </c>
      <c r="R33" s="18">
        <f t="shared" si="6"/>
        <v>135450816.6454452</v>
      </c>
      <c r="S33" s="20">
        <f>IFERROR(VLOOKUP(A33,RESCMAD!$1:$1048576,8,FALSE),0)</f>
        <v>0</v>
      </c>
      <c r="T33" s="19">
        <f>IF(C33=5,(S33*P33)*IME!$M$7,(S33*P33)*IME!$M$8)</f>
        <v>0</v>
      </c>
      <c r="U33" s="19">
        <f>IFERROR(VLOOKUP(A33,'DSH (Cumulative)'!$1:$1048576,12,FALSE)*P33*'DSH (Cumulative)'!$AB$2,0)</f>
        <v>23378578.940719184</v>
      </c>
      <c r="V33" s="22">
        <f t="shared" si="9"/>
        <v>135450816.6454452</v>
      </c>
      <c r="W33" s="17">
        <f t="shared" si="10"/>
        <v>0</v>
      </c>
      <c r="X33" s="19">
        <f t="shared" si="11"/>
        <v>112072237.70472601</v>
      </c>
      <c r="Y33" s="15">
        <f t="shared" si="12"/>
        <v>10763.142807551836</v>
      </c>
      <c r="Z33" s="14">
        <f t="shared" si="7"/>
        <v>2.8986184719643093E-2</v>
      </c>
      <c r="AA33" s="14">
        <f t="shared" si="13"/>
        <v>-2.0144349141194895E-2</v>
      </c>
      <c r="AB33" s="80">
        <v>1</v>
      </c>
      <c r="AC33" s="11">
        <f t="shared" si="14"/>
        <v>14528.698510827064</v>
      </c>
    </row>
    <row r="34" spans="1:29" ht="18.75" customHeight="1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19">
        <f>IFERROR(VLOOKUP(A34,'Variable Input'!$1:$1048576,6,FALSE),0)</f>
        <v>283245031.37281293</v>
      </c>
      <c r="E34" s="19">
        <f t="shared" si="0"/>
        <v>17740.81768359938</v>
      </c>
      <c r="F34" s="19">
        <f>IFERROR(VLOOKUP(A34,'Drug Overhead'!$1:$1048576,13,FALSE)*VLOOKUP(A34,Volume!A:K,11,FALSE),0)</f>
        <v>9843700.3071424589</v>
      </c>
      <c r="G34" s="19">
        <f t="shared" si="1"/>
        <v>293088731.67995536</v>
      </c>
      <c r="H34" s="19">
        <f t="shared" si="8"/>
        <v>18357.369690300417</v>
      </c>
      <c r="I34" s="36">
        <f>VLOOKUP(A34,'Variable Input'!$1:$1048576,8,FALSE)</f>
        <v>1.120710322524318</v>
      </c>
      <c r="J34" s="19">
        <f t="shared" si="2"/>
        <v>261520506.94045043</v>
      </c>
      <c r="K34" s="63">
        <f>IFERROR(J34*(1-VLOOKUP(A34,PROFIT!$A$1:$IT$65527,7,FALSE)),J34)</f>
        <v>234208472.06374323</v>
      </c>
      <c r="L34" s="19">
        <f>IFERROR(VLOOKUP(A34,'Variable Input'!$1:$1048576,26,FALSE)*VLOOKUP(A34,Volume!A:K,11,FALSE),0)</f>
        <v>0</v>
      </c>
      <c r="M34" s="22">
        <f t="shared" si="3"/>
        <v>234208472.06374323</v>
      </c>
      <c r="N34" s="36">
        <f>VLOOKUP(A34,'Variable Input'!$1:$1048576,23,FALSE)</f>
        <v>0.99671861092415948</v>
      </c>
      <c r="O34" s="22">
        <f t="shared" si="4"/>
        <v>234979531.33089858</v>
      </c>
      <c r="P34" s="27">
        <f>IFERROR(VLOOKUP(A34,'Variable Input'!$1:$1048576,7,FALSE),0)</f>
        <v>15965.725843327995</v>
      </c>
      <c r="Q34" s="18">
        <f t="shared" si="5"/>
        <v>14717.748108464199</v>
      </c>
      <c r="R34" s="18">
        <f t="shared" si="6"/>
        <v>234979531.33089858</v>
      </c>
      <c r="S34" s="20">
        <f>IFERROR(VLOOKUP(A34,RESCMAD!$1:$1048576,8,FALSE),0)</f>
        <v>0</v>
      </c>
      <c r="T34" s="19">
        <f>IF(C34=5,(S34*P34)*IME!$M$7,(S34*P34)*IME!$M$8)</f>
        <v>0</v>
      </c>
      <c r="U34" s="19">
        <f>IFERROR(VLOOKUP(A34,'DSH (Cumulative)'!$1:$1048576,12,FALSE)*P34*'DSH (Cumulative)'!$AB$2,0)</f>
        <v>57199375.992005713</v>
      </c>
      <c r="V34" s="22">
        <f t="shared" si="9"/>
        <v>234979531.33089858</v>
      </c>
      <c r="W34" s="17">
        <f t="shared" si="10"/>
        <v>0</v>
      </c>
      <c r="X34" s="19">
        <f t="shared" si="11"/>
        <v>177780155.33889288</v>
      </c>
      <c r="Y34" s="15">
        <f t="shared" si="12"/>
        <v>11135.112620838745</v>
      </c>
      <c r="Z34" s="14">
        <f t="shared" si="7"/>
        <v>6.4547526406610434E-2</v>
      </c>
      <c r="AA34" s="14">
        <f t="shared" si="13"/>
        <v>1.3719061390006226E-2</v>
      </c>
      <c r="AB34" s="80">
        <v>1</v>
      </c>
      <c r="AC34" s="11">
        <f t="shared" si="14"/>
        <v>16440.20790787752</v>
      </c>
    </row>
    <row r="35" spans="1:29" ht="18.75" customHeight="1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19">
        <f>IFERROR(VLOOKUP(A35,'Variable Input'!$1:$1048576,6,FALSE),0)</f>
        <v>493183008.48548323</v>
      </c>
      <c r="E35" s="19">
        <f t="shared" si="0"/>
        <v>15938.169364639889</v>
      </c>
      <c r="F35" s="19">
        <f>IFERROR(VLOOKUP(A35,'Drug Overhead'!$1:$1048576,13,FALSE)*VLOOKUP(A35,Volume!A:K,11,FALSE),0)</f>
        <v>1405486.23721784</v>
      </c>
      <c r="G35" s="19">
        <f t="shared" si="1"/>
        <v>494588494.72270107</v>
      </c>
      <c r="H35" s="19">
        <f t="shared" si="8"/>
        <v>15983.590389498875</v>
      </c>
      <c r="I35" s="36">
        <f>VLOOKUP(A35,'Variable Input'!$1:$1048576,8,FALSE)</f>
        <v>1.1174861425645124</v>
      </c>
      <c r="J35" s="19">
        <f t="shared" si="2"/>
        <v>442590271.04145813</v>
      </c>
      <c r="K35" s="63">
        <f>IFERROR(J35*(1-VLOOKUP(A35,PROFIT!$A$1:$IT$65527,7,FALSE)),J35)</f>
        <v>394960153.70493156</v>
      </c>
      <c r="L35" s="19">
        <f>IFERROR(VLOOKUP(A35,'Variable Input'!$1:$1048576,26,FALSE)*VLOOKUP(A35,Volume!A:K,11,FALSE),0)</f>
        <v>751420.3248961916</v>
      </c>
      <c r="M35" s="22">
        <f t="shared" si="3"/>
        <v>394208733.38003534</v>
      </c>
      <c r="N35" s="36">
        <f>VLOOKUP(A35,'Variable Input'!$1:$1048576,23,FALSE)</f>
        <v>0.99671861092415948</v>
      </c>
      <c r="O35" s="22">
        <f t="shared" si="4"/>
        <v>395506544.23370725</v>
      </c>
      <c r="P35" s="27">
        <f>IFERROR(VLOOKUP(A35,'Variable Input'!$1:$1048576,7,FALSE),0)</f>
        <v>30943.516611114035</v>
      </c>
      <c r="Q35" s="18">
        <f t="shared" si="5"/>
        <v>12781.564203069682</v>
      </c>
      <c r="R35" s="18">
        <f t="shared" si="6"/>
        <v>395506544.23370725</v>
      </c>
      <c r="S35" s="20">
        <f>IFERROR(VLOOKUP(A35,RESCMAD!$1:$1048576,8,FALSE),0)</f>
        <v>1.6158473721128837E-4</v>
      </c>
      <c r="T35" s="19">
        <f>IF(C35=5,(S35*P35)*IME!$M$7,(S35*P35)*IME!$M$8)</f>
        <v>659604.33616708894</v>
      </c>
      <c r="U35" s="19">
        <f>IFERROR(VLOOKUP(A35,'DSH (Cumulative)'!$1:$1048576,12,FALSE)*P35*'DSH (Cumulative)'!$AB$2,0)</f>
        <v>86953655.298618421</v>
      </c>
      <c r="V35" s="22">
        <f t="shared" si="9"/>
        <v>394846939.89754015</v>
      </c>
      <c r="W35" s="17">
        <f t="shared" si="10"/>
        <v>-1.6677456941833757E-3</v>
      </c>
      <c r="X35" s="19">
        <f t="shared" si="11"/>
        <v>307893284.59892172</v>
      </c>
      <c r="Y35" s="15">
        <f t="shared" si="12"/>
        <v>9950.1710962074412</v>
      </c>
      <c r="Z35" s="14">
        <f t="shared" ref="Z35:Z54" si="15">IFERROR(Y35/VLOOKUP(C35,$61:$68,25,FALSE)-1," ")</f>
        <v>-4.8736156653949037E-2</v>
      </c>
      <c r="AA35" s="14">
        <f t="shared" ref="AA35:AA54" si="16">Y35/$Y$62-1</f>
        <v>-9.4155717344006185E-2</v>
      </c>
      <c r="AB35" s="80">
        <v>1</v>
      </c>
      <c r="AC35" s="11">
        <f t="shared" si="14"/>
        <v>14263.48867122252</v>
      </c>
    </row>
    <row r="36" spans="1:29" ht="18.75" customHeight="1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19">
        <f>IFERROR(VLOOKUP(A36,'Variable Input'!$1:$1048576,6,FALSE),0)</f>
        <v>487266143.18255103</v>
      </c>
      <c r="E36" s="19">
        <f t="shared" si="0"/>
        <v>15904.020553840699</v>
      </c>
      <c r="F36" s="19">
        <f>IFERROR(VLOOKUP(A36,'Drug Overhead'!$1:$1048576,13,FALSE)*VLOOKUP(A36,Volume!A:K,11,FALSE),0)</f>
        <v>213935.30300706389</v>
      </c>
      <c r="G36" s="19">
        <f t="shared" si="1"/>
        <v>487480078.48555809</v>
      </c>
      <c r="H36" s="19">
        <f t="shared" si="8"/>
        <v>15911.003250060867</v>
      </c>
      <c r="I36" s="36">
        <f>VLOOKUP(A36,'Variable Input'!$1:$1048576,8,FALSE)</f>
        <v>1.1074866213835981</v>
      </c>
      <c r="J36" s="19">
        <f t="shared" si="2"/>
        <v>440167916.3189733</v>
      </c>
      <c r="K36" s="63">
        <f>IFERROR(J36*(1-VLOOKUP(A36,PROFIT!$A$1:$IT$65527,7,FALSE)),J36)</f>
        <v>391393958.40810061</v>
      </c>
      <c r="L36" s="19">
        <f>IFERROR(VLOOKUP(A36,'Variable Input'!$1:$1048576,26,FALSE)*VLOOKUP(A36,Volume!A:K,11,FALSE),0)</f>
        <v>7270460.1939369692</v>
      </c>
      <c r="M36" s="22">
        <f t="shared" si="3"/>
        <v>384123498.21416366</v>
      </c>
      <c r="N36" s="36">
        <f>VLOOKUP(A36,'Variable Input'!$1:$1048576,23,FALSE)</f>
        <v>0.99671861092415948</v>
      </c>
      <c r="O36" s="22">
        <f t="shared" si="4"/>
        <v>385388106.53691274</v>
      </c>
      <c r="P36" s="27">
        <f>IFERROR(VLOOKUP(A36,'Variable Input'!$1:$1048576,7,FALSE),0)</f>
        <v>30637.922123716067</v>
      </c>
      <c r="Q36" s="18">
        <f t="shared" si="5"/>
        <v>12578.793854906799</v>
      </c>
      <c r="R36" s="18">
        <f t="shared" si="6"/>
        <v>385388106.53691274</v>
      </c>
      <c r="S36" s="20">
        <f>IFERROR(VLOOKUP(A36,RESCMAD!$1:$1048576,8,FALSE),0)</f>
        <v>1.893078772306939E-3</v>
      </c>
      <c r="T36" s="19">
        <f>IF(C36=5,(S36*P36)*IME!$M$7,(S36*P36)*IME!$M$8)</f>
        <v>7651410.299538237</v>
      </c>
      <c r="U36" s="19">
        <f>IFERROR(VLOOKUP(A36,'DSH (Cumulative)'!$1:$1048576,12,FALSE)*P36*'DSH (Cumulative)'!$AB$2,0)</f>
        <v>61695237.635977089</v>
      </c>
      <c r="V36" s="22">
        <f t="shared" si="9"/>
        <v>377736696.23737448</v>
      </c>
      <c r="W36" s="17">
        <f t="shared" si="10"/>
        <v>-1.9853779008111139E-2</v>
      </c>
      <c r="X36" s="19">
        <f t="shared" si="11"/>
        <v>316041458.6013974</v>
      </c>
      <c r="Y36" s="15">
        <f t="shared" si="12"/>
        <v>10315.368559434957</v>
      </c>
      <c r="Z36" s="14">
        <f t="shared" si="15"/>
        <v>-1.3822270340733023E-2</v>
      </c>
      <c r="AA36" s="14">
        <f t="shared" si="16"/>
        <v>-6.0908848430243578E-2</v>
      </c>
      <c r="AB36" s="80">
        <v>1</v>
      </c>
      <c r="AC36" s="11">
        <f t="shared" si="14"/>
        <v>14147.942894985243</v>
      </c>
    </row>
    <row r="37" spans="1:29" ht="18.75" customHeight="1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19">
        <f>IFERROR(VLOOKUP(A37,'Variable Input'!$1:$1048576,6,FALSE),0)</f>
        <v>6458231.4193228893</v>
      </c>
      <c r="E37" s="19">
        <f t="shared" si="0"/>
        <v>11399.653863300991</v>
      </c>
      <c r="F37" s="19">
        <f>IFERROR(VLOOKUP(A37,'Drug Overhead'!$1:$1048576,13,FALSE)*VLOOKUP(A37,Volume!A:K,11,FALSE),0)</f>
        <v>292431.73930685525</v>
      </c>
      <c r="G37" s="19">
        <f t="shared" si="1"/>
        <v>6750663.1586297443</v>
      </c>
      <c r="H37" s="19">
        <f t="shared" si="8"/>
        <v>11915.835522070154</v>
      </c>
      <c r="I37" s="36">
        <f>VLOOKUP(A37,'Variable Input'!$1:$1048576,8,FALSE)</f>
        <v>1.1235285459397526</v>
      </c>
      <c r="J37" s="19">
        <f t="shared" si="2"/>
        <v>6008448.2793299118</v>
      </c>
      <c r="K37" s="63">
        <f>IFERROR(J37*(1-VLOOKUP(A37,PROFIT!$A$1:$IT$65527,7,FALSE)),J37)</f>
        <v>6008448.2793299118</v>
      </c>
      <c r="L37" s="19">
        <f>IFERROR(VLOOKUP(A37,'Variable Input'!$1:$1048576,26,FALSE)*VLOOKUP(A37,Volume!A:K,11,FALSE),0)</f>
        <v>0</v>
      </c>
      <c r="M37" s="22">
        <f t="shared" si="3"/>
        <v>6008448.2793299118</v>
      </c>
      <c r="N37" s="36">
        <f>VLOOKUP(A37,'Variable Input'!$1:$1048576,23,FALSE)</f>
        <v>0.99671861092415948</v>
      </c>
      <c r="O37" s="22">
        <f t="shared" si="4"/>
        <v>6028229.2449208573</v>
      </c>
      <c r="P37" s="27">
        <f>IFERROR(VLOOKUP(A37,'Variable Input'!$1:$1048576,7,FALSE),0)</f>
        <v>566.52872944799947</v>
      </c>
      <c r="Q37" s="18">
        <f t="shared" si="5"/>
        <v>10640.641739024422</v>
      </c>
      <c r="R37" s="18">
        <f t="shared" si="6"/>
        <v>6028229.2449208573</v>
      </c>
      <c r="S37" s="20">
        <f>IFERROR(VLOOKUP(A37,RESCMAD!$1:$1048576,8,FALSE),0)</f>
        <v>0</v>
      </c>
      <c r="T37" s="19">
        <f>IF(C37=5,(S37*P37)*IME!$M$7,(S37*P37)*IME!$M$8)</f>
        <v>0</v>
      </c>
      <c r="U37" s="19">
        <f>IFERROR(VLOOKUP(A37,'DSH (Cumulative)'!$1:$1048576,12,FALSE)*P37*'DSH (Cumulative)'!$AB$2,0)</f>
        <v>2670061.7726552766</v>
      </c>
      <c r="V37" s="22">
        <f t="shared" si="9"/>
        <v>6028229.2449208573</v>
      </c>
      <c r="W37" s="17">
        <f t="shared" si="10"/>
        <v>0</v>
      </c>
      <c r="X37" s="19">
        <f t="shared" si="11"/>
        <v>3358167.4722655807</v>
      </c>
      <c r="Y37" s="15">
        <f t="shared" si="12"/>
        <v>5927.6207855118491</v>
      </c>
      <c r="Z37" s="14" t="str">
        <f t="shared" si="15"/>
        <v xml:space="preserve"> </v>
      </c>
      <c r="AA37" s="14">
        <f t="shared" si="16"/>
        <v>-0.4603608976778949</v>
      </c>
      <c r="AB37" s="80">
        <v>1</v>
      </c>
      <c r="AC37" s="11">
        <f t="shared" si="14"/>
        <v>11915.835522070154</v>
      </c>
    </row>
    <row r="38" spans="1:29" ht="18.75" customHeight="1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19">
        <f>IFERROR(VLOOKUP(A38,'Variable Input'!$1:$1048576,6,FALSE),0)</f>
        <v>346556209.08864111</v>
      </c>
      <c r="E38" s="19">
        <f t="shared" si="0"/>
        <v>14111.085465256892</v>
      </c>
      <c r="F38" s="19">
        <f>IFERROR(VLOOKUP(A38,'Drug Overhead'!$1:$1048576,13,FALSE)*VLOOKUP(A38,Volume!A:K,11,FALSE),0)</f>
        <v>808035.04537827137</v>
      </c>
      <c r="G38" s="19">
        <f t="shared" si="1"/>
        <v>347364244.13401937</v>
      </c>
      <c r="H38" s="19">
        <f t="shared" si="8"/>
        <v>14143.987058952876</v>
      </c>
      <c r="I38" s="36">
        <f>VLOOKUP(A38,'Variable Input'!$1:$1048576,8,FALSE)</f>
        <v>1.1035189993630976</v>
      </c>
      <c r="J38" s="19">
        <f t="shared" si="2"/>
        <v>314778671.08269334</v>
      </c>
      <c r="K38" s="63">
        <f>IFERROR(J38*(1-VLOOKUP(A38,PROFIT!$A$1:$IT$65527,7,FALSE)),J38)</f>
        <v>319221824.88188899</v>
      </c>
      <c r="L38" s="19">
        <f>IFERROR(VLOOKUP(A38,'Variable Input'!$1:$1048576,26,FALSE)*VLOOKUP(A38,Volume!A:K,11,FALSE),0)</f>
        <v>0</v>
      </c>
      <c r="M38" s="22">
        <f t="shared" si="3"/>
        <v>319221824.88188899</v>
      </c>
      <c r="N38" s="36">
        <f>VLOOKUP(A38,'Variable Input'!$1:$1048576,23,FALSE)</f>
        <v>0.99671861092415948</v>
      </c>
      <c r="O38" s="22">
        <f t="shared" si="4"/>
        <v>320272764.43238664</v>
      </c>
      <c r="P38" s="27">
        <f>IFERROR(VLOOKUP(A38,'Variable Input'!$1:$1048576,7,FALSE),0)</f>
        <v>24559.146065829038</v>
      </c>
      <c r="Q38" s="18">
        <f t="shared" si="5"/>
        <v>13040.875426772509</v>
      </c>
      <c r="R38" s="18">
        <f t="shared" si="6"/>
        <v>320272764.43238664</v>
      </c>
      <c r="S38" s="20">
        <f>IFERROR(VLOOKUP(A38,RESCMAD!$1:$1048576,8,FALSE),0)</f>
        <v>0</v>
      </c>
      <c r="T38" s="19">
        <f>IF(C38=5,(S38*P38)*IME!$M$7,(S38*P38)*IME!$M$8)</f>
        <v>0</v>
      </c>
      <c r="U38" s="19">
        <f>IFERROR(VLOOKUP(A38,'DSH (Cumulative)'!$1:$1048576,12,FALSE)*P38*'DSH (Cumulative)'!$AB$2,0)</f>
        <v>54065730.150755592</v>
      </c>
      <c r="V38" s="22">
        <f t="shared" si="9"/>
        <v>320272764.43238664</v>
      </c>
      <c r="W38" s="17">
        <f t="shared" si="10"/>
        <v>0</v>
      </c>
      <c r="X38" s="19">
        <f t="shared" si="11"/>
        <v>266207034.28163105</v>
      </c>
      <c r="Y38" s="15">
        <f t="shared" si="12"/>
        <v>10839.425506411424</v>
      </c>
      <c r="Z38" s="14">
        <f t="shared" si="15"/>
        <v>3.6279021455449589E-2</v>
      </c>
      <c r="AA38" s="14">
        <f t="shared" si="16"/>
        <v>-1.3199720153471817E-2</v>
      </c>
      <c r="AB38" s="80">
        <v>1</v>
      </c>
      <c r="AC38" s="11">
        <f t="shared" si="14"/>
        <v>14343.63181131366</v>
      </c>
    </row>
    <row r="39" spans="1:29" ht="18.75" customHeight="1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19">
        <f>IFERROR(VLOOKUP(A39,'Variable Input'!$1:$1048576,6,FALSE),0)</f>
        <v>360555499.02413774</v>
      </c>
      <c r="E39" s="19">
        <f t="shared" si="0"/>
        <v>14878.678787363348</v>
      </c>
      <c r="F39" s="19">
        <f>IFERROR(VLOOKUP(A39,'Drug Overhead'!$1:$1048576,13,FALSE)*VLOOKUP(A39,Volume!A:K,11,FALSE),0)</f>
        <v>199700.68284646832</v>
      </c>
      <c r="G39" s="19">
        <f t="shared" si="1"/>
        <v>360755199.70698422</v>
      </c>
      <c r="H39" s="19">
        <f t="shared" si="8"/>
        <v>14886.919633285075</v>
      </c>
      <c r="I39" s="36">
        <f>VLOOKUP(A39,'Variable Input'!$1:$1048576,8,FALSE)</f>
        <v>1.1147926720978587</v>
      </c>
      <c r="J39" s="19">
        <f t="shared" si="2"/>
        <v>323607437.27181268</v>
      </c>
      <c r="K39" s="63">
        <f>IFERROR(J39*(1-VLOOKUP(A39,PROFIT!$A$1:$IT$65527,7,FALSE)),J39)</f>
        <v>268813238.53798801</v>
      </c>
      <c r="L39" s="19">
        <f>IFERROR(VLOOKUP(A39,'Variable Input'!$1:$1048576,26,FALSE)*VLOOKUP(A39,Volume!A:K,11,FALSE),0)</f>
        <v>0</v>
      </c>
      <c r="M39" s="22">
        <f t="shared" si="3"/>
        <v>268813238.53798801</v>
      </c>
      <c r="N39" s="36">
        <f>VLOOKUP(A39,'Variable Input'!$1:$1048576,23,FALSE)</f>
        <v>0.99671861092415948</v>
      </c>
      <c r="O39" s="22">
        <f t="shared" si="4"/>
        <v>269698223.3418355</v>
      </c>
      <c r="P39" s="27">
        <f>IFERROR(VLOOKUP(A39,'Variable Input'!$1:$1048576,7,FALSE),0)</f>
        <v>24233.031990069048</v>
      </c>
      <c r="Q39" s="18">
        <f t="shared" si="5"/>
        <v>11129.363566736538</v>
      </c>
      <c r="R39" s="18">
        <f t="shared" si="6"/>
        <v>269698223.3418355</v>
      </c>
      <c r="S39" s="20">
        <f>IFERROR(VLOOKUP(A39,RESCMAD!$1:$1048576,8,FALSE),0)</f>
        <v>0</v>
      </c>
      <c r="T39" s="19">
        <f>IF(C39=5,(S39*P39)*IME!$M$7,(S39*P39)*IME!$M$8)</f>
        <v>0</v>
      </c>
      <c r="U39" s="19">
        <f>IFERROR(VLOOKUP(A39,'DSH (Cumulative)'!$1:$1048576,12,FALSE)*P39*'DSH (Cumulative)'!$AB$2,0)</f>
        <v>51592513.134954974</v>
      </c>
      <c r="V39" s="22">
        <f t="shared" si="9"/>
        <v>269698223.3418355</v>
      </c>
      <c r="W39" s="17">
        <f t="shared" si="10"/>
        <v>0</v>
      </c>
      <c r="X39" s="19">
        <f t="shared" si="11"/>
        <v>218105710.20688051</v>
      </c>
      <c r="Y39" s="15">
        <f t="shared" si="12"/>
        <v>9000.3475543738205</v>
      </c>
      <c r="Z39" s="14">
        <f t="shared" si="15"/>
        <v>-0.13954191106450331</v>
      </c>
      <c r="AA39" s="14">
        <f t="shared" si="16"/>
        <v>-0.18062581083114171</v>
      </c>
      <c r="AB39" s="80">
        <v>1</v>
      </c>
      <c r="AC39" s="11">
        <f t="shared" si="14"/>
        <v>12366.220975066228</v>
      </c>
    </row>
    <row r="40" spans="1:29" ht="18.75" customHeight="1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19">
        <f>IFERROR(VLOOKUP(A40,'Variable Input'!$1:$1048576,6,FALSE),0)</f>
        <v>285517283.37502766</v>
      </c>
      <c r="E40" s="19">
        <f t="shared" si="0"/>
        <v>17949.116567739551</v>
      </c>
      <c r="F40" s="19">
        <f>IFERROR(VLOOKUP(A40,'Drug Overhead'!$1:$1048576,13,FALSE)*VLOOKUP(A40,Volume!A:K,11,FALSE),0)</f>
        <v>467837.98050078697</v>
      </c>
      <c r="G40" s="19">
        <f t="shared" si="1"/>
        <v>285985121.35552841</v>
      </c>
      <c r="H40" s="19">
        <f t="shared" si="8"/>
        <v>17978.527321258782</v>
      </c>
      <c r="I40" s="36">
        <f>VLOOKUP(A40,'Variable Input'!$1:$1048576,8,FALSE)</f>
        <v>1.1175427593245362</v>
      </c>
      <c r="J40" s="19">
        <f t="shared" si="2"/>
        <v>255905305.60851488</v>
      </c>
      <c r="K40" s="63">
        <f>IFERROR(J40*(1-VLOOKUP(A40,PROFIT!$A$1:$IT$65527,7,FALSE)),J40)</f>
        <v>254128090.57979205</v>
      </c>
      <c r="L40" s="19">
        <f>IFERROR(VLOOKUP(A40,'Variable Input'!$1:$1048576,26,FALSE)*VLOOKUP(A40,Volume!A:K,11,FALSE),0)</f>
        <v>0</v>
      </c>
      <c r="M40" s="22">
        <f t="shared" si="3"/>
        <v>254128090.57979205</v>
      </c>
      <c r="N40" s="36">
        <f>VLOOKUP(A40,'Variable Input'!$1:$1048576,23,FALSE)</f>
        <v>1.0181752931904677</v>
      </c>
      <c r="O40" s="22">
        <f t="shared" si="4"/>
        <v>249591688.46405399</v>
      </c>
      <c r="P40" s="27">
        <f>IFERROR(VLOOKUP(A40,'Variable Input'!$1:$1048576,7,FALSE),0)</f>
        <v>15907.038226505023</v>
      </c>
      <c r="Q40" s="18">
        <f t="shared" si="5"/>
        <v>15690.644915165482</v>
      </c>
      <c r="R40" s="18">
        <f t="shared" si="6"/>
        <v>249591688.46405399</v>
      </c>
      <c r="S40" s="20">
        <f>IFERROR(VLOOKUP(A40,RESCMAD!$1:$1048576,8,FALSE),0)</f>
        <v>0</v>
      </c>
      <c r="T40" s="19">
        <f>IF(C40=5,(S40*P40)*IME!$M$7,(S40*P40)*IME!$M$8)</f>
        <v>0</v>
      </c>
      <c r="U40" s="19">
        <f>IFERROR(VLOOKUP(A40,'DSH (Cumulative)'!$1:$1048576,12,FALSE)*P40*'DSH (Cumulative)'!$AB$2,0)</f>
        <v>54566765.850166857</v>
      </c>
      <c r="V40" s="22">
        <f t="shared" si="9"/>
        <v>249591688.46405399</v>
      </c>
      <c r="W40" s="17">
        <f t="shared" si="10"/>
        <v>0</v>
      </c>
      <c r="X40" s="19">
        <f t="shared" si="11"/>
        <v>195024922.61388713</v>
      </c>
      <c r="Y40" s="15">
        <f t="shared" si="12"/>
        <v>12260.291314880216</v>
      </c>
      <c r="Z40" s="14">
        <f t="shared" si="15"/>
        <v>0.17211771777276152</v>
      </c>
      <c r="AA40" s="14">
        <f t="shared" si="16"/>
        <v>0.11615314791061815</v>
      </c>
      <c r="AB40" s="80">
        <v>1</v>
      </c>
      <c r="AC40" s="11">
        <f t="shared" si="14"/>
        <v>17853.669773371421</v>
      </c>
    </row>
    <row r="41" spans="1:29" ht="18.75" customHeight="1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19">
        <f>IFERROR(VLOOKUP(A41,'Variable Input'!$1:$1048576,6,FALSE),0)</f>
        <v>40214198.735883914</v>
      </c>
      <c r="E41" s="19">
        <f t="shared" si="0"/>
        <v>20264.30519802343</v>
      </c>
      <c r="F41" s="19">
        <f>IFERROR(VLOOKUP(A41,'Drug Overhead'!$1:$1048576,13,FALSE)*VLOOKUP(A41,Volume!A:K,11,FALSE),0)</f>
        <v>11127.300841270084</v>
      </c>
      <c r="G41" s="19">
        <f t="shared" si="1"/>
        <v>40225326.036725186</v>
      </c>
      <c r="H41" s="19">
        <f t="shared" si="8"/>
        <v>20269.912347422545</v>
      </c>
      <c r="I41" s="36">
        <f>VLOOKUP(A41,'Variable Input'!$1:$1048576,8,FALSE)</f>
        <v>1.2317684965243516</v>
      </c>
      <c r="J41" s="19">
        <f t="shared" si="2"/>
        <v>32656563.429108568</v>
      </c>
      <c r="K41" s="63">
        <f>IFERROR(J41*(1-VLOOKUP(A41,PROFIT!$A$1:$IT$65527,7,FALSE)),J41)</f>
        <v>32656563.429108568</v>
      </c>
      <c r="L41" s="19">
        <f>IFERROR(VLOOKUP(A41,'Variable Input'!$1:$1048576,26,FALSE)*VLOOKUP(A41,Volume!A:K,11,FALSE),0)</f>
        <v>141502.60406345228</v>
      </c>
      <c r="M41" s="22">
        <f t="shared" si="3"/>
        <v>32515060.825045116</v>
      </c>
      <c r="N41" s="36">
        <f>VLOOKUP(A41,'Variable Input'!$1:$1048576,23,FALSE)</f>
        <v>1.0181752931904677</v>
      </c>
      <c r="O41" s="22">
        <f t="shared" si="4"/>
        <v>31934639.391178586</v>
      </c>
      <c r="P41" s="27">
        <f>IFERROR(VLOOKUP(A41,'Variable Input'!$1:$1048576,7,FALSE),0)</f>
        <v>1984.4844588999965</v>
      </c>
      <c r="Q41" s="18">
        <f t="shared" si="5"/>
        <v>16092.158972552506</v>
      </c>
      <c r="R41" s="18">
        <f t="shared" si="6"/>
        <v>31934639.391178586</v>
      </c>
      <c r="S41" s="20">
        <f>IFERROR(VLOOKUP(A41,RESCMAD!$1:$1048576,8,FALSE),0)</f>
        <v>0</v>
      </c>
      <c r="T41" s="19">
        <f>IF(C41=5,(S41*P41)*IME!$M$7,(S41*P41)*IME!$M$8)</f>
        <v>0</v>
      </c>
      <c r="U41" s="19">
        <f>IFERROR(VLOOKUP(A41,'DSH (Cumulative)'!$1:$1048576,12,FALSE)*P41*'DSH (Cumulative)'!$AB$2,0)</f>
        <v>7270029.2575966893</v>
      </c>
      <c r="V41" s="22">
        <f t="shared" si="9"/>
        <v>31934639.391178586</v>
      </c>
      <c r="W41" s="17">
        <f t="shared" si="10"/>
        <v>0</v>
      </c>
      <c r="X41" s="19">
        <f t="shared" si="11"/>
        <v>24664610.133581895</v>
      </c>
      <c r="Y41" s="15">
        <f t="shared" si="12"/>
        <v>12428.724257812297</v>
      </c>
      <c r="Z41" s="14" t="str">
        <f t="shared" si="15"/>
        <v xml:space="preserve"> </v>
      </c>
      <c r="AA41" s="14">
        <f t="shared" si="16"/>
        <v>0.13148695643418229</v>
      </c>
      <c r="AB41" s="80">
        <v>1</v>
      </c>
      <c r="AC41" s="11">
        <f t="shared" si="14"/>
        <v>20269.912347422545</v>
      </c>
    </row>
    <row r="42" spans="1:29" ht="18.75" customHeight="1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19">
        <f>IFERROR(VLOOKUP(A42,'Variable Input'!$1:$1048576,6,FALSE),0)</f>
        <v>303044773.2382201</v>
      </c>
      <c r="E42" s="19">
        <f t="shared" si="0"/>
        <v>17951.238803485707</v>
      </c>
      <c r="F42" s="19">
        <f>IFERROR(VLOOKUP(A42,'Drug Overhead'!$1:$1048576,13,FALSE)*VLOOKUP(A42,Volume!A:K,11,FALSE),0)</f>
        <v>608706.1595868353</v>
      </c>
      <c r="G42" s="19">
        <f t="shared" si="1"/>
        <v>303653479.39780694</v>
      </c>
      <c r="H42" s="19">
        <f t="shared" si="8"/>
        <v>17987.296279465689</v>
      </c>
      <c r="I42" s="36">
        <f>VLOOKUP(A42,'Variable Input'!$1:$1048576,8,FALSE)</f>
        <v>1.1293262174048309</v>
      </c>
      <c r="J42" s="19">
        <f t="shared" si="2"/>
        <v>268880217.88389593</v>
      </c>
      <c r="K42" s="63">
        <f>IFERROR(J42*(1-VLOOKUP(A42,PROFIT!$A$1:$IT$65527,7,FALSE)),J42)</f>
        <v>250697212.59507027</v>
      </c>
      <c r="L42" s="19">
        <f>IFERROR(VLOOKUP(A42,'Variable Input'!$1:$1048576,26,FALSE)*VLOOKUP(A42,Volume!A:K,11,FALSE),0)</f>
        <v>1799367.1419683334</v>
      </c>
      <c r="M42" s="22">
        <f t="shared" si="3"/>
        <v>248897845.45310193</v>
      </c>
      <c r="N42" s="36">
        <f>VLOOKUP(A42,'Variable Input'!$1:$1048576,23,FALSE)</f>
        <v>0.99671861092415948</v>
      </c>
      <c r="O42" s="22">
        <f t="shared" si="4"/>
        <v>249717264.95838514</v>
      </c>
      <c r="P42" s="27">
        <f>IFERROR(VLOOKUP(A42,'Variable Input'!$1:$1048576,7,FALSE),0)</f>
        <v>16881.552106553001</v>
      </c>
      <c r="Q42" s="18">
        <f t="shared" si="5"/>
        <v>14792.316688786635</v>
      </c>
      <c r="R42" s="18">
        <f t="shared" si="6"/>
        <v>249717264.95838514</v>
      </c>
      <c r="S42" s="20">
        <f>IFERROR(VLOOKUP(A42,RESCMAD!$1:$1048576,8,FALSE),0)</f>
        <v>8.9597682467736116E-4</v>
      </c>
      <c r="T42" s="19">
        <f>IF(C42=5,(S42*P42)*IME!$M$7,(S42*P42)*IME!$M$8)</f>
        <v>1995366.3666363074</v>
      </c>
      <c r="U42" s="19">
        <f>IFERROR(VLOOKUP(A42,'DSH (Cumulative)'!$1:$1048576,12,FALSE)*P42*'DSH (Cumulative)'!$AB$2,0)</f>
        <v>72383257.227997169</v>
      </c>
      <c r="V42" s="22">
        <f t="shared" si="9"/>
        <v>247721898.59174883</v>
      </c>
      <c r="W42" s="17">
        <f t="shared" si="10"/>
        <v>-7.9905022464860087E-3</v>
      </c>
      <c r="X42" s="19">
        <f t="shared" si="11"/>
        <v>175338641.36375165</v>
      </c>
      <c r="Y42" s="15">
        <f t="shared" si="12"/>
        <v>10386.405246214863</v>
      </c>
      <c r="Z42" s="14">
        <f t="shared" si="15"/>
        <v>-7.0309668514313417E-3</v>
      </c>
      <c r="AA42" s="14">
        <f t="shared" si="16"/>
        <v>-5.4441806209941546E-2</v>
      </c>
      <c r="AB42" s="80">
        <v>1</v>
      </c>
      <c r="AC42" s="11">
        <f t="shared" si="14"/>
        <v>16770.906669418488</v>
      </c>
    </row>
    <row r="43" spans="1:29" ht="18.75" customHeight="1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19">
        <f>IFERROR(VLOOKUP(A43,'Variable Input'!$1:$1048576,6,FALSE),0)</f>
        <v>499103487.51798743</v>
      </c>
      <c r="E43" s="19">
        <f t="shared" si="0"/>
        <v>16880.171046630647</v>
      </c>
      <c r="F43" s="19">
        <f>IFERROR(VLOOKUP(A43,'Drug Overhead'!$1:$1048576,13,FALSE)*VLOOKUP(A43,Volume!A:K,11,FALSE),0)</f>
        <v>2631671.9105439242</v>
      </c>
      <c r="G43" s="19">
        <f t="shared" si="1"/>
        <v>501735159.42853135</v>
      </c>
      <c r="H43" s="19">
        <f t="shared" si="8"/>
        <v>16969.176780109905</v>
      </c>
      <c r="I43" s="36">
        <f>VLOOKUP(A43,'Variable Input'!$1:$1048576,8,FALSE)</f>
        <v>1.1115105879568932</v>
      </c>
      <c r="J43" s="19">
        <f t="shared" si="2"/>
        <v>451399352.25519395</v>
      </c>
      <c r="K43" s="63">
        <f>IFERROR(J43*(1-VLOOKUP(A43,PROFIT!$A$1:$IT$65527,7,FALSE)),J43)</f>
        <v>391754010.73351216</v>
      </c>
      <c r="L43" s="19">
        <f>IFERROR(VLOOKUP(A43,'Variable Input'!$1:$1048576,26,FALSE)*VLOOKUP(A43,Volume!A:K,11,FALSE),0)</f>
        <v>0</v>
      </c>
      <c r="M43" s="22">
        <f t="shared" si="3"/>
        <v>391754010.73351216</v>
      </c>
      <c r="N43" s="36">
        <f>VLOOKUP(A43,'Variable Input'!$1:$1048576,23,FALSE)</f>
        <v>1.0181752931904677</v>
      </c>
      <c r="O43" s="22">
        <f t="shared" si="4"/>
        <v>384760869.12887567</v>
      </c>
      <c r="P43" s="27">
        <f>IFERROR(VLOOKUP(A43,'Variable Input'!$1:$1048576,7,FALSE),0)</f>
        <v>29567.442541858047</v>
      </c>
      <c r="Q43" s="18">
        <f t="shared" si="5"/>
        <v>13012.991183940825</v>
      </c>
      <c r="R43" s="18">
        <f t="shared" si="6"/>
        <v>384760869.12887567</v>
      </c>
      <c r="S43" s="20">
        <f>IFERROR(VLOOKUP(A43,RESCMAD!$1:$1048576,8,FALSE),0)</f>
        <v>0</v>
      </c>
      <c r="T43" s="19">
        <f>IF(C43=5,(S43*P43)*IME!$M$7,(S43*P43)*IME!$M$8)</f>
        <v>0</v>
      </c>
      <c r="U43" s="19">
        <f>IFERROR(VLOOKUP(A43,'DSH (Cumulative)'!$1:$1048576,12,FALSE)*P43*'DSH (Cumulative)'!$AB$2,0)</f>
        <v>77233373.092230484</v>
      </c>
      <c r="V43" s="22">
        <f t="shared" si="9"/>
        <v>384760869.12887567</v>
      </c>
      <c r="W43" s="17">
        <f t="shared" si="10"/>
        <v>0</v>
      </c>
      <c r="X43" s="19">
        <f t="shared" si="11"/>
        <v>307527496.03664517</v>
      </c>
      <c r="Y43" s="15">
        <f t="shared" si="12"/>
        <v>10400.8825112718</v>
      </c>
      <c r="Z43" s="14">
        <f t="shared" si="15"/>
        <v>-5.6469003197059386E-3</v>
      </c>
      <c r="AA43" s="14">
        <f t="shared" si="16"/>
        <v>-5.3123824071391157E-2</v>
      </c>
      <c r="AB43" s="80">
        <v>1</v>
      </c>
      <c r="AC43" s="11">
        <f t="shared" si="14"/>
        <v>14726.966330903835</v>
      </c>
    </row>
    <row r="44" spans="1:29" ht="18.75" customHeight="1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19">
        <f>IFERROR(VLOOKUP(A44,'Variable Input'!$1:$1048576,6,FALSE),0)</f>
        <v>116884142.59409216</v>
      </c>
      <c r="E44" s="19">
        <f>IFERROR(D44/P44,0)</f>
        <v>22202.44906618509</v>
      </c>
      <c r="F44" s="19">
        <f>IFERROR(VLOOKUP(A44,'Drug Overhead'!$1:$1048576,13,FALSE)*VLOOKUP(A44,Volume!A:K,11,FALSE),0)</f>
        <v>812956.11219271156</v>
      </c>
      <c r="G44" s="19">
        <f t="shared" si="1"/>
        <v>117697098.70628487</v>
      </c>
      <c r="H44" s="19">
        <f t="shared" si="8"/>
        <v>22356.872209251502</v>
      </c>
      <c r="I44" s="36">
        <f>VLOOKUP(A44,'Variable Input'!$1:$1048576,8,FALSE)</f>
        <v>1.1120223070717381</v>
      </c>
      <c r="J44" s="19">
        <f t="shared" si="2"/>
        <v>105840591.46818182</v>
      </c>
      <c r="K44" s="63">
        <f>IFERROR(J44*(1-VLOOKUP(A44,PROFIT!$A$1:$IT$65527,7,FALSE)),J44)</f>
        <v>90279527.42070958</v>
      </c>
      <c r="L44" s="19">
        <f>IFERROR(VLOOKUP(A44,'Variable Input'!$1:$1048576,26,FALSE)*VLOOKUP(A44,Volume!A:K,11,FALSE),0)</f>
        <v>1538688.3210319907</v>
      </c>
      <c r="M44" s="22">
        <f t="shared" si="3"/>
        <v>88740839.099677593</v>
      </c>
      <c r="N44" s="36">
        <f>VLOOKUP(A44,'Variable Input'!$1:$1048576,23,FALSE)</f>
        <v>0.99671861092415948</v>
      </c>
      <c r="O44" s="22">
        <f t="shared" si="4"/>
        <v>89032990.983680844</v>
      </c>
      <c r="P44" s="27">
        <f>IFERROR(VLOOKUP(A44,'Variable Input'!$1:$1048576,7,FALSE),0)</f>
        <v>5264.4707007620054</v>
      </c>
      <c r="Q44" s="18">
        <f t="shared" si="5"/>
        <v>16912.049861117808</v>
      </c>
      <c r="R44" s="18">
        <f t="shared" si="6"/>
        <v>89032990.983680844</v>
      </c>
      <c r="S44" s="20">
        <f>IFERROR(VLOOKUP(A44,RESCMAD!$1:$1048576,8,FALSE),0)</f>
        <v>1.8078109788817528E-3</v>
      </c>
      <c r="T44" s="19">
        <f>IF(C44=5,(S44*P44)*IME!$M$7,(S44*P44)*IME!$M$8)</f>
        <v>1255513.0470423363</v>
      </c>
      <c r="U44" s="19">
        <f>IFERROR(VLOOKUP(A44,'DSH (Cumulative)'!$1:$1048576,12,FALSE)*P44*'DSH (Cumulative)'!$AB$2,0)</f>
        <v>18393968.772784505</v>
      </c>
      <c r="V44" s="22">
        <f t="shared" si="9"/>
        <v>87777477.936638504</v>
      </c>
      <c r="W44" s="17">
        <f t="shared" si="10"/>
        <v>-1.4101660891887469E-2</v>
      </c>
      <c r="X44" s="19">
        <f t="shared" si="11"/>
        <v>69383509.163854003</v>
      </c>
      <c r="Y44" s="15">
        <f t="shared" si="12"/>
        <v>13179.579317216276</v>
      </c>
      <c r="Z44" s="14">
        <f t="shared" si="15"/>
        <v>0.26000419025537314</v>
      </c>
      <c r="AA44" s="14">
        <f t="shared" si="16"/>
        <v>0.19984334509202828</v>
      </c>
      <c r="AB44" s="80">
        <v>1</v>
      </c>
      <c r="AC44" s="11">
        <f t="shared" si="14"/>
        <v>19069.884527839116</v>
      </c>
    </row>
    <row r="45" spans="1:29" ht="18.75" customHeight="1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19">
        <f>IFERROR(VLOOKUP(A45,'Variable Input'!$1:$1048576,6,FALSE),0)</f>
        <v>66025121.445559166</v>
      </c>
      <c r="E45" s="19">
        <f t="shared" si="0"/>
        <v>17753.409798893626</v>
      </c>
      <c r="F45" s="19">
        <f>IFERROR(VLOOKUP(A45,'Drug Overhead'!$1:$1048576,13,FALSE)*VLOOKUP(A45,Volume!A:K,11,FALSE),0)</f>
        <v>19937.503468893756</v>
      </c>
      <c r="G45" s="19">
        <f t="shared" si="1"/>
        <v>66045058.94902806</v>
      </c>
      <c r="H45" s="19">
        <f t="shared" si="8"/>
        <v>17758.770768501869</v>
      </c>
      <c r="I45" s="36">
        <f>VLOOKUP(A45,'Variable Input'!$1:$1048576,8,FALSE)</f>
        <v>1.1180896691644482</v>
      </c>
      <c r="J45" s="19">
        <f t="shared" si="2"/>
        <v>59069554.768700913</v>
      </c>
      <c r="K45" s="63">
        <f>IFERROR(J45*(1-VLOOKUP(A45,PROFIT!$A$1:$IT$65527,7,FALSE)),J45)</f>
        <v>53475907.039414257</v>
      </c>
      <c r="L45" s="19">
        <f>IFERROR(VLOOKUP(A45,'Variable Input'!$1:$1048576,26,FALSE)*VLOOKUP(A45,Volume!A:K,11,FALSE),0)</f>
        <v>0</v>
      </c>
      <c r="M45" s="22">
        <f t="shared" si="3"/>
        <v>53475907.039414257</v>
      </c>
      <c r="N45" s="36">
        <f>VLOOKUP(A45,'Variable Input'!$1:$1048576,23,FALSE)</f>
        <v>1.0181752931904677</v>
      </c>
      <c r="O45" s="22">
        <f t="shared" si="4"/>
        <v>52521316.70947022</v>
      </c>
      <c r="P45" s="27">
        <f>IFERROR(VLOOKUP(A45,'Variable Input'!$1:$1048576,7,FALSE),0)</f>
        <v>3719.0107248960016</v>
      </c>
      <c r="Q45" s="18">
        <f t="shared" si="5"/>
        <v>14122.389149856223</v>
      </c>
      <c r="R45" s="18">
        <f t="shared" si="6"/>
        <v>52521316.70947022</v>
      </c>
      <c r="S45" s="20">
        <f>IFERROR(VLOOKUP(A45,RESCMAD!$1:$1048576,8,FALSE),0)</f>
        <v>0</v>
      </c>
      <c r="T45" s="19">
        <f>IF(C45=5,(S45*P45)*IME!$M$7,(S45*P45)*IME!$M$8)</f>
        <v>0</v>
      </c>
      <c r="U45" s="19">
        <f>IFERROR(VLOOKUP(A45,'DSH (Cumulative)'!$1:$1048576,12,FALSE)*P45*'DSH (Cumulative)'!$AB$2,0)</f>
        <v>10773561.753169917</v>
      </c>
      <c r="V45" s="22">
        <f t="shared" si="9"/>
        <v>52521316.70947022</v>
      </c>
      <c r="W45" s="17">
        <f t="shared" si="10"/>
        <v>0</v>
      </c>
      <c r="X45" s="19">
        <f t="shared" si="11"/>
        <v>41747754.956300303</v>
      </c>
      <c r="Y45" s="15">
        <f t="shared" si="12"/>
        <v>11225.500017203563</v>
      </c>
      <c r="Z45" s="14">
        <f t="shared" si="15"/>
        <v>7.3188811187011149E-2</v>
      </c>
      <c r="AA45" s="14">
        <f t="shared" si="16"/>
        <v>2.1947754688801835E-2</v>
      </c>
      <c r="AB45" s="80">
        <v>1</v>
      </c>
      <c r="AC45" s="11">
        <f t="shared" si="14"/>
        <v>16077.087062350289</v>
      </c>
    </row>
    <row r="46" spans="1:29" ht="18.75" customHeight="1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19">
        <f>IFERROR(VLOOKUP(A46,'Variable Input'!$1:$1048576,6,FALSE),0)</f>
        <v>123504689.38214977</v>
      </c>
      <c r="E46" s="19">
        <f t="shared" si="0"/>
        <v>13704.704076803599</v>
      </c>
      <c r="F46" s="19">
        <f>IFERROR(VLOOKUP(A46,'Drug Overhead'!$1:$1048576,13,FALSE)*VLOOKUP(A46,Volume!A:K,11,FALSE),0)</f>
        <v>162866.28181904109</v>
      </c>
      <c r="G46" s="19">
        <f t="shared" si="1"/>
        <v>123667555.66396882</v>
      </c>
      <c r="H46" s="19">
        <f t="shared" si="8"/>
        <v>13722.776541967354</v>
      </c>
      <c r="I46" s="36">
        <f>VLOOKUP(A46,'Variable Input'!$1:$1048576,8,FALSE)</f>
        <v>1.1146605541082666</v>
      </c>
      <c r="J46" s="19">
        <f t="shared" si="2"/>
        <v>110946382.02470833</v>
      </c>
      <c r="K46" s="63">
        <f>IFERROR(J46*(1-VLOOKUP(A46,PROFIT!$A$1:$IT$65527,7,FALSE)),J46)</f>
        <v>90038150.647681341</v>
      </c>
      <c r="L46" s="19">
        <f>IFERROR(VLOOKUP(A46,'Variable Input'!$1:$1048576,26,FALSE)*VLOOKUP(A46,Volume!A:K,11,FALSE),0)</f>
        <v>0</v>
      </c>
      <c r="M46" s="22">
        <f t="shared" si="3"/>
        <v>90038150.647681341</v>
      </c>
      <c r="N46" s="36">
        <f>VLOOKUP(A46,'Variable Input'!$1:$1048576,23,FALSE)</f>
        <v>0.99671861092415948</v>
      </c>
      <c r="O46" s="22">
        <f t="shared" si="4"/>
        <v>90334573.530434817</v>
      </c>
      <c r="P46" s="27">
        <f>IFERROR(VLOOKUP(A46,'Variable Input'!$1:$1048576,7,FALSE),0)</f>
        <v>9011.8464937300014</v>
      </c>
      <c r="Q46" s="18">
        <f t="shared" si="5"/>
        <v>10023.980500920112</v>
      </c>
      <c r="R46" s="18">
        <f t="shared" si="6"/>
        <v>90334573.530434817</v>
      </c>
      <c r="S46" s="20">
        <f>IFERROR(VLOOKUP(A46,RESCMAD!$1:$1048576,8,FALSE),0)</f>
        <v>0</v>
      </c>
      <c r="T46" s="19">
        <f>IF(C46=5,(S46*P46)*IME!$M$7,(S46*P46)*IME!$M$8)</f>
        <v>0</v>
      </c>
      <c r="U46" s="19">
        <f>IFERROR(VLOOKUP(A46,'DSH (Cumulative)'!$1:$1048576,12,FALSE)*P46*'DSH (Cumulative)'!$AB$2,0)</f>
        <v>19313800.981826808</v>
      </c>
      <c r="V46" s="22">
        <f t="shared" si="9"/>
        <v>90334573.530434817</v>
      </c>
      <c r="W46" s="17">
        <f t="shared" si="10"/>
        <v>0</v>
      </c>
      <c r="X46" s="19">
        <f t="shared" si="11"/>
        <v>71020772.548608005</v>
      </c>
      <c r="Y46" s="15">
        <f t="shared" si="12"/>
        <v>7880.8236023572699</v>
      </c>
      <c r="Z46" s="14">
        <f t="shared" si="15"/>
        <v>-0.24657149347230134</v>
      </c>
      <c r="AA46" s="14">
        <f t="shared" si="16"/>
        <v>-0.28254510060266835</v>
      </c>
      <c r="AB46" s="80">
        <v>1</v>
      </c>
      <c r="AC46" s="11">
        <f t="shared" si="14"/>
        <v>11136.671597952205</v>
      </c>
    </row>
    <row r="47" spans="1:29" ht="18.75" customHeight="1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19">
        <f>IFERROR(VLOOKUP(A47,'Variable Input'!$1:$1048576,6,FALSE),0)</f>
        <v>312383262.27148259</v>
      </c>
      <c r="E47" s="19">
        <f t="shared" si="0"/>
        <v>17865.467549508132</v>
      </c>
      <c r="F47" s="19">
        <f>IFERROR(VLOOKUP(A47,'Drug Overhead'!$1:$1048576,13,FALSE)*VLOOKUP(A47,Volume!A:K,11,FALSE),0)</f>
        <v>89464.784530689489</v>
      </c>
      <c r="G47" s="19">
        <f t="shared" si="1"/>
        <v>312472727.05601329</v>
      </c>
      <c r="H47" s="19">
        <f t="shared" si="8"/>
        <v>17870.584117512561</v>
      </c>
      <c r="I47" s="36">
        <f>VLOOKUP(A47,'Variable Input'!$1:$1048576,8,FALSE)</f>
        <v>1.1171440000317876</v>
      </c>
      <c r="J47" s="19">
        <f t="shared" si="2"/>
        <v>279706758.52631539</v>
      </c>
      <c r="K47" s="63">
        <f>IFERROR(J47*(1-VLOOKUP(A47,PROFIT!$A$1:$IT$65527,7,FALSE)),J47)</f>
        <v>273575749.6115858</v>
      </c>
      <c r="L47" s="19">
        <f>IFERROR(VLOOKUP(A47,'Variable Input'!$1:$1048576,26,FALSE)*VLOOKUP(A47,Volume!A:K,11,FALSE),0)</f>
        <v>0</v>
      </c>
      <c r="M47" s="22">
        <f t="shared" si="3"/>
        <v>273575749.6115858</v>
      </c>
      <c r="N47" s="36">
        <f>VLOOKUP(A47,'Variable Input'!$1:$1048576,23,FALSE)</f>
        <v>1.0181752931904677</v>
      </c>
      <c r="O47" s="22">
        <f t="shared" si="4"/>
        <v>268692190.27534252</v>
      </c>
      <c r="P47" s="27">
        <f>IFERROR(VLOOKUP(A47,'Variable Input'!$1:$1048576,7,FALSE),0)</f>
        <v>17485.311336287028</v>
      </c>
      <c r="Q47" s="18">
        <f t="shared" si="5"/>
        <v>15366.737549461261</v>
      </c>
      <c r="R47" s="18">
        <f t="shared" si="6"/>
        <v>268692190.27534252</v>
      </c>
      <c r="S47" s="20">
        <f>IFERROR(VLOOKUP(A47,RESCMAD!$1:$1048576,8,FALSE),0)</f>
        <v>0</v>
      </c>
      <c r="T47" s="19">
        <f>IF(C47=5,(S47*P47)*IME!$M$7,(S47*P47)*IME!$M$8)</f>
        <v>0</v>
      </c>
      <c r="U47" s="19">
        <f>IFERROR(VLOOKUP(A47,'DSH (Cumulative)'!$1:$1048576,12,FALSE)*P47*'DSH (Cumulative)'!$AB$2,0)</f>
        <v>57666792.967253074</v>
      </c>
      <c r="V47" s="22">
        <f t="shared" si="9"/>
        <v>268692190.27534252</v>
      </c>
      <c r="W47" s="17">
        <f t="shared" si="10"/>
        <v>0</v>
      </c>
      <c r="X47" s="19">
        <f t="shared" si="11"/>
        <v>211025397.30808944</v>
      </c>
      <c r="Y47" s="15">
        <f t="shared" si="12"/>
        <v>12068.724042113639</v>
      </c>
      <c r="Z47" s="14">
        <f t="shared" si="15"/>
        <v>0.15380335730706918</v>
      </c>
      <c r="AA47" s="14">
        <f t="shared" si="16"/>
        <v>9.8713234857691123E-2</v>
      </c>
      <c r="AB47" s="80">
        <v>1</v>
      </c>
      <c r="AC47" s="11">
        <f t="shared" si="14"/>
        <v>17478.871342629478</v>
      </c>
    </row>
    <row r="48" spans="1:29" ht="18.75" customHeight="1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19">
        <f>IFERROR(VLOOKUP(A48,'Variable Input'!$1:$1048576,6,FALSE),0)</f>
        <v>440688737.8692503</v>
      </c>
      <c r="E48" s="19">
        <f t="shared" si="0"/>
        <v>14297.887951049015</v>
      </c>
      <c r="F48" s="19">
        <f>IFERROR(VLOOKUP(A48,'Drug Overhead'!$1:$1048576,13,FALSE)*VLOOKUP(A48,Volume!A:K,11,FALSE),0)</f>
        <v>167266.00793449368</v>
      </c>
      <c r="G48" s="19">
        <f t="shared" si="1"/>
        <v>440856003.87718481</v>
      </c>
      <c r="H48" s="19">
        <f t="shared" si="8"/>
        <v>14303.314798694431</v>
      </c>
      <c r="I48" s="36">
        <f>VLOOKUP(A48,'Variable Input'!$1:$1048576,8,FALSE)</f>
        <v>1.1140199775247721</v>
      </c>
      <c r="J48" s="19">
        <f t="shared" si="2"/>
        <v>395734378.89032978</v>
      </c>
      <c r="K48" s="63">
        <f>IFERROR(J48*(1-VLOOKUP(A48,PROFIT!$A$1:$IT$65527,7,FALSE)),J48)</f>
        <v>342668188.37490654</v>
      </c>
      <c r="L48" s="19">
        <f>IFERROR(VLOOKUP(A48,'Variable Input'!$1:$1048576,26,FALSE)*VLOOKUP(A48,Volume!A:K,11,FALSE),0)</f>
        <v>0</v>
      </c>
      <c r="M48" s="22">
        <f t="shared" si="3"/>
        <v>342668188.37490654</v>
      </c>
      <c r="N48" s="36">
        <f>VLOOKUP(A48,'Variable Input'!$1:$1048576,23,FALSE)</f>
        <v>0.99671861092415948</v>
      </c>
      <c r="O48" s="22">
        <f t="shared" si="4"/>
        <v>343796317.85663551</v>
      </c>
      <c r="P48" s="27">
        <f>IFERROR(VLOOKUP(A48,'Variable Input'!$1:$1048576,7,FALSE),0)</f>
        <v>30821.946526509015</v>
      </c>
      <c r="Q48" s="18">
        <f t="shared" si="5"/>
        <v>11154.27014192458</v>
      </c>
      <c r="R48" s="18">
        <f t="shared" si="6"/>
        <v>343796317.85663551</v>
      </c>
      <c r="S48" s="20">
        <f>IFERROR(VLOOKUP(A48,RESCMAD!$1:$1048576,8,FALSE),0)</f>
        <v>0</v>
      </c>
      <c r="T48" s="19">
        <f>IF(C48=5,(S48*P48)*IME!$M$7,(S48*P48)*IME!$M$8)</f>
        <v>0</v>
      </c>
      <c r="U48" s="19">
        <f>IFERROR(VLOOKUP(A48,'DSH (Cumulative)'!$1:$1048576,12,FALSE)*P48*'DSH (Cumulative)'!$AB$2,0)</f>
        <v>54758851.011572748</v>
      </c>
      <c r="V48" s="22">
        <f t="shared" si="9"/>
        <v>343796317.85663551</v>
      </c>
      <c r="W48" s="17">
        <f t="shared" si="10"/>
        <v>0</v>
      </c>
      <c r="X48" s="19">
        <f t="shared" si="11"/>
        <v>289037466.84506273</v>
      </c>
      <c r="Y48" s="15">
        <f t="shared" si="12"/>
        <v>9377.651297800754</v>
      </c>
      <c r="Z48" s="14">
        <f t="shared" si="15"/>
        <v>-0.10347063092159614</v>
      </c>
      <c r="AA48" s="14">
        <f t="shared" si="16"/>
        <v>-0.146276809642784</v>
      </c>
      <c r="AB48" s="80">
        <v>1</v>
      </c>
      <c r="AC48" s="11">
        <f t="shared" si="14"/>
        <v>12385.304970390027</v>
      </c>
    </row>
    <row r="49" spans="1:29" ht="18.75" customHeight="1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19">
        <f>IFERROR(VLOOKUP(A49,'Variable Input'!$1:$1048576,6,FALSE),0)</f>
        <v>145294510.05613631</v>
      </c>
      <c r="E49" s="19">
        <f t="shared" si="0"/>
        <v>14911.655443289068</v>
      </c>
      <c r="F49" s="19">
        <f>IFERROR(VLOOKUP(A49,'Drug Overhead'!$1:$1048576,13,FALSE)*VLOOKUP(A49,Volume!A:K,11,FALSE),0)</f>
        <v>8018.762740765379</v>
      </c>
      <c r="G49" s="19">
        <f t="shared" si="1"/>
        <v>145302528.81887707</v>
      </c>
      <c r="H49" s="19">
        <f t="shared" si="8"/>
        <v>14912.4784133175</v>
      </c>
      <c r="I49" s="36">
        <f>VLOOKUP(A49,'Variable Input'!$1:$1048576,8,FALSE)</f>
        <v>1.1083143930424924</v>
      </c>
      <c r="J49" s="19">
        <f t="shared" si="2"/>
        <v>131102266.40655585</v>
      </c>
      <c r="K49" s="63">
        <f>IFERROR(J49*(1-VLOOKUP(A49,PROFIT!$A$1:$IT$65527,7,FALSE)),J49)</f>
        <v>130637379.20251442</v>
      </c>
      <c r="L49" s="19">
        <f>IFERROR(VLOOKUP(A49,'Variable Input'!$1:$1048576,26,FALSE)*VLOOKUP(A49,Volume!A:K,11,FALSE),0)</f>
        <v>0</v>
      </c>
      <c r="M49" s="22">
        <f t="shared" si="3"/>
        <v>130637379.20251442</v>
      </c>
      <c r="N49" s="36">
        <f>VLOOKUP(A49,'Variable Input'!$1:$1048576,23,FALSE)</f>
        <v>1.0181752931904677</v>
      </c>
      <c r="O49" s="22">
        <f t="shared" si="4"/>
        <v>128305391.10133012</v>
      </c>
      <c r="P49" s="27">
        <f>IFERROR(VLOOKUP(A49,'Variable Input'!$1:$1048576,7,FALSE),0)</f>
        <v>9743.687453664008</v>
      </c>
      <c r="Q49" s="18">
        <f t="shared" si="5"/>
        <v>13168.05282512241</v>
      </c>
      <c r="R49" s="18">
        <f t="shared" si="6"/>
        <v>128305391.10133012</v>
      </c>
      <c r="S49" s="20">
        <f>IFERROR(VLOOKUP(A49,RESCMAD!$1:$1048576,8,FALSE),0)</f>
        <v>0</v>
      </c>
      <c r="T49" s="19">
        <f>IF(C49=5,(S49*P49)*IME!$M$7,(S49*P49)*IME!$M$8)</f>
        <v>0</v>
      </c>
      <c r="U49" s="19">
        <f>IFERROR(VLOOKUP(A49,'DSH (Cumulative)'!$1:$1048576,12,FALSE)*P49*'DSH (Cumulative)'!$AB$2,0)</f>
        <v>33946548.322272837</v>
      </c>
      <c r="V49" s="22">
        <f t="shared" si="9"/>
        <v>128305391.10133012</v>
      </c>
      <c r="W49" s="17">
        <f t="shared" si="10"/>
        <v>0</v>
      </c>
      <c r="X49" s="19">
        <f t="shared" si="11"/>
        <v>94358842.779057279</v>
      </c>
      <c r="Y49" s="15">
        <f t="shared" si="12"/>
        <v>9684.0999085592248</v>
      </c>
      <c r="Z49" s="14">
        <f t="shared" si="15"/>
        <v>-7.4173297193408039E-2</v>
      </c>
      <c r="AA49" s="14">
        <f t="shared" si="16"/>
        <v>-0.11837832234046619</v>
      </c>
      <c r="AB49" s="14"/>
      <c r="AC49" s="11">
        <f t="shared" si="14"/>
        <v>14859.598927821828</v>
      </c>
    </row>
    <row r="50" spans="1:29" ht="18.75" customHeight="1" x14ac:dyDescent="0.6">
      <c r="A50" s="37">
        <v>910003</v>
      </c>
      <c r="B50" s="26" t="str">
        <f>VLOOKUP(A50,'Variable Input'!$1:$1048576,2,FALSE)</f>
        <v>Prince Georges Hospital</v>
      </c>
      <c r="C50" s="33">
        <f>VLOOKUP(A50,'Variable Input'!$1:$1048576,4,FALSE)</f>
        <v>5</v>
      </c>
      <c r="D50" s="35">
        <f>SUMIF($A$1:$A$65535,210003,D$1:D$65535)</f>
        <v>379138438.61161411</v>
      </c>
      <c r="E50" s="19">
        <f t="shared" si="0"/>
        <v>22808.939516295475</v>
      </c>
      <c r="F50" s="35">
        <f>SUMIF($A$1:$A$65535,210003,F$1:F$65535)</f>
        <v>459671.4824954826</v>
      </c>
      <c r="G50" s="19">
        <f t="shared" si="1"/>
        <v>379598110.09410959</v>
      </c>
      <c r="H50" s="19">
        <f t="shared" si="8"/>
        <v>22836.59331758241</v>
      </c>
      <c r="I50" s="272">
        <f>SUMIF($A$1:$A$65535,210003,I$1:I$65535)</f>
        <v>1.1150592197193865</v>
      </c>
      <c r="J50" s="19">
        <f t="shared" si="2"/>
        <v>340428654.71274114</v>
      </c>
      <c r="K50" s="63">
        <f>IFERROR(J50*(1-VLOOKUP(A50,PROFIT!$A$1:$IT$65527,7,FALSE)),J50)</f>
        <v>319587725.13393217</v>
      </c>
      <c r="L50" s="35">
        <f>SUMIF($A$1:$A$65535,210003,L$1:L$65535)</f>
        <v>10600897.780621644</v>
      </c>
      <c r="M50" s="22">
        <f t="shared" si="3"/>
        <v>308986827.35331053</v>
      </c>
      <c r="N50" s="272">
        <f>SUMIF($A$1:$A$65535,210003,N$1:N$65535)</f>
        <v>1.0181752931904677</v>
      </c>
      <c r="O50" s="22">
        <f t="shared" si="4"/>
        <v>303471150.22315621</v>
      </c>
      <c r="P50" s="35">
        <f>SUMIF($A$1:$A$65535,210003,P$1:P$65535)</f>
        <v>16622.361523679996</v>
      </c>
      <c r="Q50" s="18">
        <f t="shared" si="5"/>
        <v>18256.801224713781</v>
      </c>
      <c r="R50" s="18">
        <f t="shared" si="6"/>
        <v>303471150.22315621</v>
      </c>
      <c r="S50" s="273">
        <f>SUMIF($A$1:$A$65535,210003,S$1:S$65535)</f>
        <v>2.8876763347746859E-3</v>
      </c>
      <c r="T50" s="19">
        <f>IF(C50=5,(S50*P50)*IME!$M$7,(S50*P50)*IME!$M$8)</f>
        <v>17413311.752313614</v>
      </c>
      <c r="U50" s="35">
        <f>SUMIF($A$1:$A$65535,210003,U$1:U$65535)</f>
        <v>70224081.820376605</v>
      </c>
      <c r="V50" s="22">
        <f t="shared" si="9"/>
        <v>286057838.4708426</v>
      </c>
      <c r="W50" s="17">
        <f t="shared" si="10"/>
        <v>-5.7380451945790556E-2</v>
      </c>
      <c r="X50" s="19">
        <f t="shared" si="11"/>
        <v>215833756.650466</v>
      </c>
      <c r="Y50" s="15">
        <f t="shared" si="12"/>
        <v>12984.54231927227</v>
      </c>
      <c r="Z50" s="14">
        <f t="shared" si="15"/>
        <v>2.7616574557499218E-2</v>
      </c>
      <c r="AA50" s="14">
        <f t="shared" si="16"/>
        <v>0.18208755498694096</v>
      </c>
      <c r="AB50" s="14"/>
      <c r="AC50" s="11">
        <f t="shared" si="14"/>
        <v>21438.544632305799</v>
      </c>
    </row>
    <row r="51" spans="1:29" ht="18.75" customHeight="1" x14ac:dyDescent="0.6">
      <c r="A51" s="37">
        <v>910008</v>
      </c>
      <c r="B51" s="26" t="str">
        <f>VLOOKUP(A51,'Variable Input'!$1:$1048576,2,FALSE)</f>
        <v>Mercy Medical Center</v>
      </c>
      <c r="C51" s="33">
        <f>VLOOKUP(A51,'Variable Input'!$1:$1048576,4,FALSE)</f>
        <v>5</v>
      </c>
      <c r="D51" s="35">
        <f>SUMIF($A$1:$A$65535,210008,D$1:D$65535)</f>
        <v>616154621.82218134</v>
      </c>
      <c r="E51" s="19">
        <f t="shared" si="0"/>
        <v>16568.781718879367</v>
      </c>
      <c r="F51" s="35">
        <f>SUMIF($A$1:$A$65535,210008,F$1:F$65535)</f>
        <v>14280591.48015156</v>
      </c>
      <c r="G51" s="19">
        <f t="shared" si="1"/>
        <v>630435213.30233288</v>
      </c>
      <c r="H51" s="19">
        <f t="shared" si="8"/>
        <v>16952.79572229847</v>
      </c>
      <c r="I51" s="272">
        <f>SUMIF($A$1:$A$65535,210008,I$1:I$65535)</f>
        <v>1.1102695565875482</v>
      </c>
      <c r="J51" s="19">
        <f t="shared" si="2"/>
        <v>567821759.64546597</v>
      </c>
      <c r="K51" s="63">
        <f>IFERROR(J51*(1-VLOOKUP(A51,PROFIT!$A$1:$IT$65527,7,FALSE)),J51)</f>
        <v>512198074.17627144</v>
      </c>
      <c r="L51" s="35">
        <f>SUMIF($A$1:$A$65535,210008,L$1:L$65535)</f>
        <v>5003207.6874727393</v>
      </c>
      <c r="M51" s="22">
        <f t="shared" si="3"/>
        <v>507194866.48879868</v>
      </c>
      <c r="N51" s="272">
        <f>SUMIF($A$1:$A$65535,210008,N$1:N$65535)</f>
        <v>0.99671861092415948</v>
      </c>
      <c r="O51" s="22">
        <f t="shared" si="4"/>
        <v>508864649.39038974</v>
      </c>
      <c r="P51" s="35">
        <f>SUMIF($A$1:$A$65535,210008,P$1:P$65535)</f>
        <v>37187.68418079293</v>
      </c>
      <c r="Q51" s="18">
        <f t="shared" si="5"/>
        <v>13683.687505693439</v>
      </c>
      <c r="R51" s="18">
        <f t="shared" si="6"/>
        <v>508864649.39038974</v>
      </c>
      <c r="S51" s="273">
        <f>SUMIF($A$1:$A$65535,210008,S$1:S$65535)</f>
        <v>1.3017891569452743E-3</v>
      </c>
      <c r="T51" s="19">
        <f>IF(C51=5,(S51*P51)*IME!$M$7,(S51*P51)*IME!$M$8)</f>
        <v>17562240.56613756</v>
      </c>
      <c r="U51" s="35">
        <f>SUMIF($A$1:$A$65535,210008,U$1:U$65535)</f>
        <v>107891180.4676746</v>
      </c>
      <c r="V51" s="22">
        <f t="shared" si="9"/>
        <v>491302408.82425219</v>
      </c>
      <c r="W51" s="17">
        <f t="shared" si="10"/>
        <v>-3.4512596988564237E-2</v>
      </c>
      <c r="X51" s="19">
        <f t="shared" si="11"/>
        <v>383411228.35657758</v>
      </c>
      <c r="Y51" s="15">
        <f t="shared" si="12"/>
        <v>10310.166841596596</v>
      </c>
      <c r="Z51" s="14">
        <f t="shared" si="15"/>
        <v>-0.18403759852572099</v>
      </c>
      <c r="AA51" s="14">
        <f t="shared" si="16"/>
        <v>-6.1382402735823849E-2</v>
      </c>
      <c r="AB51" s="14"/>
      <c r="AC51" s="11">
        <f t="shared" si="14"/>
        <v>15292.103857179725</v>
      </c>
    </row>
    <row r="52" spans="1:29" ht="18.75" customHeight="1" x14ac:dyDescent="0.6">
      <c r="A52" s="37">
        <v>910012</v>
      </c>
      <c r="B52" s="26" t="str">
        <f>VLOOKUP(A52,'Variable Input'!$1:$1048576,2,FALSE)</f>
        <v>Sinai Hospital</v>
      </c>
      <c r="C52" s="33">
        <f>VLOOKUP(A52,'Variable Input'!$1:$1048576,4,FALSE)</f>
        <v>5</v>
      </c>
      <c r="D52" s="35">
        <f>SUMIF($A$1:$A$65535,210012,D$1:D$65535)</f>
        <v>820426817.23668432</v>
      </c>
      <c r="E52" s="19">
        <f t="shared" si="0"/>
        <v>20911.421335996161</v>
      </c>
      <c r="F52" s="35">
        <f>SUMIF($A$1:$A$65535,210012,F$1:F$65535)</f>
        <v>33441958.098435093</v>
      </c>
      <c r="G52" s="19">
        <f t="shared" si="1"/>
        <v>853868775.33511937</v>
      </c>
      <c r="H52" s="19">
        <f t="shared" si="8"/>
        <v>21763.805560164397</v>
      </c>
      <c r="I52" s="272">
        <f>SUMIF($A$1:$A$65535,210012,I$1:I$65535)</f>
        <v>1.1214469245143464</v>
      </c>
      <c r="J52" s="19">
        <f t="shared" si="2"/>
        <v>761399185.88202083</v>
      </c>
      <c r="K52" s="63">
        <f>IFERROR(J52*(1-VLOOKUP(A52,PROFIT!$A$1:$IT$65527,7,FALSE)),J52)</f>
        <v>653192721.82398355</v>
      </c>
      <c r="L52" s="35">
        <f>SUMIF($A$1:$A$65535,210012,L$1:L$65535)</f>
        <v>20760568.355981968</v>
      </c>
      <c r="M52" s="22">
        <f t="shared" si="3"/>
        <v>632432153.4680016</v>
      </c>
      <c r="N52" s="272">
        <f>SUMIF($A$1:$A$65535,210012,N$1:N$65535)</f>
        <v>0.99671861092415948</v>
      </c>
      <c r="O52" s="22">
        <f t="shared" si="4"/>
        <v>634514241.5687505</v>
      </c>
      <c r="P52" s="35">
        <f>SUMIF($A$1:$A$65535,210012,P$1:P$65535)</f>
        <v>39233.431532673072</v>
      </c>
      <c r="Q52" s="18">
        <f t="shared" si="5"/>
        <v>16172.794904272791</v>
      </c>
      <c r="R52" s="18">
        <f t="shared" si="6"/>
        <v>634514241.5687505</v>
      </c>
      <c r="S52" s="273">
        <f>SUMIF($A$1:$A$65535,210012,S$1:S$65535)</f>
        <v>3.2115467619769343E-3</v>
      </c>
      <c r="T52" s="19">
        <f>IF(C52=5,(S52*P52)*IME!$M$7,(S52*P52)*IME!$M$8)</f>
        <v>45709943.349823207</v>
      </c>
      <c r="U52" s="35">
        <f>SUMIF($A$1:$A$65535,210012,U$1:U$65535)</f>
        <v>148981363.33180904</v>
      </c>
      <c r="V52" s="22">
        <f t="shared" si="9"/>
        <v>588804298.21892726</v>
      </c>
      <c r="W52" s="17">
        <f t="shared" si="10"/>
        <v>-7.2039270918193399E-2</v>
      </c>
      <c r="X52" s="19">
        <f t="shared" si="11"/>
        <v>439822934.88711822</v>
      </c>
      <c r="Y52" s="15">
        <f t="shared" si="12"/>
        <v>11210.412082380293</v>
      </c>
      <c r="Z52" s="14">
        <f t="shared" si="15"/>
        <v>-0.11279081078005315</v>
      </c>
      <c r="AA52" s="14">
        <f t="shared" si="16"/>
        <v>2.0574178358847561E-2</v>
      </c>
      <c r="AB52" s="14"/>
      <c r="AC52" s="11">
        <f t="shared" si="14"/>
        <v>18670.836080056564</v>
      </c>
    </row>
    <row r="53" spans="1:29" ht="18.75" customHeight="1" x14ac:dyDescent="0.6">
      <c r="A53" s="37">
        <v>910024</v>
      </c>
      <c r="B53" s="26" t="str">
        <f>VLOOKUP(A53,'Variable Input'!$1:$1048576,2,FALSE)</f>
        <v>Union Memorial Hospital</v>
      </c>
      <c r="C53" s="33">
        <f>VLOOKUP(A53,'Variable Input'!$1:$1048576,4,FALSE)</f>
        <v>5</v>
      </c>
      <c r="D53" s="35">
        <f>SUMIF($A$1:$A$65535,210024,D$1:D$65535)</f>
        <v>481457430.39623797</v>
      </c>
      <c r="E53" s="19">
        <f t="shared" si="0"/>
        <v>17832.24417168623</v>
      </c>
      <c r="F53" s="35">
        <f>SUMIF($A$1:$A$65535,210024,F$1:F$65535)</f>
        <v>139248.72459896962</v>
      </c>
      <c r="G53" s="19">
        <f t="shared" si="1"/>
        <v>481596679.12083691</v>
      </c>
      <c r="H53" s="19">
        <f t="shared" si="8"/>
        <v>17837.401672850145</v>
      </c>
      <c r="I53" s="272">
        <f>SUMIF($A$1:$A$65535,210024,I$1:I$65535)</f>
        <v>1.1223202362274129</v>
      </c>
      <c r="J53" s="19">
        <f t="shared" si="2"/>
        <v>429108077.69062823</v>
      </c>
      <c r="K53" s="63">
        <f>IFERROR(J53*(1-VLOOKUP(A53,PROFIT!$A$1:$IT$65527,7,FALSE)),J53)</f>
        <v>410123688.55888373</v>
      </c>
      <c r="L53" s="35">
        <f>SUMIF($A$1:$A$65535,210024,L$1:L$65535)</f>
        <v>12196844.09297953</v>
      </c>
      <c r="M53" s="22">
        <f t="shared" si="3"/>
        <v>397926844.46590418</v>
      </c>
      <c r="N53" s="272">
        <f>SUMIF($A$1:$A$65535,210024,N$1:N$65535)</f>
        <v>0.99671861092415948</v>
      </c>
      <c r="O53" s="22">
        <f t="shared" si="4"/>
        <v>399236896.05529249</v>
      </c>
      <c r="P53" s="35">
        <f>SUMIF($A$1:$A$65535,210024,P$1:P$65535)</f>
        <v>26999.26188542712</v>
      </c>
      <c r="Q53" s="18">
        <f t="shared" si="5"/>
        <v>14786.955945294972</v>
      </c>
      <c r="R53" s="18">
        <f t="shared" si="6"/>
        <v>399236896.05529249</v>
      </c>
      <c r="S53" s="273">
        <f>SUMIF($A$1:$A$65535,210024,S$1:S$65535)</f>
        <v>3.2593483619453344E-3</v>
      </c>
      <c r="T53" s="19">
        <f>IF(C53=5,(S53*P53)*IME!$M$7,(S53*P53)*IME!$M$8)</f>
        <v>31924404.879241612</v>
      </c>
      <c r="U53" s="35">
        <f>SUMIF($A$1:$A$65535,210024,U$1:U$65535)</f>
        <v>88523347.724761173</v>
      </c>
      <c r="V53" s="22">
        <f t="shared" si="9"/>
        <v>367312491.1760509</v>
      </c>
      <c r="W53" s="17">
        <f t="shared" si="10"/>
        <v>-7.9963563474905408E-2</v>
      </c>
      <c r="X53" s="19">
        <f t="shared" si="11"/>
        <v>278789143.45128971</v>
      </c>
      <c r="Y53" s="15">
        <f t="shared" si="12"/>
        <v>10325.806114046638</v>
      </c>
      <c r="Z53" s="14">
        <f t="shared" si="15"/>
        <v>-0.18279988254093582</v>
      </c>
      <c r="AA53" s="14">
        <f t="shared" si="16"/>
        <v>-5.9958633697402952E-2</v>
      </c>
      <c r="AB53" s="14"/>
      <c r="AC53" s="11">
        <f t="shared" si="14"/>
        <v>17048.248095786144</v>
      </c>
    </row>
    <row r="54" spans="1:29" ht="18.75" customHeight="1" x14ac:dyDescent="0.6">
      <c r="A54" s="37">
        <v>910029</v>
      </c>
      <c r="B54" s="26" t="str">
        <f>VLOOKUP(A54,'Variable Input'!$1:$1048576,2,FALSE)</f>
        <v>Johns Hopkins Bayview Medical Center</v>
      </c>
      <c r="C54" s="33">
        <f>VLOOKUP(A54,'Variable Input'!$1:$1048576,4,FALSE)</f>
        <v>5</v>
      </c>
      <c r="D54" s="35">
        <f>SUMIF($A$1:$A$65535,210029,D$1:D$65535)</f>
        <v>685641223.73208022</v>
      </c>
      <c r="E54" s="19">
        <f t="shared" si="0"/>
        <v>19291.665494546265</v>
      </c>
      <c r="F54" s="35">
        <f>SUMIF($A$1:$A$65535,210029,F$1:F$65535)</f>
        <v>28922398.799876198</v>
      </c>
      <c r="G54" s="19">
        <f t="shared" si="1"/>
        <v>714563622.53195643</v>
      </c>
      <c r="H54" s="19">
        <f t="shared" si="8"/>
        <v>20105.44568108462</v>
      </c>
      <c r="I54" s="272">
        <f>SUMIF($A$1:$A$65535,210029,I$1:I$65535)</f>
        <v>1.1160480491569686</v>
      </c>
      <c r="J54" s="19">
        <f t="shared" si="2"/>
        <v>640262417.97718096</v>
      </c>
      <c r="K54" s="63">
        <f>IFERROR(J54*(1-VLOOKUP(A54,PROFIT!$A$1:$IT$65527,7,FALSE)),J54)</f>
        <v>649367261.8051877</v>
      </c>
      <c r="L54" s="35">
        <f>SUMIF($A$1:$A$65535,210029,L$1:L$65535)</f>
        <v>27476780.845164478</v>
      </c>
      <c r="M54" s="22">
        <f t="shared" si="3"/>
        <v>621890480.96002316</v>
      </c>
      <c r="N54" s="272">
        <f>SUMIF($A$1:$A$65535,210029,N$1:N$65535)</f>
        <v>0.99671861092415948</v>
      </c>
      <c r="O54" s="22">
        <f t="shared" si="4"/>
        <v>623937863.8504653</v>
      </c>
      <c r="P54" s="35">
        <f>SUMIF($A$1:$A$65535,210029,P$1:P$65535)</f>
        <v>35540.799933832066</v>
      </c>
      <c r="Q54" s="18">
        <f t="shared" si="5"/>
        <v>17555.53800173544</v>
      </c>
      <c r="R54" s="18">
        <f t="shared" si="6"/>
        <v>623937863.8504653</v>
      </c>
      <c r="S54" s="273">
        <f>SUMIF($A$1:$A$65535,210029,S$1:S$65535)</f>
        <v>3.9704286039970822E-3</v>
      </c>
      <c r="T54" s="19">
        <f>IF(C54=5,(S54*P54)*IME!$M$7,(S54*P54)*IME!$M$8)</f>
        <v>51192310.032552004</v>
      </c>
      <c r="U54" s="35">
        <f>SUMIF($A$1:$A$65535,210029,U$1:U$65535)</f>
        <v>118737638.31727661</v>
      </c>
      <c r="V54" s="22">
        <f t="shared" si="9"/>
        <v>572745553.81791329</v>
      </c>
      <c r="W54" s="17">
        <f t="shared" si="10"/>
        <v>-8.2047128405755676E-2</v>
      </c>
      <c r="X54" s="19">
        <f t="shared" si="11"/>
        <v>454007915.5006367</v>
      </c>
      <c r="Y54" s="15">
        <f t="shared" si="12"/>
        <v>12774.273970925922</v>
      </c>
      <c r="Z54" s="14">
        <f t="shared" si="15"/>
        <v>1.097561528819746E-2</v>
      </c>
      <c r="AA54" s="14">
        <f t="shared" si="16"/>
        <v>0.16294513227567142</v>
      </c>
      <c r="AB54" s="14"/>
      <c r="AC54" s="11">
        <f t="shared" si="14"/>
        <v>20391.354923730923</v>
      </c>
    </row>
    <row r="55" spans="1:29" ht="17.7" x14ac:dyDescent="0.6">
      <c r="A55" s="26"/>
      <c r="B55" s="26"/>
      <c r="C55" s="31"/>
      <c r="D55" s="19"/>
      <c r="E55" s="19"/>
      <c r="F55" s="19"/>
      <c r="G55" s="19"/>
      <c r="H55" s="19"/>
      <c r="I55" s="21"/>
      <c r="J55" s="19"/>
      <c r="K55" s="63"/>
      <c r="L55" s="19"/>
      <c r="M55" s="22"/>
      <c r="N55" s="21"/>
      <c r="O55" s="22"/>
      <c r="Q55" s="22"/>
      <c r="R55" s="22"/>
      <c r="S55" s="20"/>
      <c r="T55" s="19"/>
      <c r="U55" s="19"/>
      <c r="V55" s="19"/>
      <c r="W55" s="17"/>
      <c r="X55" s="19"/>
      <c r="Y55" s="15"/>
      <c r="Z55" s="16"/>
      <c r="AA55" s="14"/>
      <c r="AB55" s="14"/>
    </row>
    <row r="56" spans="1:29" ht="17.7" x14ac:dyDescent="0.6">
      <c r="A56" s="26"/>
      <c r="B56" s="26"/>
      <c r="C56" s="31"/>
      <c r="D56" s="19"/>
      <c r="E56" s="64"/>
      <c r="F56" s="65"/>
      <c r="G56" s="65"/>
      <c r="H56" s="65"/>
      <c r="I56" s="65"/>
      <c r="J56" s="65"/>
      <c r="K56" s="63"/>
      <c r="L56" s="65"/>
      <c r="M56" s="65"/>
      <c r="N56" s="67"/>
      <c r="O56" s="65"/>
      <c r="P56" s="67"/>
      <c r="Q56" s="67"/>
      <c r="R56" s="65"/>
      <c r="S56" s="275"/>
      <c r="T56" s="65"/>
      <c r="U56" s="66"/>
      <c r="V56" s="65"/>
      <c r="W56" s="17"/>
      <c r="X56" s="65"/>
      <c r="Y56" s="67"/>
      <c r="Z56" s="16"/>
      <c r="AA56" s="14"/>
      <c r="AB56" s="14"/>
    </row>
    <row r="57" spans="1:29" ht="17.7" x14ac:dyDescent="0.6">
      <c r="A57" s="26"/>
      <c r="B57" s="26"/>
      <c r="C57" s="31"/>
      <c r="D57" s="19"/>
      <c r="E57" s="19"/>
      <c r="F57" s="65"/>
      <c r="G57" s="65"/>
      <c r="H57" s="65"/>
      <c r="I57" s="65"/>
      <c r="J57" s="65"/>
      <c r="K57" s="63"/>
      <c r="L57" s="65"/>
      <c r="M57" s="65"/>
      <c r="N57" s="21"/>
      <c r="O57" s="65"/>
      <c r="Q57" s="22"/>
      <c r="R57" s="65"/>
      <c r="S57" s="20"/>
      <c r="T57" s="65"/>
      <c r="U57" s="66"/>
      <c r="V57" s="65"/>
      <c r="W57" s="17"/>
      <c r="X57" s="65"/>
      <c r="Y57" s="15"/>
      <c r="Z57" s="16"/>
      <c r="AA57" s="14"/>
      <c r="AB57" s="14"/>
    </row>
    <row r="58" spans="1:29" ht="17.7" x14ac:dyDescent="0.6">
      <c r="A58" s="26"/>
      <c r="B58" s="26"/>
      <c r="C58" s="31"/>
      <c r="D58" s="19"/>
      <c r="E58" s="19"/>
      <c r="F58" s="64"/>
      <c r="G58" s="64"/>
      <c r="H58" s="19"/>
      <c r="I58" s="21"/>
      <c r="J58" s="64"/>
      <c r="K58" s="63"/>
      <c r="L58" s="64"/>
      <c r="M58" s="64"/>
      <c r="N58" s="21"/>
      <c r="O58" s="64"/>
      <c r="Q58" s="22"/>
      <c r="R58" s="65"/>
      <c r="S58" s="20"/>
      <c r="T58" s="64"/>
      <c r="U58" s="19"/>
      <c r="V58" s="64"/>
      <c r="W58" s="17"/>
      <c r="X58" s="64"/>
      <c r="Y58" s="15"/>
      <c r="Z58" s="16"/>
      <c r="AA58" s="14"/>
      <c r="AB58" s="14"/>
    </row>
    <row r="59" spans="1:29" ht="17.7" x14ac:dyDescent="0.6">
      <c r="A59" s="26"/>
      <c r="B59" s="26"/>
      <c r="C59" s="31"/>
      <c r="D59" s="19"/>
      <c r="E59" s="19"/>
      <c r="F59" s="19"/>
      <c r="G59" s="19"/>
      <c r="H59" s="19"/>
      <c r="I59" s="21"/>
      <c r="J59" s="19"/>
      <c r="K59" s="63"/>
      <c r="L59" s="19"/>
      <c r="M59" s="22"/>
      <c r="N59" s="21"/>
      <c r="O59" s="22"/>
      <c r="Q59" s="22"/>
      <c r="R59" s="22"/>
      <c r="S59" s="20"/>
      <c r="T59" s="19"/>
      <c r="U59" s="19"/>
      <c r="V59" s="19"/>
      <c r="W59" s="17"/>
      <c r="X59" s="19"/>
      <c r="Y59" s="15"/>
      <c r="Z59" s="16"/>
      <c r="AA59" s="14"/>
      <c r="AB59" s="14"/>
    </row>
    <row r="60" spans="1:29" ht="17.7" x14ac:dyDescent="0.6">
      <c r="A60" s="26"/>
      <c r="B60" s="26"/>
      <c r="C60" s="31"/>
      <c r="D60" s="19"/>
      <c r="E60" s="19"/>
      <c r="F60" s="19"/>
      <c r="G60" s="19"/>
      <c r="H60" s="19"/>
      <c r="I60" s="21"/>
      <c r="J60" s="19"/>
      <c r="K60" s="63"/>
      <c r="L60" s="19"/>
      <c r="M60" s="22"/>
      <c r="N60" s="21"/>
      <c r="O60" s="22"/>
      <c r="Q60" s="22"/>
      <c r="R60" s="22"/>
      <c r="S60" s="20"/>
      <c r="T60" s="19"/>
      <c r="U60" s="19"/>
      <c r="V60" s="19"/>
      <c r="W60" s="17"/>
      <c r="X60" s="19"/>
      <c r="Y60" s="15"/>
      <c r="Z60" s="16"/>
      <c r="AA60" s="14"/>
      <c r="AB60" s="14"/>
    </row>
    <row r="61" spans="1:29" ht="17.7" x14ac:dyDescent="0.6">
      <c r="A61" s="32" t="s">
        <v>78</v>
      </c>
      <c r="B61" s="26" t="s">
        <v>77</v>
      </c>
      <c r="C61" s="31"/>
      <c r="D61" s="19">
        <f>SUBTOTAL(9,D2:D59)</f>
        <v>20693365768.602127</v>
      </c>
      <c r="E61" s="19">
        <f>D61/P61</f>
        <v>17732.364353846948</v>
      </c>
      <c r="F61" s="19">
        <f>SUBTOTAL(9,F2:F59)</f>
        <v>484389338.39749277</v>
      </c>
      <c r="G61" s="19">
        <f>SUBTOTAL(9,G2:G59)</f>
        <v>21177755106.99963</v>
      </c>
      <c r="H61" s="19">
        <f>G61/P61</f>
        <v>18147.442709568859</v>
      </c>
      <c r="I61" s="21">
        <f>D61/J61</f>
        <v>1.0900365956927256</v>
      </c>
      <c r="J61" s="19">
        <f>SUBTOTAL(9,J3:J54)</f>
        <v>18984101864.443691</v>
      </c>
      <c r="K61" s="63">
        <f>SUBTOTAL(9,K2:K59)</f>
        <v>17534235415.857346</v>
      </c>
      <c r="L61" s="19">
        <f>SUBTOTAL(9,L2:L59)</f>
        <v>393431841.98609471</v>
      </c>
      <c r="M61" s="22">
        <f>SUBTOTAL(9,M2:M59)</f>
        <v>17140803573.871252</v>
      </c>
      <c r="N61" s="21">
        <f>M61/O61</f>
        <v>1.0003990850221076</v>
      </c>
      <c r="O61" s="22">
        <f>SUBTOTAL(9,O2:O59)</f>
        <v>17133965664.80512</v>
      </c>
      <c r="P61" s="27">
        <f>SUBTOTAL(9,P2:P59)</f>
        <v>1166982.8882188969</v>
      </c>
      <c r="Q61" s="18">
        <f>+O61/P61</f>
        <v>14682.276696409635</v>
      </c>
      <c r="R61" s="22">
        <f>SUBTOTAL(9,R2:R59)</f>
        <v>17133965664.80512</v>
      </c>
      <c r="S61" s="20"/>
      <c r="T61" s="22">
        <f>SUBTOTAL(9,T2:T59)</f>
        <v>713380140.25957179</v>
      </c>
      <c r="U61" s="22">
        <f>SUBTOTAL(9,U2:U54)</f>
        <v>3539088610.6691628</v>
      </c>
      <c r="V61" s="22">
        <f>SUBTOTAL(9,V2:V59)</f>
        <v>16420585524.545549</v>
      </c>
      <c r="W61" s="17">
        <f>(V61/R61)-1</f>
        <v>-4.1635436548406624E-2</v>
      </c>
      <c r="X61" s="22">
        <f>SUBTOTAL(9,X2:X59)</f>
        <v>12881496913.876389</v>
      </c>
      <c r="Y61" s="38">
        <f>X61/P61</f>
        <v>11038.29117283521</v>
      </c>
      <c r="Z61" s="14"/>
      <c r="AA61" s="14">
        <f>Y61/$Y$62-1</f>
        <v>4.9046245060107019E-3</v>
      </c>
      <c r="AB61" s="14"/>
    </row>
    <row r="62" spans="1:29" ht="17.7" x14ac:dyDescent="0.6">
      <c r="A62" s="29">
        <v>99</v>
      </c>
      <c r="B62" s="25" t="s">
        <v>76</v>
      </c>
      <c r="C62" s="31"/>
      <c r="D62" s="19">
        <f>SUM(D3:D54)-SUMPRODUCT((LEFT($A$3:$A$54,1)+0=9)*D3:D54)</f>
        <v>17710547236.803329</v>
      </c>
      <c r="E62" s="19">
        <f>D62/P62</f>
        <v>17510.933986134045</v>
      </c>
      <c r="F62" s="19">
        <f>SUM(F3:F54)-SUMPRODUCT((LEFT($A$3:$A$54,1)+0=9)*F3:F54)</f>
        <v>407145469.81193542</v>
      </c>
      <c r="G62" s="19">
        <f>SUM(G3:G54)-SUMPRODUCT((LEFT($A$3:$A$54,1)+0=9)*G3:G54)</f>
        <v>18117692706.615276</v>
      </c>
      <c r="H62" s="19">
        <f>G62/P62</f>
        <v>17913.490572856284</v>
      </c>
      <c r="I62" s="21">
        <f>D62/J62</f>
        <v>1.090209793286856</v>
      </c>
      <c r="J62" s="19">
        <f>SUM(J3:J54)-SUMPRODUCT((LEFT($A$3:$A$54,1)+0=9)*J3:J54)</f>
        <v>16245081768.535654</v>
      </c>
      <c r="K62" s="63">
        <f>SUM(K3:K54)-SUMPRODUCT((LEFT($A$3:$A$54,1)+0=9)*K3:K54)</f>
        <v>14989765944.359087</v>
      </c>
      <c r="L62" s="19">
        <f>SUM(L3:L54)-SUMPRODUCT((LEFT($A$3:$A$54,1)+0=9)*L3:L54)</f>
        <v>317393543.22387433</v>
      </c>
      <c r="M62" s="22">
        <f>SUM(M3:M54)-SUMPRODUCT((LEFT($A$3:$A$54,1)+0=9)*M3:M54)</f>
        <v>14672372401.135214</v>
      </c>
      <c r="N62" s="21">
        <f>M62/O62</f>
        <v>1.000574984412206</v>
      </c>
      <c r="O62" s="22">
        <f>SUM(O3:O54)-SUMPRODUCT((LEFT($A$3:$A$54,1)+0=9)*O3:O54)</f>
        <v>14663940863.717066</v>
      </c>
      <c r="P62" s="27">
        <f>SUM(P3:P54)-SUMPRODUCT((LEFT($A$3:$A$54,1)+0=9)*P3:P54)</f>
        <v>1011399.3491624917</v>
      </c>
      <c r="Q62" s="18">
        <f>+O62/P62</f>
        <v>14498.665513142576</v>
      </c>
      <c r="R62" s="22">
        <f>SUM(R3:R54)-SUMPRODUCT((LEFT($A$3:$A$54,1)+0=9)*R3:R54)</f>
        <v>14663940863.717066</v>
      </c>
      <c r="S62" s="20">
        <f>VLOOKUP(B62,RESCMAD!$1:$1048576,8,FALSE)</f>
        <v>2.0291140123764734E-3</v>
      </c>
      <c r="T62" s="22">
        <f>SUM(T3:T54)-SUMPRODUCT((LEFT($A$3:$A$54,1)+0=9)*T3:T54)</f>
        <v>549577929.6795038</v>
      </c>
      <c r="U62" s="22">
        <f>SUM(U3:U54)-SUMPRODUCT((LEFT($A$3:$A$54,1)+0=9)*U3:U54)</f>
        <v>3004730999.0072646</v>
      </c>
      <c r="V62" s="22">
        <f>SUM(V3:V54)-SUMPRODUCT((LEFT($A$3:$A$54,1)+0=9)*V3:V54)</f>
        <v>14114362934.037563</v>
      </c>
      <c r="W62" s="17">
        <f>(V62/R62)-1</f>
        <v>-3.7478187806889052E-2</v>
      </c>
      <c r="X62" s="19">
        <f>SUM(X3:X54)-SUMPRODUCT((LEFT($A$3:$A$54,1)+0=9)*X3:X54)</f>
        <v>11109631935.0303</v>
      </c>
      <c r="Y62" s="15">
        <f>X62/P62</f>
        <v>10984.416733340633</v>
      </c>
      <c r="Z62" s="14"/>
      <c r="AA62" s="14">
        <f>Y62/$Y$62-1</f>
        <v>0</v>
      </c>
      <c r="AB62" s="14"/>
      <c r="AC62" s="11">
        <f>IFERROR(K62/J62*G62/P62,0)</f>
        <v>16529.250807076929</v>
      </c>
    </row>
    <row r="63" spans="1:29" x14ac:dyDescent="0.5">
      <c r="T63" s="12"/>
      <c r="V63" s="12"/>
    </row>
    <row r="64" spans="1:29" x14ac:dyDescent="0.5">
      <c r="T64" s="12"/>
      <c r="V64" s="12"/>
    </row>
    <row r="65" spans="1:29" ht="17.7" x14ac:dyDescent="0.6">
      <c r="A65" s="31">
        <v>1</v>
      </c>
      <c r="B65" s="25" t="s">
        <v>75</v>
      </c>
      <c r="C65" s="31"/>
      <c r="D65" s="15">
        <f>SUMIF($C$1:$C$65535,1,D$1:D$65535)</f>
        <v>14054579503.392643</v>
      </c>
      <c r="E65" s="19">
        <f>D65/P65</f>
        <v>16563.319811929276</v>
      </c>
      <c r="F65" s="15">
        <f>SUMIF($C$1:$C$65535,1,F$1:F$65535)</f>
        <v>219413119.60816106</v>
      </c>
      <c r="G65" s="15">
        <f>SUMIF($C$1:$C$65535,1,G$1:G$65535)</f>
        <v>14273992623.000803</v>
      </c>
      <c r="H65" s="19">
        <f>G65/P65</f>
        <v>16821.89814009098</v>
      </c>
      <c r="I65" s="21">
        <f>D65/J65</f>
        <v>1.0993762674816792</v>
      </c>
      <c r="J65" s="15">
        <f>SUMIF($C$1:$C$65535,1,J$1:J$65535)</f>
        <v>12784139442.619776</v>
      </c>
      <c r="K65" s="62">
        <f>SUMIF($C$1:$C$65535,1,K$1:K$65535)</f>
        <v>11643557421.231026</v>
      </c>
      <c r="L65" s="15">
        <f>SUMIF($C$1:$C$65535,1,L$1:L$65535)</f>
        <v>135726645.33431077</v>
      </c>
      <c r="M65" s="18">
        <f>SUMIF($C$1:$C$65535,1,M$1:M$65535)</f>
        <v>11507830775.896715</v>
      </c>
      <c r="N65" s="21">
        <f>M65/O65</f>
        <v>1.0015807548338291</v>
      </c>
      <c r="O65" s="18">
        <f>SUMIF($C$1:$C$65535,1,O$1:O$65535)</f>
        <v>11489668426.991655</v>
      </c>
      <c r="P65" s="16">
        <f>SUMIF($C$1:$C$65535,1,P$1:P$65535)</f>
        <v>848536.38418973342</v>
      </c>
      <c r="Q65" s="18">
        <f>+O65/P65</f>
        <v>13540.572497622632</v>
      </c>
      <c r="R65" s="18">
        <f>SUMIF($C$1:$C$65535,1,R$1:R$65535)</f>
        <v>11489668426.991655</v>
      </c>
      <c r="S65" s="20">
        <f>VLOOKUP(B65,RESCMAD!$1:$1048576,8,FALSE)</f>
        <v>9.9509813604894862E-4</v>
      </c>
      <c r="T65" s="18">
        <f>SUMIF($C$1:$C$65535,1,T$1:T$65535)</f>
        <v>111390942.7185404</v>
      </c>
      <c r="U65" s="18">
        <f>SUMIF($C$1:$C$65535,1,U$1:U$65535)</f>
        <v>2502630351.1426358</v>
      </c>
      <c r="V65" s="18">
        <f>SUMIF($C$1:$C$65535,1,V$1:V$65535)</f>
        <v>11378277484.273115</v>
      </c>
      <c r="W65" s="17">
        <f>(V65/R65)-1</f>
        <v>-9.6948787883955889E-3</v>
      </c>
      <c r="X65" s="15">
        <f>SUMIF($C$1:$C$65535,1,X$1:X$65535)</f>
        <v>8875647133.1304798</v>
      </c>
      <c r="Y65" s="15">
        <f>X65/P65</f>
        <v>10459.948799491758</v>
      </c>
      <c r="Z65" s="14"/>
      <c r="AA65" s="14">
        <f>Y65/$Y$62-1</f>
        <v>-4.7746543724709101E-2</v>
      </c>
      <c r="AB65" s="14"/>
      <c r="AC65" s="11">
        <f>IFERROR(K65/J65*G65/P65,0)</f>
        <v>15321.073257013144</v>
      </c>
    </row>
    <row r="66" spans="1:29" ht="17.7" hidden="1" x14ac:dyDescent="0.6">
      <c r="A66" s="31">
        <v>3</v>
      </c>
      <c r="B66" s="25" t="s">
        <v>74</v>
      </c>
      <c r="C66" s="31"/>
      <c r="D66" s="15">
        <f>SUMIF($C$1:$C$65535,3,D$1:D$65535)</f>
        <v>0</v>
      </c>
      <c r="E66" s="19" t="e">
        <f>D66/P66</f>
        <v>#DIV/0!</v>
      </c>
      <c r="F66" s="15">
        <f>SUMIF($C$1:$C$65535,3,F$1:F$65535)</f>
        <v>0</v>
      </c>
      <c r="G66" s="15">
        <f>SUMIF($C$1:$C$65535,3,G$1:G$65535)</f>
        <v>0</v>
      </c>
      <c r="H66" s="19" t="e">
        <f>G66/P66</f>
        <v>#DIV/0!</v>
      </c>
      <c r="I66" s="21" t="e">
        <f>D66/J66</f>
        <v>#DIV/0!</v>
      </c>
      <c r="J66" s="15">
        <f>SUMIF($C$1:$C$65535,3,J$1:J$65535)</f>
        <v>0</v>
      </c>
      <c r="K66" s="62">
        <f>SUMIF($C$1:$C$65535,3,K$1:K$65535)</f>
        <v>0</v>
      </c>
      <c r="L66" s="15">
        <f>SUMIF($C$1:$C$65535,3,L$1:L$65535)</f>
        <v>0</v>
      </c>
      <c r="M66" s="18">
        <f>SUMIF($C$1:$C$65535,3,M$1:M$65535)</f>
        <v>0</v>
      </c>
      <c r="N66" s="21" t="e">
        <f>M66/O66</f>
        <v>#DIV/0!</v>
      </c>
      <c r="O66" s="18">
        <f>SUMIF($C$1:$C$65535,3,O$1:O$65535)</f>
        <v>0</v>
      </c>
      <c r="P66" s="16">
        <f>SUMIF($C$1:$C$65535,3,P$1:P$65535)</f>
        <v>0</v>
      </c>
      <c r="Q66" s="18" t="e">
        <f>+O66/P66</f>
        <v>#DIV/0!</v>
      </c>
      <c r="R66" s="18">
        <f>SUMIF($C$1:$C$65535,3,R$1:R$65535)</f>
        <v>0</v>
      </c>
      <c r="S66" s="20" t="e">
        <f>VLOOKUP(B66,RESCMAD!$1:$1048576,8,FALSE)</f>
        <v>#DIV/0!</v>
      </c>
      <c r="T66" s="18">
        <f>SUMIF($C$1:$C$65535,3,T$1:T$65535)</f>
        <v>0</v>
      </c>
      <c r="U66" s="18">
        <f>SUMIF($C$1:$C$65535,3,U$1:U$65535)</f>
        <v>0</v>
      </c>
      <c r="V66" s="18">
        <f>SUMIF($C$1:$C$65535,3,V$1:V$65535)</f>
        <v>0</v>
      </c>
      <c r="W66" s="17" t="e">
        <f>(V66/R66)-1</f>
        <v>#DIV/0!</v>
      </c>
      <c r="X66" s="15">
        <f>SUMIF($C$1:$C$65535,3,X$1:X$65535)</f>
        <v>0</v>
      </c>
      <c r="Y66" s="15" t="e">
        <f>X66/P66</f>
        <v>#DIV/0!</v>
      </c>
      <c r="Z66" s="14"/>
      <c r="AA66" s="14" t="e">
        <f>Y66/$Y$62-1</f>
        <v>#DIV/0!</v>
      </c>
      <c r="AB66" s="14"/>
      <c r="AC66" s="11">
        <f>IFERROR(K66/J66*G66/P66,0)</f>
        <v>0</v>
      </c>
    </row>
    <row r="67" spans="1:29" ht="17.7" hidden="1" x14ac:dyDescent="0.6">
      <c r="A67" s="31">
        <v>4</v>
      </c>
      <c r="B67" s="25" t="s">
        <v>73</v>
      </c>
      <c r="C67" s="31"/>
      <c r="D67" s="15">
        <f>SUMIF($C$1:$C$65535,4,D$1:D$65535)</f>
        <v>0</v>
      </c>
      <c r="E67" s="19" t="e">
        <f>D67/P67</f>
        <v>#DIV/0!</v>
      </c>
      <c r="F67" s="15">
        <f>SUMIF($C$1:$C$65535,4,F$1:F$65535)</f>
        <v>0</v>
      </c>
      <c r="G67" s="15">
        <f>SUMIF($C$1:$C$65535,4,G$1:G$65535)</f>
        <v>0</v>
      </c>
      <c r="H67" s="19" t="e">
        <f>G67/P67</f>
        <v>#DIV/0!</v>
      </c>
      <c r="I67" s="21" t="e">
        <f>D67/J67</f>
        <v>#DIV/0!</v>
      </c>
      <c r="J67" s="15">
        <f>SUMIF($C$1:$C$65535,4,J$1:J$65535)</f>
        <v>0</v>
      </c>
      <c r="K67" s="62">
        <f>SUMIF($C$1:$C$65535,4,K$1:K$65535)</f>
        <v>0</v>
      </c>
      <c r="L67" s="15">
        <f>SUMIF($C$1:$C$65535,4,L$1:L$65535)</f>
        <v>0</v>
      </c>
      <c r="M67" s="18">
        <f>SUMIF($C$1:$C$65535,4,M$1:M$65535)</f>
        <v>0</v>
      </c>
      <c r="N67" s="21" t="e">
        <f>M67/O67</f>
        <v>#DIV/0!</v>
      </c>
      <c r="O67" s="18">
        <f>SUMIF($C$1:$C$65535,4,O$1:O$65535)</f>
        <v>0</v>
      </c>
      <c r="P67" s="16">
        <f>SUMIF($C$1:$C$65535,4,P$1:P$65535)</f>
        <v>0</v>
      </c>
      <c r="Q67" s="18" t="e">
        <f>+O67/P67</f>
        <v>#DIV/0!</v>
      </c>
      <c r="R67" s="18">
        <f>SUMIF($C$1:$C$65535,4,R$1:R$65535)</f>
        <v>0</v>
      </c>
      <c r="S67" s="20" t="e">
        <f>VLOOKUP(B67,RESCMAD!$1:$1048576,8,FALSE)</f>
        <v>#DIV/0!</v>
      </c>
      <c r="T67" s="18">
        <f>SUMIF($C$1:$C$65535,4,T$1:T$65535)</f>
        <v>0</v>
      </c>
      <c r="U67" s="18">
        <f>SUMIF($C$1:$C$65535,4,U$1:U$65535)</f>
        <v>0</v>
      </c>
      <c r="V67" s="18">
        <f>SUMIF($C$1:$C$65535,4,V$1:V$65535)</f>
        <v>0</v>
      </c>
      <c r="W67" s="17" t="e">
        <f>(V67/R67)-1</f>
        <v>#DIV/0!</v>
      </c>
      <c r="X67" s="15">
        <f>SUMIF($C$1:$C$65535,4,X$1:X$65535)</f>
        <v>0</v>
      </c>
      <c r="Y67" s="15" t="e">
        <f>X67/P67</f>
        <v>#DIV/0!</v>
      </c>
      <c r="Z67" s="14"/>
      <c r="AA67" s="14" t="e">
        <f>Y67/$Y$62-1</f>
        <v>#DIV/0!</v>
      </c>
      <c r="AB67" s="14"/>
      <c r="AC67" s="11">
        <f>IFERROR(K67/J67*G67/P67,0)</f>
        <v>0</v>
      </c>
    </row>
    <row r="68" spans="1:29" ht="17.7" x14ac:dyDescent="0.6">
      <c r="A68" s="29">
        <v>5</v>
      </c>
      <c r="B68" s="25" t="s">
        <v>72</v>
      </c>
      <c r="C68" s="31"/>
      <c r="D68" s="15">
        <f>SUMIF($C$1:$C$65535,5,D$1:D$65535)</f>
        <v>6553470695.56777</v>
      </c>
      <c r="E68" s="19">
        <f>D68/P68</f>
        <v>20930.820299664054</v>
      </c>
      <c r="F68" s="15">
        <f>SUMIF($C$1:$C$65535,5,F$1:F$65535)</f>
        <v>264608224.11176425</v>
      </c>
      <c r="G68" s="15">
        <f>SUMIF($C$1:$C$65535,5,G$1:G$65535)</f>
        <v>6818078919.679533</v>
      </c>
      <c r="H68" s="19">
        <f>G68/P68</f>
        <v>21775.939999740276</v>
      </c>
      <c r="I68" s="21">
        <f>D68/J68</f>
        <v>1.0695902147917553</v>
      </c>
      <c r="J68" s="15">
        <f>SUMIF($C$1:$C$65535,5,J$1:J$65535)</f>
        <v>6127085499.602951</v>
      </c>
      <c r="K68" s="62">
        <f>SUMIF($C$1:$C$65535,5,K$1:K$65535)</f>
        <v>5817801072.4053555</v>
      </c>
      <c r="L68" s="15">
        <f>SUMIF($C$1:$C$65535,5,L$1:L$65535)</f>
        <v>257501081.74744377</v>
      </c>
      <c r="M68" s="18">
        <f>SUMIF($C$1:$C$65535,5,M$1:M$65535)</f>
        <v>5560299990.6579123</v>
      </c>
      <c r="N68" s="21">
        <f>M68/O68</f>
        <v>0.99788720373733242</v>
      </c>
      <c r="O68" s="18">
        <f>SUMIF($C$1:$C$65535,5,O$1:O$65535)</f>
        <v>5572072644.9174061</v>
      </c>
      <c r="P68" s="16">
        <f>SUMIF($C$1:$C$65535,5,P$1:P$65535)</f>
        <v>313101.47436853946</v>
      </c>
      <c r="Q68" s="18">
        <f>+O68/P68</f>
        <v>17796.379452237066</v>
      </c>
      <c r="R68" s="18">
        <f>SUMIF($C$1:$C$65535,5,R$1:R$65535)</f>
        <v>5572072644.9174061</v>
      </c>
      <c r="S68" s="20">
        <f>VLOOKUP(B68,RESCMAD!$1:$1048576,8,FALSE)</f>
        <v>3.8577512918237028E-3</v>
      </c>
      <c r="T68" s="18">
        <f>SUMIF($C$1:$C$65535,5,T$1:T$65535)</f>
        <v>601989197.54103136</v>
      </c>
      <c r="U68" s="18">
        <f>SUMIF($C$1:$C$65535,5,U$1:U$65535)</f>
        <v>1013861404.2320482</v>
      </c>
      <c r="V68" s="18">
        <f>SUMIF($C$1:$C$65535,5,V$1:V$65535)</f>
        <v>4970083447.3763733</v>
      </c>
      <c r="W68" s="17">
        <f>(V68/R68)-1</f>
        <v>-0.10803685377112593</v>
      </c>
      <c r="X68" s="15">
        <f>SUMIF($C$1:$C$65535,5,X$1:X$65535)</f>
        <v>3956222043.1443253</v>
      </c>
      <c r="Y68" s="15">
        <f>X68/P68</f>
        <v>12635.590589674488</v>
      </c>
      <c r="Z68" s="14"/>
      <c r="AA68" s="14">
        <f>Y68/$Y$62-1</f>
        <v>0.15031966616143588</v>
      </c>
      <c r="AB68" s="14"/>
      <c r="AC68" s="11">
        <f>IFERROR(K68/J68*G68/P68,0)</f>
        <v>20676.729105760533</v>
      </c>
    </row>
    <row r="70" spans="1:29" x14ac:dyDescent="0.5">
      <c r="K70" s="61"/>
      <c r="L70" s="59"/>
    </row>
    <row r="71" spans="1:29" x14ac:dyDescent="0.5">
      <c r="K71" s="60"/>
      <c r="L71" s="59"/>
    </row>
    <row r="72" spans="1:29" x14ac:dyDescent="0.5">
      <c r="L72" s="59"/>
    </row>
    <row r="73" spans="1:29" x14ac:dyDescent="0.5">
      <c r="L73" s="59"/>
    </row>
  </sheetData>
  <sheetCalcPr fullCalcOnLoad="1"/>
  <autoFilter ref="A2:AG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H76"/>
  <sheetViews>
    <sheetView tabSelected="1" zoomScale="90" zoomScaleNormal="90" workbookViewId="0">
      <pane xSplit="2" ySplit="2" topLeftCell="Z3" activePane="bottomRight" state="frozen"/>
      <selection pane="topRight" activeCell="C1" sqref="C1"/>
      <selection pane="bottomLeft" activeCell="A3" sqref="A3"/>
      <selection pane="bottomRight" activeCell="Z28" sqref="Z28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17.68359375" style="11" customWidth="1"/>
    <col min="5" max="6" width="17.68359375" style="11" hidden="1" customWidth="1"/>
    <col min="7" max="7" width="17.68359375" style="11" customWidth="1"/>
    <col min="8" max="8" width="18.15625" style="10" bestFit="1" customWidth="1"/>
    <col min="9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hidden="1" customWidth="1"/>
    <col min="28" max="28" width="17" style="10" hidden="1" customWidth="1"/>
    <col min="29" max="29" width="17.68359375" style="10" hidden="1" customWidth="1"/>
    <col min="30" max="30" width="18" style="10" hidden="1" customWidth="1"/>
    <col min="31" max="31" width="0" style="10" hidden="1" customWidth="1"/>
    <col min="32" max="32" width="25.41796875" style="10" hidden="1" customWidth="1"/>
    <col min="33" max="33" width="30.68359375" style="10" hidden="1" customWidth="1"/>
    <col min="34" max="34" width="29.578125" style="10" hidden="1" customWidth="1"/>
    <col min="35" max="16384" width="12.41796875" style="10"/>
  </cols>
  <sheetData>
    <row r="1" spans="1:34" ht="46.5" x14ac:dyDescent="1.5">
      <c r="A1" s="56" t="s">
        <v>501</v>
      </c>
      <c r="B1" s="55"/>
      <c r="C1" s="55"/>
      <c r="D1" s="50"/>
      <c r="E1" s="50"/>
      <c r="F1" s="50"/>
      <c r="G1" s="50"/>
      <c r="H1" s="55"/>
      <c r="I1" s="50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</row>
    <row r="2" spans="1:34" ht="104.4" x14ac:dyDescent="0.55000000000000004">
      <c r="A2" s="48" t="s">
        <v>106</v>
      </c>
      <c r="B2" s="47" t="s">
        <v>105</v>
      </c>
      <c r="C2" s="47" t="s">
        <v>104</v>
      </c>
      <c r="D2" s="40" t="s">
        <v>175</v>
      </c>
      <c r="E2" s="287" t="s">
        <v>174</v>
      </c>
      <c r="F2" s="40" t="s">
        <v>173</v>
      </c>
      <c r="G2" s="40" t="s">
        <v>171</v>
      </c>
      <c r="H2" s="41" t="s">
        <v>92</v>
      </c>
      <c r="I2" s="40" t="s">
        <v>170</v>
      </c>
      <c r="J2" s="40" t="s">
        <v>509</v>
      </c>
      <c r="K2" s="40" t="s">
        <v>510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  <c r="AF2" s="10" t="s">
        <v>506</v>
      </c>
      <c r="AG2" s="10" t="s">
        <v>507</v>
      </c>
      <c r="AH2" s="10" t="s">
        <v>648</v>
      </c>
    </row>
    <row r="3" spans="1:34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IF(C3=1,'Integrated Effic - ICC Cycle I'!$Y$65,IF(C3=3,'Integrated Effic - ICC Cycle I'!$Y$66,IF(C3=4,'Integrated Effic - ICC Cycle I'!$Y$67,IF(C3=5,'Integrated Effic - ICC Cycle I'!$Y$68,0))))</f>
        <v>10459.948799491758</v>
      </c>
      <c r="E3" s="87">
        <v>0</v>
      </c>
      <c r="F3" s="87">
        <v>0</v>
      </c>
      <c r="G3" s="87">
        <f>D3*(1-PROFIT!$H$58)</f>
        <v>10424.16020405957</v>
      </c>
      <c r="H3" s="65">
        <f>VLOOKUP(A3,'Rate Application - REM Cycle I'!$1:$65535,15,FALSE)</f>
        <v>29234.020255178955</v>
      </c>
      <c r="I3" s="19">
        <f>+VLOOKUP(A3,'Integrated Effic - ICC Cycle I'!$1:$1048576,20,FALSE)/H3</f>
        <v>81.226447456567413</v>
      </c>
      <c r="J3" s="19">
        <f>+VLOOKUP(A3,'Integrated Effic - ICC Cycle I'!$1:$1048576,21,FALSE)/H3</f>
        <v>3011.3580219201294</v>
      </c>
      <c r="K3" s="11">
        <f t="shared" ref="K3:K34" si="0">+G3+I3+J3</f>
        <v>13516.744673436267</v>
      </c>
      <c r="L3" s="11">
        <f t="shared" ref="L3:L34" si="1">(K3*H3)</f>
        <v>395148787.56731808</v>
      </c>
      <c r="M3" s="36">
        <f>VLOOKUP(A3,'Variable Input'!$1:$1048576,23,FALSE)</f>
        <v>0.99671861092415948</v>
      </c>
      <c r="N3" s="22">
        <f t="shared" ref="N3:N34" si="2">L3*M3</f>
        <v>393852150.65246308</v>
      </c>
      <c r="O3" s="19">
        <f t="shared" ref="O3:O34" si="3">IFERROR(N3/H3,0)</f>
        <v>13472.390975123928</v>
      </c>
      <c r="P3" s="18">
        <f>VLOOKUP(A3,'Rate Application - REM Cycle I'!$1:$65535,11,FALSE)</f>
        <v>6625379.0220225165</v>
      </c>
      <c r="Q3" s="18">
        <f t="shared" ref="Q3:Q34" si="4">N3+P3</f>
        <v>400477529.67448562</v>
      </c>
      <c r="R3" s="19">
        <f t="shared" ref="R3:R34" si="5">IFERROR(Q3/H3,0)</f>
        <v>13699.023472611127</v>
      </c>
      <c r="S3" s="81">
        <f>VLOOKUP(A3,'Rate Application - REM Cycle I'!$1:$65535,9,FALSE)</f>
        <v>1.1196537153887776</v>
      </c>
      <c r="T3" s="19">
        <f t="shared" ref="T3:T34" si="6">Q3*S3</f>
        <v>448396154.02975726</v>
      </c>
      <c r="U3" s="22">
        <f t="shared" ref="U3:U34" si="7">IFERROR(T3/H3,0)</f>
        <v>15338.162528307123</v>
      </c>
      <c r="V3" s="88">
        <f>IFERROR(VLOOKUP(A3,'PAU Volume'!$AX:$AZ,3,FALSE),0)</f>
        <v>52.327813029200804</v>
      </c>
      <c r="W3" s="79">
        <f t="shared" ref="W3:W34" si="8">H3+V3</f>
        <v>29286.348068208157</v>
      </c>
      <c r="X3" s="15">
        <f t="shared" ref="X3:X34" si="9">W3*U3</f>
        <v>449198766.53075004</v>
      </c>
      <c r="Y3" s="11">
        <f>VLOOKUP(A3,'Integrated Effic - ICC Cycle I'!$1:$65535,7,FALSE)</f>
        <v>409229772.57070911</v>
      </c>
      <c r="Z3" s="78">
        <f t="shared" ref="Z3:Z34" si="10">IFERROR(X3/Y3-1," ")</f>
        <v>9.7668832130572536E-2</v>
      </c>
      <c r="AA3" s="82">
        <f>IFERROR(VLOOKUP(A3,'GBR Revenue for ICC'!#REF!,17,FALSE),0)</f>
        <v>0</v>
      </c>
      <c r="AB3" s="82">
        <f t="shared" ref="AB3:AB34" si="11">IFERROR(AA3*(1+Z3),0)</f>
        <v>0</v>
      </c>
      <c r="AC3" s="11">
        <f t="shared" ref="AC3:AC34" si="12">Y3+AA3</f>
        <v>409229772.57070911</v>
      </c>
      <c r="AD3" s="11">
        <f t="shared" ref="AD3:AD34" si="13">X3+AB3</f>
        <v>449198766.53075004</v>
      </c>
      <c r="AE3" s="10">
        <v>1</v>
      </c>
      <c r="AG3" s="271"/>
    </row>
    <row r="4" spans="1:34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IF(C4=1,'Integrated Effic - ICC Cycle I'!$Y$65,IF(C4=3,'Integrated Effic - ICC Cycle I'!$Y$66,IF(C4=4,'Integrated Effic - ICC Cycle I'!$Y$67,IF(C4=5,'Integrated Effic - ICC Cycle I'!$Y$68,0))))</f>
        <v>12635.590589674488</v>
      </c>
      <c r="E4" s="87">
        <v>0</v>
      </c>
      <c r="F4" s="87">
        <v>0</v>
      </c>
      <c r="G4" s="87">
        <f>D4*(1-PROFIT!$H$58)</f>
        <v>12592.358060689012</v>
      </c>
      <c r="H4" s="65">
        <f>VLOOKUP(A4,'Rate Application - REM Cycle I'!$1:$65535,15,FALSE)</f>
        <v>53406.112545307114</v>
      </c>
      <c r="I4" s="19">
        <f>+VLOOKUP(A4,'Integrated Effic - ICC Cycle I'!$1:$1048576,20,FALSE)/H4</f>
        <v>2904.7925350190649</v>
      </c>
      <c r="J4" s="19">
        <f>+VLOOKUP(A4,'Integrated Effic - ICC Cycle I'!$1:$1048576,21,FALSE)/H4</f>
        <v>3567.1349818620388</v>
      </c>
      <c r="K4" s="11">
        <f t="shared" si="0"/>
        <v>19064.285577570117</v>
      </c>
      <c r="L4" s="11">
        <f t="shared" si="1"/>
        <v>1018149381.151585</v>
      </c>
      <c r="M4" s="36">
        <f>VLOOKUP(A4,'Variable Input'!$1:$1048576,23,FALSE)</f>
        <v>0.99671861092415948</v>
      </c>
      <c r="N4" s="22">
        <f t="shared" si="2"/>
        <v>1014808436.8947004</v>
      </c>
      <c r="O4" s="19">
        <f t="shared" si="3"/>
        <v>19001.728239137177</v>
      </c>
      <c r="P4" s="18">
        <f>VLOOKUP(A4,'Rate Application - REM Cycle I'!$1:$65535,11,FALSE)</f>
        <v>59584704.514455065</v>
      </c>
      <c r="Q4" s="18">
        <f t="shared" si="4"/>
        <v>1074393141.4091554</v>
      </c>
      <c r="R4" s="19">
        <f t="shared" si="5"/>
        <v>20117.4189658102</v>
      </c>
      <c r="S4" s="81">
        <f>VLOOKUP(A4,'Rate Application - REM Cycle I'!$1:$65535,9,FALSE)</f>
        <v>1.1149630516096494</v>
      </c>
      <c r="T4" s="19">
        <f t="shared" si="6"/>
        <v>1197908655.5740294</v>
      </c>
      <c r="U4" s="22">
        <f t="shared" si="7"/>
        <v>22430.178840629578</v>
      </c>
      <c r="V4" s="88">
        <f>IFERROR(VLOOKUP(A4,'PAU Volume'!$AX:$AZ,3,FALSE),0)</f>
        <v>1497.8899264155948</v>
      </c>
      <c r="W4" s="79">
        <f t="shared" si="8"/>
        <v>54904.002471722706</v>
      </c>
      <c r="X4" s="15">
        <f t="shared" si="9"/>
        <v>1231506594.5071087</v>
      </c>
      <c r="Y4" s="11">
        <f>VLOOKUP(A4,'Integrated Effic - ICC Cycle I'!$1:$65535,7,FALSE)</f>
        <v>1331249266.2329757</v>
      </c>
      <c r="Z4" s="78">
        <f t="shared" si="10"/>
        <v>-7.4924113955088245E-2</v>
      </c>
      <c r="AA4" s="82">
        <f>IFERROR(VLOOKUP(A4,'GBR Revenue for ICC'!#REF!,17,FALSE),0)</f>
        <v>0</v>
      </c>
      <c r="AB4" s="82">
        <f t="shared" si="11"/>
        <v>0</v>
      </c>
      <c r="AC4" s="11">
        <f t="shared" si="12"/>
        <v>1331249266.2329757</v>
      </c>
      <c r="AD4" s="11">
        <f t="shared" si="13"/>
        <v>1231506594.5071087</v>
      </c>
      <c r="AE4" s="10">
        <v>1</v>
      </c>
      <c r="AG4" s="271"/>
    </row>
    <row r="5" spans="1:34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IF(C5=1,'Integrated Effic - ICC Cycle I'!$Y$65,IF(C5=3,'Integrated Effic - ICC Cycle I'!$Y$66,IF(C5=4,'Integrated Effic - ICC Cycle I'!$Y$67,IF(C5=5,'Integrated Effic - ICC Cycle I'!$Y$68,0))))</f>
        <v>10459.948799491758</v>
      </c>
      <c r="E5" s="87">
        <v>0</v>
      </c>
      <c r="F5" s="87">
        <v>0</v>
      </c>
      <c r="G5" s="87">
        <f>D5*(1-PROFIT!$H$58)</f>
        <v>10424.16020405957</v>
      </c>
      <c r="H5" s="65">
        <f>VLOOKUP(A5,'Rate Application - REM Cycle I'!$1:$65535,15,FALSE)</f>
        <v>16622.361523679996</v>
      </c>
      <c r="I5" s="19">
        <f>+VLOOKUP(A5,'Integrated Effic - ICC Cycle I'!$1:$1048576,20,FALSE)/H5</f>
        <v>380.94476637289404</v>
      </c>
      <c r="J5" s="19">
        <f>+VLOOKUP(A5,'Integrated Effic - ICC Cycle I'!$1:$1048576,21,FALSE)/H5</f>
        <v>4224.6754000829733</v>
      </c>
      <c r="K5" s="11">
        <f t="shared" si="0"/>
        <v>15029.780370515437</v>
      </c>
      <c r="L5" s="11">
        <f t="shared" si="1"/>
        <v>249830442.94021666</v>
      </c>
      <c r="M5" s="36">
        <f>VLOOKUP(A5,'Variable Input'!$1:$1048576,23,FALSE)</f>
        <v>1.0181752931904677</v>
      </c>
      <c r="N5" s="22">
        <f t="shared" si="2"/>
        <v>254371184.48855951</v>
      </c>
      <c r="O5" s="19">
        <f t="shared" si="3"/>
        <v>15302.95103533789</v>
      </c>
      <c r="P5" s="18">
        <f>VLOOKUP(A5,'Rate Application - REM Cycle I'!$1:$65535,11,FALSE)</f>
        <v>10600897.780621644</v>
      </c>
      <c r="Q5" s="18">
        <f t="shared" si="4"/>
        <v>264972082.26918116</v>
      </c>
      <c r="R5" s="19">
        <f t="shared" si="5"/>
        <v>15940.700236347611</v>
      </c>
      <c r="S5" s="81">
        <f>VLOOKUP(A5,'Rate Application - REM Cycle I'!$1:$65535,9,FALSE)</f>
        <v>1.1150592197193865</v>
      </c>
      <c r="T5" s="19">
        <f t="shared" si="6"/>
        <v>295459563.30249423</v>
      </c>
      <c r="U5" s="22">
        <f t="shared" si="7"/>
        <v>17774.824767322407</v>
      </c>
      <c r="V5" s="88">
        <f>IFERROR(VLOOKUP(A5,'PAU Volume'!$AX:$AZ,3,FALSE),0)</f>
        <v>475.40970309217568</v>
      </c>
      <c r="W5" s="79">
        <f t="shared" si="8"/>
        <v>17097.771226772173</v>
      </c>
      <c r="X5" s="15">
        <f t="shared" si="9"/>
        <v>303909887.46764243</v>
      </c>
      <c r="Y5" s="11">
        <f>VLOOKUP(A5,'Integrated Effic - ICC Cycle I'!$1:$65535,7,FALSE)</f>
        <v>379598110.09410959</v>
      </c>
      <c r="Z5" s="78">
        <f t="shared" si="10"/>
        <v>-0.19939040952470133</v>
      </c>
      <c r="AA5" s="82">
        <f>IFERROR(VLOOKUP(A5,'GBR Revenue for ICC'!#REF!,17,FALSE),0)</f>
        <v>0</v>
      </c>
      <c r="AB5" s="82">
        <f t="shared" si="11"/>
        <v>0</v>
      </c>
      <c r="AC5" s="11">
        <f t="shared" si="12"/>
        <v>379598110.09410959</v>
      </c>
      <c r="AD5" s="11">
        <f t="shared" si="13"/>
        <v>303909887.46764243</v>
      </c>
      <c r="AE5" s="10">
        <v>1</v>
      </c>
      <c r="AG5" s="271"/>
    </row>
    <row r="6" spans="1:34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87">
        <f>IF(C6=1,'Integrated Effic - ICC Cycle I'!$Y$65,IF(C6=3,'Integrated Effic - ICC Cycle I'!$Y$66,IF(C6=4,'Integrated Effic - ICC Cycle I'!$Y$67,IF(C6=5,'Integrated Effic - ICC Cycle I'!$Y$68,0))))</f>
        <v>10459.948799491758</v>
      </c>
      <c r="E6" s="87">
        <v>0</v>
      </c>
      <c r="F6" s="87">
        <v>0</v>
      </c>
      <c r="G6" s="87">
        <f>D6*(1-PROFIT!$H$58)</f>
        <v>10424.16020405957</v>
      </c>
      <c r="H6" s="65">
        <f>VLOOKUP(A6,'Rate Application - REM Cycle I'!$1:$65535,15,FALSE)</f>
        <v>35389.172988776867</v>
      </c>
      <c r="I6" s="19">
        <f>+VLOOKUP(A6,'Integrated Effic - ICC Cycle I'!$1:$1048576,20,FALSE)/H6</f>
        <v>70.826647410772608</v>
      </c>
      <c r="J6" s="19">
        <f>+VLOOKUP(A6,'Integrated Effic - ICC Cycle I'!$1:$1048576,21,FALSE)/H6</f>
        <v>3604.6722244017392</v>
      </c>
      <c r="K6" s="11">
        <f t="shared" si="0"/>
        <v>14099.659075872081</v>
      </c>
      <c r="L6" s="11">
        <f t="shared" si="1"/>
        <v>498975274.11881489</v>
      </c>
      <c r="M6" s="36">
        <f>VLOOKUP(A6,'Variable Input'!$1:$1048576,23,FALSE)</f>
        <v>1.0181752931904677</v>
      </c>
      <c r="N6" s="22">
        <f t="shared" si="2"/>
        <v>508044296.02071834</v>
      </c>
      <c r="O6" s="19">
        <f t="shared" si="3"/>
        <v>14355.924513461696</v>
      </c>
      <c r="P6" s="18">
        <f>VLOOKUP(A6,'Rate Application - REM Cycle I'!$1:$65535,11,FALSE)</f>
        <v>1942313.1270902995</v>
      </c>
      <c r="Q6" s="18">
        <f t="shared" si="4"/>
        <v>509986609.14780861</v>
      </c>
      <c r="R6" s="19">
        <f t="shared" si="5"/>
        <v>14410.80890219003</v>
      </c>
      <c r="S6" s="81">
        <f>VLOOKUP(A6,'Rate Application - REM Cycle I'!$1:$65535,9,FALSE)</f>
        <v>1.1099846191041804</v>
      </c>
      <c r="T6" s="19">
        <f t="shared" si="6"/>
        <v>566077292.10316288</v>
      </c>
      <c r="U6" s="22">
        <f t="shared" si="7"/>
        <v>15995.776230280533</v>
      </c>
      <c r="V6" s="88">
        <f>IFERROR(VLOOKUP(A6,'PAU Volume'!$AX:$AZ,3,FALSE),0)</f>
        <v>284.09261788646165</v>
      </c>
      <c r="W6" s="79">
        <f t="shared" si="8"/>
        <v>35673.265606663328</v>
      </c>
      <c r="X6" s="15">
        <f t="shared" si="9"/>
        <v>570621574.04754937</v>
      </c>
      <c r="Y6" s="11">
        <f>VLOOKUP(A6,'Integrated Effic - ICC Cycle I'!$1:$65535,7,FALSE)</f>
        <v>562162526.23688054</v>
      </c>
      <c r="Z6" s="78">
        <f t="shared" si="10"/>
        <v>1.5047334918059541E-2</v>
      </c>
      <c r="AA6" s="82">
        <f>IFERROR(VLOOKUP(A6,'GBR Revenue for ICC'!#REF!,17,FALSE),0)</f>
        <v>0</v>
      </c>
      <c r="AB6" s="82">
        <f t="shared" si="11"/>
        <v>0</v>
      </c>
      <c r="AC6" s="11">
        <f t="shared" si="12"/>
        <v>562162526.23688054</v>
      </c>
      <c r="AD6" s="11">
        <f t="shared" si="13"/>
        <v>570621574.04754937</v>
      </c>
      <c r="AG6" s="271"/>
    </row>
    <row r="7" spans="1:34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IF(C7=1,'Integrated Effic - ICC Cycle I'!$Y$65,IF(C7=3,'Integrated Effic - ICC Cycle I'!$Y$66,IF(C7=4,'Integrated Effic - ICC Cycle I'!$Y$67,IF(C7=5,'Integrated Effic - ICC Cycle I'!$Y$68,0))))</f>
        <v>10459.948799491758</v>
      </c>
      <c r="E7" s="87">
        <v>0</v>
      </c>
      <c r="F7" s="87">
        <v>0</v>
      </c>
      <c r="G7" s="87">
        <f>D7*(1-PROFIT!$H$58)</f>
        <v>10424.16020405957</v>
      </c>
      <c r="H7" s="65">
        <f>VLOOKUP(A7,'Rate Application - REM Cycle I'!$1:$65535,15,FALSE)</f>
        <v>24661.79924888902</v>
      </c>
      <c r="I7" s="19">
        <f>+VLOOKUP(A7,'Integrated Effic - ICC Cycle I'!$1:$1048576,20,FALSE)/H7</f>
        <v>0</v>
      </c>
      <c r="J7" s="19">
        <f>+VLOOKUP(A7,'Integrated Effic - ICC Cycle I'!$1:$1048576,21,FALSE)/H7</f>
        <v>2289.5848175077467</v>
      </c>
      <c r="K7" s="11">
        <f t="shared" si="0"/>
        <v>12713.745021567316</v>
      </c>
      <c r="L7" s="11">
        <f t="shared" si="1"/>
        <v>313543827.42345536</v>
      </c>
      <c r="M7" s="36">
        <f>VLOOKUP(A7,'Variable Input'!$1:$1048576,23,FALSE)</f>
        <v>0.99671861092415948</v>
      </c>
      <c r="N7" s="22">
        <f t="shared" si="2"/>
        <v>312514968.13335079</v>
      </c>
      <c r="O7" s="19">
        <f t="shared" si="3"/>
        <v>12672.026277540523</v>
      </c>
      <c r="P7" s="18">
        <f>VLOOKUP(A7,'Rate Application - REM Cycle I'!$1:$65535,11,FALSE)</f>
        <v>424862.32800000021</v>
      </c>
      <c r="Q7" s="18">
        <f t="shared" si="4"/>
        <v>312939830.4613508</v>
      </c>
      <c r="R7" s="19">
        <f t="shared" si="5"/>
        <v>12689.253825446183</v>
      </c>
      <c r="S7" s="81">
        <f>VLOOKUP(A7,'Rate Application - REM Cycle I'!$1:$65535,9,FALSE)</f>
        <v>1.1133096880777904</v>
      </c>
      <c r="T7" s="19">
        <f t="shared" si="6"/>
        <v>348398945.03804308</v>
      </c>
      <c r="U7" s="22">
        <f t="shared" si="7"/>
        <v>14127.0692183474</v>
      </c>
      <c r="V7" s="88">
        <f>IFERROR(VLOOKUP(A7,'PAU Volume'!$AX:$AZ,3,FALSE),0)</f>
        <v>258.56044792628478</v>
      </c>
      <c r="W7" s="79">
        <f t="shared" si="8"/>
        <v>24920.359696815303</v>
      </c>
      <c r="X7" s="15">
        <f t="shared" si="9"/>
        <v>352051646.38302463</v>
      </c>
      <c r="Y7" s="11">
        <f>VLOOKUP(A7,'Integrated Effic - ICC Cycle I'!$1:$65535,7,FALSE)</f>
        <v>403201661.03720772</v>
      </c>
      <c r="Z7" s="78">
        <f t="shared" si="10"/>
        <v>-0.12685963277681767</v>
      </c>
      <c r="AA7" s="82">
        <f>IFERROR(VLOOKUP(A7,'GBR Revenue for ICC'!#REF!,17,FALSE),0)</f>
        <v>0</v>
      </c>
      <c r="AB7" s="82">
        <f t="shared" si="11"/>
        <v>0</v>
      </c>
      <c r="AC7" s="11">
        <f t="shared" si="12"/>
        <v>403201661.03720772</v>
      </c>
      <c r="AD7" s="11">
        <f t="shared" si="13"/>
        <v>352051646.38302463</v>
      </c>
      <c r="AE7" s="10">
        <v>1</v>
      </c>
      <c r="AG7" s="271"/>
    </row>
    <row r="8" spans="1:34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IF(C8=1,'Integrated Effic - ICC Cycle I'!$Y$65,IF(C8=3,'Integrated Effic - ICC Cycle I'!$Y$66,IF(C8=4,'Integrated Effic - ICC Cycle I'!$Y$67,IF(C8=5,'Integrated Effic - ICC Cycle I'!$Y$68,0))))</f>
        <v>10459.948799491758</v>
      </c>
      <c r="E8" s="87">
        <v>0</v>
      </c>
      <c r="F8" s="87">
        <v>0</v>
      </c>
      <c r="G8" s="87">
        <f>D8*(1-PROFIT!$H$58)</f>
        <v>10424.16020405957</v>
      </c>
      <c r="H8" s="65">
        <f>VLOOKUP(A8,'Rate Application - REM Cycle I'!$1:$65535,15,FALSE)</f>
        <v>6404.5558703010038</v>
      </c>
      <c r="I8" s="19">
        <f>+VLOOKUP(A8,'Integrated Effic - ICC Cycle I'!$1:$1048576,20,FALSE)/H8</f>
        <v>0</v>
      </c>
      <c r="J8" s="19">
        <f>+VLOOKUP(A8,'Integrated Effic - ICC Cycle I'!$1:$1048576,21,FALSE)/H8</f>
        <v>3520.5241425319587</v>
      </c>
      <c r="K8" s="11">
        <f t="shared" si="0"/>
        <v>13944.684346591528</v>
      </c>
      <c r="L8" s="11">
        <f t="shared" si="1"/>
        <v>89309509.991457283</v>
      </c>
      <c r="M8" s="36">
        <f>VLOOKUP(A8,'Variable Input'!$1:$1048576,23,FALSE)</f>
        <v>0.99671861092415948</v>
      </c>
      <c r="N8" s="22">
        <f t="shared" si="2"/>
        <v>89016450.741002649</v>
      </c>
      <c r="O8" s="19">
        <f t="shared" si="3"/>
        <v>13898.926411710578</v>
      </c>
      <c r="P8" s="18">
        <f>VLOOKUP(A8,'Rate Application - REM Cycle I'!$1:$65535,11,FALSE)</f>
        <v>0</v>
      </c>
      <c r="Q8" s="18">
        <f t="shared" si="4"/>
        <v>89016450.741002649</v>
      </c>
      <c r="R8" s="19">
        <f t="shared" si="5"/>
        <v>13898.926411710578</v>
      </c>
      <c r="S8" s="81">
        <f>VLOOKUP(A8,'Rate Application - REM Cycle I'!$1:$65535,9,FALSE)</f>
        <v>1.1180012832443968</v>
      </c>
      <c r="T8" s="19">
        <f t="shared" si="6"/>
        <v>99520506.158302605</v>
      </c>
      <c r="U8" s="22">
        <f t="shared" si="7"/>
        <v>15539.017564011867</v>
      </c>
      <c r="V8" s="88">
        <f>IFERROR(VLOOKUP(A8,'PAU Volume'!$AX:$AZ,3,FALSE),0)</f>
        <v>326.3815102216322</v>
      </c>
      <c r="W8" s="79">
        <f t="shared" si="8"/>
        <v>6730.937380522636</v>
      </c>
      <c r="X8" s="15">
        <f t="shared" si="9"/>
        <v>104592154.17820527</v>
      </c>
      <c r="Y8" s="11">
        <f>VLOOKUP(A8,'Integrated Effic - ICC Cycle I'!$1:$65535,7,FALSE)</f>
        <v>115237915.49091636</v>
      </c>
      <c r="Z8" s="78">
        <f t="shared" si="10"/>
        <v>-9.2380717469245144E-2</v>
      </c>
      <c r="AA8" s="82">
        <f>IFERROR(VLOOKUP(A8,'GBR Revenue for ICC'!#REF!,17,FALSE),0)</f>
        <v>0</v>
      </c>
      <c r="AB8" s="82">
        <f t="shared" si="11"/>
        <v>0</v>
      </c>
      <c r="AC8" s="11">
        <f t="shared" si="12"/>
        <v>115237915.49091636</v>
      </c>
      <c r="AD8" s="11">
        <f t="shared" si="13"/>
        <v>104592154.17820527</v>
      </c>
      <c r="AE8" s="10">
        <v>1</v>
      </c>
      <c r="AG8" s="271"/>
    </row>
    <row r="9" spans="1:34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IF(C9=1,'Integrated Effic - ICC Cycle I'!$Y$65,IF(C9=3,'Integrated Effic - ICC Cycle I'!$Y$66,IF(C9=4,'Integrated Effic - ICC Cycle I'!$Y$67,IF(C9=5,'Integrated Effic - ICC Cycle I'!$Y$68,0))))</f>
        <v>10459.948799491758</v>
      </c>
      <c r="E9" s="87">
        <v>0</v>
      </c>
      <c r="F9" s="87">
        <v>0</v>
      </c>
      <c r="G9" s="87">
        <f>D9*(1-PROFIT!$H$58)</f>
        <v>10424.16020405957</v>
      </c>
      <c r="H9" s="65">
        <f>VLOOKUP(A9,'Rate Application - REM Cycle I'!$1:$65535,15,FALSE)</f>
        <v>37187.68418079293</v>
      </c>
      <c r="I9" s="19">
        <f>+VLOOKUP(A9,'Integrated Effic - ICC Cycle I'!$1:$1048576,20,FALSE)/H9</f>
        <v>171.73315453928049</v>
      </c>
      <c r="J9" s="19">
        <f>+VLOOKUP(A9,'Integrated Effic - ICC Cycle I'!$1:$1048576,21,FALSE)/H9</f>
        <v>2901.2610718953915</v>
      </c>
      <c r="K9" s="11">
        <f t="shared" si="0"/>
        <v>13497.154430494242</v>
      </c>
      <c r="L9" s="11">
        <f t="shared" si="1"/>
        <v>501927916.30060995</v>
      </c>
      <c r="M9" s="36">
        <f>VLOOKUP(A9,'Variable Input'!$1:$1048576,23,FALSE)</f>
        <v>0.99671861092415948</v>
      </c>
      <c r="N9" s="22">
        <f t="shared" si="2"/>
        <v>500280895.51920176</v>
      </c>
      <c r="O9" s="19">
        <f t="shared" si="3"/>
        <v>13452.865015391086</v>
      </c>
      <c r="P9" s="18">
        <f>VLOOKUP(A9,'Rate Application - REM Cycle I'!$1:$65535,11,FALSE)</f>
        <v>5003207.6874727393</v>
      </c>
      <c r="Q9" s="18">
        <f t="shared" si="4"/>
        <v>505284103.20667452</v>
      </c>
      <c r="R9" s="19">
        <f t="shared" si="5"/>
        <v>13587.404387704484</v>
      </c>
      <c r="S9" s="81">
        <f>VLOOKUP(A9,'Rate Application - REM Cycle I'!$1:$65535,9,FALSE)</f>
        <v>1.1102695565875482</v>
      </c>
      <c r="T9" s="19">
        <f t="shared" si="6"/>
        <v>561001557.2180115</v>
      </c>
      <c r="U9" s="22">
        <f t="shared" si="7"/>
        <v>15085.681444712367</v>
      </c>
      <c r="V9" s="88">
        <f>IFERROR(VLOOKUP(A9,'PAU Volume'!$AX:$AZ,3,FALSE),0)</f>
        <v>361.68554938791823</v>
      </c>
      <c r="W9" s="79">
        <f t="shared" si="8"/>
        <v>37549.36973018085</v>
      </c>
      <c r="X9" s="15">
        <f t="shared" si="9"/>
        <v>566457830.19923341</v>
      </c>
      <c r="Y9" s="11">
        <f>VLOOKUP(A9,'Integrated Effic - ICC Cycle I'!$1:$65535,7,FALSE)</f>
        <v>630435213.30233288</v>
      </c>
      <c r="Z9" s="78">
        <f t="shared" si="10"/>
        <v>-0.10148129697256991</v>
      </c>
      <c r="AA9" s="82">
        <f>IFERROR(VLOOKUP(A9,'GBR Revenue for ICC'!#REF!,17,FALSE),0)</f>
        <v>0</v>
      </c>
      <c r="AB9" s="82">
        <f t="shared" si="11"/>
        <v>0</v>
      </c>
      <c r="AC9" s="11">
        <f t="shared" si="12"/>
        <v>630435213.30233288</v>
      </c>
      <c r="AD9" s="11">
        <f t="shared" si="13"/>
        <v>566457830.19923341</v>
      </c>
      <c r="AE9" s="10">
        <v>1</v>
      </c>
      <c r="AG9" s="271"/>
    </row>
    <row r="10" spans="1:34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IF(C10=1,'Integrated Effic - ICC Cycle I'!$Y$65,IF(C10=3,'Integrated Effic - ICC Cycle I'!$Y$66,IF(C10=4,'Integrated Effic - ICC Cycle I'!$Y$67,IF(C10=5,'Integrated Effic - ICC Cycle I'!$Y$68,0))))</f>
        <v>12635.590589674488</v>
      </c>
      <c r="E10" s="87">
        <v>0</v>
      </c>
      <c r="F10" s="87">
        <v>0</v>
      </c>
      <c r="G10" s="87">
        <f>D10*(1-PROFIT!$H$58)</f>
        <v>12592.358060689012</v>
      </c>
      <c r="H10" s="65">
        <f>VLOOKUP(A10,'Rate Application - REM Cycle I'!$1:$65535,15,FALSE)</f>
        <v>104111.82276682714</v>
      </c>
      <c r="I10" s="19">
        <f>+VLOOKUP(A10,'Integrated Effic - ICC Cycle I'!$1:$1048576,20,FALSE)/H10</f>
        <v>2718.743197387912</v>
      </c>
      <c r="J10" s="19">
        <f>+VLOOKUP(A10,'Integrated Effic - ICC Cycle I'!$1:$1048576,21,FALSE)/H10</f>
        <v>2775.8324903385164</v>
      </c>
      <c r="K10" s="11">
        <f t="shared" si="0"/>
        <v>18086.933748415438</v>
      </c>
      <c r="L10" s="11">
        <f t="shared" si="1"/>
        <v>1883063640.8103726</v>
      </c>
      <c r="M10" s="36">
        <f>VLOOKUP(A10,'Variable Input'!$1:$1048576,23,FALSE)</f>
        <v>0.99671861092415948</v>
      </c>
      <c r="N10" s="22">
        <f t="shared" si="2"/>
        <v>1876884576.3503048</v>
      </c>
      <c r="O10" s="19">
        <f t="shared" si="3"/>
        <v>18027.583481597936</v>
      </c>
      <c r="P10" s="18">
        <f>VLOOKUP(A10,'Rate Application - REM Cycle I'!$1:$65535,11,FALSE)</f>
        <v>121878078.47076836</v>
      </c>
      <c r="Q10" s="18">
        <f t="shared" si="4"/>
        <v>1998762654.8210733</v>
      </c>
      <c r="R10" s="19">
        <f t="shared" si="5"/>
        <v>19198.229381667625</v>
      </c>
      <c r="S10" s="81">
        <f>VLOOKUP(A10,'Rate Application - REM Cycle I'!$1:$65535,9,FALSE)</f>
        <v>1.106052155233989</v>
      </c>
      <c r="T10" s="19">
        <f t="shared" si="6"/>
        <v>2210735742.1660576</v>
      </c>
      <c r="U10" s="22">
        <f t="shared" si="7"/>
        <v>21234.242984269968</v>
      </c>
      <c r="V10" s="88">
        <f>IFERROR(VLOOKUP(A10,'PAU Volume'!$AX:$AZ,3,FALSE),0)</f>
        <v>575.36949094230442</v>
      </c>
      <c r="W10" s="79">
        <f t="shared" si="8"/>
        <v>104687.19225776945</v>
      </c>
      <c r="X10" s="15">
        <f t="shared" si="9"/>
        <v>2222953277.7424622</v>
      </c>
      <c r="Y10" s="11">
        <f>VLOOKUP(A10,'Integrated Effic - ICC Cycle I'!$1:$65535,7,FALSE)</f>
        <v>2426767253.0622015</v>
      </c>
      <c r="Z10" s="78">
        <f t="shared" si="10"/>
        <v>-8.3985794295912797E-2</v>
      </c>
      <c r="AA10" s="82">
        <f>IFERROR(VLOOKUP(A10,'GBR Revenue for ICC'!#REF!,17,FALSE),0)</f>
        <v>0</v>
      </c>
      <c r="AB10" s="82">
        <f t="shared" si="11"/>
        <v>0</v>
      </c>
      <c r="AC10" s="11">
        <f t="shared" si="12"/>
        <v>2426767253.0622015</v>
      </c>
      <c r="AD10" s="11">
        <f t="shared" si="13"/>
        <v>2222953277.7424622</v>
      </c>
      <c r="AE10" s="10">
        <v>1</v>
      </c>
      <c r="AG10" s="271"/>
    </row>
    <row r="11" spans="1:34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IF(C11=1,'Integrated Effic - ICC Cycle I'!$Y$65,IF(C11=3,'Integrated Effic - ICC Cycle I'!$Y$66,IF(C11=4,'Integrated Effic - ICC Cycle I'!$Y$67,IF(C11=5,'Integrated Effic - ICC Cycle I'!$Y$68,0))))</f>
        <v>0</v>
      </c>
      <c r="E11" s="87">
        <v>0</v>
      </c>
      <c r="F11" s="87">
        <v>0</v>
      </c>
      <c r="G11" s="87">
        <f>D11*(1-PROFIT!$H$58)</f>
        <v>0</v>
      </c>
      <c r="H11" s="65">
        <f>VLOOKUP(A11,'Rate Application - REM Cycle I'!$1:$65535,15,FALSE)</f>
        <v>1185.4899110060007</v>
      </c>
      <c r="I11" s="19">
        <f>+VLOOKUP(A11,'Integrated Effic - ICC Cycle I'!$1:$1048576,20,FALSE)/H11</f>
        <v>0</v>
      </c>
      <c r="J11" s="19">
        <f>+VLOOKUP(A11,'Integrated Effic - ICC Cycle I'!$1:$1048576,21,FALSE)/H11</f>
        <v>0</v>
      </c>
      <c r="K11" s="11">
        <f t="shared" si="0"/>
        <v>0</v>
      </c>
      <c r="L11" s="11">
        <f t="shared" si="1"/>
        <v>0</v>
      </c>
      <c r="M11" s="36">
        <f>VLOOKUP(A11,'Variable Input'!$1:$1048576,23,FALSE)</f>
        <v>0.99671861092415948</v>
      </c>
      <c r="N11" s="22">
        <f t="shared" si="2"/>
        <v>0</v>
      </c>
      <c r="O11" s="19">
        <f t="shared" si="3"/>
        <v>0</v>
      </c>
      <c r="P11" s="18">
        <f>VLOOKUP(A11,'Rate Application - REM Cycle I'!$1:$65535,11,FALSE)</f>
        <v>62612.30027663122</v>
      </c>
      <c r="Q11" s="18">
        <f t="shared" si="4"/>
        <v>62612.30027663122</v>
      </c>
      <c r="R11" s="19">
        <f t="shared" si="5"/>
        <v>52.815548825294293</v>
      </c>
      <c r="S11" s="81">
        <f>VLOOKUP(A11,'Rate Application - REM Cycle I'!$1:$65535,9,FALSE)</f>
        <v>1.1237799950517624</v>
      </c>
      <c r="T11" s="19">
        <f t="shared" si="6"/>
        <v>70362.450495052093</v>
      </c>
      <c r="U11" s="22">
        <f t="shared" si="7"/>
        <v>59.35305719754534</v>
      </c>
      <c r="V11" s="88">
        <f>IFERROR(VLOOKUP(A11,'PAU Volume'!$AX:$AZ,3,FALSE),0)</f>
        <v>150.95420675019076</v>
      </c>
      <c r="W11" s="79">
        <f t="shared" si="8"/>
        <v>1336.4441177561914</v>
      </c>
      <c r="X11" s="15">
        <f t="shared" si="9"/>
        <v>79322.044162506252</v>
      </c>
      <c r="Y11" s="11">
        <f>VLOOKUP(A11,'Integrated Effic - ICC Cycle I'!$1:$65535,7,FALSE)</f>
        <v>13980115.965862775</v>
      </c>
      <c r="Z11" s="78">
        <f t="shared" si="10"/>
        <v>-0.99432608110288945</v>
      </c>
      <c r="AA11" s="82">
        <f>IFERROR(VLOOKUP(A11,'GBR Revenue for ICC'!#REF!,17,FALSE),0)</f>
        <v>0</v>
      </c>
      <c r="AB11" s="82">
        <f t="shared" si="11"/>
        <v>0</v>
      </c>
      <c r="AC11" s="11">
        <f t="shared" si="12"/>
        <v>13980115.965862775</v>
      </c>
      <c r="AD11" s="11">
        <f t="shared" si="13"/>
        <v>79322.044162506252</v>
      </c>
      <c r="AE11" s="10">
        <v>1</v>
      </c>
      <c r="AG11" s="271"/>
    </row>
    <row r="12" spans="1:34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IF(C12=1,'Integrated Effic - ICC Cycle I'!$Y$65,IF(C12=3,'Integrated Effic - ICC Cycle I'!$Y$66,IF(C12=4,'Integrated Effic - ICC Cycle I'!$Y$67,IF(C12=5,'Integrated Effic - ICC Cycle I'!$Y$68,0))))</f>
        <v>10459.948799491758</v>
      </c>
      <c r="E12" s="87">
        <v>0</v>
      </c>
      <c r="F12" s="87">
        <v>0</v>
      </c>
      <c r="G12" s="87">
        <f>D12*(1-PROFIT!$H$58)</f>
        <v>10424.16020405957</v>
      </c>
      <c r="H12" s="65">
        <f>VLOOKUP(A12,'Rate Application - REM Cycle I'!$1:$65535,15,FALSE)</f>
        <v>24239.679898120015</v>
      </c>
      <c r="I12" s="19">
        <f>+VLOOKUP(A12,'Integrated Effic - ICC Cycle I'!$1:$1048576,20,FALSE)/H12</f>
        <v>352.12016602018389</v>
      </c>
      <c r="J12" s="19">
        <f>+VLOOKUP(A12,'Integrated Effic - ICC Cycle I'!$1:$1048576,21,FALSE)/H12</f>
        <v>3608.9706267132124</v>
      </c>
      <c r="K12" s="11">
        <f t="shared" si="0"/>
        <v>14385.250996792965</v>
      </c>
      <c r="L12" s="11">
        <f t="shared" si="1"/>
        <v>348693879.41637337</v>
      </c>
      <c r="M12" s="36">
        <f>VLOOKUP(A12,'Variable Input'!$1:$1048576,23,FALSE)</f>
        <v>0.99671861092415948</v>
      </c>
      <c r="N12" s="22">
        <f t="shared" si="2"/>
        <v>347549679.12964404</v>
      </c>
      <c r="O12" s="19">
        <f t="shared" si="3"/>
        <v>14338.047391318865</v>
      </c>
      <c r="P12" s="18">
        <f>VLOOKUP(A12,'Rate Application - REM Cycle I'!$1:$65535,11,FALSE)</f>
        <v>5944161.5154257026</v>
      </c>
      <c r="Q12" s="18">
        <f t="shared" si="4"/>
        <v>353493840.64506972</v>
      </c>
      <c r="R12" s="19">
        <f t="shared" si="5"/>
        <v>14583.271814265421</v>
      </c>
      <c r="S12" s="81">
        <f>VLOOKUP(A12,'Rate Application - REM Cycle I'!$1:$65535,9,FALSE)</f>
        <v>1.1208321340194023</v>
      </c>
      <c r="T12" s="19">
        <f t="shared" si="6"/>
        <v>396207255.772928</v>
      </c>
      <c r="U12" s="22">
        <f t="shared" si="7"/>
        <v>16345.39966856811</v>
      </c>
      <c r="V12" s="88">
        <f>IFERROR(VLOOKUP(A12,'PAU Volume'!$AX:$AZ,3,FALSE),0)</f>
        <v>1654.6617448541529</v>
      </c>
      <c r="W12" s="79">
        <f t="shared" si="8"/>
        <v>25894.34164297417</v>
      </c>
      <c r="X12" s="15">
        <f t="shared" si="9"/>
        <v>423253363.30885941</v>
      </c>
      <c r="Y12" s="11">
        <f>VLOOKUP(A12,'Integrated Effic - ICC Cycle I'!$1:$65535,7,FALSE)</f>
        <v>463292938.08589423</v>
      </c>
      <c r="Z12" s="78">
        <f t="shared" si="10"/>
        <v>-8.6423883218378572E-2</v>
      </c>
      <c r="AA12" s="82">
        <f>IFERROR(VLOOKUP(A12,'GBR Revenue for ICC'!#REF!,17,FALSE),0)</f>
        <v>0</v>
      </c>
      <c r="AB12" s="82">
        <f t="shared" si="11"/>
        <v>0</v>
      </c>
      <c r="AC12" s="11">
        <f t="shared" si="12"/>
        <v>463292938.08589423</v>
      </c>
      <c r="AD12" s="11">
        <f t="shared" si="13"/>
        <v>423253363.30885941</v>
      </c>
      <c r="AE12" s="10">
        <v>1</v>
      </c>
      <c r="AG12" s="271"/>
    </row>
    <row r="13" spans="1:34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IF(C13=1,'Integrated Effic - ICC Cycle I'!$Y$65,IF(C13=3,'Integrated Effic - ICC Cycle I'!$Y$66,IF(C13=4,'Integrated Effic - ICC Cycle I'!$Y$67,IF(C13=5,'Integrated Effic - ICC Cycle I'!$Y$68,0))))</f>
        <v>10459.948799491758</v>
      </c>
      <c r="E13" s="87">
        <v>0</v>
      </c>
      <c r="F13" s="87">
        <v>0</v>
      </c>
      <c r="G13" s="87">
        <f>D13*(1-PROFIT!$H$58)</f>
        <v>10424.16020405957</v>
      </c>
      <c r="H13" s="65">
        <f>VLOOKUP(A13,'Rate Application - REM Cycle I'!$1:$65535,15,FALSE)</f>
        <v>39233.431532673072</v>
      </c>
      <c r="I13" s="19">
        <f>+VLOOKUP(A13,'Integrated Effic - ICC Cycle I'!$1:$1048576,20,FALSE)/H13</f>
        <v>423.6700340006721</v>
      </c>
      <c r="J13" s="19">
        <f>+VLOOKUP(A13,'Integrated Effic - ICC Cycle I'!$1:$1048576,21,FALSE)/H13</f>
        <v>3797.3064682792119</v>
      </c>
      <c r="K13" s="11">
        <f t="shared" si="0"/>
        <v>14645.136706339454</v>
      </c>
      <c r="L13" s="11">
        <f t="shared" si="1"/>
        <v>574578968.25480616</v>
      </c>
      <c r="M13" s="36">
        <f>VLOOKUP(A13,'Variable Input'!$1:$1048576,23,FALSE)</f>
        <v>0.99671861092415948</v>
      </c>
      <c r="N13" s="22">
        <f t="shared" si="2"/>
        <v>572693551.10516715</v>
      </c>
      <c r="O13" s="19">
        <f t="shared" si="3"/>
        <v>14597.080314737081</v>
      </c>
      <c r="P13" s="18">
        <f>VLOOKUP(A13,'Rate Application - REM Cycle I'!$1:$65535,11,FALSE)</f>
        <v>20760568.355981968</v>
      </c>
      <c r="Q13" s="18">
        <f t="shared" si="4"/>
        <v>593454119.4611491</v>
      </c>
      <c r="R13" s="19">
        <f t="shared" si="5"/>
        <v>15126.235362994657</v>
      </c>
      <c r="S13" s="81">
        <f>VLOOKUP(A13,'Rate Application - REM Cycle I'!$1:$65535,9,FALSE)</f>
        <v>1.1214469245143464</v>
      </c>
      <c r="T13" s="19">
        <f t="shared" si="6"/>
        <v>665527297.11007512</v>
      </c>
      <c r="U13" s="22">
        <f t="shared" si="7"/>
        <v>16963.270127310505</v>
      </c>
      <c r="V13" s="88">
        <f>IFERROR(VLOOKUP(A13,'PAU Volume'!$AX:$AZ,3,FALSE),0)</f>
        <v>778.56440518458942</v>
      </c>
      <c r="W13" s="79">
        <f t="shared" si="8"/>
        <v>40011.99593785766</v>
      </c>
      <c r="X13" s="15">
        <f t="shared" si="9"/>
        <v>678734295.42673016</v>
      </c>
      <c r="Y13" s="11">
        <f>VLOOKUP(A13,'Integrated Effic - ICC Cycle I'!$1:$65535,7,FALSE)</f>
        <v>853868775.33511937</v>
      </c>
      <c r="Z13" s="78">
        <f t="shared" si="10"/>
        <v>-0.20510701991609182</v>
      </c>
      <c r="AA13" s="82">
        <f>IFERROR(VLOOKUP(A13,'GBR Revenue for ICC'!#REF!,17,FALSE),0)</f>
        <v>0</v>
      </c>
      <c r="AB13" s="82">
        <f t="shared" si="11"/>
        <v>0</v>
      </c>
      <c r="AC13" s="11">
        <f t="shared" si="12"/>
        <v>853868775.33511937</v>
      </c>
      <c r="AD13" s="11">
        <f t="shared" si="13"/>
        <v>678734295.42673016</v>
      </c>
      <c r="AE13" s="10">
        <v>1</v>
      </c>
      <c r="AF13" s="381"/>
      <c r="AG13" s="271"/>
    </row>
    <row r="14" spans="1:34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IF(C14=1,'Integrated Effic - ICC Cycle I'!$Y$65,IF(C14=3,'Integrated Effic - ICC Cycle I'!$Y$66,IF(C14=4,'Integrated Effic - ICC Cycle I'!$Y$67,IF(C14=5,'Integrated Effic - ICC Cycle I'!$Y$68,0))))</f>
        <v>0</v>
      </c>
      <c r="E14" s="87">
        <v>0</v>
      </c>
      <c r="F14" s="87">
        <v>0</v>
      </c>
      <c r="G14" s="87">
        <f>D14*(1-PROFIT!$H$58)</f>
        <v>0</v>
      </c>
      <c r="H14" s="65">
        <f>VLOOKUP(A14,'Rate Application - REM Cycle I'!$1:$65535,15,FALSE)</f>
        <v>1608.5265612699982</v>
      </c>
      <c r="I14" s="19">
        <f>+VLOOKUP(A14,'Integrated Effic - ICC Cycle I'!$1:$1048576,20,FALSE)/H14</f>
        <v>0</v>
      </c>
      <c r="J14" s="19">
        <f>+VLOOKUP(A14,'Integrated Effic - ICC Cycle I'!$1:$1048576,21,FALSE)/H14</f>
        <v>7868.5453936392714</v>
      </c>
      <c r="K14" s="11">
        <f t="shared" si="0"/>
        <v>7868.5453936392714</v>
      </c>
      <c r="L14" s="11">
        <f t="shared" si="1"/>
        <v>12656764.264227461</v>
      </c>
      <c r="M14" s="36">
        <f>VLOOKUP(A14,'Variable Input'!$1:$1048576,23,FALSE)</f>
        <v>0.99671861092415948</v>
      </c>
      <c r="N14" s="22">
        <f t="shared" si="2"/>
        <v>12615232.496235337</v>
      </c>
      <c r="O14" s="19">
        <f t="shared" si="3"/>
        <v>7842.7256347418288</v>
      </c>
      <c r="P14" s="18">
        <f>VLOOKUP(A14,'Rate Application - REM Cycle I'!$1:$65535,11,FALSE)</f>
        <v>0</v>
      </c>
      <c r="Q14" s="18">
        <f t="shared" si="4"/>
        <v>12615232.496235337</v>
      </c>
      <c r="R14" s="19">
        <f t="shared" si="5"/>
        <v>7842.7256347418288</v>
      </c>
      <c r="S14" s="81">
        <f>VLOOKUP(A14,'Rate Application - REM Cycle I'!$1:$65535,9,FALSE)</f>
        <v>1.1357641348932981</v>
      </c>
      <c r="T14" s="19">
        <f t="shared" si="6"/>
        <v>14327928.622564549</v>
      </c>
      <c r="U14" s="22">
        <f t="shared" si="7"/>
        <v>8907.486495748044</v>
      </c>
      <c r="V14" s="88">
        <f>IFERROR(VLOOKUP(A14,'PAU Volume'!$AX:$AZ,3,FALSE),0)</f>
        <v>152.05791062315805</v>
      </c>
      <c r="W14" s="79">
        <f t="shared" si="8"/>
        <v>1760.5844718931562</v>
      </c>
      <c r="X14" s="15">
        <f t="shared" si="9"/>
        <v>15682382.408011992</v>
      </c>
      <c r="Y14" s="11">
        <f>VLOOKUP(A14,'Integrated Effic - ICC Cycle I'!$1:$65535,7,FALSE)</f>
        <v>24727459.158067033</v>
      </c>
      <c r="Z14" s="78">
        <f t="shared" si="10"/>
        <v>-0.3657907871664281</v>
      </c>
      <c r="AA14" s="82">
        <f>IFERROR(VLOOKUP(A14,'GBR Revenue for ICC'!#REF!,17,FALSE),0)</f>
        <v>0</v>
      </c>
      <c r="AB14" s="82">
        <f t="shared" si="11"/>
        <v>0</v>
      </c>
      <c r="AC14" s="11">
        <f t="shared" si="12"/>
        <v>24727459.158067033</v>
      </c>
      <c r="AD14" s="11">
        <f t="shared" si="13"/>
        <v>15682382.408011992</v>
      </c>
      <c r="AE14" s="10">
        <v>1</v>
      </c>
      <c r="AG14" s="271"/>
    </row>
    <row r="15" spans="1:34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IF(C15=1,'Integrated Effic - ICC Cycle I'!$Y$65,IF(C15=3,'Integrated Effic - ICC Cycle I'!$Y$66,IF(C15=4,'Integrated Effic - ICC Cycle I'!$Y$67,IF(C15=5,'Integrated Effic - ICC Cycle I'!$Y$68,0))))</f>
        <v>10459.948799491758</v>
      </c>
      <c r="E15" s="87">
        <v>0</v>
      </c>
      <c r="F15" s="87">
        <v>0</v>
      </c>
      <c r="G15" s="87">
        <f>D15*(1-PROFIT!$H$58)</f>
        <v>10424.16020405957</v>
      </c>
      <c r="H15" s="65">
        <f>VLOOKUP(A15,'Rate Application - REM Cycle I'!$1:$65535,15,FALSE)</f>
        <v>36896.780287905021</v>
      </c>
      <c r="I15" s="19">
        <f>+VLOOKUP(A15,'Integrated Effic - ICC Cycle I'!$1:$1048576,20,FALSE)/H15</f>
        <v>278.88145154984312</v>
      </c>
      <c r="J15" s="19">
        <f>+VLOOKUP(A15,'Integrated Effic - ICC Cycle I'!$1:$1048576,21,FALSE)/H15</f>
        <v>3730.2921552781099</v>
      </c>
      <c r="K15" s="11">
        <f t="shared" si="0"/>
        <v>14433.333810887523</v>
      </c>
      <c r="L15" s="11">
        <f t="shared" si="1"/>
        <v>532543546.44230783</v>
      </c>
      <c r="M15" s="36">
        <f>VLOOKUP(A15,'Variable Input'!$1:$1048576,23,FALSE)</f>
        <v>0.99671861092415948</v>
      </c>
      <c r="N15" s="22">
        <f t="shared" si="2"/>
        <v>530796063.86660266</v>
      </c>
      <c r="O15" s="19">
        <f t="shared" si="3"/>
        <v>14385.972426992517</v>
      </c>
      <c r="P15" s="18">
        <f>VLOOKUP(A15,'Rate Application - REM Cycle I'!$1:$65535,11,FALSE)</f>
        <v>10719878.177063769</v>
      </c>
      <c r="Q15" s="18">
        <f t="shared" si="4"/>
        <v>541515942.04366648</v>
      </c>
      <c r="R15" s="19">
        <f t="shared" si="5"/>
        <v>14676.509381529384</v>
      </c>
      <c r="S15" s="81">
        <f>VLOOKUP(A15,'Rate Application - REM Cycle I'!$1:$65535,9,FALSE)</f>
        <v>1.1215228084765592</v>
      </c>
      <c r="T15" s="19">
        <f t="shared" si="6"/>
        <v>607322480.15564251</v>
      </c>
      <c r="U15" s="22">
        <f t="shared" si="7"/>
        <v>16460.040020205404</v>
      </c>
      <c r="V15" s="88">
        <f>IFERROR(VLOOKUP(A15,'PAU Volume'!$AX:$AZ,3,FALSE),0)</f>
        <v>1145.7804087483232</v>
      </c>
      <c r="W15" s="79">
        <f t="shared" si="8"/>
        <v>38042.560696653345</v>
      </c>
      <c r="X15" s="15">
        <f t="shared" si="9"/>
        <v>626182071.53800726</v>
      </c>
      <c r="Y15" s="11">
        <f>VLOOKUP(A15,'Integrated Effic - ICC Cycle I'!$1:$65535,7,FALSE)</f>
        <v>604791227.6741339</v>
      </c>
      <c r="Z15" s="78">
        <f t="shared" si="10"/>
        <v>3.5368971779132563E-2</v>
      </c>
      <c r="AA15" s="82">
        <f>IFERROR(VLOOKUP(A15,'GBR Revenue for ICC'!#REF!,17,FALSE),0)</f>
        <v>0</v>
      </c>
      <c r="AB15" s="82">
        <f t="shared" si="11"/>
        <v>0</v>
      </c>
      <c r="AC15" s="11">
        <f t="shared" si="12"/>
        <v>604791227.6741339</v>
      </c>
      <c r="AD15" s="11">
        <f t="shared" si="13"/>
        <v>626182071.53800726</v>
      </c>
      <c r="AE15" s="10">
        <v>1</v>
      </c>
      <c r="AG15" s="271"/>
    </row>
    <row r="16" spans="1:34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IF(C16=1,'Integrated Effic - ICC Cycle I'!$Y$65,IF(C16=3,'Integrated Effic - ICC Cycle I'!$Y$66,IF(C16=4,'Integrated Effic - ICC Cycle I'!$Y$67,IF(C16=5,'Integrated Effic - ICC Cycle I'!$Y$68,0))))</f>
        <v>10459.948799491758</v>
      </c>
      <c r="E16" s="87">
        <v>0</v>
      </c>
      <c r="F16" s="87">
        <v>0</v>
      </c>
      <c r="G16" s="87">
        <f>D16*(1-PROFIT!$H$58)</f>
        <v>10424.16020405957</v>
      </c>
      <c r="H16" s="65">
        <f>VLOOKUP(A16,'Rate Application - REM Cycle I'!$1:$65535,15,FALSE)</f>
        <v>19503.503490301038</v>
      </c>
      <c r="I16" s="19">
        <f>+VLOOKUP(A16,'Integrated Effic - ICC Cycle I'!$1:$1048576,20,FALSE)/H16</f>
        <v>0</v>
      </c>
      <c r="J16" s="19">
        <f>+VLOOKUP(A16,'Integrated Effic - ICC Cycle I'!$1:$1048576,21,FALSE)/H16</f>
        <v>3519.6291861507884</v>
      </c>
      <c r="K16" s="11">
        <f t="shared" si="0"/>
        <v>13943.789390210359</v>
      </c>
      <c r="L16" s="11">
        <f t="shared" si="1"/>
        <v>271952745.03999031</v>
      </c>
      <c r="M16" s="36">
        <f>VLOOKUP(A16,'Variable Input'!$1:$1048576,23,FALSE)</f>
        <v>1.0181752931904677</v>
      </c>
      <c r="N16" s="22">
        <f t="shared" si="2"/>
        <v>276895565.91504467</v>
      </c>
      <c r="O16" s="19">
        <f t="shared" si="3"/>
        <v>14197.221850563565</v>
      </c>
      <c r="P16" s="18">
        <f>VLOOKUP(A16,'Rate Application - REM Cycle I'!$1:$65535,11,FALSE)</f>
        <v>0</v>
      </c>
      <c r="Q16" s="18">
        <f t="shared" si="4"/>
        <v>276895565.91504467</v>
      </c>
      <c r="R16" s="19">
        <f t="shared" si="5"/>
        <v>14197.221850563565</v>
      </c>
      <c r="S16" s="81">
        <f>VLOOKUP(A16,'Rate Application - REM Cycle I'!$1:$65535,9,FALSE)</f>
        <v>1.1206186736274211</v>
      </c>
      <c r="T16" s="19">
        <f t="shared" si="6"/>
        <v>310294341.80903149</v>
      </c>
      <c r="U16" s="22">
        <f t="shared" si="7"/>
        <v>15909.671919372782</v>
      </c>
      <c r="V16" s="88">
        <f>IFERROR(VLOOKUP(A16,'PAU Volume'!$AX:$AZ,3,FALSE),0)</f>
        <v>-563.66061534430389</v>
      </c>
      <c r="W16" s="79">
        <f t="shared" si="8"/>
        <v>18939.842874956736</v>
      </c>
      <c r="X16" s="15">
        <f t="shared" si="9"/>
        <v>301326686.34503186</v>
      </c>
      <c r="Y16" s="11">
        <f>VLOOKUP(A16,'Integrated Effic - ICC Cycle I'!$1:$65535,7,FALSE)</f>
        <v>348939116.84586889</v>
      </c>
      <c r="Z16" s="78">
        <f t="shared" si="10"/>
        <v>-0.13644910588189541</v>
      </c>
      <c r="AA16" s="82">
        <f>IFERROR(VLOOKUP(A16,'GBR Revenue for ICC'!#REF!,17,FALSE),0)</f>
        <v>0</v>
      </c>
      <c r="AB16" s="82">
        <f t="shared" si="11"/>
        <v>0</v>
      </c>
      <c r="AC16" s="11">
        <f t="shared" si="12"/>
        <v>348939116.84586889</v>
      </c>
      <c r="AD16" s="11">
        <f t="shared" si="13"/>
        <v>301326686.34503186</v>
      </c>
      <c r="AE16" s="10">
        <v>1</v>
      </c>
      <c r="AG16" s="271"/>
    </row>
    <row r="17" spans="1:34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IF(C17=1,'Integrated Effic - ICC Cycle I'!$Y$65,IF(C17=3,'Integrated Effic - ICC Cycle I'!$Y$66,IF(C17=4,'Integrated Effic - ICC Cycle I'!$Y$67,IF(C17=5,'Integrated Effic - ICC Cycle I'!$Y$68,0))))</f>
        <v>10459.948799491758</v>
      </c>
      <c r="E17" s="87">
        <v>0</v>
      </c>
      <c r="F17" s="87">
        <v>0</v>
      </c>
      <c r="G17" s="87">
        <f>D17*(1-PROFIT!$H$58)</f>
        <v>10424.16020405957</v>
      </c>
      <c r="H17" s="65">
        <f>VLOOKUP(A17,'Rate Application - REM Cycle I'!$1:$65535,15,FALSE)</f>
        <v>5661.7590092090077</v>
      </c>
      <c r="I17" s="19">
        <f>+VLOOKUP(A17,'Integrated Effic - ICC Cycle I'!$1:$1048576,20,FALSE)/H17</f>
        <v>0</v>
      </c>
      <c r="J17" s="19">
        <f>+VLOOKUP(A17,'Integrated Effic - ICC Cycle I'!$1:$1048576,21,FALSE)/H17</f>
        <v>2735.4724385206214</v>
      </c>
      <c r="K17" s="11">
        <f t="shared" si="0"/>
        <v>13159.632642580191</v>
      </c>
      <c r="L17" s="11">
        <f t="shared" si="1"/>
        <v>74506668.672009334</v>
      </c>
      <c r="M17" s="36">
        <f>VLOOKUP(A17,'Variable Input'!$1:$1048576,23,FALSE)</f>
        <v>0.99671861092415948</v>
      </c>
      <c r="N17" s="22">
        <f t="shared" si="2"/>
        <v>74262183.30335173</v>
      </c>
      <c r="O17" s="19">
        <f t="shared" si="3"/>
        <v>13116.450767784752</v>
      </c>
      <c r="P17" s="18">
        <f>VLOOKUP(A17,'Rate Application - REM Cycle I'!$1:$65535,11,FALSE)</f>
        <v>0</v>
      </c>
      <c r="Q17" s="18">
        <f t="shared" si="4"/>
        <v>74262183.30335173</v>
      </c>
      <c r="R17" s="19">
        <f t="shared" si="5"/>
        <v>13116.450767784752</v>
      </c>
      <c r="S17" s="81">
        <f>VLOOKUP(A17,'Rate Application - REM Cycle I'!$1:$65535,9,FALSE)</f>
        <v>1.1207568789217148</v>
      </c>
      <c r="T17" s="19">
        <f t="shared" si="6"/>
        <v>83229852.780976772</v>
      </c>
      <c r="U17" s="22">
        <f t="shared" si="7"/>
        <v>14700.35242503277</v>
      </c>
      <c r="V17" s="88">
        <f>IFERROR(VLOOKUP(A17,'PAU Volume'!$AX:$AZ,3,FALSE),0)</f>
        <v>67.809346583489727</v>
      </c>
      <c r="W17" s="79">
        <f t="shared" si="8"/>
        <v>5729.5683557924976</v>
      </c>
      <c r="X17" s="15">
        <f t="shared" si="9"/>
        <v>84226674.073465258</v>
      </c>
      <c r="Y17" s="11">
        <f>VLOOKUP(A17,'Integrated Effic - ICC Cycle I'!$1:$65535,7,FALSE)</f>
        <v>73641018.606041223</v>
      </c>
      <c r="Z17" s="78">
        <f t="shared" si="10"/>
        <v>0.14374672794864929</v>
      </c>
      <c r="AA17" s="82">
        <f>IFERROR(VLOOKUP(A17,'GBR Revenue for ICC'!#REF!,17,FALSE),0)</f>
        <v>0</v>
      </c>
      <c r="AB17" s="82">
        <f t="shared" si="11"/>
        <v>0</v>
      </c>
      <c r="AC17" s="11">
        <f t="shared" si="12"/>
        <v>73641018.606041223</v>
      </c>
      <c r="AD17" s="11">
        <f t="shared" si="13"/>
        <v>84226674.073465258</v>
      </c>
      <c r="AE17" s="10">
        <v>1</v>
      </c>
      <c r="AG17" s="271"/>
    </row>
    <row r="18" spans="1:34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IF(C18=1,'Integrated Effic - ICC Cycle I'!$Y$65,IF(C18=3,'Integrated Effic - ICC Cycle I'!$Y$66,IF(C18=4,'Integrated Effic - ICC Cycle I'!$Y$67,IF(C18=5,'Integrated Effic - ICC Cycle I'!$Y$68,0))))</f>
        <v>10459.948799491758</v>
      </c>
      <c r="E18" s="87">
        <v>0</v>
      </c>
      <c r="F18" s="87">
        <v>0</v>
      </c>
      <c r="G18" s="87">
        <f>D18*(1-PROFIT!$H$58)</f>
        <v>10424.16020405957</v>
      </c>
      <c r="H18" s="65">
        <f>VLOOKUP(A18,'Rate Application - REM Cycle I'!$1:$65535,15,FALSE)</f>
        <v>11828.629976083985</v>
      </c>
      <c r="I18" s="19">
        <f>+VLOOKUP(A18,'Integrated Effic - ICC Cycle I'!$1:$1048576,20,FALSE)/H18</f>
        <v>0</v>
      </c>
      <c r="J18" s="19">
        <f>+VLOOKUP(A18,'Integrated Effic - ICC Cycle I'!$1:$1048576,21,FALSE)/H18</f>
        <v>2573.4524247338809</v>
      </c>
      <c r="K18" s="11">
        <f t="shared" si="0"/>
        <v>12997.612628793451</v>
      </c>
      <c r="L18" s="11">
        <f t="shared" si="1"/>
        <v>153743950.35847399</v>
      </c>
      <c r="M18" s="36">
        <f>VLOOKUP(A18,'Variable Input'!$1:$1048576,23,FALSE)</f>
        <v>1.0181752931904677</v>
      </c>
      <c r="N18" s="22">
        <f t="shared" si="2"/>
        <v>156538291.73249996</v>
      </c>
      <c r="O18" s="19">
        <f t="shared" si="3"/>
        <v>13233.848049097898</v>
      </c>
      <c r="P18" s="18">
        <f>VLOOKUP(A18,'Rate Application - REM Cycle I'!$1:$65535,11,FALSE)</f>
        <v>0</v>
      </c>
      <c r="Q18" s="18">
        <f t="shared" si="4"/>
        <v>156538291.73249996</v>
      </c>
      <c r="R18" s="19">
        <f t="shared" si="5"/>
        <v>13233.848049097898</v>
      </c>
      <c r="S18" s="81">
        <f>VLOOKUP(A18,'Rate Application - REM Cycle I'!$1:$65535,9,FALSE)</f>
        <v>1.1159266108518389</v>
      </c>
      <c r="T18" s="19">
        <f t="shared" si="6"/>
        <v>174685245.36158511</v>
      </c>
      <c r="U18" s="22">
        <f t="shared" si="7"/>
        <v>14768.003201958038</v>
      </c>
      <c r="V18" s="88">
        <f>IFERROR(VLOOKUP(A18,'PAU Volume'!$AX:$AZ,3,FALSE),0)</f>
        <v>389.63730493183124</v>
      </c>
      <c r="W18" s="79">
        <f t="shared" si="8"/>
        <v>12218.267281015816</v>
      </c>
      <c r="X18" s="15">
        <f t="shared" si="9"/>
        <v>180439410.3284207</v>
      </c>
      <c r="Y18" s="11">
        <f>VLOOKUP(A18,'Integrated Effic - ICC Cycle I'!$1:$65535,7,FALSE)</f>
        <v>196654013.68149054</v>
      </c>
      <c r="Z18" s="78">
        <f t="shared" si="10"/>
        <v>-8.245244045377953E-2</v>
      </c>
      <c r="AA18" s="82">
        <f>IFERROR(VLOOKUP(A18,'GBR Revenue for ICC'!#REF!,17,FALSE),0)</f>
        <v>0</v>
      </c>
      <c r="AB18" s="82">
        <f t="shared" si="11"/>
        <v>0</v>
      </c>
      <c r="AC18" s="11">
        <f t="shared" si="12"/>
        <v>196654013.68149054</v>
      </c>
      <c r="AD18" s="11">
        <f t="shared" si="13"/>
        <v>180439410.3284207</v>
      </c>
      <c r="AE18" s="10">
        <v>1</v>
      </c>
      <c r="AG18" s="271"/>
    </row>
    <row r="19" spans="1:34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IF(C19=1,'Integrated Effic - ICC Cycle I'!$Y$65,IF(C19=3,'Integrated Effic - ICC Cycle I'!$Y$66,IF(C19=4,'Integrated Effic - ICC Cycle I'!$Y$67,IF(C19=5,'Integrated Effic - ICC Cycle I'!$Y$68,0))))</f>
        <v>10459.948799491758</v>
      </c>
      <c r="E19" s="87">
        <v>0</v>
      </c>
      <c r="F19" s="87">
        <v>0</v>
      </c>
      <c r="G19" s="87">
        <f>D19*(1-PROFIT!$H$58)</f>
        <v>10424.16020405957</v>
      </c>
      <c r="H19" s="65">
        <f>VLOOKUP(A19,'Rate Application - REM Cycle I'!$1:$65535,15,FALSE)</f>
        <v>35575.296562612995</v>
      </c>
      <c r="I19" s="19">
        <f>+VLOOKUP(A19,'Integrated Effic - ICC Cycle I'!$1:$1048576,20,FALSE)/H19</f>
        <v>37.082155310001518</v>
      </c>
      <c r="J19" s="19">
        <f>+VLOOKUP(A19,'Integrated Effic - ICC Cycle I'!$1:$1048576,21,FALSE)/H19</f>
        <v>3089.1784782567997</v>
      </c>
      <c r="K19" s="11">
        <f t="shared" si="0"/>
        <v>13550.42083762637</v>
      </c>
      <c r="L19" s="11">
        <f t="shared" si="1"/>
        <v>482060239.84676892</v>
      </c>
      <c r="M19" s="36">
        <f>VLOOKUP(A19,'Variable Input'!$1:$1048576,23,FALSE)</f>
        <v>0.99671861092415948</v>
      </c>
      <c r="N19" s="22">
        <f t="shared" si="2"/>
        <v>480478412.64183867</v>
      </c>
      <c r="O19" s="19">
        <f t="shared" si="3"/>
        <v>13505.956634716742</v>
      </c>
      <c r="P19" s="18">
        <f>VLOOKUP(A19,'Rate Application - REM Cycle I'!$1:$65535,11,FALSE)</f>
        <v>3385733.4707238162</v>
      </c>
      <c r="Q19" s="18">
        <f t="shared" si="4"/>
        <v>483864146.11256248</v>
      </c>
      <c r="R19" s="19">
        <f t="shared" si="5"/>
        <v>13601.127548183755</v>
      </c>
      <c r="S19" s="81">
        <f>VLOOKUP(A19,'Rate Application - REM Cycle I'!$1:$65535,9,FALSE)</f>
        <v>1.1235285459397526</v>
      </c>
      <c r="T19" s="19">
        <f t="shared" si="6"/>
        <v>543635180.51422727</v>
      </c>
      <c r="U19" s="22">
        <f t="shared" si="7"/>
        <v>15281.255057352006</v>
      </c>
      <c r="V19" s="88">
        <f>IFERROR(VLOOKUP(A19,'PAU Volume'!$AX:$AZ,3,FALSE),0)</f>
        <v>895.68887388813062</v>
      </c>
      <c r="W19" s="79">
        <f t="shared" si="8"/>
        <v>36470.985436501127</v>
      </c>
      <c r="X19" s="15">
        <f t="shared" si="9"/>
        <v>557322430.64814425</v>
      </c>
      <c r="Y19" s="11">
        <f>VLOOKUP(A19,'Integrated Effic - ICC Cycle I'!$1:$65535,7,FALSE)</f>
        <v>514736173.59971368</v>
      </c>
      <c r="Z19" s="78">
        <f t="shared" si="10"/>
        <v>8.2734144660188358E-2</v>
      </c>
      <c r="AA19" s="82">
        <f>IFERROR(VLOOKUP(A19,'GBR Revenue for ICC'!#REF!,17,FALSE),0)</f>
        <v>0</v>
      </c>
      <c r="AB19" s="82">
        <f t="shared" si="11"/>
        <v>0</v>
      </c>
      <c r="AC19" s="11">
        <f t="shared" si="12"/>
        <v>514736173.59971368</v>
      </c>
      <c r="AD19" s="11">
        <f t="shared" si="13"/>
        <v>557322430.64814425</v>
      </c>
      <c r="AE19" s="10">
        <v>1</v>
      </c>
      <c r="AG19" s="271"/>
    </row>
    <row r="20" spans="1:34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IF(C20=1,'Integrated Effic - ICC Cycle I'!$Y$65,IF(C20=3,'Integrated Effic - ICC Cycle I'!$Y$66,IF(C20=4,'Integrated Effic - ICC Cycle I'!$Y$67,IF(C20=5,'Integrated Effic - ICC Cycle I'!$Y$68,0))))</f>
        <v>10459.948799491758</v>
      </c>
      <c r="E20" s="87">
        <v>0</v>
      </c>
      <c r="F20" s="87">
        <v>0</v>
      </c>
      <c r="G20" s="87">
        <f>D20*(1-PROFIT!$H$58)</f>
        <v>10424.16020405957</v>
      </c>
      <c r="H20" s="65">
        <f>VLOOKUP(A20,'Rate Application - REM Cycle I'!$1:$65535,15,FALSE)</f>
        <v>24909.085237375984</v>
      </c>
      <c r="I20" s="19">
        <f>+VLOOKUP(A20,'Integrated Effic - ICC Cycle I'!$1:$1048576,20,FALSE)/H20</f>
        <v>21.184377664013301</v>
      </c>
      <c r="J20" s="19">
        <f>+VLOOKUP(A20,'Integrated Effic - ICC Cycle I'!$1:$1048576,21,FALSE)/H20</f>
        <v>1631.0997162702363</v>
      </c>
      <c r="K20" s="11">
        <f t="shared" si="0"/>
        <v>12076.444297993819</v>
      </c>
      <c r="L20" s="11">
        <f t="shared" si="1"/>
        <v>300813180.38315123</v>
      </c>
      <c r="M20" s="36">
        <f>VLOOKUP(A20,'Variable Input'!$1:$1048576,23,FALSE)</f>
        <v>1.0181752931904677</v>
      </c>
      <c r="N20" s="22">
        <f t="shared" si="2"/>
        <v>306280548.13217205</v>
      </c>
      <c r="O20" s="19">
        <f t="shared" si="3"/>
        <v>12295.937213808209</v>
      </c>
      <c r="P20" s="18">
        <f>VLOOKUP(A20,'Rate Application - REM Cycle I'!$1:$65535,11,FALSE)</f>
        <v>4332162.9357895656</v>
      </c>
      <c r="Q20" s="18">
        <f t="shared" si="4"/>
        <v>310612711.06796163</v>
      </c>
      <c r="R20" s="19">
        <f t="shared" si="5"/>
        <v>12469.856203385923</v>
      </c>
      <c r="S20" s="81">
        <f>VLOOKUP(A20,'Rate Application - REM Cycle I'!$1:$65535,9,FALSE)</f>
        <v>1.106961162419857</v>
      </c>
      <c r="T20" s="19">
        <f t="shared" si="6"/>
        <v>343836207.70617396</v>
      </c>
      <c r="U20" s="22">
        <f t="shared" si="7"/>
        <v>13803.646518108544</v>
      </c>
      <c r="V20" s="88">
        <f>IFERROR(VLOOKUP(A20,'PAU Volume'!$AX:$AZ,3,FALSE),0)</f>
        <v>528.64482335725529</v>
      </c>
      <c r="W20" s="79">
        <f t="shared" si="8"/>
        <v>25437.73006073324</v>
      </c>
      <c r="X20" s="15">
        <f t="shared" si="9"/>
        <v>351133433.9814254</v>
      </c>
      <c r="Y20" s="11">
        <f>VLOOKUP(A20,'Integrated Effic - ICC Cycle I'!$1:$65535,7,FALSE)</f>
        <v>398364615.39914006</v>
      </c>
      <c r="Z20" s="78">
        <f t="shared" si="10"/>
        <v>-0.11856269254836183</v>
      </c>
      <c r="AA20" s="82">
        <f>IFERROR(VLOOKUP(A20,'GBR Revenue for ICC'!#REF!,17,FALSE),0)</f>
        <v>0</v>
      </c>
      <c r="AB20" s="82">
        <f t="shared" si="11"/>
        <v>0</v>
      </c>
      <c r="AC20" s="11">
        <f t="shared" si="12"/>
        <v>398364615.39914006</v>
      </c>
      <c r="AD20" s="11">
        <f t="shared" si="13"/>
        <v>351133433.9814254</v>
      </c>
      <c r="AE20" s="10">
        <v>1</v>
      </c>
      <c r="AG20" s="271"/>
    </row>
    <row r="21" spans="1:34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IF(C21=1,'Integrated Effic - ICC Cycle I'!$Y$65,IF(C21=3,'Integrated Effic - ICC Cycle I'!$Y$66,IF(C21=4,'Integrated Effic - ICC Cycle I'!$Y$67,IF(C21=5,'Integrated Effic - ICC Cycle I'!$Y$68,0))))</f>
        <v>10459.948799491758</v>
      </c>
      <c r="E21" s="87">
        <v>0</v>
      </c>
      <c r="F21" s="87">
        <v>0</v>
      </c>
      <c r="G21" s="87">
        <f>D21*(1-PROFIT!$H$58)</f>
        <v>10424.16020405957</v>
      </c>
      <c r="H21" s="65">
        <f>VLOOKUP(A21,'Rate Application - REM Cycle I'!$1:$65535,15,FALSE)</f>
        <v>47800.030712699874</v>
      </c>
      <c r="I21" s="19">
        <f>+VLOOKUP(A21,'Integrated Effic - ICC Cycle I'!$1:$1048576,20,FALSE)/H21</f>
        <v>152.06768021239117</v>
      </c>
      <c r="J21" s="19">
        <f>+VLOOKUP(A21,'Integrated Effic - ICC Cycle I'!$1:$1048576,21,FALSE)/H21</f>
        <v>1753.569327624889</v>
      </c>
      <c r="K21" s="11">
        <f t="shared" si="0"/>
        <v>12329.79721189685</v>
      </c>
      <c r="L21" s="11">
        <f t="shared" si="1"/>
        <v>589364685.41003072</v>
      </c>
      <c r="M21" s="36">
        <f>VLOOKUP(A21,'Variable Input'!$1:$1048576,23,FALSE)</f>
        <v>0.99671861092415948</v>
      </c>
      <c r="N21" s="22">
        <f t="shared" si="2"/>
        <v>587430750.56964004</v>
      </c>
      <c r="O21" s="19">
        <f t="shared" si="3"/>
        <v>12289.338350018403</v>
      </c>
      <c r="P21" s="18">
        <f>VLOOKUP(A21,'Rate Application - REM Cycle I'!$1:$65535,11,FALSE)</f>
        <v>6692185.3853537869</v>
      </c>
      <c r="Q21" s="18">
        <f t="shared" si="4"/>
        <v>594122935.95499384</v>
      </c>
      <c r="R21" s="19">
        <f t="shared" si="5"/>
        <v>12429.342138417136</v>
      </c>
      <c r="S21" s="81">
        <f>VLOOKUP(A21,'Rate Application - REM Cycle I'!$1:$65535,9,FALSE)</f>
        <v>1.1086069567461017</v>
      </c>
      <c r="T21" s="19">
        <f t="shared" si="6"/>
        <v>658648819.96212482</v>
      </c>
      <c r="U21" s="22">
        <f t="shared" si="7"/>
        <v>13779.255162426705</v>
      </c>
      <c r="V21" s="88">
        <f>IFERROR(VLOOKUP(A21,'PAU Volume'!$AX:$AZ,3,FALSE),0)</f>
        <v>-1311.7021578670669</v>
      </c>
      <c r="W21" s="79">
        <f t="shared" si="8"/>
        <v>46488.328554832806</v>
      </c>
      <c r="X21" s="15">
        <f t="shared" si="9"/>
        <v>640574541.23176873</v>
      </c>
      <c r="Y21" s="11">
        <f>VLOOKUP(A21,'Integrated Effic - ICC Cycle I'!$1:$65535,7,FALSE)</f>
        <v>712352222.34826219</v>
      </c>
      <c r="Z21" s="78">
        <f t="shared" si="10"/>
        <v>-0.10076150374021298</v>
      </c>
      <c r="AA21" s="82">
        <f>IFERROR(VLOOKUP(A21,'GBR Revenue for ICC'!#REF!,17,FALSE),0)</f>
        <v>0</v>
      </c>
      <c r="AB21" s="82">
        <f t="shared" si="11"/>
        <v>0</v>
      </c>
      <c r="AC21" s="11">
        <f t="shared" si="12"/>
        <v>712352222.34826219</v>
      </c>
      <c r="AD21" s="11">
        <f t="shared" si="13"/>
        <v>640574541.23176873</v>
      </c>
      <c r="AE21" s="10">
        <v>1</v>
      </c>
      <c r="AG21" s="271"/>
    </row>
    <row r="22" spans="1:34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IF(C22=1,'Integrated Effic - ICC Cycle I'!$Y$65,IF(C22=3,'Integrated Effic - ICC Cycle I'!$Y$66,IF(C22=4,'Integrated Effic - ICC Cycle I'!$Y$67,IF(C22=5,'Integrated Effic - ICC Cycle I'!$Y$68,0))))</f>
        <v>10459.948799491758</v>
      </c>
      <c r="E22" s="87">
        <v>0</v>
      </c>
      <c r="F22" s="87">
        <v>0</v>
      </c>
      <c r="G22" s="87">
        <f>D22*(1-PROFIT!$H$58)</f>
        <v>10424.16020405957</v>
      </c>
      <c r="H22" s="65">
        <f>VLOOKUP(A22,'Rate Application - REM Cycle I'!$1:$65535,15,FALSE)</f>
        <v>26999.26188542712</v>
      </c>
      <c r="I22" s="19">
        <f>+VLOOKUP(A22,'Integrated Effic - ICC Cycle I'!$1:$1048576,20,FALSE)/H22</f>
        <v>429.97606252364841</v>
      </c>
      <c r="J22" s="19">
        <f>+VLOOKUP(A22,'Integrated Effic - ICC Cycle I'!$1:$1048576,21,FALSE)/H22</f>
        <v>3278.7321409161095</v>
      </c>
      <c r="K22" s="11">
        <f t="shared" si="0"/>
        <v>14132.868407499329</v>
      </c>
      <c r="L22" s="11">
        <f t="shared" si="1"/>
        <v>381577015.32635373</v>
      </c>
      <c r="M22" s="36">
        <f>VLOOKUP(A22,'Variable Input'!$1:$1048576,23,FALSE)</f>
        <v>0.99671861092415948</v>
      </c>
      <c r="N22" s="22">
        <f t="shared" si="2"/>
        <v>380324912.67667001</v>
      </c>
      <c r="O22" s="19">
        <f t="shared" si="3"/>
        <v>14086.49296749667</v>
      </c>
      <c r="P22" s="18">
        <f>VLOOKUP(A22,'Rate Application - REM Cycle I'!$1:$65535,11,FALSE)</f>
        <v>12196844.09297953</v>
      </c>
      <c r="Q22" s="18">
        <f t="shared" si="4"/>
        <v>392521756.76964957</v>
      </c>
      <c r="R22" s="19">
        <f t="shared" si="5"/>
        <v>14538.240283580255</v>
      </c>
      <c r="S22" s="81">
        <f>VLOOKUP(A22,'Rate Application - REM Cycle I'!$1:$65535,9,FALSE)</f>
        <v>1.1223202362274129</v>
      </c>
      <c r="T22" s="19">
        <f t="shared" si="6"/>
        <v>440535110.78211224</v>
      </c>
      <c r="U22" s="22">
        <f t="shared" si="7"/>
        <v>16316.561269398684</v>
      </c>
      <c r="V22" s="88">
        <f>IFERROR(VLOOKUP(A22,'PAU Volume'!$AX:$AZ,3,FALSE),0)</f>
        <v>519.93028670117792</v>
      </c>
      <c r="W22" s="79">
        <f t="shared" si="8"/>
        <v>27519.1921721283</v>
      </c>
      <c r="X22" s="15">
        <f t="shared" si="9"/>
        <v>449018585.16088808</v>
      </c>
      <c r="Y22" s="11">
        <f>VLOOKUP(A22,'Integrated Effic - ICC Cycle I'!$1:$65535,7,FALSE)</f>
        <v>481596679.12083691</v>
      </c>
      <c r="Z22" s="78">
        <f t="shared" si="10"/>
        <v>-6.7646010390729261E-2</v>
      </c>
      <c r="AA22" s="82">
        <f>IFERROR(VLOOKUP(A22,'GBR Revenue for ICC'!#REF!,17,FALSE),0)</f>
        <v>0</v>
      </c>
      <c r="AB22" s="82">
        <f t="shared" si="11"/>
        <v>0</v>
      </c>
      <c r="AC22" s="11">
        <f t="shared" si="12"/>
        <v>481596679.12083691</v>
      </c>
      <c r="AD22" s="11">
        <f t="shared" si="13"/>
        <v>449018585.16088808</v>
      </c>
      <c r="AE22" s="10">
        <v>1</v>
      </c>
      <c r="AG22" s="271"/>
    </row>
    <row r="23" spans="1:34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IF(C23=1,'Integrated Effic - ICC Cycle I'!$Y$65,IF(C23=3,'Integrated Effic - ICC Cycle I'!$Y$66,IF(C23=4,'Integrated Effic - ICC Cycle I'!$Y$67,IF(C23=5,'Integrated Effic - ICC Cycle I'!$Y$68,0))))</f>
        <v>10459.948799491758</v>
      </c>
      <c r="E23" s="87">
        <v>0</v>
      </c>
      <c r="F23" s="87">
        <v>0</v>
      </c>
      <c r="G23" s="87">
        <f>D23*(1-PROFIT!$H$58)</f>
        <v>10424.16020405957</v>
      </c>
      <c r="H23" s="65">
        <f>VLOOKUP(A23,'Rate Application - REM Cycle I'!$1:$65535,15,FALSE)</f>
        <v>22692.781590576982</v>
      </c>
      <c r="I23" s="19">
        <f>+VLOOKUP(A23,'Integrated Effic - ICC Cycle I'!$1:$1048576,20,FALSE)/H23</f>
        <v>0</v>
      </c>
      <c r="J23" s="19">
        <f>+VLOOKUP(A23,'Integrated Effic - ICC Cycle I'!$1:$1048576,21,FALSE)/H23</f>
        <v>2552.4705141953441</v>
      </c>
      <c r="K23" s="11">
        <f t="shared" si="0"/>
        <v>12976.630718254914</v>
      </c>
      <c r="L23" s="11">
        <f t="shared" si="1"/>
        <v>294475846.67093086</v>
      </c>
      <c r="M23" s="36">
        <f>VLOOKUP(A23,'Variable Input'!$1:$1048576,23,FALSE)</f>
        <v>0.99671861092415948</v>
      </c>
      <c r="N23" s="22">
        <f t="shared" si="2"/>
        <v>293509556.84456599</v>
      </c>
      <c r="O23" s="19">
        <f t="shared" si="3"/>
        <v>12934.049343974815</v>
      </c>
      <c r="P23" s="18">
        <f>VLOOKUP(A23,'Rate Application - REM Cycle I'!$1:$65535,11,FALSE)</f>
        <v>1887638.9011087576</v>
      </c>
      <c r="Q23" s="18">
        <f t="shared" si="4"/>
        <v>295397195.74567473</v>
      </c>
      <c r="R23" s="19">
        <f t="shared" si="5"/>
        <v>13017.231693991023</v>
      </c>
      <c r="S23" s="81">
        <f>VLOOKUP(A23,'Rate Application - REM Cycle I'!$1:$65535,9,FALSE)</f>
        <v>1.1268001645719641</v>
      </c>
      <c r="T23" s="19">
        <f t="shared" si="6"/>
        <v>332853608.78032297</v>
      </c>
      <c r="U23" s="22">
        <f t="shared" si="7"/>
        <v>14667.818815060473</v>
      </c>
      <c r="V23" s="88">
        <f>IFERROR(VLOOKUP(A23,'PAU Volume'!$AX:$AZ,3,FALSE),0)</f>
        <v>181.91222036402647</v>
      </c>
      <c r="W23" s="79">
        <f t="shared" si="8"/>
        <v>22874.693810941008</v>
      </c>
      <c r="X23" s="15">
        <f t="shared" si="9"/>
        <v>335521864.26886785</v>
      </c>
      <c r="Y23" s="11">
        <f>VLOOKUP(A23,'Integrated Effic - ICC Cycle I'!$1:$65535,7,FALSE)</f>
        <v>346927138.42145127</v>
      </c>
      <c r="Z23" s="78">
        <f t="shared" si="10"/>
        <v>-3.2875128202649151E-2</v>
      </c>
      <c r="AA23" s="82">
        <f>IFERROR(VLOOKUP(A23,'GBR Revenue for ICC'!#REF!,17,FALSE),0)</f>
        <v>0</v>
      </c>
      <c r="AB23" s="82">
        <f t="shared" si="11"/>
        <v>0</v>
      </c>
      <c r="AC23" s="11">
        <f t="shared" si="12"/>
        <v>346927138.42145127</v>
      </c>
      <c r="AD23" s="11">
        <f t="shared" si="13"/>
        <v>335521864.26886785</v>
      </c>
      <c r="AE23" s="10">
        <v>1</v>
      </c>
      <c r="AG23" s="271"/>
    </row>
    <row r="24" spans="1:34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IF(C24=1,'Integrated Effic - ICC Cycle I'!$Y$65,IF(C24=3,'Integrated Effic - ICC Cycle I'!$Y$66,IF(C24=4,'Integrated Effic - ICC Cycle I'!$Y$67,IF(C24=5,'Integrated Effic - ICC Cycle I'!$Y$68,0))))</f>
        <v>10459.948799491758</v>
      </c>
      <c r="E24" s="87">
        <v>0</v>
      </c>
      <c r="F24" s="87">
        <v>0</v>
      </c>
      <c r="G24" s="87">
        <f>D24*(1-PROFIT!$H$58)</f>
        <v>10424.16020405957</v>
      </c>
      <c r="H24" s="65">
        <f>VLOOKUP(A24,'Rate Application - REM Cycle I'!$1:$65535,15,FALSE)</f>
        <v>14672.575577466996</v>
      </c>
      <c r="I24" s="19">
        <f>+VLOOKUP(A24,'Integrated Effic - ICC Cycle I'!$1:$1048576,20,FALSE)/H24</f>
        <v>0</v>
      </c>
      <c r="J24" s="19">
        <f>+VLOOKUP(A24,'Integrated Effic - ICC Cycle I'!$1:$1048576,21,FALSE)/H24</f>
        <v>2745.2591161799901</v>
      </c>
      <c r="K24" s="11">
        <f t="shared" si="0"/>
        <v>13169.41932023956</v>
      </c>
      <c r="L24" s="11">
        <f t="shared" si="1"/>
        <v>193229300.28756899</v>
      </c>
      <c r="M24" s="36">
        <f>VLOOKUP(A24,'Variable Input'!$1:$1048576,23,FALSE)</f>
        <v>0.99671861092415948</v>
      </c>
      <c r="N24" s="22">
        <f t="shared" si="2"/>
        <v>192595239.77247304</v>
      </c>
      <c r="O24" s="19">
        <f t="shared" si="3"/>
        <v>13126.205331546962</v>
      </c>
      <c r="P24" s="18">
        <f>VLOOKUP(A24,'Rate Application - REM Cycle I'!$1:$65535,11,FALSE)</f>
        <v>0</v>
      </c>
      <c r="Q24" s="18">
        <f t="shared" si="4"/>
        <v>192595239.77247304</v>
      </c>
      <c r="R24" s="19">
        <f t="shared" si="5"/>
        <v>13126.205331546962</v>
      </c>
      <c r="S24" s="81">
        <f>VLOOKUP(A24,'Rate Application - REM Cycle I'!$1:$65535,9,FALSE)</f>
        <v>1.1136722213908725</v>
      </c>
      <c r="T24" s="19">
        <f t="shared" si="6"/>
        <v>214487968.50671777</v>
      </c>
      <c r="U24" s="22">
        <f t="shared" si="7"/>
        <v>14618.29025001662</v>
      </c>
      <c r="V24" s="88">
        <f>IFERROR(VLOOKUP(A24,'PAU Volume'!$AX:$AZ,3,FALSE),0)</f>
        <v>437.57428336017193</v>
      </c>
      <c r="W24" s="79">
        <f t="shared" si="8"/>
        <v>15110.149860827169</v>
      </c>
      <c r="X24" s="15">
        <f t="shared" si="9"/>
        <v>220884556.38681978</v>
      </c>
      <c r="Y24" s="11">
        <f>VLOOKUP(A24,'Integrated Effic - ICC Cycle I'!$1:$65535,7,FALSE)</f>
        <v>208234246.15730399</v>
      </c>
      <c r="Z24" s="78">
        <f t="shared" si="10"/>
        <v>6.0750383104417383E-2</v>
      </c>
      <c r="AA24" s="82">
        <f>IFERROR(VLOOKUP(A24,'GBR Revenue for ICC'!#REF!,17,FALSE),0)</f>
        <v>0</v>
      </c>
      <c r="AB24" s="82">
        <f t="shared" si="11"/>
        <v>0</v>
      </c>
      <c r="AC24" s="11">
        <f t="shared" si="12"/>
        <v>208234246.15730399</v>
      </c>
      <c r="AD24" s="11">
        <f t="shared" si="13"/>
        <v>220884556.38681978</v>
      </c>
      <c r="AE24" s="10">
        <v>1</v>
      </c>
      <c r="AG24" s="271"/>
    </row>
    <row r="25" spans="1:34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IF(C25=1,'Integrated Effic - ICC Cycle I'!$Y$65,IF(C25=3,'Integrated Effic - ICC Cycle I'!$Y$66,IF(C25=4,'Integrated Effic - ICC Cycle I'!$Y$67,IF(C25=5,'Integrated Effic - ICC Cycle I'!$Y$68,0))))</f>
        <v>10459.948799491758</v>
      </c>
      <c r="E25" s="87">
        <v>0</v>
      </c>
      <c r="F25" s="87">
        <v>0</v>
      </c>
      <c r="G25" s="87">
        <f>D25*(1-PROFIT!$H$58)</f>
        <v>10424.16020405957</v>
      </c>
      <c r="H25" s="65">
        <f>VLOOKUP(A25,'Rate Application - REM Cycle I'!$1:$65535,15,FALSE)</f>
        <v>35540.799933832066</v>
      </c>
      <c r="I25" s="19">
        <f>+VLOOKUP(A25,'Integrated Effic - ICC Cycle I'!$1:$1048576,20,FALSE)/H25</f>
        <v>523.78238472766361</v>
      </c>
      <c r="J25" s="19">
        <f>+VLOOKUP(A25,'Integrated Effic - ICC Cycle I'!$1:$1048576,21,FALSE)/H25</f>
        <v>3340.8825501490091</v>
      </c>
      <c r="K25" s="11">
        <f t="shared" si="0"/>
        <v>14288.825138936241</v>
      </c>
      <c r="L25" s="11">
        <f t="shared" si="1"/>
        <v>507836275.55244315</v>
      </c>
      <c r="M25" s="36">
        <f>VLOOKUP(A25,'Variable Input'!$1:$1048576,23,FALSE)</f>
        <v>0.99671861092415948</v>
      </c>
      <c r="N25" s="22">
        <f t="shared" si="2"/>
        <v>506169867.14552981</v>
      </c>
      <c r="O25" s="19">
        <f t="shared" si="3"/>
        <v>14241.93794421874</v>
      </c>
      <c r="P25" s="18">
        <f>VLOOKUP(A25,'Rate Application - REM Cycle I'!$1:$65535,11,FALSE)</f>
        <v>27476780.845164478</v>
      </c>
      <c r="Q25" s="18">
        <f t="shared" si="4"/>
        <v>533646647.99069428</v>
      </c>
      <c r="R25" s="19">
        <f t="shared" si="5"/>
        <v>15015.043245627805</v>
      </c>
      <c r="S25" s="81">
        <f>VLOOKUP(A25,'Rate Application - REM Cycle I'!$1:$65535,9,FALSE)</f>
        <v>1.1160480491569686</v>
      </c>
      <c r="T25" s="19">
        <f t="shared" si="6"/>
        <v>595575300.42916989</v>
      </c>
      <c r="U25" s="22">
        <f t="shared" si="7"/>
        <v>16757.50972229043</v>
      </c>
      <c r="V25" s="88">
        <f>IFERROR(VLOOKUP(A25,'PAU Volume'!$AX:$AZ,3,FALSE),0)</f>
        <v>687.5622884232024</v>
      </c>
      <c r="W25" s="79">
        <f t="shared" si="8"/>
        <v>36228.362222255266</v>
      </c>
      <c r="X25" s="15">
        <f t="shared" si="9"/>
        <v>607097132.16210198</v>
      </c>
      <c r="Y25" s="11">
        <f>VLOOKUP(A25,'Integrated Effic - ICC Cycle I'!$1:$65535,7,FALSE)</f>
        <v>714563622.53195643</v>
      </c>
      <c r="Z25" s="78">
        <f t="shared" si="10"/>
        <v>-0.15039457226924302</v>
      </c>
      <c r="AA25" s="82">
        <f>IFERROR(VLOOKUP(A25,'GBR Revenue for ICC'!#REF!,17,FALSE),0)</f>
        <v>0</v>
      </c>
      <c r="AB25" s="82">
        <f t="shared" si="11"/>
        <v>0</v>
      </c>
      <c r="AC25" s="11">
        <f t="shared" si="12"/>
        <v>714563622.53195643</v>
      </c>
      <c r="AD25" s="11">
        <f t="shared" si="13"/>
        <v>607097132.16210198</v>
      </c>
      <c r="AE25" s="10">
        <v>1</v>
      </c>
      <c r="AG25" s="271"/>
    </row>
    <row r="26" spans="1:34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IF(C26=1,'Integrated Effic - ICC Cycle I'!$Y$65,IF(C26=3,'Integrated Effic - ICC Cycle I'!$Y$66,IF(C26=4,'Integrated Effic - ICC Cycle I'!$Y$67,IF(C26=5,'Integrated Effic - ICC Cycle I'!$Y$68,0))))</f>
        <v>10459.948799491758</v>
      </c>
      <c r="E26" s="87">
        <v>0</v>
      </c>
      <c r="F26" s="87">
        <v>0</v>
      </c>
      <c r="G26" s="87">
        <f>D26*(1-PROFIT!$H$58)</f>
        <v>10424.16020405957</v>
      </c>
      <c r="H26" s="65">
        <f>VLOOKUP(A26,'Rate Application - REM Cycle I'!$1:$65535,15,FALSE)</f>
        <v>2175.2241478610003</v>
      </c>
      <c r="I26" s="19">
        <f>+VLOOKUP(A26,'Integrated Effic - ICC Cycle I'!$1:$1048576,20,FALSE)/H26</f>
        <v>0</v>
      </c>
      <c r="J26" s="19">
        <f>+VLOOKUP(A26,'Integrated Effic - ICC Cycle I'!$1:$1048576,21,FALSE)/H26</f>
        <v>3067.4788762984667</v>
      </c>
      <c r="K26" s="11">
        <f t="shared" si="0"/>
        <v>13491.639080358036</v>
      </c>
      <c r="L26" s="428">
        <f>(K26*H26)*(AG26/AF26)</f>
        <v>31389460.248278167</v>
      </c>
      <c r="M26" s="36">
        <f>VLOOKUP(A26,'Variable Input'!$1:$1048576,23,FALSE)</f>
        <v>0.99671861092415948</v>
      </c>
      <c r="N26" s="22">
        <f t="shared" si="2"/>
        <v>31286459.216322936</v>
      </c>
      <c r="O26" s="19">
        <f t="shared" si="3"/>
        <v>14383.096678605914</v>
      </c>
      <c r="P26" s="18">
        <f>VLOOKUP(A26,'Rate Application - REM Cycle I'!$1:$65535,11,FALSE)</f>
        <v>208535.14400062207</v>
      </c>
      <c r="Q26" s="18">
        <f t="shared" si="4"/>
        <v>31494994.360323559</v>
      </c>
      <c r="R26" s="19">
        <f t="shared" si="5"/>
        <v>14478.965025877476</v>
      </c>
      <c r="S26" s="81">
        <f>VLOOKUP(A26,'Rate Application - REM Cycle I'!$1:$65535,9,FALSE)</f>
        <v>1.1237498376689119</v>
      </c>
      <c r="T26" s="19">
        <f t="shared" si="6"/>
        <v>35392494.799796894</v>
      </c>
      <c r="U26" s="22">
        <f t="shared" si="7"/>
        <v>16270.734597443665</v>
      </c>
      <c r="V26" s="88">
        <f>IFERROR(VLOOKUP(A26,'PAU Volume'!$AX:$AZ,3,FALSE),0)</f>
        <v>101.34107967410326</v>
      </c>
      <c r="W26" s="79">
        <f t="shared" si="8"/>
        <v>2276.5652275351035</v>
      </c>
      <c r="X26" s="15">
        <f t="shared" si="9"/>
        <v>37041388.610992618</v>
      </c>
      <c r="Y26" s="11">
        <f>VLOOKUP(A26,'Integrated Effic - ICC Cycle I'!$1:$65535,7,FALSE)</f>
        <v>53886862.099348657</v>
      </c>
      <c r="Z26" s="78">
        <f t="shared" si="10"/>
        <v>-0.31260817260613238</v>
      </c>
      <c r="AA26" s="82">
        <f>IFERROR(VLOOKUP(A26,'GBR Revenue for ICC'!#REF!,17,FALSE),0)</f>
        <v>0</v>
      </c>
      <c r="AB26" s="82">
        <f t="shared" si="11"/>
        <v>0</v>
      </c>
      <c r="AC26" s="11">
        <f t="shared" si="12"/>
        <v>53886862.099348657</v>
      </c>
      <c r="AD26" s="11">
        <f t="shared" si="13"/>
        <v>37041388.610992618</v>
      </c>
      <c r="AE26" s="10">
        <v>1</v>
      </c>
      <c r="AF26" s="428">
        <v>29243980.211873319</v>
      </c>
      <c r="AG26" s="428">
        <f>H26/AH26*35627480.1853693*(1+IME!K4)*(1+IME!L4)*(1+IME!M4)</f>
        <v>31278909.156010184</v>
      </c>
      <c r="AH26" s="429">
        <v>2711.5561157386974</v>
      </c>
    </row>
    <row r="27" spans="1:34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IF(C27=1,'Integrated Effic - ICC Cycle I'!$Y$65,IF(C27=3,'Integrated Effic - ICC Cycle I'!$Y$66,IF(C27=4,'Integrated Effic - ICC Cycle I'!$Y$67,IF(C27=5,'Integrated Effic - ICC Cycle I'!$Y$68,0))))</f>
        <v>10459.948799491758</v>
      </c>
      <c r="E27" s="87">
        <v>0</v>
      </c>
      <c r="F27" s="87">
        <v>0</v>
      </c>
      <c r="G27" s="87">
        <f>D27*(1-PROFIT!$H$58)</f>
        <v>10424.16020405957</v>
      </c>
      <c r="H27" s="65">
        <f>VLOOKUP(A27,'Rate Application - REM Cycle I'!$1:$65535,15,FALSE)</f>
        <v>10926.435215269013</v>
      </c>
      <c r="I27" s="19">
        <f>+VLOOKUP(A27,'Integrated Effic - ICC Cycle I'!$1:$1048576,20,FALSE)/H27</f>
        <v>0</v>
      </c>
      <c r="J27" s="19">
        <f>+VLOOKUP(A27,'Integrated Effic - ICC Cycle I'!$1:$1048576,21,FALSE)/H27</f>
        <v>2927.6112747387192</v>
      </c>
      <c r="K27" s="11">
        <f t="shared" si="0"/>
        <v>13351.77147879829</v>
      </c>
      <c r="L27" s="11">
        <f t="shared" si="1"/>
        <v>145887266.07216606</v>
      </c>
      <c r="M27" s="36">
        <f>VLOOKUP(A27,'Variable Input'!$1:$1048576,23,FALSE)</f>
        <v>0.99671861092415948</v>
      </c>
      <c r="N27" s="22">
        <f t="shared" si="2"/>
        <v>145408553.1909726</v>
      </c>
      <c r="O27" s="19">
        <f t="shared" si="3"/>
        <v>13307.95912172464</v>
      </c>
      <c r="P27" s="18">
        <f>VLOOKUP(A27,'Rate Application - REM Cycle I'!$1:$65535,11,FALSE)</f>
        <v>0</v>
      </c>
      <c r="Q27" s="18">
        <f t="shared" si="4"/>
        <v>145408553.1909726</v>
      </c>
      <c r="R27" s="19">
        <f t="shared" si="5"/>
        <v>13307.95912172464</v>
      </c>
      <c r="S27" s="81">
        <f>VLOOKUP(A27,'Rate Application - REM Cycle I'!$1:$65535,9,FALSE)</f>
        <v>1.1182795268578634</v>
      </c>
      <c r="T27" s="19">
        <f t="shared" si="6"/>
        <v>162607408.06348729</v>
      </c>
      <c r="U27" s="22">
        <f t="shared" si="7"/>
        <v>14882.018230086016</v>
      </c>
      <c r="V27" s="88">
        <f>IFERROR(VLOOKUP(A27,'PAU Volume'!$AX:$AZ,3,FALSE),0)</f>
        <v>-503.20552908257918</v>
      </c>
      <c r="W27" s="79">
        <f t="shared" si="8"/>
        <v>10423.229686186434</v>
      </c>
      <c r="X27" s="15">
        <f t="shared" si="9"/>
        <v>155118694.20620027</v>
      </c>
      <c r="Y27" s="11">
        <f>VLOOKUP(A27,'Integrated Effic - ICC Cycle I'!$1:$65535,7,FALSE)</f>
        <v>188376183.84885556</v>
      </c>
      <c r="Z27" s="78">
        <f t="shared" si="10"/>
        <v>-0.17654827145951513</v>
      </c>
      <c r="AA27" s="82">
        <f>IFERROR(VLOOKUP(A27,'GBR Revenue for ICC'!#REF!,17,FALSE),0)</f>
        <v>0</v>
      </c>
      <c r="AB27" s="82">
        <f t="shared" si="11"/>
        <v>0</v>
      </c>
      <c r="AC27" s="11">
        <f t="shared" si="12"/>
        <v>188376183.84885556</v>
      </c>
      <c r="AD27" s="11">
        <f t="shared" si="13"/>
        <v>155118694.20620027</v>
      </c>
      <c r="AE27" s="10">
        <v>1</v>
      </c>
      <c r="AG27" s="271"/>
      <c r="AH27" s="385"/>
    </row>
    <row r="28" spans="1:34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IF(C28=1,'Integrated Effic - ICC Cycle I'!$Y$65,IF(C28=3,'Integrated Effic - ICC Cycle I'!$Y$66,IF(C28=4,'Integrated Effic - ICC Cycle I'!$Y$67,IF(C28=5,'Integrated Effic - ICC Cycle I'!$Y$68,0))))</f>
        <v>10459.948799491758</v>
      </c>
      <c r="E28" s="87">
        <v>0</v>
      </c>
      <c r="F28" s="87">
        <v>0</v>
      </c>
      <c r="G28" s="87">
        <f>D28*(1-PROFIT!$H$58)</f>
        <v>10424.16020405957</v>
      </c>
      <c r="H28" s="65">
        <f>VLOOKUP(A28,'Rate Application - REM Cycle I'!$1:$65535,15,FALSE)</f>
        <v>16462.876928917998</v>
      </c>
      <c r="I28" s="19">
        <f>+VLOOKUP(A28,'Integrated Effic - ICC Cycle I'!$1:$1048576,20,FALSE)/H28</f>
        <v>0</v>
      </c>
      <c r="J28" s="19">
        <f>+VLOOKUP(A28,'Integrated Effic - ICC Cycle I'!$1:$1048576,21,FALSE)/H28</f>
        <v>2185.0942797154098</v>
      </c>
      <c r="K28" s="11">
        <f t="shared" si="0"/>
        <v>12609.254483774979</v>
      </c>
      <c r="L28" s="11">
        <f t="shared" si="1"/>
        <v>207584604.73179492</v>
      </c>
      <c r="M28" s="36">
        <f>VLOOKUP(A28,'Variable Input'!$1:$1048576,23,FALSE)</f>
        <v>0.99671861092415948</v>
      </c>
      <c r="N28" s="22">
        <f t="shared" si="2"/>
        <v>206903438.87751535</v>
      </c>
      <c r="O28" s="19">
        <f t="shared" si="3"/>
        <v>12567.878613857427</v>
      </c>
      <c r="P28" s="18">
        <f>VLOOKUP(A28,'Rate Application - REM Cycle I'!$1:$65535,11,FALSE)</f>
        <v>0</v>
      </c>
      <c r="Q28" s="18">
        <f t="shared" si="4"/>
        <v>206903438.87751535</v>
      </c>
      <c r="R28" s="19">
        <f t="shared" si="5"/>
        <v>12567.878613857427</v>
      </c>
      <c r="S28" s="81">
        <f>VLOOKUP(A28,'Rate Application - REM Cycle I'!$1:$65535,9,FALSE)</f>
        <v>1.1165021686409196</v>
      </c>
      <c r="T28" s="19">
        <f t="shared" si="6"/>
        <v>231008138.20600984</v>
      </c>
      <c r="U28" s="22">
        <f t="shared" si="7"/>
        <v>14032.063727587652</v>
      </c>
      <c r="V28" s="88">
        <f>IFERROR(VLOOKUP(A28,'PAU Volume'!$AX:$AZ,3,FALSE),0)</f>
        <v>244.15669929131019</v>
      </c>
      <c r="W28" s="79">
        <f t="shared" si="8"/>
        <v>16707.033628209309</v>
      </c>
      <c r="X28" s="15">
        <f t="shared" si="9"/>
        <v>234434160.56998298</v>
      </c>
      <c r="Y28" s="11">
        <f>VLOOKUP(A28,'Integrated Effic - ICC Cycle I'!$1:$65535,7,FALSE)</f>
        <v>270127753.60721987</v>
      </c>
      <c r="Z28" s="78">
        <f t="shared" si="10"/>
        <v>-0.13213597107514274</v>
      </c>
      <c r="AA28" s="82">
        <f>IFERROR(VLOOKUP(A28,'GBR Revenue for ICC'!#REF!,17,FALSE),0)</f>
        <v>0</v>
      </c>
      <c r="AB28" s="82">
        <f t="shared" si="11"/>
        <v>0</v>
      </c>
      <c r="AC28" s="11">
        <f t="shared" si="12"/>
        <v>270127753.60721987</v>
      </c>
      <c r="AD28" s="11">
        <f t="shared" si="13"/>
        <v>234434160.56998298</v>
      </c>
      <c r="AE28" s="10">
        <v>1</v>
      </c>
      <c r="AG28" s="271"/>
      <c r="AH28" s="385"/>
    </row>
    <row r="29" spans="1:34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IF(C29=1,'Integrated Effic - ICC Cycle I'!$Y$65,IF(C29=3,'Integrated Effic - ICC Cycle I'!$Y$66,IF(C29=4,'Integrated Effic - ICC Cycle I'!$Y$67,IF(C29=5,'Integrated Effic - ICC Cycle I'!$Y$68,0))))</f>
        <v>10459.948799491758</v>
      </c>
      <c r="E29" s="87">
        <v>0</v>
      </c>
      <c r="F29" s="87">
        <v>0</v>
      </c>
      <c r="G29" s="87">
        <f>D29*(1-PROFIT!$H$58)</f>
        <v>10424.16020405957</v>
      </c>
      <c r="H29" s="65">
        <f>VLOOKUP(A29,'Rate Application - REM Cycle I'!$1:$65535,15,FALSE)</f>
        <v>11637.098158323013</v>
      </c>
      <c r="I29" s="19">
        <f>+VLOOKUP(A29,'Integrated Effic - ICC Cycle I'!$1:$1048576,20,FALSE)/H29</f>
        <v>219.3949496707223</v>
      </c>
      <c r="J29" s="19">
        <f>+VLOOKUP(A29,'Integrated Effic - ICC Cycle I'!$1:$1048576,21,FALSE)/H29</f>
        <v>4977.4452250118402</v>
      </c>
      <c r="K29" s="11">
        <f t="shared" si="0"/>
        <v>15621.000378742134</v>
      </c>
      <c r="L29" s="11">
        <f t="shared" si="1"/>
        <v>181783114.73862317</v>
      </c>
      <c r="M29" s="36">
        <f>VLOOKUP(A29,'Variable Input'!$1:$1048576,23,FALSE)</f>
        <v>0.99671861092415948</v>
      </c>
      <c r="N29" s="22">
        <f t="shared" si="2"/>
        <v>181186613.61174759</v>
      </c>
      <c r="O29" s="19">
        <f t="shared" si="3"/>
        <v>15569.741798745628</v>
      </c>
      <c r="P29" s="18">
        <f>VLOOKUP(A29,'Rate Application - REM Cycle I'!$1:$65535,11,FALSE)</f>
        <v>2578337.9692581748</v>
      </c>
      <c r="Q29" s="18">
        <f t="shared" si="4"/>
        <v>183764951.58100578</v>
      </c>
      <c r="R29" s="19">
        <f t="shared" si="5"/>
        <v>15791.303732329055</v>
      </c>
      <c r="S29" s="81">
        <f>VLOOKUP(A29,'Rate Application - REM Cycle I'!$1:$65535,9,FALSE)</f>
        <v>1.1252449607173489</v>
      </c>
      <c r="T29" s="19">
        <f t="shared" si="6"/>
        <v>206780585.72299439</v>
      </c>
      <c r="U29" s="22">
        <f t="shared" si="7"/>
        <v>17769.084947960335</v>
      </c>
      <c r="V29" s="88">
        <f>IFERROR(VLOOKUP(A29,'PAU Volume'!$AX:$AZ,3,FALSE),0)</f>
        <v>446.58010102652418</v>
      </c>
      <c r="W29" s="79">
        <f t="shared" si="8"/>
        <v>12083.678259349537</v>
      </c>
      <c r="X29" s="15">
        <f t="shared" si="9"/>
        <v>214715905.47420341</v>
      </c>
      <c r="Y29" s="11">
        <f>VLOOKUP(A29,'Integrated Effic - ICC Cycle I'!$1:$65535,7,FALSE)</f>
        <v>207708721.24780929</v>
      </c>
      <c r="Z29" s="78">
        <f t="shared" si="10"/>
        <v>3.3735628356375669E-2</v>
      </c>
      <c r="AA29" s="82">
        <f>IFERROR(VLOOKUP(A29,'GBR Revenue for ICC'!#REF!,17,FALSE),0)</f>
        <v>0</v>
      </c>
      <c r="AB29" s="82">
        <f t="shared" si="11"/>
        <v>0</v>
      </c>
      <c r="AC29" s="11">
        <f t="shared" si="12"/>
        <v>207708721.24780929</v>
      </c>
      <c r="AD29" s="11">
        <f t="shared" si="13"/>
        <v>214715905.47420341</v>
      </c>
      <c r="AE29" s="10">
        <v>1</v>
      </c>
      <c r="AG29" s="271"/>
    </row>
    <row r="30" spans="1:34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IF(C30=1,'Integrated Effic - ICC Cycle I'!$Y$65,IF(C30=3,'Integrated Effic - ICC Cycle I'!$Y$66,IF(C30=4,'Integrated Effic - ICC Cycle I'!$Y$67,IF(C30=5,'Integrated Effic - ICC Cycle I'!$Y$68,0))))</f>
        <v>10459.948799491758</v>
      </c>
      <c r="E30" s="87">
        <v>0</v>
      </c>
      <c r="F30" s="87">
        <v>0</v>
      </c>
      <c r="G30" s="87">
        <f>D30*(1-PROFIT!$H$58)</f>
        <v>10424.16020405957</v>
      </c>
      <c r="H30" s="65">
        <f>VLOOKUP(A30,'Rate Application - REM Cycle I'!$1:$65535,15,FALSE)</f>
        <v>12134.106723412984</v>
      </c>
      <c r="I30" s="19">
        <f>+VLOOKUP(A30,'Integrated Effic - ICC Cycle I'!$1:$1048576,20,FALSE)/H30</f>
        <v>0</v>
      </c>
      <c r="J30" s="19">
        <f>+VLOOKUP(A30,'Integrated Effic - ICC Cycle I'!$1:$1048576,21,FALSE)/H30</f>
        <v>2783.6850231746876</v>
      </c>
      <c r="K30" s="11">
        <f t="shared" si="0"/>
        <v>13207.845227234258</v>
      </c>
      <c r="L30" s="11">
        <f t="shared" si="1"/>
        <v>160265403.57358131</v>
      </c>
      <c r="M30" s="36">
        <f>VLOOKUP(A30,'Variable Input'!$1:$1048576,23,FALSE)</f>
        <v>0.99671861092415948</v>
      </c>
      <c r="N30" s="22">
        <f t="shared" si="2"/>
        <v>159739510.42905977</v>
      </c>
      <c r="O30" s="19">
        <f t="shared" si="3"/>
        <v>13164.505148190219</v>
      </c>
      <c r="P30" s="18">
        <f>VLOOKUP(A30,'Rate Application - REM Cycle I'!$1:$65535,11,FALSE)</f>
        <v>0</v>
      </c>
      <c r="Q30" s="18">
        <f t="shared" si="4"/>
        <v>159739510.42905977</v>
      </c>
      <c r="R30" s="19">
        <f t="shared" si="5"/>
        <v>13164.505148190219</v>
      </c>
      <c r="S30" s="81">
        <f>VLOOKUP(A30,'Rate Application - REM Cycle I'!$1:$65535,9,FALSE)</f>
        <v>1.1148847928711076</v>
      </c>
      <c r="T30" s="19">
        <f t="shared" si="6"/>
        <v>178091150.99803445</v>
      </c>
      <c r="U30" s="22">
        <f t="shared" si="7"/>
        <v>14676.906595390683</v>
      </c>
      <c r="V30" s="88">
        <f>IFERROR(VLOOKUP(A30,'PAU Volume'!$AX:$AZ,3,FALSE),0)</f>
        <v>115.78799861804177</v>
      </c>
      <c r="W30" s="79">
        <f t="shared" si="8"/>
        <v>12249.894722031026</v>
      </c>
      <c r="X30" s="15">
        <f t="shared" si="9"/>
        <v>179790560.63861868</v>
      </c>
      <c r="Y30" s="11">
        <f>VLOOKUP(A30,'Integrated Effic - ICC Cycle I'!$1:$65535,7,FALSE)</f>
        <v>178746811.03130147</v>
      </c>
      <c r="Z30" s="78">
        <f t="shared" si="10"/>
        <v>5.8392628170269578E-3</v>
      </c>
      <c r="AA30" s="82">
        <f>IFERROR(VLOOKUP(A30,'GBR Revenue for ICC'!#REF!,17,FALSE),0)</f>
        <v>0</v>
      </c>
      <c r="AB30" s="82">
        <f t="shared" si="11"/>
        <v>0</v>
      </c>
      <c r="AC30" s="11">
        <f t="shared" si="12"/>
        <v>178746811.03130147</v>
      </c>
      <c r="AD30" s="11">
        <f t="shared" si="13"/>
        <v>179790560.63861868</v>
      </c>
      <c r="AE30" s="10">
        <v>1</v>
      </c>
      <c r="AG30" s="271"/>
    </row>
    <row r="31" spans="1:34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IF(C31=1,'Integrated Effic - ICC Cycle I'!$Y$65,IF(C31=3,'Integrated Effic - ICC Cycle I'!$Y$66,IF(C31=4,'Integrated Effic - ICC Cycle I'!$Y$67,IF(C31=5,'Integrated Effic - ICC Cycle I'!$Y$68,0))))</f>
        <v>10459.948799491758</v>
      </c>
      <c r="E31" s="87">
        <v>0</v>
      </c>
      <c r="F31" s="87">
        <v>0</v>
      </c>
      <c r="G31" s="87">
        <f>D31*(1-PROFIT!$H$58)</f>
        <v>10424.16020405957</v>
      </c>
      <c r="H31" s="65">
        <f>VLOOKUP(A31,'Rate Application - REM Cycle I'!$1:$65535,15,FALSE)</f>
        <v>14334.792159748988</v>
      </c>
      <c r="I31" s="19">
        <f>+VLOOKUP(A31,'Integrated Effic - ICC Cycle I'!$1:$1048576,20,FALSE)/H31</f>
        <v>0</v>
      </c>
      <c r="J31" s="19">
        <f>+VLOOKUP(A31,'Integrated Effic - ICC Cycle I'!$1:$1048576,21,FALSE)/H31</f>
        <v>2892.3942192509244</v>
      </c>
      <c r="K31" s="11">
        <f t="shared" si="0"/>
        <v>13316.554423310494</v>
      </c>
      <c r="L31" s="11">
        <f t="shared" si="1"/>
        <v>190890039.94214198</v>
      </c>
      <c r="M31" s="36">
        <f>VLOOKUP(A31,'Variable Input'!$1:$1048576,23,FALSE)</f>
        <v>0.99671861092415948</v>
      </c>
      <c r="N31" s="22">
        <f t="shared" si="2"/>
        <v>190263655.45038909</v>
      </c>
      <c r="O31" s="19">
        <f t="shared" si="3"/>
        <v>13272.857627098008</v>
      </c>
      <c r="P31" s="18">
        <f>VLOOKUP(A31,'Rate Application - REM Cycle I'!$1:$65535,11,FALSE)</f>
        <v>832816.30724702065</v>
      </c>
      <c r="Q31" s="18">
        <f t="shared" si="4"/>
        <v>191096471.7576361</v>
      </c>
      <c r="R31" s="19">
        <f t="shared" si="5"/>
        <v>13330.955177307735</v>
      </c>
      <c r="S31" s="81">
        <f>VLOOKUP(A31,'Rate Application - REM Cycle I'!$1:$65535,9,FALSE)</f>
        <v>1.1240965147015685</v>
      </c>
      <c r="T31" s="19">
        <f t="shared" si="6"/>
        <v>214810877.87452546</v>
      </c>
      <c r="U31" s="22">
        <f t="shared" si="7"/>
        <v>14985.280252454455</v>
      </c>
      <c r="V31" s="88">
        <f>IFERROR(VLOOKUP(A31,'PAU Volume'!$AX:$AZ,3,FALSE),0)</f>
        <v>157.86666074242012</v>
      </c>
      <c r="W31" s="79">
        <f t="shared" si="8"/>
        <v>14492.658820491408</v>
      </c>
      <c r="X31" s="15">
        <f t="shared" si="9"/>
        <v>217176554.02826977</v>
      </c>
      <c r="Y31" s="11">
        <f>VLOOKUP(A31,'Integrated Effic - ICC Cycle I'!$1:$65535,7,FALSE)</f>
        <v>263996559.9878093</v>
      </c>
      <c r="Z31" s="78">
        <f t="shared" si="10"/>
        <v>-0.17735081836559374</v>
      </c>
      <c r="AA31" s="82">
        <f>IFERROR(VLOOKUP(A31,'GBR Revenue for ICC'!#REF!,17,FALSE),0)</f>
        <v>0</v>
      </c>
      <c r="AB31" s="82">
        <f t="shared" si="11"/>
        <v>0</v>
      </c>
      <c r="AC31" s="11">
        <f t="shared" si="12"/>
        <v>263996559.9878093</v>
      </c>
      <c r="AD31" s="11">
        <f t="shared" si="13"/>
        <v>217176554.02826977</v>
      </c>
      <c r="AE31" s="10">
        <v>1</v>
      </c>
      <c r="AG31" s="271"/>
    </row>
    <row r="32" spans="1:34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IF(C32=1,'Integrated Effic - ICC Cycle I'!$Y$65,IF(C32=3,'Integrated Effic - ICC Cycle I'!$Y$66,IF(C32=4,'Integrated Effic - ICC Cycle I'!$Y$67,IF(C32=5,'Integrated Effic - ICC Cycle I'!$Y$68,0))))</f>
        <v>10459.948799491758</v>
      </c>
      <c r="E32" s="87">
        <v>0</v>
      </c>
      <c r="F32" s="87">
        <v>0</v>
      </c>
      <c r="G32" s="87">
        <f>D32*(1-PROFIT!$H$58)</f>
        <v>10424.16020405957</v>
      </c>
      <c r="H32" s="65">
        <f>VLOOKUP(A32,'Rate Application - REM Cycle I'!$1:$65535,15,FALSE)</f>
        <v>10658.398211444006</v>
      </c>
      <c r="I32" s="19">
        <f>+VLOOKUP(A32,'Integrated Effic - ICC Cycle I'!$1:$1048576,20,FALSE)/H32</f>
        <v>458.6754750324082</v>
      </c>
      <c r="J32" s="19">
        <f>+VLOOKUP(A32,'Integrated Effic - ICC Cycle I'!$1:$1048576,21,FALSE)/H32</f>
        <v>5601.3354074481895</v>
      </c>
      <c r="K32" s="11">
        <f t="shared" si="0"/>
        <v>16484.171086540169</v>
      </c>
      <c r="L32" s="11">
        <f t="shared" si="1"/>
        <v>175694859.62591675</v>
      </c>
      <c r="M32" s="36">
        <f>VLOOKUP(A32,'Variable Input'!$1:$1048576,23,FALSE)</f>
        <v>0.99671861092415948</v>
      </c>
      <c r="N32" s="22">
        <f t="shared" si="2"/>
        <v>175118336.43285894</v>
      </c>
      <c r="O32" s="19">
        <f t="shared" si="3"/>
        <v>16430.080107612514</v>
      </c>
      <c r="P32" s="18">
        <f>VLOOKUP(A32,'Rate Application - REM Cycle I'!$1:$65535,11,FALSE)</f>
        <v>2754406.3071728726</v>
      </c>
      <c r="Q32" s="18">
        <f t="shared" si="4"/>
        <v>177872742.74003181</v>
      </c>
      <c r="R32" s="19">
        <f t="shared" si="5"/>
        <v>16688.506022325986</v>
      </c>
      <c r="S32" s="81">
        <f>VLOOKUP(A32,'Rate Application - REM Cycle I'!$1:$65535,9,FALSE)</f>
        <v>1.1259331913445376</v>
      </c>
      <c r="T32" s="19">
        <f t="shared" si="6"/>
        <v>200272824.88648996</v>
      </c>
      <c r="U32" s="22">
        <f t="shared" si="7"/>
        <v>18790.142844490034</v>
      </c>
      <c r="V32" s="88">
        <f>IFERROR(VLOOKUP(A32,'PAU Volume'!$AX:$AZ,3,FALSE),0)</f>
        <v>190.30303516036531</v>
      </c>
      <c r="W32" s="79">
        <f t="shared" si="8"/>
        <v>10848.701246604371</v>
      </c>
      <c r="X32" s="15">
        <f t="shared" si="9"/>
        <v>203848646.10089323</v>
      </c>
      <c r="Y32" s="11">
        <f>VLOOKUP(A32,'Integrated Effic - ICC Cycle I'!$1:$65535,7,FALSE)</f>
        <v>245342788.39216566</v>
      </c>
      <c r="Z32" s="78">
        <f t="shared" si="10"/>
        <v>-0.16912721406323361</v>
      </c>
      <c r="AA32" s="82">
        <f>IFERROR(VLOOKUP(A32,'GBR Revenue for ICC'!#REF!,17,FALSE),0)</f>
        <v>0</v>
      </c>
      <c r="AB32" s="82">
        <f t="shared" si="11"/>
        <v>0</v>
      </c>
      <c r="AC32" s="11">
        <f t="shared" si="12"/>
        <v>245342788.39216566</v>
      </c>
      <c r="AD32" s="11">
        <f t="shared" si="13"/>
        <v>203848646.10089323</v>
      </c>
      <c r="AE32" s="10">
        <v>1</v>
      </c>
      <c r="AG32" s="271"/>
    </row>
    <row r="33" spans="1:33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IF(C33=1,'Integrated Effic - ICC Cycle I'!$Y$65,IF(C33=3,'Integrated Effic - ICC Cycle I'!$Y$66,IF(C33=4,'Integrated Effic - ICC Cycle I'!$Y$67,IF(C33=5,'Integrated Effic - ICC Cycle I'!$Y$68,0))))</f>
        <v>10459.948799491758</v>
      </c>
      <c r="E33" s="87">
        <v>0</v>
      </c>
      <c r="F33" s="87">
        <v>0</v>
      </c>
      <c r="G33" s="87">
        <f>D33*(1-PROFIT!$H$58)</f>
        <v>10424.16020405957</v>
      </c>
      <c r="H33" s="65">
        <f>VLOOKUP(A33,'Rate Application - REM Cycle I'!$1:$65535,15,FALSE)</f>
        <v>10412.594138032973</v>
      </c>
      <c r="I33" s="19">
        <f>+VLOOKUP(A33,'Integrated Effic - ICC Cycle I'!$1:$1048576,20,FALSE)/H33</f>
        <v>0</v>
      </c>
      <c r="J33" s="19">
        <f>+VLOOKUP(A33,'Integrated Effic - ICC Cycle I'!$1:$1048576,21,FALSE)/H33</f>
        <v>2245.2213762300348</v>
      </c>
      <c r="K33" s="11">
        <f t="shared" si="0"/>
        <v>12669.381580289604</v>
      </c>
      <c r="L33" s="11">
        <f t="shared" si="1"/>
        <v>131921128.37542646</v>
      </c>
      <c r="M33" s="36">
        <f>VLOOKUP(A33,'Variable Input'!$1:$1048576,23,FALSE)</f>
        <v>0.99671861092415948</v>
      </c>
      <c r="N33" s="22">
        <f t="shared" si="2"/>
        <v>131488243.82590277</v>
      </c>
      <c r="O33" s="19">
        <f t="shared" si="3"/>
        <v>12627.808409974386</v>
      </c>
      <c r="P33" s="18">
        <f>VLOOKUP(A33,'Rate Application - REM Cycle I'!$1:$65535,11,FALSE)</f>
        <v>0</v>
      </c>
      <c r="Q33" s="18">
        <f t="shared" si="4"/>
        <v>131488243.82590277</v>
      </c>
      <c r="R33" s="19">
        <f t="shared" si="5"/>
        <v>12627.808409974386</v>
      </c>
      <c r="S33" s="81">
        <f>VLOOKUP(A33,'Rate Application - REM Cycle I'!$1:$65535,9,FALSE)</f>
        <v>1.1205505604288228</v>
      </c>
      <c r="T33" s="19">
        <f t="shared" si="6"/>
        <v>147339225.30891705</v>
      </c>
      <c r="U33" s="22">
        <f t="shared" si="7"/>
        <v>14150.097790784599</v>
      </c>
      <c r="V33" s="88">
        <f>IFERROR(VLOOKUP(A33,'PAU Volume'!$AX:$AZ,3,FALSE),0)</f>
        <v>-535.51929151537263</v>
      </c>
      <c r="W33" s="79">
        <f t="shared" si="8"/>
        <v>9877.0748465176002</v>
      </c>
      <c r="X33" s="15">
        <f t="shared" si="9"/>
        <v>139761574.96512282</v>
      </c>
      <c r="Y33" s="11">
        <f>VLOOKUP(A33,'Integrated Effic - ICC Cycle I'!$1:$65535,7,FALSE)</f>
        <v>167288474.26448706</v>
      </c>
      <c r="Z33" s="78">
        <f t="shared" si="10"/>
        <v>-0.16454749450248174</v>
      </c>
      <c r="AA33" s="82">
        <f>IFERROR(VLOOKUP(A33,'GBR Revenue for ICC'!#REF!,17,FALSE),0)</f>
        <v>0</v>
      </c>
      <c r="AB33" s="82">
        <f t="shared" si="11"/>
        <v>0</v>
      </c>
      <c r="AC33" s="11">
        <f t="shared" si="12"/>
        <v>167288474.26448706</v>
      </c>
      <c r="AD33" s="11">
        <f t="shared" si="13"/>
        <v>139761574.96512282</v>
      </c>
      <c r="AE33" s="10">
        <v>1</v>
      </c>
      <c r="AG33" s="271"/>
    </row>
    <row r="34" spans="1:33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IF(C34=1,'Integrated Effic - ICC Cycle I'!$Y$65,IF(C34=3,'Integrated Effic - ICC Cycle I'!$Y$66,IF(C34=4,'Integrated Effic - ICC Cycle I'!$Y$67,IF(C34=5,'Integrated Effic - ICC Cycle I'!$Y$68,0))))</f>
        <v>10459.948799491758</v>
      </c>
      <c r="E34" s="87">
        <v>0</v>
      </c>
      <c r="F34" s="87">
        <v>0</v>
      </c>
      <c r="G34" s="87">
        <f>D34*(1-PROFIT!$H$58)</f>
        <v>10424.16020405957</v>
      </c>
      <c r="H34" s="65">
        <f>VLOOKUP(A34,'Rate Application - REM Cycle I'!$1:$65535,15,FALSE)</f>
        <v>15965.725843327995</v>
      </c>
      <c r="I34" s="19">
        <f>+VLOOKUP(A34,'Integrated Effic - ICC Cycle I'!$1:$1048576,20,FALSE)/H34</f>
        <v>0</v>
      </c>
      <c r="J34" s="19">
        <f>+VLOOKUP(A34,'Integrated Effic - ICC Cycle I'!$1:$1048576,21,FALSE)/H34</f>
        <v>3582.6354876254545</v>
      </c>
      <c r="K34" s="11">
        <f t="shared" si="0"/>
        <v>14006.795691685023</v>
      </c>
      <c r="L34" s="11">
        <f t="shared" si="1"/>
        <v>223628659.95695078</v>
      </c>
      <c r="M34" s="36">
        <f>VLOOKUP(A34,'Variable Input'!$1:$1048576,23,FALSE)</f>
        <v>0.99671861092415948</v>
      </c>
      <c r="N34" s="22">
        <f t="shared" si="2"/>
        <v>222894847.3151232</v>
      </c>
      <c r="O34" s="19">
        <f t="shared" si="3"/>
        <v>13960.833945314798</v>
      </c>
      <c r="P34" s="18">
        <f>VLOOKUP(A34,'Rate Application - REM Cycle I'!$1:$65535,11,FALSE)</f>
        <v>0</v>
      </c>
      <c r="Q34" s="18">
        <f t="shared" si="4"/>
        <v>222894847.3151232</v>
      </c>
      <c r="R34" s="19">
        <f t="shared" si="5"/>
        <v>13960.833945314798</v>
      </c>
      <c r="S34" s="81">
        <f>VLOOKUP(A34,'Rate Application - REM Cycle I'!$1:$65535,9,FALSE)</f>
        <v>1.120710322524318</v>
      </c>
      <c r="T34" s="19">
        <f t="shared" si="6"/>
        <v>249800556.22354034</v>
      </c>
      <c r="U34" s="22">
        <f t="shared" si="7"/>
        <v>15646.050713562194</v>
      </c>
      <c r="V34" s="88">
        <f>IFERROR(VLOOKUP(A34,'PAU Volume'!$AX:$AZ,3,FALSE),0)</f>
        <v>840.3235671536911</v>
      </c>
      <c r="W34" s="79">
        <f t="shared" si="8"/>
        <v>16806.049410481686</v>
      </c>
      <c r="X34" s="15">
        <f t="shared" si="9"/>
        <v>262948301.37102848</v>
      </c>
      <c r="Y34" s="11">
        <f>VLOOKUP(A34,'Integrated Effic - ICC Cycle I'!$1:$65535,7,FALSE)</f>
        <v>293088731.67995536</v>
      </c>
      <c r="Z34" s="78">
        <f t="shared" si="10"/>
        <v>-0.10283721975991689</v>
      </c>
      <c r="AA34" s="82">
        <f>IFERROR(VLOOKUP(A34,'GBR Revenue for ICC'!#REF!,17,FALSE),0)</f>
        <v>0</v>
      </c>
      <c r="AB34" s="82">
        <f t="shared" si="11"/>
        <v>0</v>
      </c>
      <c r="AC34" s="11">
        <f t="shared" si="12"/>
        <v>293088731.67995536</v>
      </c>
      <c r="AD34" s="11">
        <f t="shared" si="13"/>
        <v>262948301.37102848</v>
      </c>
      <c r="AE34" s="10">
        <v>1</v>
      </c>
      <c r="AG34" s="271"/>
    </row>
    <row r="35" spans="1:33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IF(C35=1,'Integrated Effic - ICC Cycle I'!$Y$65,IF(C35=3,'Integrated Effic - ICC Cycle I'!$Y$66,IF(C35=4,'Integrated Effic - ICC Cycle I'!$Y$67,IF(C35=5,'Integrated Effic - ICC Cycle I'!$Y$68,0))))</f>
        <v>10459.948799491758</v>
      </c>
      <c r="E35" s="87">
        <v>0</v>
      </c>
      <c r="F35" s="87">
        <v>0</v>
      </c>
      <c r="G35" s="87">
        <f>D35*(1-PROFIT!$H$58)</f>
        <v>10424.16020405957</v>
      </c>
      <c r="H35" s="65">
        <f>VLOOKUP(A35,'Rate Application - REM Cycle I'!$1:$65535,15,FALSE)</f>
        <v>30943.516611114035</v>
      </c>
      <c r="I35" s="19">
        <f>+VLOOKUP(A35,'Integrated Effic - ICC Cycle I'!$1:$1048576,20,FALSE)/H35</f>
        <v>21.316398664597084</v>
      </c>
      <c r="J35" s="19">
        <f>+VLOOKUP(A35,'Integrated Effic - ICC Cycle I'!$1:$1048576,21,FALSE)/H35</f>
        <v>2810.0767081976433</v>
      </c>
      <c r="K35" s="11">
        <f t="shared" ref="K35:K54" si="14">+G35+I35+J35</f>
        <v>13255.55331092181</v>
      </c>
      <c r="L35" s="11">
        <f t="shared" ref="L35:L54" si="15">(K35*H35)</f>
        <v>410173434.06601667</v>
      </c>
      <c r="M35" s="36">
        <f>VLOOKUP(A35,'Variable Input'!$1:$1048576,23,FALSE)</f>
        <v>0.99671861092415948</v>
      </c>
      <c r="N35" s="22">
        <f t="shared" ref="N35:N54" si="16">L35*M35</f>
        <v>408827495.44027245</v>
      </c>
      <c r="O35" s="19">
        <f t="shared" ref="O35:O54" si="17">IFERROR(N35/H35,0)</f>
        <v>13212.056683093129</v>
      </c>
      <c r="P35" s="18">
        <f>VLOOKUP(A35,'Rate Application - REM Cycle I'!$1:$65535,11,FALSE)</f>
        <v>751420.3248961916</v>
      </c>
      <c r="Q35" s="18">
        <f t="shared" ref="Q35:Q54" si="18">N35+P35</f>
        <v>409578915.76516867</v>
      </c>
      <c r="R35" s="19">
        <f t="shared" ref="R35:R54" si="19">IFERROR(Q35/H35,0)</f>
        <v>13236.340294239844</v>
      </c>
      <c r="S35" s="81">
        <f>VLOOKUP(A35,'Rate Application - REM Cycle I'!$1:$65535,9,FALSE)</f>
        <v>1.1174861425645124</v>
      </c>
      <c r="T35" s="19">
        <f t="shared" ref="T35:T54" si="20">Q35*S35</f>
        <v>457698762.65417367</v>
      </c>
      <c r="U35" s="22">
        <f t="shared" ref="U35:U54" si="21">IFERROR(T35/H35,0)</f>
        <v>14791.426857081306</v>
      </c>
      <c r="V35" s="88">
        <f>IFERROR(VLOOKUP(A35,'PAU Volume'!$AX:$AZ,3,FALSE),0)</f>
        <v>-42.786420465506588</v>
      </c>
      <c r="W35" s="79">
        <f t="shared" ref="W35:W54" si="22">H35+V35</f>
        <v>30900.73019064853</v>
      </c>
      <c r="X35" s="15">
        <f t="shared" ref="X35:X54" si="23">W35*U35</f>
        <v>457065890.44538182</v>
      </c>
      <c r="Y35" s="11">
        <f>VLOOKUP(A35,'Integrated Effic - ICC Cycle I'!$1:$65535,7,FALSE)</f>
        <v>494588494.72270107</v>
      </c>
      <c r="Z35" s="78">
        <f t="shared" ref="Z35:Z54" si="24">IFERROR(X35/Y35-1," ")</f>
        <v>-7.5866310433195361E-2</v>
      </c>
      <c r="AA35" s="82">
        <f>IFERROR(VLOOKUP(A35,'GBR Revenue for ICC'!#REF!,17,FALSE),0)</f>
        <v>0</v>
      </c>
      <c r="AB35" s="82">
        <f t="shared" ref="AB35:AB54" si="25">IFERROR(AA35*(1+Z35),0)</f>
        <v>0</v>
      </c>
      <c r="AC35" s="11">
        <f t="shared" ref="AC35:AC54" si="26">Y35+AA35</f>
        <v>494588494.72270107</v>
      </c>
      <c r="AD35" s="11">
        <f t="shared" ref="AD35:AD54" si="27">X35+AB35</f>
        <v>457065890.44538182</v>
      </c>
      <c r="AE35" s="10">
        <v>1</v>
      </c>
      <c r="AG35" s="271"/>
    </row>
    <row r="36" spans="1:33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IF(C36=1,'Integrated Effic - ICC Cycle I'!$Y$65,IF(C36=3,'Integrated Effic - ICC Cycle I'!$Y$66,IF(C36=4,'Integrated Effic - ICC Cycle I'!$Y$67,IF(C36=5,'Integrated Effic - ICC Cycle I'!$Y$68,0))))</f>
        <v>10459.948799491758</v>
      </c>
      <c r="E36" s="87">
        <v>0</v>
      </c>
      <c r="F36" s="87">
        <v>0</v>
      </c>
      <c r="G36" s="87">
        <f>D36*(1-PROFIT!$H$58)</f>
        <v>10424.16020405957</v>
      </c>
      <c r="H36" s="65">
        <f>VLOOKUP(A36,'Rate Application - REM Cycle I'!$1:$65535,15,FALSE)</f>
        <v>30637.922123716067</v>
      </c>
      <c r="I36" s="19">
        <f>+VLOOKUP(A36,'Integrated Effic - ICC Cycle I'!$1:$1048576,20,FALSE)/H36</f>
        <v>249.73659338390533</v>
      </c>
      <c r="J36" s="19">
        <f>+VLOOKUP(A36,'Integrated Effic - ICC Cycle I'!$1:$1048576,21,FALSE)/H36</f>
        <v>2013.6887020879367</v>
      </c>
      <c r="K36" s="11">
        <f t="shared" si="14"/>
        <v>12687.585499531411</v>
      </c>
      <c r="L36" s="11">
        <f t="shared" si="15"/>
        <v>388721256.47263259</v>
      </c>
      <c r="M36" s="36">
        <f>VLOOKUP(A36,'Variable Input'!$1:$1048576,23,FALSE)</f>
        <v>0.99671861092415948</v>
      </c>
      <c r="N36" s="22">
        <f t="shared" si="16"/>
        <v>387445710.78809631</v>
      </c>
      <c r="O36" s="19">
        <f t="shared" si="17"/>
        <v>12645.952595074457</v>
      </c>
      <c r="P36" s="18">
        <f>VLOOKUP(A36,'Rate Application - REM Cycle I'!$1:$65535,11,FALSE)</f>
        <v>7270460.1939369692</v>
      </c>
      <c r="Q36" s="18">
        <f t="shared" si="18"/>
        <v>394716170.98203325</v>
      </c>
      <c r="R36" s="19">
        <f t="shared" si="19"/>
        <v>12883.255247799363</v>
      </c>
      <c r="S36" s="81">
        <f>VLOOKUP(A36,'Rate Application - REM Cycle I'!$1:$65535,9,FALSE)</f>
        <v>1.1074866213835981</v>
      </c>
      <c r="T36" s="19">
        <f t="shared" si="20"/>
        <v>437142878.60636264</v>
      </c>
      <c r="U36" s="22">
        <f t="shared" si="21"/>
        <v>14268.032826807828</v>
      </c>
      <c r="V36" s="88">
        <f>IFERROR(VLOOKUP(A36,'PAU Volume'!$AX:$AZ,3,FALSE),0)</f>
        <v>791.34911601934573</v>
      </c>
      <c r="W36" s="79">
        <f t="shared" si="22"/>
        <v>31429.271239735412</v>
      </c>
      <c r="X36" s="15">
        <f t="shared" si="23"/>
        <v>448433873.77119201</v>
      </c>
      <c r="Y36" s="11">
        <f>VLOOKUP(A36,'Integrated Effic - ICC Cycle I'!$1:$65535,7,FALSE)</f>
        <v>487480078.48555809</v>
      </c>
      <c r="Z36" s="78">
        <f t="shared" si="24"/>
        <v>-8.0098052079727866E-2</v>
      </c>
      <c r="AA36" s="82">
        <f>IFERROR(VLOOKUP(A36,'GBR Revenue for ICC'!#REF!,17,FALSE),0)</f>
        <v>0</v>
      </c>
      <c r="AB36" s="82">
        <f t="shared" si="25"/>
        <v>0</v>
      </c>
      <c r="AC36" s="11">
        <f t="shared" si="26"/>
        <v>487480078.48555809</v>
      </c>
      <c r="AD36" s="11">
        <f t="shared" si="27"/>
        <v>448433873.77119201</v>
      </c>
      <c r="AE36" s="10">
        <v>1</v>
      </c>
      <c r="AG36" s="271"/>
    </row>
    <row r="37" spans="1:33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IF(C37=1,'Integrated Effic - ICC Cycle I'!$Y$65,IF(C37=3,'Integrated Effic - ICC Cycle I'!$Y$66,IF(C37=4,'Integrated Effic - ICC Cycle I'!$Y$67,IF(C37=5,'Integrated Effic - ICC Cycle I'!$Y$68,0))))</f>
        <v>0</v>
      </c>
      <c r="E37" s="87">
        <v>0</v>
      </c>
      <c r="F37" s="87">
        <v>0</v>
      </c>
      <c r="G37" s="87">
        <f>D37*(1-PROFIT!$H$58)</f>
        <v>0</v>
      </c>
      <c r="H37" s="65">
        <f>VLOOKUP(A37,'Rate Application - REM Cycle I'!$1:$65535,15,FALSE)</f>
        <v>566.52872944799947</v>
      </c>
      <c r="I37" s="19">
        <f>+VLOOKUP(A37,'Integrated Effic - ICC Cycle I'!$1:$1048576,20,FALSE)/H37</f>
        <v>0</v>
      </c>
      <c r="J37" s="19">
        <f>+VLOOKUP(A37,'Integrated Effic - ICC Cycle I'!$1:$1048576,21,FALSE)/H37</f>
        <v>4713.0209535125723</v>
      </c>
      <c r="K37" s="11">
        <f t="shared" si="14"/>
        <v>4713.0209535125723</v>
      </c>
      <c r="L37" s="11">
        <f t="shared" si="15"/>
        <v>2670061.7726552766</v>
      </c>
      <c r="M37" s="36">
        <f>VLOOKUP(A37,'Variable Input'!$1:$1048576,23,FALSE)</f>
        <v>0.99671861092415948</v>
      </c>
      <c r="N37" s="22">
        <f t="shared" si="16"/>
        <v>2661300.2611226663</v>
      </c>
      <c r="O37" s="19">
        <f t="shared" si="17"/>
        <v>4697.5556980415085</v>
      </c>
      <c r="P37" s="18">
        <f>VLOOKUP(A37,'Rate Application - REM Cycle I'!$1:$65535,11,FALSE)</f>
        <v>0</v>
      </c>
      <c r="Q37" s="18">
        <f t="shared" si="18"/>
        <v>2661300.2611226663</v>
      </c>
      <c r="R37" s="19">
        <f t="shared" si="19"/>
        <v>4697.5556980415085</v>
      </c>
      <c r="S37" s="81">
        <f>VLOOKUP(A37,'Rate Application - REM Cycle I'!$1:$65535,9,FALSE)</f>
        <v>1.1235285459397526</v>
      </c>
      <c r="T37" s="19">
        <f t="shared" si="20"/>
        <v>2990046.8126882333</v>
      </c>
      <c r="U37" s="22">
        <f t="shared" si="21"/>
        <v>5277.8379228915765</v>
      </c>
      <c r="V37" s="88">
        <f>IFERROR(VLOOKUP(A37,'PAU Volume'!$AX:$AZ,3,FALSE),0)</f>
        <v>0</v>
      </c>
      <c r="W37" s="79">
        <f t="shared" si="22"/>
        <v>566.52872944799947</v>
      </c>
      <c r="X37" s="15">
        <f t="shared" si="23"/>
        <v>2990046.8126882333</v>
      </c>
      <c r="Y37" s="11">
        <f>VLOOKUP(A37,'Integrated Effic - ICC Cycle I'!$1:$65535,7,FALSE)</f>
        <v>6750663.1586297443</v>
      </c>
      <c r="Z37" s="78">
        <f t="shared" si="24"/>
        <v>-0.55707361744662198</v>
      </c>
      <c r="AA37" s="82">
        <f>IFERROR(VLOOKUP(A37,'GBR Revenue for ICC'!#REF!,17,FALSE),0)</f>
        <v>0</v>
      </c>
      <c r="AB37" s="82">
        <f t="shared" si="25"/>
        <v>0</v>
      </c>
      <c r="AC37" s="11">
        <f t="shared" si="26"/>
        <v>6750663.1586297443</v>
      </c>
      <c r="AD37" s="11">
        <f t="shared" si="27"/>
        <v>2990046.8126882333</v>
      </c>
      <c r="AE37" s="10">
        <v>1</v>
      </c>
      <c r="AG37" s="271"/>
    </row>
    <row r="38" spans="1:33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IF(C38=1,'Integrated Effic - ICC Cycle I'!$Y$65,IF(C38=3,'Integrated Effic - ICC Cycle I'!$Y$66,IF(C38=4,'Integrated Effic - ICC Cycle I'!$Y$67,IF(C38=5,'Integrated Effic - ICC Cycle I'!$Y$68,0))))</f>
        <v>10459.948799491758</v>
      </c>
      <c r="E38" s="87">
        <v>0</v>
      </c>
      <c r="F38" s="87">
        <v>0</v>
      </c>
      <c r="G38" s="87">
        <f>D38*(1-PROFIT!$H$58)</f>
        <v>10424.16020405957</v>
      </c>
      <c r="H38" s="65">
        <f>VLOOKUP(A38,'Rate Application - REM Cycle I'!$1:$65535,15,FALSE)</f>
        <v>24559.146065829038</v>
      </c>
      <c r="I38" s="19">
        <f>+VLOOKUP(A38,'Integrated Effic - ICC Cycle I'!$1:$1048576,20,FALSE)/H38</f>
        <v>0</v>
      </c>
      <c r="J38" s="19">
        <f>+VLOOKUP(A38,'Integrated Effic - ICC Cycle I'!$1:$1048576,21,FALSE)/H38</f>
        <v>2201.4499203610849</v>
      </c>
      <c r="K38" s="11">
        <f t="shared" si="14"/>
        <v>12625.610124420655</v>
      </c>
      <c r="L38" s="11">
        <f t="shared" si="15"/>
        <v>310074203.21585679</v>
      </c>
      <c r="M38" s="36">
        <f>VLOOKUP(A38,'Variable Input'!$1:$1048576,23,FALSE)</f>
        <v>0.99671861092415948</v>
      </c>
      <c r="N38" s="22">
        <f t="shared" si="16"/>
        <v>309056729.1127243</v>
      </c>
      <c r="O38" s="19">
        <f t="shared" si="17"/>
        <v>12584.180585282558</v>
      </c>
      <c r="P38" s="18">
        <f>VLOOKUP(A38,'Rate Application - REM Cycle I'!$1:$65535,11,FALSE)</f>
        <v>0</v>
      </c>
      <c r="Q38" s="18">
        <f t="shared" si="18"/>
        <v>309056729.1127243</v>
      </c>
      <c r="R38" s="19">
        <f t="shared" si="19"/>
        <v>12584.180585282558</v>
      </c>
      <c r="S38" s="81">
        <f>VLOOKUP(A38,'Rate Application - REM Cycle I'!$1:$65535,9,FALSE)</f>
        <v>1.1035189993630976</v>
      </c>
      <c r="T38" s="19">
        <f t="shared" si="20"/>
        <v>341049972.45690542</v>
      </c>
      <c r="U38" s="22">
        <f t="shared" si="21"/>
        <v>13886.882367275528</v>
      </c>
      <c r="V38" s="88">
        <f>IFERROR(VLOOKUP(A38,'PAU Volume'!$AX:$AZ,3,FALSE),0)</f>
        <v>620.36017053612238</v>
      </c>
      <c r="W38" s="79">
        <f t="shared" si="22"/>
        <v>25179.50623636516</v>
      </c>
      <c r="X38" s="15">
        <f t="shared" si="23"/>
        <v>349664841.17048353</v>
      </c>
      <c r="Y38" s="11">
        <f>VLOOKUP(A38,'Integrated Effic - ICC Cycle I'!$1:$65535,7,FALSE)</f>
        <v>347364244.13401937</v>
      </c>
      <c r="Z38" s="78">
        <f t="shared" si="24"/>
        <v>6.6230105006908069E-3</v>
      </c>
      <c r="AA38" s="82">
        <f>IFERROR(VLOOKUP(A38,'GBR Revenue for ICC'!#REF!,17,FALSE),0)</f>
        <v>0</v>
      </c>
      <c r="AB38" s="82">
        <f t="shared" si="25"/>
        <v>0</v>
      </c>
      <c r="AC38" s="11">
        <f t="shared" si="26"/>
        <v>347364244.13401937</v>
      </c>
      <c r="AD38" s="11">
        <f t="shared" si="27"/>
        <v>349664841.17048353</v>
      </c>
      <c r="AE38" s="10">
        <v>1</v>
      </c>
      <c r="AG38" s="271"/>
    </row>
    <row r="39" spans="1:33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IF(C39=1,'Integrated Effic - ICC Cycle I'!$Y$65,IF(C39=3,'Integrated Effic - ICC Cycle I'!$Y$66,IF(C39=4,'Integrated Effic - ICC Cycle I'!$Y$67,IF(C39=5,'Integrated Effic - ICC Cycle I'!$Y$68,0))))</f>
        <v>10459.948799491758</v>
      </c>
      <c r="E39" s="87">
        <v>0</v>
      </c>
      <c r="F39" s="87">
        <v>0</v>
      </c>
      <c r="G39" s="87">
        <f>D39*(1-PROFIT!$H$58)</f>
        <v>10424.16020405957</v>
      </c>
      <c r="H39" s="65">
        <f>VLOOKUP(A39,'Rate Application - REM Cycle I'!$1:$65535,15,FALSE)</f>
        <v>24233.031990069048</v>
      </c>
      <c r="I39" s="19">
        <f>+VLOOKUP(A39,'Integrated Effic - ICC Cycle I'!$1:$1048576,20,FALSE)/H39</f>
        <v>0</v>
      </c>
      <c r="J39" s="19">
        <f>+VLOOKUP(A39,'Integrated Effic - ICC Cycle I'!$1:$1048576,21,FALSE)/H39</f>
        <v>2129.0160123627174</v>
      </c>
      <c r="K39" s="11">
        <f t="shared" si="14"/>
        <v>12553.176216422287</v>
      </c>
      <c r="L39" s="11">
        <f t="shared" si="15"/>
        <v>304201520.82953525</v>
      </c>
      <c r="M39" s="36">
        <f>VLOOKUP(A39,'Variable Input'!$1:$1048576,23,FALSE)</f>
        <v>0.99671861092415948</v>
      </c>
      <c r="N39" s="22">
        <f t="shared" si="16"/>
        <v>303203317.28223115</v>
      </c>
      <c r="O39" s="19">
        <f t="shared" si="17"/>
        <v>12511.984361118619</v>
      </c>
      <c r="P39" s="18">
        <f>VLOOKUP(A39,'Rate Application - REM Cycle I'!$1:$65535,11,FALSE)</f>
        <v>0</v>
      </c>
      <c r="Q39" s="18">
        <f t="shared" si="18"/>
        <v>303203317.28223115</v>
      </c>
      <c r="R39" s="19">
        <f t="shared" si="19"/>
        <v>12511.984361118619</v>
      </c>
      <c r="S39" s="81">
        <f>VLOOKUP(A39,'Rate Application - REM Cycle I'!$1:$65535,9,FALSE)</f>
        <v>1.1147926720978587</v>
      </c>
      <c r="T39" s="19">
        <f t="shared" si="20"/>
        <v>338008836.26199335</v>
      </c>
      <c r="U39" s="22">
        <f t="shared" si="21"/>
        <v>13948.268479178047</v>
      </c>
      <c r="V39" s="88">
        <f>IFERROR(VLOOKUP(A39,'PAU Volume'!$AX:$AZ,3,FALSE),0)</f>
        <v>669.6269599996217</v>
      </c>
      <c r="W39" s="79">
        <f t="shared" si="22"/>
        <v>24902.658950068671</v>
      </c>
      <c r="X39" s="15">
        <f t="shared" si="23"/>
        <v>347348972.88096392</v>
      </c>
      <c r="Y39" s="11">
        <f>VLOOKUP(A39,'Integrated Effic - ICC Cycle I'!$1:$65535,7,FALSE)</f>
        <v>360755199.70698422</v>
      </c>
      <c r="Z39" s="78">
        <f t="shared" si="24"/>
        <v>-3.7161562291851191E-2</v>
      </c>
      <c r="AA39" s="82">
        <f>IFERROR(VLOOKUP(A39,'GBR Revenue for ICC'!#REF!,17,FALSE),0)</f>
        <v>0</v>
      </c>
      <c r="AB39" s="82">
        <f t="shared" si="25"/>
        <v>0</v>
      </c>
      <c r="AC39" s="11">
        <f t="shared" si="26"/>
        <v>360755199.70698422</v>
      </c>
      <c r="AD39" s="11">
        <f t="shared" si="27"/>
        <v>347348972.88096392</v>
      </c>
      <c r="AE39" s="10">
        <v>1</v>
      </c>
      <c r="AG39" s="271"/>
    </row>
    <row r="40" spans="1:33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IF(C40=1,'Integrated Effic - ICC Cycle I'!$Y$65,IF(C40=3,'Integrated Effic - ICC Cycle I'!$Y$66,IF(C40=4,'Integrated Effic - ICC Cycle I'!$Y$67,IF(C40=5,'Integrated Effic - ICC Cycle I'!$Y$68,0))))</f>
        <v>10459.948799491758</v>
      </c>
      <c r="E40" s="87">
        <v>0</v>
      </c>
      <c r="F40" s="87">
        <v>0</v>
      </c>
      <c r="G40" s="87">
        <f>D40*(1-PROFIT!$H$58)</f>
        <v>10424.16020405957</v>
      </c>
      <c r="H40" s="65">
        <f>VLOOKUP(A40,'Rate Application - REM Cycle I'!$1:$65535,15,FALSE)</f>
        <v>15907.038226505023</v>
      </c>
      <c r="I40" s="19">
        <f>+VLOOKUP(A40,'Integrated Effic - ICC Cycle I'!$1:$1048576,20,FALSE)/H40</f>
        <v>0</v>
      </c>
      <c r="J40" s="19">
        <f>+VLOOKUP(A40,'Integrated Effic - ICC Cycle I'!$1:$1048576,21,FALSE)/H40</f>
        <v>3430.3536002852661</v>
      </c>
      <c r="K40" s="11">
        <f t="shared" si="14"/>
        <v>13854.513804344835</v>
      </c>
      <c r="L40" s="11">
        <f t="shared" si="15"/>
        <v>220384280.69535482</v>
      </c>
      <c r="M40" s="36">
        <f>VLOOKUP(A40,'Variable Input'!$1:$1048576,23,FALSE)</f>
        <v>1.0181752931904677</v>
      </c>
      <c r="N40" s="22">
        <f t="shared" si="16"/>
        <v>224389829.61156324</v>
      </c>
      <c r="O40" s="19">
        <f t="shared" si="17"/>
        <v>14106.323654750186</v>
      </c>
      <c r="P40" s="18">
        <f>VLOOKUP(A40,'Rate Application - REM Cycle I'!$1:$65535,11,FALSE)</f>
        <v>0</v>
      </c>
      <c r="Q40" s="18">
        <f t="shared" si="18"/>
        <v>224389829.61156324</v>
      </c>
      <c r="R40" s="19">
        <f t="shared" si="19"/>
        <v>14106.323654750186</v>
      </c>
      <c r="S40" s="81">
        <f>VLOOKUP(A40,'Rate Application - REM Cycle I'!$1:$65535,9,FALSE)</f>
        <v>1.1175427593245362</v>
      </c>
      <c r="T40" s="19">
        <f t="shared" si="20"/>
        <v>250765229.3484689</v>
      </c>
      <c r="U40" s="22">
        <f t="shared" si="21"/>
        <v>15764.419861054497</v>
      </c>
      <c r="V40" s="88">
        <f>IFERROR(VLOOKUP(A40,'PAU Volume'!$AX:$AZ,3,FALSE),0)</f>
        <v>-155.02990790879309</v>
      </c>
      <c r="W40" s="79">
        <f t="shared" si="22"/>
        <v>15752.00831859623</v>
      </c>
      <c r="X40" s="15">
        <f t="shared" si="23"/>
        <v>248321272.78917408</v>
      </c>
      <c r="Y40" s="11">
        <f>VLOOKUP(A40,'Integrated Effic - ICC Cycle I'!$1:$65535,7,FALSE)</f>
        <v>285985121.35552841</v>
      </c>
      <c r="Z40" s="78">
        <f t="shared" si="24"/>
        <v>-0.1316986295924526</v>
      </c>
      <c r="AA40" s="82">
        <f>IFERROR(VLOOKUP(A40,'GBR Revenue for ICC'!#REF!,17,FALSE),0)</f>
        <v>0</v>
      </c>
      <c r="AB40" s="82">
        <f t="shared" si="25"/>
        <v>0</v>
      </c>
      <c r="AC40" s="11">
        <f t="shared" si="26"/>
        <v>285985121.35552841</v>
      </c>
      <c r="AD40" s="11">
        <f t="shared" si="27"/>
        <v>248321272.78917408</v>
      </c>
      <c r="AE40" s="10">
        <v>1</v>
      </c>
      <c r="AG40" s="271"/>
    </row>
    <row r="41" spans="1:33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IF(C41=1,'Integrated Effic - ICC Cycle I'!$Y$65,IF(C41=3,'Integrated Effic - ICC Cycle I'!$Y$66,IF(C41=4,'Integrated Effic - ICC Cycle I'!$Y$67,IF(C41=5,'Integrated Effic - ICC Cycle I'!$Y$68,0))))</f>
        <v>0</v>
      </c>
      <c r="E41" s="87">
        <v>0</v>
      </c>
      <c r="F41" s="87">
        <v>0</v>
      </c>
      <c r="G41" s="87">
        <f>D41*(1-PROFIT!$H$58)</f>
        <v>0</v>
      </c>
      <c r="H41" s="65">
        <f>VLOOKUP(A41,'Rate Application - REM Cycle I'!$1:$65535,15,FALSE)</f>
        <v>1984.4844588999965</v>
      </c>
      <c r="I41" s="19">
        <f>+VLOOKUP(A41,'Integrated Effic - ICC Cycle I'!$1:$1048576,20,FALSE)/H41</f>
        <v>0</v>
      </c>
      <c r="J41" s="19">
        <f>+VLOOKUP(A41,'Integrated Effic - ICC Cycle I'!$1:$1048576,21,FALSE)/H41</f>
        <v>3663.4347147402104</v>
      </c>
      <c r="K41" s="11">
        <f t="shared" si="14"/>
        <v>3663.4347147402104</v>
      </c>
      <c r="L41" s="11">
        <f t="shared" si="15"/>
        <v>7270029.2575966893</v>
      </c>
      <c r="M41" s="36">
        <f>VLOOKUP(A41,'Variable Input'!$1:$1048576,23,FALSE)</f>
        <v>1.0181752931904677</v>
      </c>
      <c r="N41" s="22">
        <f t="shared" si="16"/>
        <v>7402164.1708567878</v>
      </c>
      <c r="O41" s="19">
        <f t="shared" si="17"/>
        <v>3730.0187147647512</v>
      </c>
      <c r="P41" s="18">
        <f>VLOOKUP(A41,'Rate Application - REM Cycle I'!$1:$65535,11,FALSE)</f>
        <v>141502.60406345228</v>
      </c>
      <c r="Q41" s="18">
        <f t="shared" si="18"/>
        <v>7543666.77492024</v>
      </c>
      <c r="R41" s="19">
        <f t="shared" si="19"/>
        <v>3801.3231804806919</v>
      </c>
      <c r="S41" s="81">
        <f>VLOOKUP(A41,'Rate Application - REM Cycle I'!$1:$65535,9,FALSE)</f>
        <v>1.2317684965243516</v>
      </c>
      <c r="T41" s="19">
        <f t="shared" si="20"/>
        <v>9292051.081624208</v>
      </c>
      <c r="U41" s="22">
        <f t="shared" si="21"/>
        <v>4682.3501388238683</v>
      </c>
      <c r="V41" s="88">
        <f>IFERROR(VLOOKUP(A41,'PAU Volume'!$AX:$AZ,3,FALSE),0)</f>
        <v>84.946009723338292</v>
      </c>
      <c r="W41" s="79">
        <f t="shared" si="22"/>
        <v>2069.4304686233349</v>
      </c>
      <c r="X41" s="15">
        <f t="shared" si="23"/>
        <v>9689798.0420448147</v>
      </c>
      <c r="Y41" s="11">
        <f>VLOOKUP(A41,'Integrated Effic - ICC Cycle I'!$1:$65535,7,FALSE)</f>
        <v>40225326.036725186</v>
      </c>
      <c r="Z41" s="78">
        <f t="shared" si="24"/>
        <v>-0.75911200736575368</v>
      </c>
      <c r="AA41" s="82">
        <f>IFERROR(VLOOKUP(A41,'GBR Revenue for ICC'!#REF!,17,FALSE),0)</f>
        <v>0</v>
      </c>
      <c r="AB41" s="82">
        <f t="shared" si="25"/>
        <v>0</v>
      </c>
      <c r="AC41" s="11">
        <f t="shared" si="26"/>
        <v>40225326.036725186</v>
      </c>
      <c r="AD41" s="11">
        <f t="shared" si="27"/>
        <v>9689798.0420448147</v>
      </c>
      <c r="AE41" s="10">
        <v>1</v>
      </c>
      <c r="AG41" s="271"/>
    </row>
    <row r="42" spans="1:33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IF(C42=1,'Integrated Effic - ICC Cycle I'!$Y$65,IF(C42=3,'Integrated Effic - ICC Cycle I'!$Y$66,IF(C42=4,'Integrated Effic - ICC Cycle I'!$Y$67,IF(C42=5,'Integrated Effic - ICC Cycle I'!$Y$68,0))))</f>
        <v>10459.948799491758</v>
      </c>
      <c r="E42" s="87">
        <v>0</v>
      </c>
      <c r="F42" s="87">
        <v>0</v>
      </c>
      <c r="G42" s="87">
        <f>D42*(1-PROFIT!$H$58)</f>
        <v>10424.16020405957</v>
      </c>
      <c r="H42" s="65">
        <f>VLOOKUP(A42,'Rate Application - REM Cycle I'!$1:$65535,15,FALSE)</f>
        <v>16881.552106553001</v>
      </c>
      <c r="I42" s="19">
        <f>+VLOOKUP(A42,'Integrated Effic - ICC Cycle I'!$1:$1048576,20,FALSE)/H42</f>
        <v>118.19803973248145</v>
      </c>
      <c r="J42" s="19">
        <f>+VLOOKUP(A42,'Integrated Effic - ICC Cycle I'!$1:$1048576,21,FALSE)/H42</f>
        <v>4287.7134028392911</v>
      </c>
      <c r="K42" s="11">
        <f t="shared" si="14"/>
        <v>14830.071646631342</v>
      </c>
      <c r="L42" s="11">
        <f t="shared" si="15"/>
        <v>250354627.24652126</v>
      </c>
      <c r="M42" s="36">
        <f>VLOOKUP(A42,'Variable Input'!$1:$1048576,23,FALSE)</f>
        <v>0.99671861092415948</v>
      </c>
      <c r="N42" s="22">
        <f t="shared" si="16"/>
        <v>249533116.3075884</v>
      </c>
      <c r="O42" s="19">
        <f t="shared" si="17"/>
        <v>14781.408411536153</v>
      </c>
      <c r="P42" s="18">
        <f>VLOOKUP(A42,'Rate Application - REM Cycle I'!$1:$65535,11,FALSE)</f>
        <v>1799367.1419683334</v>
      </c>
      <c r="Q42" s="18">
        <f t="shared" si="18"/>
        <v>251332483.44955674</v>
      </c>
      <c r="R42" s="19">
        <f t="shared" si="19"/>
        <v>14887.996190350037</v>
      </c>
      <c r="S42" s="81">
        <f>VLOOKUP(A42,'Rate Application - REM Cycle I'!$1:$65535,9,FALSE)</f>
        <v>1.1293262174048309</v>
      </c>
      <c r="T42" s="19">
        <f t="shared" si="20"/>
        <v>283836362.84505016</v>
      </c>
      <c r="U42" s="22">
        <f t="shared" si="21"/>
        <v>16813.404422385542</v>
      </c>
      <c r="V42" s="88">
        <f>IFERROR(VLOOKUP(A42,'PAU Volume'!$AX:$AZ,3,FALSE),0)</f>
        <v>438.78077166626639</v>
      </c>
      <c r="W42" s="79">
        <f t="shared" si="22"/>
        <v>17320.332878219266</v>
      </c>
      <c r="X42" s="15">
        <f t="shared" si="23"/>
        <v>291213761.41184151</v>
      </c>
      <c r="Y42" s="11">
        <f>VLOOKUP(A42,'Integrated Effic - ICC Cycle I'!$1:$65535,7,FALSE)</f>
        <v>303653479.39780694</v>
      </c>
      <c r="Z42" s="78">
        <f t="shared" si="24"/>
        <v>-4.0966821821489918E-2</v>
      </c>
      <c r="AA42" s="82">
        <f>IFERROR(VLOOKUP(A42,'GBR Revenue for ICC'!#REF!,17,FALSE),0)</f>
        <v>0</v>
      </c>
      <c r="AB42" s="82">
        <f t="shared" si="25"/>
        <v>0</v>
      </c>
      <c r="AC42" s="11">
        <f t="shared" si="26"/>
        <v>303653479.39780694</v>
      </c>
      <c r="AD42" s="11">
        <f t="shared" si="27"/>
        <v>291213761.41184151</v>
      </c>
      <c r="AE42" s="10">
        <v>1</v>
      </c>
    </row>
    <row r="43" spans="1:33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IF(C43=1,'Integrated Effic - ICC Cycle I'!$Y$65,IF(C43=3,'Integrated Effic - ICC Cycle I'!$Y$66,IF(C43=4,'Integrated Effic - ICC Cycle I'!$Y$67,IF(C43=5,'Integrated Effic - ICC Cycle I'!$Y$68,0))))</f>
        <v>10459.948799491758</v>
      </c>
      <c r="E43" s="87">
        <v>0</v>
      </c>
      <c r="F43" s="87">
        <v>0</v>
      </c>
      <c r="G43" s="87">
        <f>D43*(1-PROFIT!$H$58)</f>
        <v>10424.16020405957</v>
      </c>
      <c r="H43" s="65">
        <f>VLOOKUP(A43,'Rate Application - REM Cycle I'!$1:$65535,15,FALSE)</f>
        <v>29567.442541858047</v>
      </c>
      <c r="I43" s="19">
        <f>+VLOOKUP(A43,'Integrated Effic - ICC Cycle I'!$1:$1048576,20,FALSE)/H43</f>
        <v>0</v>
      </c>
      <c r="J43" s="19">
        <f>+VLOOKUP(A43,'Integrated Effic - ICC Cycle I'!$1:$1048576,21,FALSE)/H43</f>
        <v>2612.1086726690251</v>
      </c>
      <c r="K43" s="11">
        <f t="shared" si="14"/>
        <v>13036.268876728594</v>
      </c>
      <c r="L43" s="11">
        <f t="shared" si="15"/>
        <v>385449130.97288507</v>
      </c>
      <c r="M43" s="36">
        <f>VLOOKUP(A43,'Variable Input'!$1:$1048576,23,FALSE)</f>
        <v>1.0181752931904677</v>
      </c>
      <c r="N43" s="22">
        <f t="shared" si="16"/>
        <v>392454781.93832827</v>
      </c>
      <c r="O43" s="19">
        <f t="shared" si="17"/>
        <v>13273.206885672907</v>
      </c>
      <c r="P43" s="18">
        <f>VLOOKUP(A43,'Rate Application - REM Cycle I'!$1:$65535,11,FALSE)</f>
        <v>0</v>
      </c>
      <c r="Q43" s="18">
        <f t="shared" si="18"/>
        <v>392454781.93832827</v>
      </c>
      <c r="R43" s="19">
        <f t="shared" si="19"/>
        <v>13273.206885672907</v>
      </c>
      <c r="S43" s="81">
        <f>VLOOKUP(A43,'Rate Application - REM Cycle I'!$1:$65535,9,FALSE)</f>
        <v>1.1115105879568932</v>
      </c>
      <c r="T43" s="19">
        <f t="shared" si="20"/>
        <v>436217645.41876554</v>
      </c>
      <c r="U43" s="22">
        <f t="shared" si="21"/>
        <v>14753.309989567775</v>
      </c>
      <c r="V43" s="88">
        <f>IFERROR(VLOOKUP(A43,'PAU Volume'!$AX:$AZ,3,FALSE),0)</f>
        <v>322.10217237676216</v>
      </c>
      <c r="W43" s="79">
        <f t="shared" si="22"/>
        <v>29889.544714234809</v>
      </c>
      <c r="X43" s="15">
        <f t="shared" si="23"/>
        <v>440969718.61615312</v>
      </c>
      <c r="Y43" s="11">
        <f>VLOOKUP(A43,'Integrated Effic - ICC Cycle I'!$1:$65535,7,FALSE)</f>
        <v>501735159.42853135</v>
      </c>
      <c r="Z43" s="78">
        <f t="shared" si="24"/>
        <v>-0.12111058926304696</v>
      </c>
      <c r="AA43" s="82">
        <f>IFERROR(VLOOKUP(A43,'GBR Revenue for ICC'!#REF!,17,FALSE),0)</f>
        <v>0</v>
      </c>
      <c r="AB43" s="82">
        <f t="shared" si="25"/>
        <v>0</v>
      </c>
      <c r="AC43" s="11">
        <f t="shared" si="26"/>
        <v>501735159.42853135</v>
      </c>
      <c r="AD43" s="11">
        <f t="shared" si="27"/>
        <v>440969718.61615312</v>
      </c>
      <c r="AE43" s="10">
        <v>1</v>
      </c>
    </row>
    <row r="44" spans="1:33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IF(C44=1,'Integrated Effic - ICC Cycle I'!$Y$65,IF(C44=3,'Integrated Effic - ICC Cycle I'!$Y$66,IF(C44=4,'Integrated Effic - ICC Cycle I'!$Y$67,IF(C44=5,'Integrated Effic - ICC Cycle I'!$Y$68,0))))</f>
        <v>10459.948799491758</v>
      </c>
      <c r="E44" s="87">
        <v>0</v>
      </c>
      <c r="F44" s="87">
        <v>0</v>
      </c>
      <c r="G44" s="87">
        <f>D44*(1-PROFIT!$H$58)</f>
        <v>10424.16020405957</v>
      </c>
      <c r="H44" s="65">
        <f>VLOOKUP(A44,'Rate Application - REM Cycle I'!$1:$65535,15,FALSE)</f>
        <v>5264.4707007620054</v>
      </c>
      <c r="I44" s="19">
        <f>+VLOOKUP(A44,'Integrated Effic - ICC Cycle I'!$1:$1048576,20,FALSE)/H44</f>
        <v>238.48799212817485</v>
      </c>
      <c r="J44" s="19">
        <f>+VLOOKUP(A44,'Integrated Effic - ICC Cycle I'!$1:$1048576,21,FALSE)/H44</f>
        <v>3493.982551773357</v>
      </c>
      <c r="K44" s="11">
        <f t="shared" si="14"/>
        <v>14156.630747961102</v>
      </c>
      <c r="L44" s="11">
        <f t="shared" si="15"/>
        <v>74527167.794147745</v>
      </c>
      <c r="M44" s="36">
        <f>VLOOKUP(A44,'Variable Input'!$1:$1048576,23,FALSE)</f>
        <v>0.99671861092415948</v>
      </c>
      <c r="N44" s="22">
        <f t="shared" si="16"/>
        <v>74282615.15989469</v>
      </c>
      <c r="O44" s="19">
        <f t="shared" si="17"/>
        <v>14110.177334474036</v>
      </c>
      <c r="P44" s="18">
        <f>VLOOKUP(A44,'Rate Application - REM Cycle I'!$1:$65535,11,FALSE)</f>
        <v>1538688.3210319907</v>
      </c>
      <c r="Q44" s="18">
        <f t="shared" si="18"/>
        <v>75821303.480926678</v>
      </c>
      <c r="R44" s="19">
        <f t="shared" si="19"/>
        <v>14402.455211680051</v>
      </c>
      <c r="S44" s="81">
        <f>VLOOKUP(A44,'Rate Application - REM Cycle I'!$1:$65535,9,FALSE)</f>
        <v>1.1120223070717381</v>
      </c>
      <c r="T44" s="19">
        <f t="shared" si="20"/>
        <v>84314980.822046489</v>
      </c>
      <c r="U44" s="22">
        <f t="shared" si="21"/>
        <v>16015.851471989828</v>
      </c>
      <c r="V44" s="88">
        <f>IFERROR(VLOOKUP(A44,'PAU Volume'!$AX:$AZ,3,FALSE),0)</f>
        <v>7.9296529790451151</v>
      </c>
      <c r="W44" s="79">
        <f t="shared" si="22"/>
        <v>5272.4003537410508</v>
      </c>
      <c r="X44" s="15">
        <f t="shared" si="23"/>
        <v>84441980.966383308</v>
      </c>
      <c r="Y44" s="11">
        <f>VLOOKUP(A44,'Integrated Effic - ICC Cycle I'!$1:$65535,7,FALSE)</f>
        <v>117697098.70628487</v>
      </c>
      <c r="Z44" s="78">
        <f t="shared" si="24"/>
        <v>-0.28254832196747925</v>
      </c>
      <c r="AA44" s="82">
        <f>IFERROR(VLOOKUP(A44,'GBR Revenue for ICC'!#REF!,17,FALSE),0)</f>
        <v>0</v>
      </c>
      <c r="AB44" s="82">
        <f t="shared" si="25"/>
        <v>0</v>
      </c>
      <c r="AC44" s="11">
        <f t="shared" si="26"/>
        <v>117697098.70628487</v>
      </c>
      <c r="AD44" s="11">
        <f t="shared" si="27"/>
        <v>84441980.966383308</v>
      </c>
      <c r="AE44" s="10">
        <v>1</v>
      </c>
    </row>
    <row r="45" spans="1:33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IF(C45=1,'Integrated Effic - ICC Cycle I'!$Y$65,IF(C45=3,'Integrated Effic - ICC Cycle I'!$Y$66,IF(C45=4,'Integrated Effic - ICC Cycle I'!$Y$67,IF(C45=5,'Integrated Effic - ICC Cycle I'!$Y$68,0))))</f>
        <v>10459.948799491758</v>
      </c>
      <c r="E45" s="87">
        <v>0</v>
      </c>
      <c r="F45" s="87">
        <v>0</v>
      </c>
      <c r="G45" s="87">
        <f>D45*(1-PROFIT!$H$58)</f>
        <v>10424.16020405957</v>
      </c>
      <c r="H45" s="65">
        <f>VLOOKUP(A45,'Rate Application - REM Cycle I'!$1:$65535,15,FALSE)</f>
        <v>3719.0107248960016</v>
      </c>
      <c r="I45" s="19">
        <f>+VLOOKUP(A45,'Integrated Effic - ICC Cycle I'!$1:$1048576,20,FALSE)/H45</f>
        <v>0</v>
      </c>
      <c r="J45" s="19">
        <f>+VLOOKUP(A45,'Integrated Effic - ICC Cycle I'!$1:$1048576,21,FALSE)/H45</f>
        <v>2896.8891326526596</v>
      </c>
      <c r="K45" s="11">
        <f t="shared" si="14"/>
        <v>13321.049336712229</v>
      </c>
      <c r="L45" s="11">
        <f t="shared" si="15"/>
        <v>49541125.350101545</v>
      </c>
      <c r="M45" s="36">
        <f>VLOOKUP(A45,'Variable Input'!$1:$1048576,23,FALSE)</f>
        <v>1.0181752931904677</v>
      </c>
      <c r="N45" s="22">
        <f t="shared" si="16"/>
        <v>50441549.828325354</v>
      </c>
      <c r="O45" s="19">
        <f t="shared" si="17"/>
        <v>13563.163314011659</v>
      </c>
      <c r="P45" s="18">
        <f>VLOOKUP(A45,'Rate Application - REM Cycle I'!$1:$65535,11,FALSE)</f>
        <v>0</v>
      </c>
      <c r="Q45" s="18">
        <f t="shared" si="18"/>
        <v>50441549.828325354</v>
      </c>
      <c r="R45" s="19">
        <f t="shared" si="19"/>
        <v>13563.163314011659</v>
      </c>
      <c r="S45" s="81">
        <f>VLOOKUP(A45,'Rate Application - REM Cycle I'!$1:$65535,9,FALSE)</f>
        <v>1.1180896691644482</v>
      </c>
      <c r="T45" s="19">
        <f t="shared" si="20"/>
        <v>56398175.759694323</v>
      </c>
      <c r="U45" s="22">
        <f t="shared" si="21"/>
        <v>15164.832782586676</v>
      </c>
      <c r="V45" s="88">
        <f>IFERROR(VLOOKUP(A45,'PAU Volume'!$AX:$AZ,3,FALSE),0)</f>
        <v>180.719932962033</v>
      </c>
      <c r="W45" s="79">
        <f t="shared" si="22"/>
        <v>3899.7306578580346</v>
      </c>
      <c r="X45" s="15">
        <f t="shared" si="23"/>
        <v>59138763.323543832</v>
      </c>
      <c r="Y45" s="11">
        <f>VLOOKUP(A45,'Integrated Effic - ICC Cycle I'!$1:$65535,7,FALSE)</f>
        <v>66045058.94902806</v>
      </c>
      <c r="Z45" s="78">
        <f t="shared" si="24"/>
        <v>-0.10456945205869728</v>
      </c>
      <c r="AA45" s="82">
        <f>IFERROR(VLOOKUP(A45,'GBR Revenue for ICC'!#REF!,17,FALSE),0)</f>
        <v>0</v>
      </c>
      <c r="AB45" s="82">
        <f t="shared" si="25"/>
        <v>0</v>
      </c>
      <c r="AC45" s="11">
        <f t="shared" si="26"/>
        <v>66045058.94902806</v>
      </c>
      <c r="AD45" s="11">
        <f t="shared" si="27"/>
        <v>59138763.323543832</v>
      </c>
      <c r="AE45" s="10">
        <v>1</v>
      </c>
    </row>
    <row r="46" spans="1:33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IF(C46=1,'Integrated Effic - ICC Cycle I'!$Y$65,IF(C46=3,'Integrated Effic - ICC Cycle I'!$Y$66,IF(C46=4,'Integrated Effic - ICC Cycle I'!$Y$67,IF(C46=5,'Integrated Effic - ICC Cycle I'!$Y$68,0))))</f>
        <v>10459.948799491758</v>
      </c>
      <c r="E46" s="87">
        <v>0</v>
      </c>
      <c r="F46" s="87">
        <v>0</v>
      </c>
      <c r="G46" s="87">
        <f>D46*(1-PROFIT!$H$58)</f>
        <v>10424.16020405957</v>
      </c>
      <c r="H46" s="65">
        <f>VLOOKUP(A46,'Rate Application - REM Cycle I'!$1:$65535,15,FALSE)</f>
        <v>9011.8464937300014</v>
      </c>
      <c r="I46" s="19">
        <f>+VLOOKUP(A46,'Integrated Effic - ICC Cycle I'!$1:$1048576,20,FALSE)/H46</f>
        <v>0</v>
      </c>
      <c r="J46" s="19">
        <f>+VLOOKUP(A46,'Integrated Effic - ICC Cycle I'!$1:$1048576,21,FALSE)/H46</f>
        <v>2143.1568985628414</v>
      </c>
      <c r="K46" s="11">
        <f t="shared" si="14"/>
        <v>12567.317102622412</v>
      </c>
      <c r="L46" s="11">
        <f t="shared" si="15"/>
        <v>113254732.56686085</v>
      </c>
      <c r="M46" s="36">
        <f>VLOOKUP(A46,'Variable Input'!$1:$1048576,23,FALSE)</f>
        <v>0.99671861092415948</v>
      </c>
      <c r="N46" s="22">
        <f t="shared" si="16"/>
        <v>112883099.72462872</v>
      </c>
      <c r="O46" s="19">
        <f t="shared" si="17"/>
        <v>12526.078845569242</v>
      </c>
      <c r="P46" s="18">
        <f>VLOOKUP(A46,'Rate Application - REM Cycle I'!$1:$65535,11,FALSE)</f>
        <v>0</v>
      </c>
      <c r="Q46" s="18">
        <f t="shared" si="18"/>
        <v>112883099.72462872</v>
      </c>
      <c r="R46" s="19">
        <f t="shared" si="19"/>
        <v>12526.078845569242</v>
      </c>
      <c r="S46" s="81">
        <f>VLOOKUP(A46,'Rate Application - REM Cycle I'!$1:$65535,9,FALSE)</f>
        <v>1.1146605541082666</v>
      </c>
      <c r="T46" s="19">
        <f t="shared" si="20"/>
        <v>125826338.48851337</v>
      </c>
      <c r="U46" s="22">
        <f t="shared" si="21"/>
        <v>13962.325986806049</v>
      </c>
      <c r="V46" s="88">
        <f>IFERROR(VLOOKUP(A46,'PAU Volume'!$AX:$AZ,3,FALSE),0)</f>
        <v>126.29928815319566</v>
      </c>
      <c r="W46" s="79">
        <f t="shared" si="22"/>
        <v>9138.1457818831968</v>
      </c>
      <c r="X46" s="15">
        <f t="shared" si="23"/>
        <v>127589770.32160984</v>
      </c>
      <c r="Y46" s="11">
        <f>VLOOKUP(A46,'Integrated Effic - ICC Cycle I'!$1:$65535,7,FALSE)</f>
        <v>123667555.66396882</v>
      </c>
      <c r="Z46" s="78">
        <f t="shared" si="24"/>
        <v>3.1715793496384093E-2</v>
      </c>
      <c r="AA46" s="82">
        <f>IFERROR(VLOOKUP(A46,'GBR Revenue for ICC'!#REF!,17,FALSE),0)</f>
        <v>0</v>
      </c>
      <c r="AB46" s="82">
        <f t="shared" si="25"/>
        <v>0</v>
      </c>
      <c r="AC46" s="11">
        <f t="shared" si="26"/>
        <v>123667555.66396882</v>
      </c>
      <c r="AD46" s="11">
        <f t="shared" si="27"/>
        <v>127589770.32160984</v>
      </c>
      <c r="AE46" s="10">
        <v>1</v>
      </c>
    </row>
    <row r="47" spans="1:33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IF(C47=1,'Integrated Effic - ICC Cycle I'!$Y$65,IF(C47=3,'Integrated Effic - ICC Cycle I'!$Y$66,IF(C47=4,'Integrated Effic - ICC Cycle I'!$Y$67,IF(C47=5,'Integrated Effic - ICC Cycle I'!$Y$68,0))))</f>
        <v>10459.948799491758</v>
      </c>
      <c r="E47" s="87">
        <v>0</v>
      </c>
      <c r="F47" s="87">
        <v>0</v>
      </c>
      <c r="G47" s="87">
        <f>D47*(1-PROFIT!$H$58)</f>
        <v>10424.16020405957</v>
      </c>
      <c r="H47" s="65">
        <f>VLOOKUP(A47,'Rate Application - REM Cycle I'!$1:$65535,15,FALSE)</f>
        <v>17485.311336287028</v>
      </c>
      <c r="I47" s="19">
        <f>+VLOOKUP(A47,'Integrated Effic - ICC Cycle I'!$1:$1048576,20,FALSE)/H47</f>
        <v>0</v>
      </c>
      <c r="J47" s="19">
        <f>+VLOOKUP(A47,'Integrated Effic - ICC Cycle I'!$1:$1048576,21,FALSE)/H47</f>
        <v>3298.0135073476195</v>
      </c>
      <c r="K47" s="11">
        <f t="shared" si="14"/>
        <v>13722.173711407189</v>
      </c>
      <c r="L47" s="11">
        <f t="shared" si="15"/>
        <v>239936479.55456796</v>
      </c>
      <c r="M47" s="36">
        <f>VLOOKUP(A47,'Variable Input'!$1:$1048576,23,FALSE)</f>
        <v>1.0181752931904677</v>
      </c>
      <c r="N47" s="22">
        <f t="shared" si="16"/>
        <v>244297395.41756091</v>
      </c>
      <c r="O47" s="19">
        <f t="shared" si="17"/>
        <v>13971.578241822543</v>
      </c>
      <c r="P47" s="18">
        <f>VLOOKUP(A47,'Rate Application - REM Cycle I'!$1:$65535,11,FALSE)</f>
        <v>0</v>
      </c>
      <c r="Q47" s="18">
        <f t="shared" si="18"/>
        <v>244297395.41756091</v>
      </c>
      <c r="R47" s="19">
        <f t="shared" si="19"/>
        <v>13971.578241822543</v>
      </c>
      <c r="S47" s="81">
        <f>VLOOKUP(A47,'Rate Application - REM Cycle I'!$1:$65535,9,FALSE)</f>
        <v>1.1171440000317876</v>
      </c>
      <c r="T47" s="19">
        <f t="shared" si="20"/>
        <v>272915369.51412129</v>
      </c>
      <c r="U47" s="22">
        <f t="shared" si="21"/>
        <v>15608.264803826727</v>
      </c>
      <c r="V47" s="88">
        <f>IFERROR(VLOOKUP(A47,'PAU Volume'!$AX:$AZ,3,FALSE),0)</f>
        <v>544.18028465011332</v>
      </c>
      <c r="W47" s="79">
        <f t="shared" si="22"/>
        <v>18029.49162093714</v>
      </c>
      <c r="X47" s="15">
        <f t="shared" si="23"/>
        <v>281409079.49796206</v>
      </c>
      <c r="Y47" s="11">
        <f>VLOOKUP(A47,'Integrated Effic - ICC Cycle I'!$1:$65535,7,FALSE)</f>
        <v>312472727.05601329</v>
      </c>
      <c r="Z47" s="78">
        <f t="shared" si="24"/>
        <v>-9.9412348241460502E-2</v>
      </c>
      <c r="AA47" s="82">
        <f>IFERROR(VLOOKUP(A47,'GBR Revenue for ICC'!#REF!,17,FALSE),0)</f>
        <v>0</v>
      </c>
      <c r="AB47" s="82">
        <f t="shared" si="25"/>
        <v>0</v>
      </c>
      <c r="AC47" s="11">
        <f t="shared" si="26"/>
        <v>312472727.05601329</v>
      </c>
      <c r="AD47" s="11">
        <f t="shared" si="27"/>
        <v>281409079.49796206</v>
      </c>
      <c r="AE47" s="10">
        <v>1</v>
      </c>
    </row>
    <row r="48" spans="1:33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IF(C48=1,'Integrated Effic - ICC Cycle I'!$Y$65,IF(C48=3,'Integrated Effic - ICC Cycle I'!$Y$66,IF(C48=4,'Integrated Effic - ICC Cycle I'!$Y$67,IF(C48=5,'Integrated Effic - ICC Cycle I'!$Y$68,0))))</f>
        <v>10459.948799491758</v>
      </c>
      <c r="E48" s="87">
        <v>0</v>
      </c>
      <c r="F48" s="87">
        <v>0</v>
      </c>
      <c r="G48" s="87">
        <f>D48*(1-PROFIT!$H$58)</f>
        <v>10424.16020405957</v>
      </c>
      <c r="H48" s="65">
        <f>VLOOKUP(A48,'Rate Application - REM Cycle I'!$1:$65535,15,FALSE)</f>
        <v>30821.946526509015</v>
      </c>
      <c r="I48" s="19">
        <f>+VLOOKUP(A48,'Integrated Effic - ICC Cycle I'!$1:$1048576,20,FALSE)/H48</f>
        <v>0</v>
      </c>
      <c r="J48" s="19">
        <f>+VLOOKUP(A48,'Integrated Effic - ICC Cycle I'!$1:$1048576,21,FALSE)/H48</f>
        <v>1776.6188441238237</v>
      </c>
      <c r="K48" s="11">
        <f t="shared" si="14"/>
        <v>12200.779048183394</v>
      </c>
      <c r="L48" s="11">
        <f t="shared" si="15"/>
        <v>376051759.40486014</v>
      </c>
      <c r="M48" s="36">
        <f>VLOOKUP(A48,'Variable Input'!$1:$1048576,23,FALSE)</f>
        <v>0.99671861092415948</v>
      </c>
      <c r="N48" s="22">
        <f t="shared" si="16"/>
        <v>374817787.26959842</v>
      </c>
      <c r="O48" s="19">
        <f t="shared" si="17"/>
        <v>12160.743545097941</v>
      </c>
      <c r="P48" s="18">
        <f>VLOOKUP(A48,'Rate Application - REM Cycle I'!$1:$65535,11,FALSE)</f>
        <v>0</v>
      </c>
      <c r="Q48" s="18">
        <f t="shared" si="18"/>
        <v>374817787.26959842</v>
      </c>
      <c r="R48" s="19">
        <f t="shared" si="19"/>
        <v>12160.743545097941</v>
      </c>
      <c r="S48" s="81">
        <f>VLOOKUP(A48,'Rate Application - REM Cycle I'!$1:$65535,9,FALSE)</f>
        <v>1.1140199775247721</v>
      </c>
      <c r="T48" s="19">
        <f t="shared" si="20"/>
        <v>417554502.94996285</v>
      </c>
      <c r="U48" s="22">
        <f t="shared" si="21"/>
        <v>13547.311250794526</v>
      </c>
      <c r="V48" s="88">
        <f>IFERROR(VLOOKUP(A48,'PAU Volume'!$AX:$AZ,3,FALSE),0)</f>
        <v>-309.04607773963369</v>
      </c>
      <c r="W48" s="79">
        <f t="shared" si="22"/>
        <v>30512.900448769382</v>
      </c>
      <c r="X48" s="15">
        <f t="shared" si="23"/>
        <v>413367759.5439868</v>
      </c>
      <c r="Y48" s="11">
        <f>VLOOKUP(A48,'Integrated Effic - ICC Cycle I'!$1:$65535,7,FALSE)</f>
        <v>440856003.87718481</v>
      </c>
      <c r="Z48" s="78">
        <f t="shared" si="24"/>
        <v>-6.2351979084889098E-2</v>
      </c>
      <c r="AA48" s="82">
        <f>IFERROR(VLOOKUP(A48,'GBR Revenue for ICC'!#REF!,17,FALSE),0)</f>
        <v>0</v>
      </c>
      <c r="AB48" s="82">
        <f t="shared" si="25"/>
        <v>0</v>
      </c>
      <c r="AC48" s="11">
        <f t="shared" si="26"/>
        <v>440856003.87718481</v>
      </c>
      <c r="AD48" s="11">
        <f t="shared" si="27"/>
        <v>413367759.5439868</v>
      </c>
      <c r="AE48" s="10">
        <v>1</v>
      </c>
    </row>
    <row r="49" spans="1:30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87">
        <f>IF(C49=1,'Integrated Effic - ICC Cycle I'!$Y$65,IF(C49=3,'Integrated Effic - ICC Cycle I'!$Y$66,IF(C49=4,'Integrated Effic - ICC Cycle I'!$Y$67,IF(C49=5,'Integrated Effic - ICC Cycle I'!$Y$68,0))))</f>
        <v>10459.948799491758</v>
      </c>
      <c r="E49" s="87">
        <v>0</v>
      </c>
      <c r="F49" s="87">
        <v>0</v>
      </c>
      <c r="G49" s="87">
        <f>D49*(1-PROFIT!$H$58)</f>
        <v>10424.16020405957</v>
      </c>
      <c r="H49" s="65">
        <f>VLOOKUP(A49,'Rate Application - REM Cycle I'!$1:$65535,15,FALSE)</f>
        <v>9743.687453664008</v>
      </c>
      <c r="I49" s="19">
        <f>+VLOOKUP(A49,'Integrated Effic - ICC Cycle I'!$1:$1048576,20,FALSE)/H49</f>
        <v>0</v>
      </c>
      <c r="J49" s="19">
        <f>+VLOOKUP(A49,'Integrated Effic - ICC Cycle I'!$1:$1048576,21,FALSE)/H49</f>
        <v>3483.9529165631852</v>
      </c>
      <c r="K49" s="11">
        <f t="shared" si="14"/>
        <v>13908.113120622755</v>
      </c>
      <c r="L49" s="11">
        <f t="shared" si="15"/>
        <v>135516307.3175517</v>
      </c>
      <c r="M49" s="36">
        <f>VLOOKUP(A49,'Variable Input'!$1:$1048576,23,FALSE)</f>
        <v>1.0181752931904677</v>
      </c>
      <c r="N49" s="22">
        <f t="shared" si="16"/>
        <v>137979355.93513772</v>
      </c>
      <c r="O49" s="19">
        <f t="shared" si="17"/>
        <v>14160.897154316262</v>
      </c>
      <c r="P49" s="18">
        <f>VLOOKUP(A49,'Rate Application - REM Cycle I'!$1:$65535,11,FALSE)</f>
        <v>0</v>
      </c>
      <c r="Q49" s="18">
        <f t="shared" si="18"/>
        <v>137979355.93513772</v>
      </c>
      <c r="R49" s="19">
        <f t="shared" si="19"/>
        <v>14160.897154316262</v>
      </c>
      <c r="S49" s="81">
        <f>VLOOKUP(A49,'Rate Application - REM Cycle I'!$1:$65535,9,FALSE)</f>
        <v>1.1083143930424924</v>
      </c>
      <c r="T49" s="19">
        <f t="shared" si="20"/>
        <v>152924506.12564617</v>
      </c>
      <c r="U49" s="22">
        <f t="shared" si="21"/>
        <v>15694.726134523185</v>
      </c>
      <c r="V49" s="88">
        <f>IFERROR(VLOOKUP(A49,'PAU Volume'!$AX:$AZ,3,FALSE),0)</f>
        <v>-256.12774493151665</v>
      </c>
      <c r="W49" s="79">
        <f t="shared" si="22"/>
        <v>9487.5597087324913</v>
      </c>
      <c r="X49" s="15">
        <f t="shared" si="23"/>
        <v>148904651.31349301</v>
      </c>
      <c r="Y49" s="11">
        <f>VLOOKUP(A49,'Integrated Effic - ICC Cycle I'!$1:$65535,7,FALSE)</f>
        <v>145302528.81887707</v>
      </c>
      <c r="Z49" s="78">
        <f t="shared" si="24"/>
        <v>2.4790501059386738E-2</v>
      </c>
      <c r="AA49" s="82">
        <f>IFERROR(VLOOKUP(A49,'GBR Revenue for ICC'!#REF!,17,FALSE),0)</f>
        <v>0</v>
      </c>
      <c r="AB49" s="82">
        <f t="shared" si="25"/>
        <v>0</v>
      </c>
      <c r="AC49" s="11">
        <f t="shared" si="26"/>
        <v>145302528.81887707</v>
      </c>
      <c r="AD49" s="11">
        <f t="shared" si="27"/>
        <v>148904651.31349301</v>
      </c>
    </row>
    <row r="50" spans="1:30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87">
        <f>IF(C50=1,'Integrated Effic - ICC Cycle I'!$Y$65,IF(C50=3,'Integrated Effic - ICC Cycle I'!$Y$66,IF(C50=4,'Integrated Effic - ICC Cycle I'!$Y$67,IF(C50=5,'Integrated Effic - ICC Cycle I'!$Y$68,0))))</f>
        <v>12635.590589674488</v>
      </c>
      <c r="E50" s="87">
        <v>0</v>
      </c>
      <c r="F50" s="87">
        <v>0</v>
      </c>
      <c r="G50" s="87">
        <f>D50*(1-PROFIT!$H$58)</f>
        <v>12592.358060689012</v>
      </c>
      <c r="H50" s="65">
        <f>VLOOKUP(A50,'Rate Application - REM Cycle I'!$1:$65535,15,FALSE)</f>
        <v>16622.361523679996</v>
      </c>
      <c r="I50" s="19">
        <f>+VLOOKUP(A50,'Integrated Effic - ICC Cycle I'!$1:$1048576,20,FALSE)/H50</f>
        <v>1047.5835053585402</v>
      </c>
      <c r="J50" s="19">
        <f>+VLOOKUP(A50,'Integrated Effic - ICC Cycle I'!$1:$1048576,21,FALSE)/H50</f>
        <v>4224.6754000829733</v>
      </c>
      <c r="K50" s="11">
        <f t="shared" si="14"/>
        <v>17864.616966130525</v>
      </c>
      <c r="L50" s="11">
        <f t="shared" si="15"/>
        <v>296952121.69308889</v>
      </c>
      <c r="M50" s="36">
        <f>VLOOKUP(A50,'Variable Input'!$1:$1048576,23,FALSE)</f>
        <v>1.0181752931904677</v>
      </c>
      <c r="N50" s="22">
        <f t="shared" si="16"/>
        <v>302349313.56839222</v>
      </c>
      <c r="O50" s="19">
        <f t="shared" si="17"/>
        <v>18189.31161722535</v>
      </c>
      <c r="P50" s="18">
        <f>VLOOKUP(A50,'Rate Application - REM Cycle I'!$1:$65535,11,FALSE)</f>
        <v>10600897.780621644</v>
      </c>
      <c r="Q50" s="18">
        <f t="shared" si="18"/>
        <v>312950211.34901386</v>
      </c>
      <c r="R50" s="19">
        <f t="shared" si="19"/>
        <v>18827.06081823507</v>
      </c>
      <c r="S50" s="81">
        <f>VLOOKUP(A50,'Rate Application - REM Cycle I'!$1:$65535,9,FALSE)</f>
        <v>1.1150592197193865</v>
      </c>
      <c r="T50" s="19">
        <f t="shared" si="20"/>
        <v>348958018.47784847</v>
      </c>
      <c r="U50" s="22">
        <f t="shared" si="21"/>
        <v>20993.287745590631</v>
      </c>
      <c r="V50" s="35">
        <f>SUMIF($A$1:$A$65535,210003,V$1:V$65535)</f>
        <v>475.40970309217568</v>
      </c>
      <c r="W50" s="79">
        <f t="shared" si="22"/>
        <v>17097.771226772173</v>
      </c>
      <c r="X50" s="15">
        <f t="shared" si="23"/>
        <v>358938431.17190832</v>
      </c>
      <c r="Y50" s="11">
        <f>VLOOKUP(A50,'Integrated Effic - ICC Cycle I'!$1:$65535,7,FALSE)</f>
        <v>379598110.09410959</v>
      </c>
      <c r="Z50" s="78">
        <f t="shared" si="24"/>
        <v>-5.442513640829072E-2</v>
      </c>
      <c r="AA50" s="82">
        <f>IFERROR(VLOOKUP(A50,'GBR Revenue for ICC'!#REF!,17,FALSE),0)</f>
        <v>0</v>
      </c>
      <c r="AB50" s="82">
        <f t="shared" si="25"/>
        <v>0</v>
      </c>
      <c r="AC50" s="11">
        <f t="shared" si="26"/>
        <v>379598110.09410959</v>
      </c>
      <c r="AD50" s="11">
        <f t="shared" si="27"/>
        <v>358938431.17190832</v>
      </c>
    </row>
    <row r="51" spans="1:30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87">
        <f>IF(C51=1,'Integrated Effic - ICC Cycle I'!$Y$65,IF(C51=3,'Integrated Effic - ICC Cycle I'!$Y$66,IF(C51=4,'Integrated Effic - ICC Cycle I'!$Y$67,IF(C51=5,'Integrated Effic - ICC Cycle I'!$Y$68,0))))</f>
        <v>12635.590589674488</v>
      </c>
      <c r="E51" s="87">
        <v>0</v>
      </c>
      <c r="F51" s="87">
        <v>0</v>
      </c>
      <c r="G51" s="87">
        <f>D51*(1-PROFIT!$H$58)</f>
        <v>12592.358060689012</v>
      </c>
      <c r="H51" s="65">
        <f>VLOOKUP(A51,'Rate Application - REM Cycle I'!$1:$65535,15,FALSE)</f>
        <v>37187.68418079293</v>
      </c>
      <c r="I51" s="19">
        <f>+VLOOKUP(A51,'Integrated Effic - ICC Cycle I'!$1:$1048576,20,FALSE)/H51</f>
        <v>472.25959220144938</v>
      </c>
      <c r="J51" s="19">
        <f>+VLOOKUP(A51,'Integrated Effic - ICC Cycle I'!$1:$1048576,21,FALSE)/H51</f>
        <v>2901.2610718953915</v>
      </c>
      <c r="K51" s="11">
        <f t="shared" si="14"/>
        <v>15965.878724785853</v>
      </c>
      <c r="L51" s="11">
        <f t="shared" si="15"/>
        <v>593734055.68617725</v>
      </c>
      <c r="M51" s="36">
        <f>VLOOKUP(A51,'Variable Input'!$1:$1048576,23,FALSE)</f>
        <v>0.99671861092415948</v>
      </c>
      <c r="N51" s="22">
        <f t="shared" si="16"/>
        <v>591785783.24189413</v>
      </c>
      <c r="O51" s="19">
        <f t="shared" si="17"/>
        <v>15913.488464752145</v>
      </c>
      <c r="P51" s="18">
        <f>VLOOKUP(A51,'Rate Application - REM Cycle I'!$1:$65535,11,FALSE)</f>
        <v>5003207.6874727393</v>
      </c>
      <c r="Q51" s="18">
        <f t="shared" si="18"/>
        <v>596788990.92936683</v>
      </c>
      <c r="R51" s="19">
        <f t="shared" si="19"/>
        <v>16048.027837065541</v>
      </c>
      <c r="S51" s="81">
        <f>VLOOKUP(A51,'Rate Application - REM Cycle I'!$1:$65535,9,FALSE)</f>
        <v>1.1102695565875482</v>
      </c>
      <c r="T51" s="19">
        <f t="shared" si="20"/>
        <v>662596648.33547843</v>
      </c>
      <c r="U51" s="22">
        <f t="shared" si="21"/>
        <v>17817.636750763388</v>
      </c>
      <c r="V51" s="35">
        <f>SUMIF($A$1:$A$65535,210008,V$1:V$65535)</f>
        <v>361.68554938791823</v>
      </c>
      <c r="W51" s="79">
        <f t="shared" si="22"/>
        <v>37549.36973018085</v>
      </c>
      <c r="X51" s="15">
        <f t="shared" si="23"/>
        <v>669041030.07247257</v>
      </c>
      <c r="Y51" s="11">
        <f>VLOOKUP(A51,'Integrated Effic - ICC Cycle I'!$1:$65535,7,FALSE)</f>
        <v>630435213.30233288</v>
      </c>
      <c r="Z51" s="78">
        <f t="shared" si="24"/>
        <v>6.1236770972730836E-2</v>
      </c>
      <c r="AA51" s="82">
        <f>IFERROR(VLOOKUP(A51,'GBR Revenue for ICC'!#REF!,17,FALSE),0)</f>
        <v>0</v>
      </c>
      <c r="AB51" s="82">
        <f t="shared" si="25"/>
        <v>0</v>
      </c>
      <c r="AC51" s="11">
        <f t="shared" si="26"/>
        <v>630435213.30233288</v>
      </c>
      <c r="AD51" s="11">
        <f t="shared" si="27"/>
        <v>669041030.07247257</v>
      </c>
    </row>
    <row r="52" spans="1:30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87">
        <f>IF(C52=1,'Integrated Effic - ICC Cycle I'!$Y$65,IF(C52=3,'Integrated Effic - ICC Cycle I'!$Y$66,IF(C52=4,'Integrated Effic - ICC Cycle I'!$Y$67,IF(C52=5,'Integrated Effic - ICC Cycle I'!$Y$68,0))))</f>
        <v>12635.590589674488</v>
      </c>
      <c r="E52" s="87">
        <v>0</v>
      </c>
      <c r="F52" s="87">
        <v>0</v>
      </c>
      <c r="G52" s="87">
        <f>D52*(1-PROFIT!$H$58)</f>
        <v>12592.358060689012</v>
      </c>
      <c r="H52" s="65">
        <f>VLOOKUP(A52,'Rate Application - REM Cycle I'!$1:$65535,15,FALSE)</f>
        <v>39233.431532673072</v>
      </c>
      <c r="I52" s="19">
        <f>+VLOOKUP(A52,'Integrated Effic - ICC Cycle I'!$1:$1048576,20,FALSE)/H52</f>
        <v>1165.0763536132847</v>
      </c>
      <c r="J52" s="19">
        <f>+VLOOKUP(A52,'Integrated Effic - ICC Cycle I'!$1:$1048576,21,FALSE)/H52</f>
        <v>3797.3064682792119</v>
      </c>
      <c r="K52" s="11">
        <f t="shared" si="14"/>
        <v>17554.740882581507</v>
      </c>
      <c r="L52" s="11">
        <f t="shared" si="15"/>
        <v>688732724.49057841</v>
      </c>
      <c r="M52" s="36">
        <f>VLOOKUP(A52,'Variable Input'!$1:$1048576,23,FALSE)</f>
        <v>0.99671861092415948</v>
      </c>
      <c r="N52" s="22">
        <f t="shared" si="16"/>
        <v>686472724.45226109</v>
      </c>
      <c r="O52" s="19">
        <f t="shared" si="17"/>
        <v>17497.136947620191</v>
      </c>
      <c r="P52" s="18">
        <f>VLOOKUP(A52,'Rate Application - REM Cycle I'!$1:$65535,11,FALSE)</f>
        <v>20760568.355981968</v>
      </c>
      <c r="Q52" s="18">
        <f t="shared" si="18"/>
        <v>707233292.80824304</v>
      </c>
      <c r="R52" s="19">
        <f t="shared" si="19"/>
        <v>18026.291995877767</v>
      </c>
      <c r="S52" s="81">
        <f>VLOOKUP(A52,'Rate Application - REM Cycle I'!$1:$65535,9,FALSE)</f>
        <v>1.1214469245143464</v>
      </c>
      <c r="T52" s="19">
        <f t="shared" si="20"/>
        <v>793124601.13395834</v>
      </c>
      <c r="U52" s="22">
        <f t="shared" si="21"/>
        <v>20215.529719174701</v>
      </c>
      <c r="V52" s="35">
        <f>SUMIF($A$1:$A$65535,210012,V$1:V$65535)</f>
        <v>778.56440518458942</v>
      </c>
      <c r="W52" s="79">
        <f t="shared" si="22"/>
        <v>40011.99593785766</v>
      </c>
      <c r="X52" s="15">
        <f t="shared" si="23"/>
        <v>808863693.00525892</v>
      </c>
      <c r="Y52" s="11">
        <f>VLOOKUP(A52,'Integrated Effic - ICC Cycle I'!$1:$65535,7,FALSE)</f>
        <v>853868775.33511937</v>
      </c>
      <c r="Z52" s="78">
        <f t="shared" si="24"/>
        <v>-5.2707258574008931E-2</v>
      </c>
      <c r="AA52" s="82">
        <f>IFERROR(VLOOKUP(A52,'GBR Revenue for ICC'!#REF!,17,FALSE),0)</f>
        <v>0</v>
      </c>
      <c r="AB52" s="82">
        <f t="shared" si="25"/>
        <v>0</v>
      </c>
      <c r="AC52" s="11">
        <f t="shared" si="26"/>
        <v>853868775.33511937</v>
      </c>
      <c r="AD52" s="11">
        <f t="shared" si="27"/>
        <v>808863693.00525892</v>
      </c>
    </row>
    <row r="53" spans="1:30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87">
        <f>IF(C53=1,'Integrated Effic - ICC Cycle I'!$Y$65,IF(C53=3,'Integrated Effic - ICC Cycle I'!$Y$66,IF(C53=4,'Integrated Effic - ICC Cycle I'!$Y$67,IF(C53=5,'Integrated Effic - ICC Cycle I'!$Y$68,0))))</f>
        <v>12635.590589674488</v>
      </c>
      <c r="E53" s="87">
        <v>0</v>
      </c>
      <c r="F53" s="87">
        <v>0</v>
      </c>
      <c r="G53" s="87">
        <f>D53*(1-PROFIT!$H$58)</f>
        <v>12592.358060689012</v>
      </c>
      <c r="H53" s="65">
        <f>VLOOKUP(A53,'Rate Application - REM Cycle I'!$1:$65535,15,FALSE)</f>
        <v>26999.26188542712</v>
      </c>
      <c r="I53" s="19">
        <f>+VLOOKUP(A53,'Integrated Effic - ICC Cycle I'!$1:$1048576,20,FALSE)/H53</f>
        <v>1182.417690332225</v>
      </c>
      <c r="J53" s="19">
        <f>+VLOOKUP(A53,'Integrated Effic - ICC Cycle I'!$1:$1048576,21,FALSE)/H53</f>
        <v>3278.7321409161095</v>
      </c>
      <c r="K53" s="11">
        <f t="shared" si="14"/>
        <v>17053.507891937345</v>
      </c>
      <c r="L53" s="11">
        <f t="shared" si="15"/>
        <v>460432125.63961452</v>
      </c>
      <c r="M53" s="36">
        <f>VLOOKUP(A53,'Variable Input'!$1:$1048576,23,FALSE)</f>
        <v>0.99671861092415948</v>
      </c>
      <c r="N53" s="22">
        <f t="shared" si="16"/>
        <v>458921268.69237465</v>
      </c>
      <c r="O53" s="19">
        <f t="shared" si="17"/>
        <v>16997.548697435981</v>
      </c>
      <c r="P53" s="18">
        <f>VLOOKUP(A53,'Rate Application - REM Cycle I'!$1:$65535,11,FALSE)</f>
        <v>12196844.09297953</v>
      </c>
      <c r="Q53" s="18">
        <f t="shared" si="18"/>
        <v>471118112.7853542</v>
      </c>
      <c r="R53" s="19">
        <f t="shared" si="19"/>
        <v>17449.296013519564</v>
      </c>
      <c r="S53" s="81">
        <f>VLOOKUP(A53,'Rate Application - REM Cycle I'!$1:$65535,9,FALSE)</f>
        <v>1.1223202362274129</v>
      </c>
      <c r="T53" s="19">
        <f t="shared" si="20"/>
        <v>528745391.63227171</v>
      </c>
      <c r="U53" s="22">
        <f t="shared" si="21"/>
        <v>19583.698023895333</v>
      </c>
      <c r="V53" s="35">
        <f>SUMIF($A$1:$A$65535,210024,V$1:V$65535)</f>
        <v>519.93028670117792</v>
      </c>
      <c r="W53" s="79">
        <f t="shared" si="22"/>
        <v>27519.1921721283</v>
      </c>
      <c r="X53" s="15">
        <f t="shared" si="23"/>
        <v>538927549.36050487</v>
      </c>
      <c r="Y53" s="11">
        <f>VLOOKUP(A53,'Integrated Effic - ICC Cycle I'!$1:$65535,7,FALSE)</f>
        <v>481596679.12083691</v>
      </c>
      <c r="Z53" s="78">
        <f t="shared" si="24"/>
        <v>0.11904332551529717</v>
      </c>
      <c r="AA53" s="82">
        <f>IFERROR(VLOOKUP(A53,'GBR Revenue for ICC'!#REF!,17,FALSE),0)</f>
        <v>0</v>
      </c>
      <c r="AB53" s="82">
        <f t="shared" si="25"/>
        <v>0</v>
      </c>
      <c r="AC53" s="11">
        <f t="shared" si="26"/>
        <v>481596679.12083691</v>
      </c>
      <c r="AD53" s="11">
        <f t="shared" si="27"/>
        <v>538927549.36050487</v>
      </c>
    </row>
    <row r="54" spans="1:30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87">
        <f>IF(C54=1,'Integrated Effic - ICC Cycle I'!$Y$65,IF(C54=3,'Integrated Effic - ICC Cycle I'!$Y$66,IF(C54=4,'Integrated Effic - ICC Cycle I'!$Y$67,IF(C54=5,'Integrated Effic - ICC Cycle I'!$Y$68,0))))</f>
        <v>12635.590589674488</v>
      </c>
      <c r="E54" s="87">
        <v>0</v>
      </c>
      <c r="F54" s="87">
        <v>0</v>
      </c>
      <c r="G54" s="87">
        <f>D54*(1-PROFIT!$H$58)</f>
        <v>12592.358060689012</v>
      </c>
      <c r="H54" s="65">
        <f>VLOOKUP(A54,'Rate Application - REM Cycle I'!$1:$65535,15,FALSE)</f>
        <v>35540.799933832066</v>
      </c>
      <c r="I54" s="19">
        <f>+VLOOKUP(A54,'Integrated Effic - ICC Cycle I'!$1:$1048576,20,FALSE)/H54</f>
        <v>1440.3814806605105</v>
      </c>
      <c r="J54" s="19">
        <f>+VLOOKUP(A54,'Integrated Effic - ICC Cycle I'!$1:$1048576,21,FALSE)/H54</f>
        <v>3340.8825501490091</v>
      </c>
      <c r="K54" s="11">
        <f t="shared" si="14"/>
        <v>17373.622091498532</v>
      </c>
      <c r="L54" s="11">
        <f t="shared" si="15"/>
        <v>617472426.87995434</v>
      </c>
      <c r="M54" s="36">
        <f>VLOOKUP(A54,'Variable Input'!$1:$1048576,23,FALSE)</f>
        <v>0.99671861092415948</v>
      </c>
      <c r="N54" s="22">
        <f t="shared" si="16"/>
        <v>615446259.60375774</v>
      </c>
      <c r="O54" s="19">
        <f t="shared" si="17"/>
        <v>17316.612477759707</v>
      </c>
      <c r="P54" s="18">
        <f>VLOOKUP(A54,'Rate Application - REM Cycle I'!$1:$65535,11,FALSE)</f>
        <v>27476780.845164478</v>
      </c>
      <c r="Q54" s="18">
        <f t="shared" si="18"/>
        <v>642923040.44892216</v>
      </c>
      <c r="R54" s="19">
        <f t="shared" si="19"/>
        <v>18089.717779168768</v>
      </c>
      <c r="S54" s="81">
        <f>VLOOKUP(A54,'Rate Application - REM Cycle I'!$1:$65535,9,FALSE)</f>
        <v>1.1160480491569686</v>
      </c>
      <c r="T54" s="19">
        <f t="shared" si="20"/>
        <v>717533005.05108643</v>
      </c>
      <c r="U54" s="22">
        <f t="shared" si="21"/>
        <v>20188.994237241437</v>
      </c>
      <c r="V54" s="35">
        <f>SUMIF($A$1:$A$65535,210029,V$1:V$65535)</f>
        <v>687.5622884232024</v>
      </c>
      <c r="W54" s="79">
        <f t="shared" si="22"/>
        <v>36228.362222255266</v>
      </c>
      <c r="X54" s="15">
        <f t="shared" si="23"/>
        <v>731414196.129807</v>
      </c>
      <c r="Y54" s="11">
        <f>VLOOKUP(A54,'Integrated Effic - ICC Cycle I'!$1:$65535,7,FALSE)</f>
        <v>714563622.53195643</v>
      </c>
      <c r="Z54" s="78">
        <f t="shared" si="24"/>
        <v>2.3581628096519758E-2</v>
      </c>
      <c r="AA54" s="82">
        <f>IFERROR(VLOOKUP(A54,'GBR Revenue for ICC'!#REF!,17,FALSE),0)</f>
        <v>0</v>
      </c>
      <c r="AB54" s="82">
        <f t="shared" si="25"/>
        <v>0</v>
      </c>
      <c r="AC54" s="11">
        <f t="shared" si="26"/>
        <v>714563622.53195643</v>
      </c>
      <c r="AD54" s="11">
        <f t="shared" si="27"/>
        <v>731414196.129807</v>
      </c>
    </row>
    <row r="55" spans="1:30" ht="17.7" x14ac:dyDescent="0.6">
      <c r="A55" s="26"/>
      <c r="B55" s="26"/>
      <c r="C55" s="31"/>
      <c r="D55" s="19"/>
      <c r="E55" s="19"/>
      <c r="F55" s="19"/>
      <c r="G55" s="19"/>
      <c r="H55" s="31"/>
      <c r="I55" s="19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</row>
    <row r="56" spans="1:30" ht="17.7" x14ac:dyDescent="0.6">
      <c r="A56" s="26"/>
      <c r="B56" s="26"/>
      <c r="C56" s="31"/>
      <c r="D56" s="19"/>
      <c r="E56" s="19"/>
      <c r="F56" s="85"/>
      <c r="G56" s="19"/>
      <c r="H56" s="31"/>
      <c r="I56" s="19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0" ht="17.7" x14ac:dyDescent="0.6">
      <c r="A57" s="26"/>
      <c r="B57" s="26"/>
      <c r="C57" s="31"/>
      <c r="D57" s="19"/>
      <c r="E57" s="19"/>
      <c r="F57" s="34"/>
      <c r="G57" s="19"/>
      <c r="H57" s="31"/>
      <c r="I57" s="19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0" ht="17.7" x14ac:dyDescent="0.6">
      <c r="A58" s="26"/>
      <c r="B58" s="26"/>
      <c r="C58" s="31"/>
      <c r="D58" s="19"/>
      <c r="E58" s="19"/>
      <c r="F58" s="19"/>
      <c r="G58" s="19"/>
      <c r="H58" s="31"/>
      <c r="I58" s="19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0" ht="17.7" x14ac:dyDescent="0.6">
      <c r="A59" s="26"/>
      <c r="B59" s="26"/>
      <c r="C59" s="31"/>
      <c r="D59" s="19"/>
      <c r="E59" s="19"/>
      <c r="F59" s="19"/>
      <c r="G59" s="19"/>
      <c r="H59" s="31"/>
      <c r="I59" s="19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0" ht="17.7" x14ac:dyDescent="0.6">
      <c r="A60" s="26"/>
      <c r="B60" s="26"/>
      <c r="C60" s="31"/>
      <c r="D60" s="19"/>
      <c r="E60" s="19"/>
      <c r="F60" s="19"/>
      <c r="G60" s="19"/>
      <c r="H60" s="31"/>
      <c r="I60" s="19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0" ht="21" customHeight="1" x14ac:dyDescent="0.6">
      <c r="A61" s="32" t="s">
        <v>78</v>
      </c>
      <c r="B61" s="26" t="s">
        <v>77</v>
      </c>
      <c r="C61" s="31"/>
      <c r="D61" s="65">
        <f>SUBTOTAL(1,D2:D59)</f>
        <v>9948.2122097477513</v>
      </c>
      <c r="E61" s="65">
        <f>SUBTOTAL(1,E2:E59)</f>
        <v>0</v>
      </c>
      <c r="F61" s="65">
        <f>SUBTOTAL(1,F2:F59)</f>
        <v>0</v>
      </c>
      <c r="G61" s="65">
        <f>SUBTOTAL(1,G2:G59)</f>
        <v>9914.1745152166386</v>
      </c>
      <c r="H61" s="65">
        <f>SUBTOTAL(9,H2:H59)</f>
        <v>1166982.8882188969</v>
      </c>
      <c r="I61" s="22"/>
      <c r="J61" s="22"/>
      <c r="L61" s="22">
        <f>SUBTOTAL(9,L2:L59)</f>
        <v>17042475954.400703</v>
      </c>
      <c r="M61" s="36">
        <f>'Rate Application - REM Cycle I'!M61</f>
        <v>1.0003666335632411</v>
      </c>
      <c r="N61" s="22">
        <f>SUBTOTAL(9,N2:N59)</f>
        <v>17046854070.288237</v>
      </c>
      <c r="O61" s="19">
        <f>N61/H61</f>
        <v>14607.629848202771</v>
      </c>
      <c r="P61" s="22">
        <f>SUBTOTAL(9,P2:P59)</f>
        <v>393431841.98609471</v>
      </c>
      <c r="Q61" s="22">
        <f>SUBTOTAL(9,Q2:Q59)</f>
        <v>17440285912.274326</v>
      </c>
      <c r="R61" s="19">
        <f>Q61/H61</f>
        <v>14944.765761640681</v>
      </c>
      <c r="S61" s="81">
        <f>'Rate Application - REM Cycle I'!I61</f>
        <v>1.0900365956927256</v>
      </c>
      <c r="T61" s="22">
        <f>SUBTOTAL(9,T2:T59)</f>
        <v>19452731962.194462</v>
      </c>
      <c r="U61" s="22">
        <f>SUBTOTAL(9,U2:U59)</f>
        <v>791043.63875994598</v>
      </c>
      <c r="V61" s="65">
        <f>SUBTOTAL(9,V2:V59)</f>
        <v>16451.223151337861</v>
      </c>
      <c r="W61" s="79">
        <f>H61-V61</f>
        <v>1150531.6650675591</v>
      </c>
      <c r="X61" s="22">
        <f>SUBTOTAL(9,X2:X59)</f>
        <v>19735339346.98085</v>
      </c>
      <c r="Y61" s="22">
        <f>SUBTOTAL(9,Y2:Y59)</f>
        <v>21177755106.99963</v>
      </c>
      <c r="Z61" s="78">
        <f>X61/Y61-1</f>
        <v>-6.8109946154870538E-2</v>
      </c>
    </row>
    <row r="62" spans="1:30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19"/>
      <c r="H62" s="65">
        <f>SUM(H3:H54)-SUMPRODUCT((LEFT($A$3:$A$54,1)+0=9)*H3:H54)</f>
        <v>1011399.3491624917</v>
      </c>
      <c r="I62" s="22">
        <f>'Rate Application - ICC Cycle I'!U62</f>
        <v>543.38370905082365</v>
      </c>
      <c r="J62" s="22"/>
      <c r="K62" s="11">
        <f>+G62+I62</f>
        <v>543.38370905082365</v>
      </c>
      <c r="L62" s="11">
        <f>K62*H62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N62/H62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14709272263.953426</v>
      </c>
      <c r="R62" s="19">
        <f>Q62/H62</f>
        <v>14543.485989123599</v>
      </c>
      <c r="S62" s="81">
        <f>'Rate Application - REM Cycle I'!I62</f>
        <v>1.090209793286856</v>
      </c>
      <c r="T62" s="22">
        <f>SUM(T3:T54)-SUMPRODUCT((LEFT($A$3:$A$54,1)+0=9)*T3:T54)</f>
        <v>16401774297.563818</v>
      </c>
      <c r="U62" s="22">
        <f>SUM(U3:U54)-SUMPRODUCT((LEFT($A$3:$A$54,1)+0=9)*U3:U54)</f>
        <v>692244.49228328047</v>
      </c>
      <c r="V62" s="65">
        <f>SUM(V3:V54)-SUMPRODUCT((LEFT($A$3:$A$54,1)+0=9)*V3:V54)</f>
        <v>13628.070918548798</v>
      </c>
      <c r="W62" s="79">
        <f>H62-V62</f>
        <v>997771.27824394288</v>
      </c>
      <c r="X62" s="22">
        <f>SUM(X3:X54)-SUMPRODUCT((LEFT($A$3:$A$54,1)+0=9)*X3:X54)</f>
        <v>16628154447.240898</v>
      </c>
      <c r="Y62" s="22">
        <f>SUM(Y3:Y54)-SUMPRODUCT((LEFT($A$3:$A$54,1)+0=9)*Y3:Y54)</f>
        <v>18117692706.615276</v>
      </c>
      <c r="Z62" s="78">
        <f>X62/Y62-1</f>
        <v>-8.2214566915052356E-2</v>
      </c>
    </row>
    <row r="63" spans="1:30" ht="17.7" x14ac:dyDescent="0.6">
      <c r="H63" s="82"/>
      <c r="I63" s="22"/>
      <c r="J63" s="22"/>
      <c r="K63" s="12"/>
      <c r="L63" s="12"/>
      <c r="M63" s="36"/>
      <c r="S63" s="81"/>
      <c r="T63" s="12"/>
      <c r="V63" s="83"/>
      <c r="X63" s="12"/>
      <c r="Y63" s="12"/>
    </row>
    <row r="64" spans="1:30" ht="17.7" x14ac:dyDescent="0.6">
      <c r="H64" s="82"/>
      <c r="I64" s="2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10459.948799491747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10424.160204059564</v>
      </c>
      <c r="H65" s="80">
        <f>SUMIF($C$1:$C$65535,1,H$1:H$65535)</f>
        <v>848536.38418973342</v>
      </c>
      <c r="I65" s="22">
        <f>'Rate Application - ICC Cycle I'!U65</f>
        <v>131.27420908993491</v>
      </c>
      <c r="J65" s="22"/>
      <c r="K65" s="11">
        <f>+G65+I65</f>
        <v>10555.4344131495</v>
      </c>
      <c r="L65" s="11">
        <f>K65*H65</f>
        <v>8956670150.4857578</v>
      </c>
      <c r="M65" s="36">
        <f>'Rate Application - REM Cycle I'!M65</f>
        <v>1.0014818635818203</v>
      </c>
      <c r="N65" s="18">
        <f>SUMIF($C$1:$C$65535,1,N$1:N$65535)</f>
        <v>11477507010.556335</v>
      </c>
      <c r="O65" s="19">
        <f>N65/H65</f>
        <v>13526.240270199134</v>
      </c>
      <c r="P65" s="18">
        <f>SUMIF($C$1:$C$65535,1,P$1:P$65535)</f>
        <v>135726645.33431077</v>
      </c>
      <c r="Q65" s="18">
        <f>SUMIF($C$1:$C$65535,1,Q$1:Q$65535)</f>
        <v>11613233655.890648</v>
      </c>
      <c r="R65" s="19">
        <f>Q65/H65</f>
        <v>13686.194101128749</v>
      </c>
      <c r="S65" s="81">
        <f>'Rate Application - REM Cycle I'!I65</f>
        <v>1.0993762674816792</v>
      </c>
      <c r="T65" s="18">
        <f>SUMIF($C$1:$C$65535,1,T$1:T$65535)</f>
        <v>12966449510.856363</v>
      </c>
      <c r="U65" s="18">
        <f>SUMIF($C$1:$C$65535,1,U$1:U$65535)</f>
        <v>629653.04284371983</v>
      </c>
      <c r="V65" s="80">
        <f>SUMIF($C$1:$C$65535,1,V$1:V$65535)</f>
        <v>11166.853374094211</v>
      </c>
      <c r="W65" s="79">
        <f>H65-V65</f>
        <v>837369.53081563918</v>
      </c>
      <c r="X65" s="18">
        <f>SUMIF($C$1:$C$65535,1,X$1:X$65535)</f>
        <v>13145253025.684418</v>
      </c>
      <c r="Y65" s="18">
        <f>SUMIF($C$1:$C$65535,1,Y$1:Y$65535)</f>
        <v>14273992623.000803</v>
      </c>
      <c r="Z65" s="78">
        <f>X65/Y65-1</f>
        <v>-7.9076655504049964E-2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80">
        <f>SUMIF($C$1:$C$65535,3,H$1:H$65535)</f>
        <v>0</v>
      </c>
      <c r="I66" s="22" t="e">
        <f>'Rate Application - ICC Cycle I'!U66</f>
        <v>#DIV/0!</v>
      </c>
      <c r="J66" s="22"/>
      <c r="K66" s="11" t="e">
        <f>+G66+I66</f>
        <v>#DIV/0!</v>
      </c>
      <c r="L66" s="11" t="e">
        <f>K66*H66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N66/H66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Q66/H66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H66-V66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80">
        <f>SUMIF($C$1:$C$65535,4,H$1:H$65535)</f>
        <v>0</v>
      </c>
      <c r="I67" s="22" t="e">
        <f>'Rate Application - ICC Cycle I'!U67</f>
        <v>#DIV/0!</v>
      </c>
      <c r="J67" s="22"/>
      <c r="K67" s="11" t="e">
        <f>+G67+I67</f>
        <v>#DIV/0!</v>
      </c>
      <c r="L67" s="11" t="e">
        <f>K67*H67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N67/H67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Q67/H67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H67-V67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12635.59058967449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12592.358060689014</v>
      </c>
      <c r="H68" s="80">
        <f>SUMIF($C$1:$C$65535,5,H$1:H$65535)</f>
        <v>313101.47436853946</v>
      </c>
      <c r="I68" s="22">
        <f>'Rate Application - ICC Cycle I'!U68</f>
        <v>1922.6648445368019</v>
      </c>
      <c r="J68" s="22"/>
      <c r="K68" s="11">
        <f>+G68+I68</f>
        <v>14515.022905225815</v>
      </c>
      <c r="L68" s="11">
        <f>K68*H68</f>
        <v>4544675072.1193237</v>
      </c>
      <c r="M68" s="36">
        <f>'Rate Application - REM Cycle I'!M68</f>
        <v>0.99790031034215976</v>
      </c>
      <c r="N68" s="18">
        <f>SUMIF($C$1:$C$65535,5,N$1:N$65535)</f>
        <v>5546668362.8036852</v>
      </c>
      <c r="O68" s="19">
        <f>N68/H68</f>
        <v>17715.241916347284</v>
      </c>
      <c r="P68" s="18">
        <f>SUMIF($C$1:$C$65535,5,P$1:P$65535)</f>
        <v>257501081.74744377</v>
      </c>
      <c r="Q68" s="18">
        <f>SUMIF($C$1:$C$65535,5,Q$1:Q$65535)</f>
        <v>5804169444.5511284</v>
      </c>
      <c r="R68" s="19">
        <f>Q68/H68</f>
        <v>18537.662450350737</v>
      </c>
      <c r="S68" s="81">
        <f>'Rate Application - REM Cycle I'!I68</f>
        <v>1.0695902147917553</v>
      </c>
      <c r="T68" s="18">
        <f>SUMIF($C$1:$C$65535,5,T$1:T$65535)</f>
        <v>6459602062.3707304</v>
      </c>
      <c r="U68" s="18">
        <f>SUMIF($C$1:$C$65535,5,U$1:U$65535)</f>
        <v>142463.56830156501</v>
      </c>
      <c r="V68" s="80">
        <f>SUMIF($C$1:$C$65535,5,V$1:V$65535)</f>
        <v>4896.4116501469625</v>
      </c>
      <c r="W68" s="79">
        <f>H68-V68</f>
        <v>308205.06271839252</v>
      </c>
      <c r="X68" s="18">
        <f>SUMIF($C$1:$C$65535,5,X$1:X$65535)</f>
        <v>6561644771.9895229</v>
      </c>
      <c r="Y68" s="18">
        <f>SUMIF($C$1:$C$65535,5,Y$1:Y$65535)</f>
        <v>6818078919.679533</v>
      </c>
      <c r="Z68" s="78">
        <f>X68/Y68-1</f>
        <v>-3.7610909276782456E-2</v>
      </c>
    </row>
    <row r="69" spans="1:26" x14ac:dyDescent="0.5">
      <c r="H69" s="77"/>
    </row>
    <row r="70" spans="1:26" x14ac:dyDescent="0.5">
      <c r="E70" s="76"/>
      <c r="F70" s="76"/>
    </row>
    <row r="71" spans="1:26" x14ac:dyDescent="0.5">
      <c r="E71" s="76"/>
      <c r="F71" s="75">
        <f>-2%*D65</f>
        <v>-209.19897598983493</v>
      </c>
      <c r="G71" s="75"/>
    </row>
    <row r="72" spans="1:26" x14ac:dyDescent="0.5">
      <c r="E72" s="76"/>
      <c r="F72" s="75" t="e">
        <f>-2%*D66</f>
        <v>#DIV/0!</v>
      </c>
      <c r="G72" s="75"/>
    </row>
    <row r="73" spans="1:26" x14ac:dyDescent="0.5">
      <c r="E73" s="76"/>
      <c r="F73" s="75" t="e">
        <f>-2%*D67</f>
        <v>#DIV/0!</v>
      </c>
      <c r="G73" s="75"/>
    </row>
    <row r="74" spans="1:26" x14ac:dyDescent="0.5">
      <c r="F74" s="75">
        <f>-2%*D68</f>
        <v>-252.7118117934898</v>
      </c>
      <c r="G74" s="75"/>
    </row>
    <row r="76" spans="1:26" x14ac:dyDescent="0.5">
      <c r="G76" s="73"/>
    </row>
  </sheetData>
  <sheetCalcPr fullCalcOnLoad="1"/>
  <autoFilter ref="A2:AH2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D1" workbookViewId="0">
      <selection activeCell="A2" sqref="A2"/>
    </sheetView>
  </sheetViews>
  <sheetFormatPr defaultRowHeight="14.4" x14ac:dyDescent="0.55000000000000004"/>
  <cols>
    <col min="1" max="1" width="13.15625" bestFit="1" customWidth="1"/>
    <col min="2" max="2" width="47.26171875" bestFit="1" customWidth="1"/>
    <col min="3" max="3" width="31.83984375" bestFit="1" customWidth="1"/>
    <col min="4" max="7" width="31.83984375" customWidth="1"/>
    <col min="8" max="10" width="45.15625" bestFit="1" customWidth="1"/>
  </cols>
  <sheetData>
    <row r="1" spans="1:10" ht="15.3" x14ac:dyDescent="0.55000000000000004">
      <c r="A1" s="334" t="s">
        <v>283</v>
      </c>
      <c r="B1" s="334" t="s">
        <v>265</v>
      </c>
      <c r="C1" s="334" t="s">
        <v>492</v>
      </c>
      <c r="D1" s="334" t="s">
        <v>490</v>
      </c>
      <c r="E1" s="334" t="s">
        <v>211</v>
      </c>
      <c r="F1" s="334" t="s">
        <v>491</v>
      </c>
      <c r="G1" s="334" t="s">
        <v>494</v>
      </c>
      <c r="H1" s="334" t="s">
        <v>493</v>
      </c>
      <c r="I1" s="334" t="s">
        <v>503</v>
      </c>
      <c r="J1" s="334" t="s">
        <v>495</v>
      </c>
    </row>
    <row r="2" spans="1:10" x14ac:dyDescent="0.55000000000000004">
      <c r="A2">
        <v>210030</v>
      </c>
      <c r="B2" t="str">
        <f>VLOOKUP($A2,'Integrated Effic - ICC Cycle II'!$1:$1048576,2,FALSE)</f>
        <v>UM-SHORE REGIONAL HEALTH AT CHESTERTOWN</v>
      </c>
      <c r="C2" s="93">
        <f>VLOOKUP($A2,'Integrated Effic - ICC Cycle II'!$1:$1048576,26,FALSE)</f>
        <v>-0.31260817260613238</v>
      </c>
      <c r="D2" s="95">
        <f>_xlfn.NORM.DIST(C2,$E$2,$F$2,FALSE)</f>
        <v>0.22668342053007573</v>
      </c>
      <c r="E2" s="93">
        <f>AVERAGE(C2:C42)</f>
        <v>-8.3718312085086469E-2</v>
      </c>
      <c r="F2" s="93">
        <f>_xlfn.STDEV.P(C2:C42)</f>
        <v>9.4673411021022058E-2</v>
      </c>
      <c r="G2" s="95">
        <f>($E$2-C2)/$F$2</f>
        <v>2.417678396210118</v>
      </c>
      <c r="H2" s="93">
        <f>(COUNTIFS($G$2:$G$42,"&gt;=1")+COUNTIFS($G$2:$G$42,"&lt;=-1"))/COUNT($G$2:$G$42)</f>
        <v>0.26829268292682928</v>
      </c>
      <c r="I2" s="93">
        <f>(COUNTIFS($G$2:$G$42,"&gt;=2")+COUNTIFS($G$2:$G$42,"&lt;=-2"))/COUNT($G$2:$G$42)</f>
        <v>7.3170731707317069E-2</v>
      </c>
      <c r="J2" s="93">
        <f>(COUNTIFS($G$2:$G$42,"&gt;=3")+COUNTIFS($G$2:$G$42,"&lt;=-3"))/COUNT($G$2:$G$42)</f>
        <v>0</v>
      </c>
    </row>
    <row r="3" spans="1:10" x14ac:dyDescent="0.55000000000000004">
      <c r="A3">
        <v>210062</v>
      </c>
      <c r="B3" t="str">
        <f>VLOOKUP($A3,'Integrated Effic - ICC Cycle II'!$1:$1048576,2,FALSE)</f>
        <v>MEDSTAR SOUTHERN MARYLAND HOSPITAL CENTER</v>
      </c>
      <c r="C3" s="93">
        <f>VLOOKUP($A3,'Integrated Effic - ICC Cycle II'!$1:$1048576,26,FALSE)</f>
        <v>-9.9412348241460502E-2</v>
      </c>
      <c r="D3" s="95">
        <f t="shared" ref="D3:D42" si="0">_xlfn.NORM.DIST(C3,$E$2,$F$2,FALSE)</f>
        <v>4.1563765195314044</v>
      </c>
      <c r="E3" s="93"/>
      <c r="F3" s="93"/>
      <c r="G3" s="95">
        <f t="shared" ref="G3:G42" si="1">($E$2-C3)/$F$2</f>
        <v>0.16577026207378545</v>
      </c>
    </row>
    <row r="4" spans="1:10" x14ac:dyDescent="0.55000000000000004">
      <c r="A4">
        <v>210058</v>
      </c>
      <c r="B4" t="str">
        <f>VLOOKUP($A4,'Integrated Effic - ICC Cycle II'!$1:$1048576,2,FALSE)</f>
        <v>UM-REHABILITATION &amp; ORTHOPAEDIC INSTITUTE</v>
      </c>
      <c r="C4" s="93">
        <f>VLOOKUP($A4,'Integrated Effic - ICC Cycle II'!$1:$1048576,26,FALSE)</f>
        <v>-0.28254832196747925</v>
      </c>
      <c r="D4" s="95">
        <f t="shared" si="0"/>
        <v>0.46441907147798528</v>
      </c>
      <c r="E4" s="93"/>
      <c r="F4" s="93"/>
      <c r="G4" s="95">
        <f t="shared" si="1"/>
        <v>2.1001673831974106</v>
      </c>
    </row>
    <row r="5" spans="1:10" x14ac:dyDescent="0.55000000000000004">
      <c r="A5">
        <v>210032</v>
      </c>
      <c r="B5" t="str">
        <f>VLOOKUP($A5,'Integrated Effic - ICC Cycle II'!$1:$1048576,2,FALSE)</f>
        <v>UNION HOSPITAL OF CECIL COUNTY</v>
      </c>
      <c r="C5" s="93">
        <f>VLOOKUP($A5,'Integrated Effic - ICC Cycle II'!$1:$1048576,26,FALSE)</f>
        <v>-0.17654827145951513</v>
      </c>
      <c r="D5" s="95">
        <f t="shared" si="0"/>
        <v>2.6056070371775868</v>
      </c>
      <c r="E5" s="93"/>
      <c r="F5" s="93"/>
      <c r="G5" s="95">
        <f t="shared" si="1"/>
        <v>0.98052830645149069</v>
      </c>
    </row>
    <row r="6" spans="1:10" x14ac:dyDescent="0.55000000000000004">
      <c r="A6">
        <v>210038</v>
      </c>
      <c r="B6" t="str">
        <f>VLOOKUP($A6,'Integrated Effic - ICC Cycle II'!$1:$1048576,2,FALSE)</f>
        <v>UMMC MIDTOWN CAMPUS</v>
      </c>
      <c r="C6" s="93">
        <f>VLOOKUP($A6,'Integrated Effic - ICC Cycle II'!$1:$1048576,26,FALSE)</f>
        <v>-0.16912721406323361</v>
      </c>
      <c r="D6" s="95">
        <f t="shared" si="0"/>
        <v>2.8051389240309401</v>
      </c>
      <c r="E6" s="93"/>
      <c r="F6" s="93"/>
      <c r="G6" s="95">
        <f t="shared" si="1"/>
        <v>0.9021424395407307</v>
      </c>
    </row>
    <row r="7" spans="1:10" x14ac:dyDescent="0.55000000000000004">
      <c r="A7">
        <v>210018</v>
      </c>
      <c r="B7" t="str">
        <f>VLOOKUP($A7,'Integrated Effic - ICC Cycle II'!$1:$1048576,2,FALSE)</f>
        <v>MEDSTAR MONTGOMERY MEDICAL CENTER</v>
      </c>
      <c r="C7" s="93">
        <f>VLOOKUP($A7,'Integrated Effic - ICC Cycle II'!$1:$1048576,26,FALSE)</f>
        <v>-8.245244045377953E-2</v>
      </c>
      <c r="D7" s="95">
        <f t="shared" si="0"/>
        <v>4.2135021426334482</v>
      </c>
      <c r="E7" s="93"/>
      <c r="F7" s="93"/>
      <c r="G7" s="95">
        <f t="shared" si="1"/>
        <v>-1.3370930841668465E-2</v>
      </c>
    </row>
    <row r="8" spans="1:10" x14ac:dyDescent="0.55000000000000004">
      <c r="A8">
        <v>210039</v>
      </c>
      <c r="B8" t="str">
        <f>VLOOKUP($A8,'Integrated Effic - ICC Cycle II'!$1:$1048576,2,FALSE)</f>
        <v>CALVERT MEMORIAL HOSPITAL</v>
      </c>
      <c r="C8" s="93">
        <f>VLOOKUP($A8,'Integrated Effic - ICC Cycle II'!$1:$1048576,26,FALSE)</f>
        <v>-0.16454749450248174</v>
      </c>
      <c r="D8" s="95">
        <f t="shared" si="0"/>
        <v>2.9268395032975336</v>
      </c>
      <c r="E8" s="93"/>
      <c r="F8" s="93"/>
      <c r="G8" s="95">
        <f t="shared" si="1"/>
        <v>0.85376856654554567</v>
      </c>
    </row>
    <row r="9" spans="1:10" x14ac:dyDescent="0.55000000000000004">
      <c r="A9">
        <v>210040</v>
      </c>
      <c r="B9" t="str">
        <f>VLOOKUP($A9,'Integrated Effic - ICC Cycle II'!$1:$1048576,2,FALSE)</f>
        <v>NORTHWEST HOSPITAL CENTER</v>
      </c>
      <c r="C9" s="93">
        <f>VLOOKUP($A9,'Integrated Effic - ICC Cycle II'!$1:$1048576,26,FALSE)</f>
        <v>-0.10283721975991689</v>
      </c>
      <c r="D9" s="95">
        <f t="shared" si="0"/>
        <v>4.128823424822798</v>
      </c>
      <c r="E9" s="93"/>
      <c r="F9" s="93"/>
      <c r="G9" s="95">
        <f t="shared" si="1"/>
        <v>0.20194590507133095</v>
      </c>
    </row>
    <row r="10" spans="1:10" x14ac:dyDescent="0.55000000000000004">
      <c r="A10">
        <v>210037</v>
      </c>
      <c r="B10" t="str">
        <f>VLOOKUP($A10,'Integrated Effic - ICC Cycle II'!$1:$1048576,2,FALSE)</f>
        <v>UM-SHORE REGIONAL HEALTH AT EASTON</v>
      </c>
      <c r="C10" s="93">
        <f>VLOOKUP($A10,'Integrated Effic - ICC Cycle II'!$1:$1048576,26,FALSE)</f>
        <v>-0.17735081836559374</v>
      </c>
      <c r="D10" s="95">
        <f t="shared" si="0"/>
        <v>2.5839462984223704</v>
      </c>
      <c r="E10" s="93"/>
      <c r="F10" s="93"/>
      <c r="G10" s="95">
        <f t="shared" si="1"/>
        <v>0.98900531068555608</v>
      </c>
    </row>
    <row r="11" spans="1:10" x14ac:dyDescent="0.55000000000000004">
      <c r="A11">
        <v>210016</v>
      </c>
      <c r="B11" t="str">
        <f>VLOOKUP($A11,'Integrated Effic - ICC Cycle II'!$1:$1048576,2,FALSE)</f>
        <v>WASHINGTON ADVENTIST HOSPITAL</v>
      </c>
      <c r="C11" s="93">
        <f>VLOOKUP($A11,'Integrated Effic - ICC Cycle II'!$1:$1048576,26,FALSE)</f>
        <v>-0.13644910588189541</v>
      </c>
      <c r="D11" s="95">
        <f t="shared" si="0"/>
        <v>3.6084292412624777</v>
      </c>
      <c r="E11" s="93"/>
      <c r="F11" s="93"/>
      <c r="G11" s="95">
        <f t="shared" si="1"/>
        <v>0.55697574670780758</v>
      </c>
    </row>
    <row r="12" spans="1:10" x14ac:dyDescent="0.55000000000000004">
      <c r="A12">
        <v>210012</v>
      </c>
      <c r="B12" t="str">
        <f>VLOOKUP($A12,'Integrated Effic - ICC Cycle II'!$1:$1048576,2,FALSE)</f>
        <v>SINAI HOSPITAL</v>
      </c>
      <c r="C12" s="93">
        <f>VLOOKUP($A12,'Integrated Effic - ICC Cycle II'!$1:$1048576,26,FALSE)</f>
        <v>-0.20510701991609182</v>
      </c>
      <c r="D12" s="95">
        <f t="shared" si="0"/>
        <v>1.852221981329617</v>
      </c>
      <c r="E12" s="93"/>
      <c r="F12" s="93"/>
      <c r="G12" s="95">
        <f t="shared" si="1"/>
        <v>1.2821837358754424</v>
      </c>
    </row>
    <row r="13" spans="1:10" x14ac:dyDescent="0.55000000000000004">
      <c r="A13">
        <v>210033</v>
      </c>
      <c r="B13" t="str">
        <f>VLOOKUP($A13,'Integrated Effic - ICC Cycle II'!$1:$1048576,2,FALSE)</f>
        <v>CARROLL HOSPITAL CENTER</v>
      </c>
      <c r="C13" s="93">
        <f>VLOOKUP($A13,'Integrated Effic - ICC Cycle II'!$1:$1048576,26,FALSE)</f>
        <v>-0.13213597107514274</v>
      </c>
      <c r="D13" s="95">
        <f t="shared" si="0"/>
        <v>3.6973247551455248</v>
      </c>
      <c r="E13" s="93"/>
      <c r="F13" s="93"/>
      <c r="G13" s="95">
        <f t="shared" si="1"/>
        <v>0.51141770923734042</v>
      </c>
    </row>
    <row r="14" spans="1:10" x14ac:dyDescent="0.55000000000000004">
      <c r="A14">
        <v>210051</v>
      </c>
      <c r="B14" t="str">
        <f>VLOOKUP($A14,'Integrated Effic - ICC Cycle II'!$1:$1048576,2,FALSE)</f>
        <v>DOCTORS COMMUNITY HOSPITAL</v>
      </c>
      <c r="C14" s="93">
        <f>VLOOKUP($A14,'Integrated Effic - ICC Cycle II'!$1:$1048576,26,FALSE)</f>
        <v>-0.1316986295924526</v>
      </c>
      <c r="D14" s="95">
        <f t="shared" si="0"/>
        <v>3.706030399746826</v>
      </c>
      <c r="E14" s="93"/>
      <c r="F14" s="93"/>
      <c r="G14" s="95">
        <f t="shared" si="1"/>
        <v>0.50679823394883483</v>
      </c>
    </row>
    <row r="15" spans="1:10" x14ac:dyDescent="0.55000000000000004">
      <c r="A15">
        <v>210006</v>
      </c>
      <c r="B15" t="str">
        <f>VLOOKUP($A15,'Integrated Effic - ICC Cycle II'!$1:$1048576,2,FALSE)</f>
        <v>UM-HARFORD MEMORIAL HOSPITAL</v>
      </c>
      <c r="C15" s="93">
        <f>VLOOKUP($A15,'Integrated Effic - ICC Cycle II'!$1:$1048576,26,FALSE)</f>
        <v>-9.2380717469245144E-2</v>
      </c>
      <c r="D15" s="95">
        <f t="shared" si="0"/>
        <v>4.1962767132236323</v>
      </c>
      <c r="E15" s="93"/>
      <c r="F15" s="93"/>
      <c r="G15" s="95">
        <f t="shared" si="1"/>
        <v>9.1497763635401325E-2</v>
      </c>
    </row>
    <row r="16" spans="1:10" x14ac:dyDescent="0.55000000000000004">
      <c r="A16">
        <v>210056</v>
      </c>
      <c r="B16" t="str">
        <f>VLOOKUP($A16,'Integrated Effic - ICC Cycle II'!$1:$1048576,2,FALSE)</f>
        <v>MEDSTAR GOOD SAMARITAN</v>
      </c>
      <c r="C16" s="93">
        <f>VLOOKUP($A16,'Integrated Effic - ICC Cycle II'!$1:$1048576,26,FALSE)</f>
        <v>-4.0966821821489918E-2</v>
      </c>
      <c r="D16" s="95">
        <f t="shared" si="0"/>
        <v>3.8054212358301496</v>
      </c>
      <c r="E16" s="93"/>
      <c r="F16" s="93"/>
      <c r="G16" s="95">
        <f t="shared" si="1"/>
        <v>-0.45156807811755784</v>
      </c>
    </row>
    <row r="17" spans="1:7" x14ac:dyDescent="0.55000000000000004">
      <c r="A17">
        <v>210057</v>
      </c>
      <c r="B17" t="str">
        <f>VLOOKUP($A17,'Integrated Effic - ICC Cycle II'!$1:$1048576,2,FALSE)</f>
        <v>SHADY GROVE ADVENTIST HOSPITAL</v>
      </c>
      <c r="C17" s="93">
        <f>VLOOKUP($A17,'Integrated Effic - ICC Cycle II'!$1:$1048576,26,FALSE)</f>
        <v>-0.12111058926304696</v>
      </c>
      <c r="D17" s="95">
        <f t="shared" si="0"/>
        <v>3.8976997690546509</v>
      </c>
      <c r="E17" s="93"/>
      <c r="F17" s="93"/>
      <c r="G17" s="95">
        <f t="shared" si="1"/>
        <v>0.39496070517262349</v>
      </c>
    </row>
    <row r="18" spans="1:7" x14ac:dyDescent="0.55000000000000004">
      <c r="A18">
        <v>210003</v>
      </c>
      <c r="B18" t="str">
        <f>VLOOKUP($A18,'Integrated Effic - ICC Cycle II'!$1:$1048576,2,FALSE)</f>
        <v>PRINCE GEORGES HOSPITAL CENTER</v>
      </c>
      <c r="C18" s="93">
        <f>VLOOKUP($A18,'Integrated Effic - ICC Cycle II'!$1:$1048576,26,FALSE)</f>
        <v>-0.19939040952470133</v>
      </c>
      <c r="D18" s="95">
        <f t="shared" si="0"/>
        <v>1.9976756650646499</v>
      </c>
      <c r="E18" s="93"/>
      <c r="F18" s="93"/>
      <c r="G18" s="95">
        <f t="shared" si="1"/>
        <v>1.2218013082250736</v>
      </c>
    </row>
    <row r="19" spans="1:7" x14ac:dyDescent="0.55000000000000004">
      <c r="A19">
        <v>210015</v>
      </c>
      <c r="B19" t="str">
        <f>VLOOKUP($A19,'Integrated Effic - ICC Cycle II'!$1:$1048576,2,FALSE)</f>
        <v>MEDSTAR FRANKLIN SQUARE</v>
      </c>
      <c r="C19" s="93">
        <f>VLOOKUP($A19,'Integrated Effic - ICC Cycle II'!$1:$1048576,26,FALSE)</f>
        <v>3.5368971779132563E-2</v>
      </c>
      <c r="D19" s="95">
        <f t="shared" si="0"/>
        <v>1.910297972814462</v>
      </c>
      <c r="E19" s="93"/>
      <c r="F19" s="93"/>
      <c r="G19" s="95">
        <f t="shared" si="1"/>
        <v>-1.2578746511813748</v>
      </c>
    </row>
    <row r="20" spans="1:7" x14ac:dyDescent="0.55000000000000004">
      <c r="A20">
        <v>210027</v>
      </c>
      <c r="B20" t="str">
        <f>VLOOKUP($A20,'Integrated Effic - ICC Cycle II'!$1:$1048576,2,FALSE)</f>
        <v>WESTERN MARYLAND REGIONAL MEDICAL CENTER</v>
      </c>
      <c r="C20" s="93">
        <f>VLOOKUP($A20,'Integrated Effic - ICC Cycle II'!$1:$1048576,26,FALSE)</f>
        <v>-3.2875128202649151E-2</v>
      </c>
      <c r="D20" s="95">
        <f t="shared" si="0"/>
        <v>3.6479991889045316</v>
      </c>
      <c r="E20" s="93"/>
      <c r="F20" s="93"/>
      <c r="G20" s="95">
        <f t="shared" si="1"/>
        <v>-0.53703762581394354</v>
      </c>
    </row>
    <row r="21" spans="1:7" x14ac:dyDescent="0.55000000000000004">
      <c r="A21">
        <v>210011</v>
      </c>
      <c r="B21" t="str">
        <f>VLOOKUP($A21,'Integrated Effic - ICC Cycle II'!$1:$1048576,2,FALSE)</f>
        <v>ST. AGNES HOSPITAL</v>
      </c>
      <c r="C21" s="93">
        <f>VLOOKUP($A21,'Integrated Effic - ICC Cycle II'!$1:$1048576,26,FALSE)</f>
        <v>-8.6423883218378572E-2</v>
      </c>
      <c r="D21" s="95">
        <f t="shared" si="0"/>
        <v>4.2121584248117019</v>
      </c>
      <c r="E21" s="93"/>
      <c r="F21" s="93"/>
      <c r="G21" s="95">
        <f t="shared" si="1"/>
        <v>2.8577940776754483E-2</v>
      </c>
    </row>
    <row r="22" spans="1:7" x14ac:dyDescent="0.55000000000000004">
      <c r="A22">
        <v>210035</v>
      </c>
      <c r="B22" t="str">
        <f>VLOOKUP($A22,'Integrated Effic - ICC Cycle II'!$1:$1048576,2,FALSE)</f>
        <v>UM-CHARLES REGIONAL MEDICAL CENTER</v>
      </c>
      <c r="C22" s="93">
        <f>VLOOKUP($A22,'Integrated Effic - ICC Cycle II'!$1:$1048576,26,FALSE)</f>
        <v>5.8392628170269578E-3</v>
      </c>
      <c r="D22" s="95">
        <f t="shared" si="0"/>
        <v>2.693819964103751</v>
      </c>
      <c r="E22" s="93"/>
      <c r="F22" s="93"/>
      <c r="G22" s="95">
        <f t="shared" si="1"/>
        <v>-0.94596332736154753</v>
      </c>
    </row>
    <row r="23" spans="1:7" x14ac:dyDescent="0.55000000000000004">
      <c r="A23">
        <v>210005</v>
      </c>
      <c r="B23" t="str">
        <f>VLOOKUP($A23,'Integrated Effic - ICC Cycle II'!$1:$1048576,2,FALSE)</f>
        <v>FREDERICK MEMORIAL HOSPITAL</v>
      </c>
      <c r="C23" s="93">
        <f>VLOOKUP($A23,'Integrated Effic - ICC Cycle II'!$1:$1048576,26,FALSE)</f>
        <v>-0.12685963277681767</v>
      </c>
      <c r="D23" s="95">
        <f t="shared" si="0"/>
        <v>3.7983198402845768</v>
      </c>
      <c r="E23" s="93"/>
      <c r="F23" s="93"/>
      <c r="G23" s="95">
        <f t="shared" si="1"/>
        <v>0.45568571182199979</v>
      </c>
    </row>
    <row r="24" spans="1:7" x14ac:dyDescent="0.55000000000000004">
      <c r="A24">
        <v>210063</v>
      </c>
      <c r="B24" t="str">
        <f>VLOOKUP($A24,'Integrated Effic - ICC Cycle II'!$1:$1048576,2,FALSE)</f>
        <v>UM-ST. JOSEPH MEDICAL CENTER</v>
      </c>
      <c r="C24" s="93">
        <f>VLOOKUP($A24,'Integrated Effic - ICC Cycle II'!$1:$1048576,26,FALSE)</f>
        <v>-6.2351979084889098E-2</v>
      </c>
      <c r="D24" s="95">
        <f t="shared" si="0"/>
        <v>4.1079198505119825</v>
      </c>
      <c r="E24" s="93"/>
      <c r="F24" s="93"/>
      <c r="G24" s="95">
        <f t="shared" si="1"/>
        <v>-0.22568462221618926</v>
      </c>
    </row>
    <row r="25" spans="1:7" x14ac:dyDescent="0.55000000000000004">
      <c r="A25">
        <v>210049</v>
      </c>
      <c r="B25" t="str">
        <f>VLOOKUP($A25,'Integrated Effic - ICC Cycle II'!$1:$1048576,2,FALSE)</f>
        <v>UM-UPPER CHESAPEAKE MEDICAL CENTER</v>
      </c>
      <c r="C25" s="93">
        <f>VLOOKUP($A25,'Integrated Effic - ICC Cycle II'!$1:$1048576,26,FALSE)</f>
        <v>-3.7161562291851191E-2</v>
      </c>
      <c r="D25" s="95">
        <f t="shared" si="0"/>
        <v>3.7339580525258236</v>
      </c>
      <c r="E25" s="93"/>
      <c r="F25" s="93"/>
      <c r="G25" s="95">
        <f t="shared" si="1"/>
        <v>-0.49176161808406205</v>
      </c>
    </row>
    <row r="26" spans="1:7" x14ac:dyDescent="0.55000000000000004">
      <c r="A26">
        <v>210002</v>
      </c>
      <c r="B26" t="str">
        <f>VLOOKUP($A26,'Integrated Effic - ICC Cycle II'!$1:$1048576,2,FALSE)</f>
        <v>UNIVERSITY OF MARYLAND MEDICAL CENTER</v>
      </c>
      <c r="C26" s="93">
        <f>VLOOKUP($A26,'Integrated Effic - ICC Cycle II'!$1:$1048576,26,FALSE)</f>
        <v>-7.4924113955088245E-2</v>
      </c>
      <c r="D26" s="95">
        <f t="shared" si="0"/>
        <v>4.1957381936916773</v>
      </c>
      <c r="E26" s="93"/>
      <c r="F26" s="93"/>
      <c r="G26" s="95">
        <f t="shared" si="1"/>
        <v>-9.2889841352029531E-2</v>
      </c>
    </row>
    <row r="27" spans="1:7" x14ac:dyDescent="0.55000000000000004">
      <c r="A27">
        <v>210001</v>
      </c>
      <c r="B27" t="str">
        <f>VLOOKUP($A27,'Integrated Effic - ICC Cycle II'!$1:$1048576,2,FALSE)</f>
        <v>MERITUS MEDICAL CENTER</v>
      </c>
      <c r="C27" s="93">
        <f>VLOOKUP($A27,'Integrated Effic - ICC Cycle II'!$1:$1048576,26,FALSE)</f>
        <v>9.7668832130572536E-2</v>
      </c>
      <c r="D27" s="95">
        <f t="shared" si="0"/>
        <v>0.67233367016042844</v>
      </c>
      <c r="E27" s="93"/>
      <c r="F27" s="93"/>
      <c r="G27" s="95">
        <f t="shared" si="1"/>
        <v>-1.9159248859786229</v>
      </c>
    </row>
    <row r="28" spans="1:7" x14ac:dyDescent="0.55000000000000004">
      <c r="A28">
        <v>210028</v>
      </c>
      <c r="B28" t="str">
        <f>VLOOKUP($A28,'Integrated Effic - ICC Cycle II'!$1:$1048576,2,FALSE)</f>
        <v xml:space="preserve">MEDSTAR ST. MARY'S HOSPITAL </v>
      </c>
      <c r="C28" s="93">
        <f>VLOOKUP($A28,'Integrated Effic - ICC Cycle II'!$1:$1048576,26,FALSE)</f>
        <v>6.0750383104417383E-2</v>
      </c>
      <c r="D28" s="95">
        <f t="shared" si="0"/>
        <v>1.3153368375196686</v>
      </c>
      <c r="E28" s="93"/>
      <c r="F28" s="93"/>
      <c r="G28" s="95">
        <f t="shared" si="1"/>
        <v>-1.5259690511988084</v>
      </c>
    </row>
    <row r="29" spans="1:7" x14ac:dyDescent="0.55000000000000004">
      <c r="A29">
        <v>210019</v>
      </c>
      <c r="B29" t="str">
        <f>VLOOKUP($A29,'Integrated Effic - ICC Cycle II'!$1:$1048576,2,FALSE)</f>
        <v>PENINSULA REGIONAL MEDICAL CENTER</v>
      </c>
      <c r="C29" s="93">
        <f>VLOOKUP($A29,'Integrated Effic - ICC Cycle II'!$1:$1048576,26,FALSE)</f>
        <v>8.2734144660188358E-2</v>
      </c>
      <c r="D29" s="95">
        <f t="shared" si="0"/>
        <v>0.89833995799191224</v>
      </c>
      <c r="E29" s="93"/>
      <c r="F29" s="93"/>
      <c r="G29" s="95">
        <f t="shared" si="1"/>
        <v>-1.7581753414199299</v>
      </c>
    </row>
    <row r="30" spans="1:7" x14ac:dyDescent="0.55000000000000004">
      <c r="A30">
        <v>210043</v>
      </c>
      <c r="B30" t="str">
        <f>VLOOKUP($A30,'Integrated Effic - ICC Cycle II'!$1:$1048576,2,FALSE)</f>
        <v>UM-BALTIMORE WASHINGTON MEDICAL CENTER</v>
      </c>
      <c r="C30" s="93">
        <f>VLOOKUP($A30,'Integrated Effic - ICC Cycle II'!$1:$1048576,26,FALSE)</f>
        <v>-7.5866310433195361E-2</v>
      </c>
      <c r="D30" s="95">
        <f t="shared" si="0"/>
        <v>4.1994107538326411</v>
      </c>
      <c r="E30" s="93"/>
      <c r="F30" s="93"/>
      <c r="G30" s="95">
        <f t="shared" si="1"/>
        <v>-8.293777067087596E-2</v>
      </c>
    </row>
    <row r="31" spans="1:7" x14ac:dyDescent="0.55000000000000004">
      <c r="A31">
        <v>210044</v>
      </c>
      <c r="B31" t="str">
        <f>VLOOKUP($A31,'Integrated Effic - ICC Cycle II'!$1:$1048576,2,FALSE)</f>
        <v>GREATER BALTIMORE MEDICAL CENTER</v>
      </c>
      <c r="C31" s="93">
        <f>VLOOKUP($A31,'Integrated Effic - ICC Cycle II'!$1:$1048576,26,FALSE)</f>
        <v>-8.0098052079727866E-2</v>
      </c>
      <c r="D31" s="95">
        <f t="shared" si="0"/>
        <v>4.2107990489507365</v>
      </c>
      <c r="E31" s="93"/>
      <c r="F31" s="93"/>
      <c r="G31" s="95">
        <f t="shared" si="1"/>
        <v>-3.8239458854553474E-2</v>
      </c>
    </row>
    <row r="32" spans="1:7" x14ac:dyDescent="0.55000000000000004">
      <c r="A32">
        <v>210048</v>
      </c>
      <c r="B32" t="str">
        <f>VLOOKUP($A32,'Integrated Effic - ICC Cycle II'!$1:$1048576,2,FALSE)</f>
        <v>HOWARD COUNTY GENERAL HOSPITAL</v>
      </c>
      <c r="C32" s="93">
        <f>VLOOKUP($A32,'Integrated Effic - ICC Cycle II'!$1:$1048576,26,FALSE)</f>
        <v>6.6230105006908069E-3</v>
      </c>
      <c r="D32" s="95">
        <f t="shared" si="0"/>
        <v>2.6727152014759112</v>
      </c>
      <c r="E32" s="93"/>
      <c r="F32" s="93"/>
      <c r="G32" s="95">
        <f t="shared" si="1"/>
        <v>-0.95424176240694603</v>
      </c>
    </row>
    <row r="33" spans="1:7" x14ac:dyDescent="0.55000000000000004">
      <c r="A33">
        <v>210060</v>
      </c>
      <c r="B33" t="str">
        <f>VLOOKUP($A33,'Integrated Effic - ICC Cycle II'!$1:$1048576,2,FALSE)</f>
        <v>FORT WASHINGTON MEDICAL CENTER</v>
      </c>
      <c r="C33" s="93">
        <f>VLOOKUP($A33,'Integrated Effic - ICC Cycle II'!$1:$1048576,26,FALSE)</f>
        <v>-0.10456945205869728</v>
      </c>
      <c r="D33" s="95">
        <f t="shared" si="0"/>
        <v>4.1129071060652214</v>
      </c>
      <c r="E33" s="93"/>
      <c r="F33" s="93"/>
      <c r="G33" s="95">
        <f t="shared" si="1"/>
        <v>0.22024283004845838</v>
      </c>
    </row>
    <row r="34" spans="1:7" x14ac:dyDescent="0.55000000000000004">
      <c r="A34">
        <v>210029</v>
      </c>
      <c r="B34" t="str">
        <f>VLOOKUP($A34,'Integrated Effic - ICC Cycle II'!$1:$1048576,2,FALSE)</f>
        <v>JOHNS HOPKINS BAYVIEW MEDICAL CENTER</v>
      </c>
      <c r="C34" s="93">
        <f>VLOOKUP($A34,'Integrated Effic - ICC Cycle II'!$1:$1048576,26,FALSE)</f>
        <v>-0.15039457226924302</v>
      </c>
      <c r="D34" s="95">
        <f t="shared" si="0"/>
        <v>3.2883333284166443</v>
      </c>
      <c r="E34" s="93"/>
      <c r="F34" s="93"/>
      <c r="G34" s="95">
        <f t="shared" si="1"/>
        <v>0.70427651718761042</v>
      </c>
    </row>
    <row r="35" spans="1:7" x14ac:dyDescent="0.55000000000000004">
      <c r="A35">
        <v>210034</v>
      </c>
      <c r="B35" t="str">
        <f>VLOOKUP($A35,'Integrated Effic - ICC Cycle II'!$1:$1048576,2,FALSE)</f>
        <v>MEDSTAR HARBOR HOSPITAL CENTER</v>
      </c>
      <c r="C35" s="93">
        <f>VLOOKUP($A35,'Integrated Effic - ICC Cycle II'!$1:$1048576,26,FALSE)</f>
        <v>3.3735628356375669E-2</v>
      </c>
      <c r="D35" s="95">
        <f t="shared" si="0"/>
        <v>1.9519166139772561</v>
      </c>
      <c r="E35" s="93"/>
      <c r="F35" s="93"/>
      <c r="G35" s="95">
        <f t="shared" si="1"/>
        <v>-1.240622252591931</v>
      </c>
    </row>
    <row r="36" spans="1:7" x14ac:dyDescent="0.55000000000000004">
      <c r="A36">
        <v>210009</v>
      </c>
      <c r="B36" t="str">
        <f>VLOOKUP($A36,'Integrated Effic - ICC Cycle II'!$1:$1048576,2,FALSE)</f>
        <v>JOHNS HOPKINS HOSPITAL</v>
      </c>
      <c r="C36" s="93">
        <f>VLOOKUP($A36,'Integrated Effic - ICC Cycle II'!$1:$1048576,26,FALSE)</f>
        <v>-8.3985794295912797E-2</v>
      </c>
      <c r="D36" s="95">
        <f t="shared" si="0"/>
        <v>4.2138619897892848</v>
      </c>
      <c r="E36" s="93"/>
      <c r="F36" s="93"/>
      <c r="G36" s="95">
        <f t="shared" si="1"/>
        <v>2.8253150271192206E-3</v>
      </c>
    </row>
    <row r="37" spans="1:7" x14ac:dyDescent="0.55000000000000004">
      <c r="A37">
        <v>210023</v>
      </c>
      <c r="B37" t="str">
        <f>VLOOKUP($A37,'Integrated Effic - ICC Cycle II'!$1:$1048576,2,FALSE)</f>
        <v>ANNE ARUNDEL MEDICAL CENTER</v>
      </c>
      <c r="C37" s="93">
        <f>VLOOKUP($A37,'Integrated Effic - ICC Cycle II'!$1:$1048576,26,FALSE)</f>
        <v>-0.10076150374021298</v>
      </c>
      <c r="D37" s="95">
        <f t="shared" si="0"/>
        <v>4.1461483519957847</v>
      </c>
      <c r="E37" s="93"/>
      <c r="F37" s="93"/>
      <c r="G37" s="95">
        <f t="shared" si="1"/>
        <v>0.1800208894062357</v>
      </c>
    </row>
    <row r="38" spans="1:7" x14ac:dyDescent="0.55000000000000004">
      <c r="A38">
        <v>210024</v>
      </c>
      <c r="B38" t="str">
        <f>VLOOKUP($A38,'Integrated Effic - ICC Cycle II'!$1:$1048576,2,FALSE)</f>
        <v>MEDSTAR UNION MEMORIAL HOSPITAL</v>
      </c>
      <c r="C38" s="93">
        <f>VLOOKUP($A38,'Integrated Effic - ICC Cycle II'!$1:$1048576,26,FALSE)</f>
        <v>-6.7646010390729261E-2</v>
      </c>
      <c r="D38" s="95">
        <f t="shared" si="0"/>
        <v>4.1535913783423295</v>
      </c>
      <c r="E38" s="93"/>
      <c r="F38" s="93"/>
      <c r="G38" s="95">
        <f t="shared" si="1"/>
        <v>-0.16976574014839693</v>
      </c>
    </row>
    <row r="39" spans="1:7" x14ac:dyDescent="0.55000000000000004">
      <c r="A39">
        <v>210022</v>
      </c>
      <c r="B39" t="str">
        <f>VLOOKUP($A39,'Integrated Effic - ICC Cycle II'!$1:$1048576,2,FALSE)</f>
        <v>SUBURBAN HOSPITAL</v>
      </c>
      <c r="C39" s="93">
        <f>VLOOKUP($A39,'Integrated Effic - ICC Cycle II'!$1:$1048576,26,FALSE)</f>
        <v>-0.11856269254836183</v>
      </c>
      <c r="D39" s="95">
        <f t="shared" si="0"/>
        <v>3.9379245056656327</v>
      </c>
      <c r="E39" s="93"/>
      <c r="F39" s="93"/>
      <c r="G39" s="95">
        <f t="shared" si="1"/>
        <v>0.36804822058791381</v>
      </c>
    </row>
    <row r="40" spans="1:7" x14ac:dyDescent="0.55000000000000004">
      <c r="A40">
        <v>210017</v>
      </c>
      <c r="B40" t="str">
        <f>VLOOKUP($A40,'Integrated Effic - ICC Cycle II'!$1:$1048576,2,FALSE)</f>
        <v>GARRETT COUNTY MEMORIAL HOSPITAL</v>
      </c>
      <c r="C40" s="93">
        <f>VLOOKUP($A40,'Integrated Effic - ICC Cycle II'!$1:$1048576,26,FALSE)</f>
        <v>0.14374672794864929</v>
      </c>
      <c r="D40" s="95">
        <f t="shared" si="0"/>
        <v>0.23505672437789943</v>
      </c>
      <c r="E40" s="93"/>
      <c r="F40" s="93"/>
      <c r="G40" s="95">
        <f t="shared" si="1"/>
        <v>-2.4026285477685763</v>
      </c>
    </row>
    <row r="41" spans="1:7" x14ac:dyDescent="0.55000000000000004">
      <c r="A41">
        <v>210061</v>
      </c>
      <c r="B41" t="str">
        <f>VLOOKUP($A41,'Integrated Effic - ICC Cycle II'!$1:$1048576,2,FALSE)</f>
        <v>ATLANTIC GENERAL HOSPITAL</v>
      </c>
      <c r="C41" s="93">
        <f>VLOOKUP($A41,'Integrated Effic - ICC Cycle II'!$1:$1048576,26,FALSE)</f>
        <v>3.1715793496384093E-2</v>
      </c>
      <c r="D41" s="95">
        <f t="shared" si="0"/>
        <v>2.0038144025797631</v>
      </c>
      <c r="E41" s="93"/>
      <c r="F41" s="93"/>
      <c r="G41" s="95">
        <f t="shared" si="1"/>
        <v>-1.2192874888160377</v>
      </c>
    </row>
    <row r="42" spans="1:7" x14ac:dyDescent="0.55000000000000004">
      <c r="A42">
        <v>210008</v>
      </c>
      <c r="B42" t="str">
        <f>VLOOKUP($A42,'Integrated Effic - ICC Cycle II'!$1:$1048576,2,FALSE)</f>
        <v>MERCY MEDICAL CENTER</v>
      </c>
      <c r="C42" s="93">
        <f>VLOOKUP($A42,'Integrated Effic - ICC Cycle II'!$1:$1048576,26,FALSE)</f>
        <v>-0.10148129697256991</v>
      </c>
      <c r="D42" s="95">
        <f t="shared" si="0"/>
        <v>4.1403578072267351</v>
      </c>
      <c r="E42" s="93"/>
      <c r="F42" s="93"/>
      <c r="G42" s="95">
        <f t="shared" si="1"/>
        <v>0.18762379738846849</v>
      </c>
    </row>
    <row r="43" spans="1:7" x14ac:dyDescent="0.55000000000000004">
      <c r="D43" s="335"/>
    </row>
  </sheetData>
  <sheetCalcPr fullCalcOnLoad="1"/>
  <autoFilter ref="A1:D1">
    <sortState xmlns:xlrd2="http://schemas.microsoft.com/office/spreadsheetml/2017/richdata2" ref="A2:D44">
      <sortCondition ref="C1"/>
    </sortState>
  </autoFilter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88"/>
  <sheetViews>
    <sheetView zoomScale="80" zoomScaleNormal="80" workbookViewId="0">
      <selection activeCell="E45" sqref="E45"/>
    </sheetView>
  </sheetViews>
  <sheetFormatPr defaultRowHeight="14.4" x14ac:dyDescent="0.55000000000000004"/>
  <cols>
    <col min="1" max="1" width="51.578125" bestFit="1" customWidth="1"/>
    <col min="2" max="2" width="42.68359375" style="2" bestFit="1" customWidth="1"/>
    <col min="3" max="3" width="34.15625" bestFit="1" customWidth="1"/>
    <col min="4" max="4" width="40.15625" style="93" bestFit="1" customWidth="1"/>
    <col min="5" max="6" width="45" bestFit="1" customWidth="1"/>
    <col min="7" max="7" width="28.41796875" bestFit="1" customWidth="1"/>
    <col min="8" max="8" width="11.578125" bestFit="1" customWidth="1"/>
    <col min="9" max="9" width="13.15625" bestFit="1" customWidth="1"/>
  </cols>
  <sheetData>
    <row r="1" spans="1:9" x14ac:dyDescent="0.55000000000000004">
      <c r="B1"/>
    </row>
    <row r="2" spans="1:9" x14ac:dyDescent="0.55000000000000004">
      <c r="A2" s="1" t="s">
        <v>106</v>
      </c>
      <c r="B2" s="2" t="s">
        <v>51</v>
      </c>
    </row>
    <row r="3" spans="1:9" x14ac:dyDescent="0.55000000000000004">
      <c r="B3"/>
      <c r="D3"/>
    </row>
    <row r="4" spans="1:9" x14ac:dyDescent="0.55000000000000004">
      <c r="A4" s="1" t="s">
        <v>104</v>
      </c>
      <c r="B4" s="1" t="s">
        <v>105</v>
      </c>
      <c r="C4" s="2" t="s">
        <v>178</v>
      </c>
      <c r="D4" s="2" t="s">
        <v>177</v>
      </c>
      <c r="E4" s="309" t="s">
        <v>176</v>
      </c>
      <c r="F4" s="354" t="s">
        <v>640</v>
      </c>
      <c r="G4" s="354" t="s">
        <v>641</v>
      </c>
      <c r="H4" s="354" t="s">
        <v>642</v>
      </c>
      <c r="I4" s="354" t="s">
        <v>643</v>
      </c>
    </row>
    <row r="5" spans="1:9" x14ac:dyDescent="0.55000000000000004">
      <c r="A5">
        <v>1</v>
      </c>
      <c r="B5" t="s">
        <v>411</v>
      </c>
      <c r="C5" s="2">
        <v>73477074.041108057</v>
      </c>
      <c r="D5" s="2">
        <v>83922550.706166267</v>
      </c>
      <c r="E5" s="309">
        <v>0.14215967090924586</v>
      </c>
      <c r="F5" s="93">
        <f>VLOOKUP(B5,'Rate Application - ICC Summary'!$1:$1048576,4,FALSE)</f>
        <v>0.12881077464046164</v>
      </c>
      <c r="G5">
        <f>RANK(E5,$E$5:$E$47)</f>
        <v>1</v>
      </c>
      <c r="H5">
        <f>RANK(F5,$F$5:$F$47)</f>
        <v>1</v>
      </c>
      <c r="I5">
        <f>H5-G5</f>
        <v>0</v>
      </c>
    </row>
    <row r="6" spans="1:9" x14ac:dyDescent="0.55000000000000004">
      <c r="B6" t="s">
        <v>409</v>
      </c>
      <c r="C6" s="2">
        <v>513765360.97469074</v>
      </c>
      <c r="D6" s="2">
        <v>555381776.78383386</v>
      </c>
      <c r="E6" s="309">
        <v>8.1002766963873318E-2</v>
      </c>
      <c r="F6" s="93">
        <f>VLOOKUP(B6,'Rate Application - ICC Summary'!$1:$1048576,4,FALSE)</f>
        <v>5.4618998398311414E-2</v>
      </c>
      <c r="G6">
        <f t="shared" ref="G6:G47" si="0">RANK(E6,$E$5:$E$47)</f>
        <v>2</v>
      </c>
      <c r="H6">
        <f>RANK(F6,$F$5:$F$47)</f>
        <v>3</v>
      </c>
      <c r="I6">
        <f t="shared" ref="I6:I47" si="1">H6-G6</f>
        <v>1</v>
      </c>
    </row>
    <row r="7" spans="1:9" x14ac:dyDescent="0.55000000000000004">
      <c r="B7" t="s">
        <v>425</v>
      </c>
      <c r="C7" s="2">
        <v>383442518.34440809</v>
      </c>
      <c r="D7" s="2">
        <v>409184670.26760978</v>
      </c>
      <c r="E7" s="309">
        <v>6.713431790076041E-2</v>
      </c>
      <c r="F7" s="93">
        <f>VLOOKUP(B7,'Rate Application - ICC Summary'!$1:$1048576,4,FALSE)</f>
        <v>6.5216741959615243E-2</v>
      </c>
      <c r="G7">
        <f t="shared" si="0"/>
        <v>3</v>
      </c>
      <c r="H7">
        <f t="shared" ref="H7:H46" si="2">RANK(F7,$F$5:$F$47)</f>
        <v>2</v>
      </c>
      <c r="I7">
        <f t="shared" si="1"/>
        <v>-1</v>
      </c>
    </row>
    <row r="8" spans="1:9" x14ac:dyDescent="0.55000000000000004">
      <c r="B8" t="s">
        <v>403</v>
      </c>
      <c r="C8" s="2">
        <v>206949787.85208052</v>
      </c>
      <c r="D8" s="2">
        <v>220087585.18083525</v>
      </c>
      <c r="E8" s="309">
        <v>6.3483019070041724E-2</v>
      </c>
      <c r="F8" s="93">
        <f>VLOOKUP(B8,'Rate Application - ICC Summary'!$1:$1048576,4,FALSE)</f>
        <v>3.2839752713621939E-2</v>
      </c>
      <c r="G8">
        <f t="shared" si="0"/>
        <v>4</v>
      </c>
      <c r="H8">
        <f t="shared" si="2"/>
        <v>5</v>
      </c>
      <c r="I8">
        <f t="shared" si="1"/>
        <v>1</v>
      </c>
    </row>
    <row r="9" spans="1:9" x14ac:dyDescent="0.55000000000000004">
      <c r="B9" t="s">
        <v>398</v>
      </c>
      <c r="C9" s="2">
        <v>205889135.11789241</v>
      </c>
      <c r="D9" s="2">
        <v>214071939.82426345</v>
      </c>
      <c r="E9" s="309">
        <v>3.9743742192542397E-2</v>
      </c>
      <c r="F9" s="93">
        <f>VLOOKUP(B9,'Rate Application - ICC Summary'!$1:$1048576,4,FALSE)</f>
        <v>2.0989440334462373E-4</v>
      </c>
      <c r="G9">
        <f t="shared" si="0"/>
        <v>5</v>
      </c>
      <c r="H9">
        <f t="shared" si="2"/>
        <v>10</v>
      </c>
      <c r="I9">
        <f t="shared" si="1"/>
        <v>5</v>
      </c>
    </row>
    <row r="10" spans="1:9" x14ac:dyDescent="0.55000000000000004">
      <c r="B10" t="s">
        <v>422</v>
      </c>
      <c r="C10" s="2">
        <v>547219767.1459837</v>
      </c>
      <c r="D10" s="2">
        <v>568705879.39374185</v>
      </c>
      <c r="E10" s="309">
        <v>3.9264137623935991E-2</v>
      </c>
      <c r="F10" s="93">
        <f>VLOOKUP(B10,'Rate Application - ICC Summary'!$1:$1048576,4,FALSE)</f>
        <v>3.1130821138341425E-2</v>
      </c>
      <c r="G10">
        <f t="shared" si="0"/>
        <v>6</v>
      </c>
      <c r="H10">
        <f t="shared" si="2"/>
        <v>6</v>
      </c>
      <c r="I10">
        <f t="shared" si="1"/>
        <v>0</v>
      </c>
    </row>
    <row r="11" spans="1:9" x14ac:dyDescent="0.55000000000000004">
      <c r="B11" t="s">
        <v>413</v>
      </c>
      <c r="C11" s="2">
        <v>601446348.45018578</v>
      </c>
      <c r="D11" s="2">
        <v>624161406.51203835</v>
      </c>
      <c r="E11" s="309">
        <v>3.7767388762746767E-2</v>
      </c>
      <c r="F11" s="93">
        <f>VLOOKUP(B11,'Rate Application - ICC Summary'!$1:$1048576,4,FALSE)</f>
        <v>6.3038434280928701E-3</v>
      </c>
      <c r="G11">
        <f t="shared" si="0"/>
        <v>7</v>
      </c>
      <c r="H11">
        <f t="shared" si="2"/>
        <v>9</v>
      </c>
      <c r="I11">
        <f t="shared" si="1"/>
        <v>2</v>
      </c>
    </row>
    <row r="12" spans="1:9" x14ac:dyDescent="0.55000000000000004">
      <c r="B12" t="s">
        <v>380</v>
      </c>
      <c r="C12" s="2">
        <v>123454716.04708941</v>
      </c>
      <c r="D12" s="2">
        <v>127107359.33859076</v>
      </c>
      <c r="E12" s="309">
        <v>2.9586907721760314E-2</v>
      </c>
      <c r="F12" s="93">
        <f>VLOOKUP(B12,'Rate Application - ICC Summary'!$1:$1048576,4,FALSE)</f>
        <v>1.5515677887590673E-2</v>
      </c>
      <c r="G12">
        <f t="shared" si="0"/>
        <v>8</v>
      </c>
      <c r="H12">
        <f t="shared" si="2"/>
        <v>7</v>
      </c>
      <c r="I12">
        <f t="shared" si="1"/>
        <v>-1</v>
      </c>
    </row>
    <row r="13" spans="1:9" x14ac:dyDescent="0.55000000000000004">
      <c r="B13" t="s">
        <v>388</v>
      </c>
      <c r="C13" s="2">
        <v>342063676.63033193</v>
      </c>
      <c r="D13" s="2">
        <v>348348878.7225976</v>
      </c>
      <c r="E13" s="309">
        <v>1.837436279169169E-2</v>
      </c>
      <c r="F13" s="93">
        <f>VLOOKUP(B13,'Rate Application - ICC Summary'!$1:$1048576,4,FALSE)</f>
        <v>-6.5612104409472627E-3</v>
      </c>
      <c r="G13">
        <f>RANK(E13,$E$5:$E$47)</f>
        <v>9</v>
      </c>
      <c r="H13">
        <f t="shared" si="2"/>
        <v>11</v>
      </c>
      <c r="I13">
        <f t="shared" si="1"/>
        <v>2</v>
      </c>
    </row>
    <row r="14" spans="1:9" x14ac:dyDescent="0.55000000000000004">
      <c r="B14" t="s">
        <v>397</v>
      </c>
      <c r="C14" s="2">
        <v>176298783.78661111</v>
      </c>
      <c r="D14" s="2">
        <v>179143747.51920551</v>
      </c>
      <c r="E14" s="309">
        <v>1.6137171632663705E-2</v>
      </c>
      <c r="F14" s="93">
        <f>VLOOKUP(B14,'Rate Application - ICC Summary'!$1:$1048576,4,FALSE)</f>
        <v>6.6822364465941586E-3</v>
      </c>
      <c r="G14">
        <f t="shared" si="0"/>
        <v>10</v>
      </c>
      <c r="H14">
        <f t="shared" si="2"/>
        <v>8</v>
      </c>
      <c r="I14">
        <f t="shared" si="1"/>
        <v>-2</v>
      </c>
    </row>
    <row r="15" spans="1:9" x14ac:dyDescent="0.55000000000000004">
      <c r="B15" t="s">
        <v>81</v>
      </c>
      <c r="C15" s="2">
        <v>146086437.73579153</v>
      </c>
      <c r="D15" s="2">
        <v>148395925.28993291</v>
      </c>
      <c r="E15" s="309">
        <v>1.5809048327390052E-2</v>
      </c>
      <c r="F15" s="93">
        <f>VLOOKUP(B15,'Rate Application - ICC Summary'!$1:$1048576,4,FALSE)</f>
        <v>4.3379376017807614E-2</v>
      </c>
      <c r="G15">
        <f t="shared" si="0"/>
        <v>11</v>
      </c>
      <c r="H15">
        <f t="shared" si="2"/>
        <v>4</v>
      </c>
      <c r="I15">
        <f t="shared" si="1"/>
        <v>-7</v>
      </c>
    </row>
    <row r="16" spans="1:9" x14ac:dyDescent="0.55000000000000004">
      <c r="B16" t="s">
        <v>387</v>
      </c>
      <c r="C16" s="2">
        <v>357479688.25679171</v>
      </c>
      <c r="D16" s="2">
        <v>346034183.16545063</v>
      </c>
      <c r="E16" s="309">
        <v>-3.2017217949231624E-2</v>
      </c>
      <c r="F16" s="93">
        <f>VLOOKUP(B16,'Rate Application - ICC Summary'!$1:$1048576,4,FALSE)</f>
        <v>-5.7898572498527923E-2</v>
      </c>
      <c r="G16">
        <f t="shared" si="0"/>
        <v>12</v>
      </c>
      <c r="H16">
        <f t="shared" si="2"/>
        <v>14</v>
      </c>
      <c r="I16">
        <f t="shared" si="1"/>
        <v>2</v>
      </c>
    </row>
    <row r="17" spans="2:9" x14ac:dyDescent="0.55000000000000004">
      <c r="B17" t="s">
        <v>405</v>
      </c>
      <c r="C17" s="2">
        <v>348926896.50253075</v>
      </c>
      <c r="D17" s="2">
        <v>334301136.95101279</v>
      </c>
      <c r="E17" s="309">
        <v>-4.1916400535812137E-2</v>
      </c>
      <c r="F17" s="93">
        <f>VLOOKUP(B17,'Rate Application - ICC Summary'!$1:$1048576,4,FALSE)</f>
        <v>-4.9392589028887102E-2</v>
      </c>
      <c r="G17">
        <f t="shared" si="0"/>
        <v>13</v>
      </c>
      <c r="H17">
        <f t="shared" si="2"/>
        <v>12</v>
      </c>
      <c r="I17">
        <f t="shared" si="1"/>
        <v>-1</v>
      </c>
    </row>
    <row r="18" spans="2:9" x14ac:dyDescent="0.55000000000000004">
      <c r="B18" t="s">
        <v>384</v>
      </c>
      <c r="C18" s="2">
        <v>303444858.6894334</v>
      </c>
      <c r="D18" s="2">
        <v>290287375.12619406</v>
      </c>
      <c r="E18" s="309">
        <v>-4.3360377302373854E-2</v>
      </c>
      <c r="F18" s="93">
        <f>VLOOKUP(B18,'Rate Application - ICC Summary'!$1:$1048576,4,FALSE)</f>
        <v>-6.8492796238926013E-2</v>
      </c>
      <c r="G18">
        <f t="shared" si="0"/>
        <v>14</v>
      </c>
      <c r="H18">
        <f t="shared" si="2"/>
        <v>16</v>
      </c>
      <c r="I18">
        <f t="shared" si="1"/>
        <v>2</v>
      </c>
    </row>
    <row r="19" spans="2:9" x14ac:dyDescent="0.55000000000000004">
      <c r="B19" t="s">
        <v>392</v>
      </c>
      <c r="C19" s="2">
        <v>485538387.39230251</v>
      </c>
      <c r="D19" s="2">
        <v>455430477.76584768</v>
      </c>
      <c r="E19" s="309">
        <v>-6.2009329042254313E-2</v>
      </c>
      <c r="F19" s="93">
        <f>VLOOKUP(B19,'Rate Application - ICC Summary'!$1:$1048576,4,FALSE)</f>
        <v>-6.0571555944055833E-2</v>
      </c>
      <c r="G19">
        <f t="shared" si="0"/>
        <v>16</v>
      </c>
      <c r="H19">
        <f t="shared" si="2"/>
        <v>15</v>
      </c>
      <c r="I19">
        <f t="shared" si="1"/>
        <v>-1</v>
      </c>
    </row>
    <row r="20" spans="2:9" x14ac:dyDescent="0.55000000000000004">
      <c r="B20" t="s">
        <v>406</v>
      </c>
      <c r="C20" s="2">
        <v>478959576.11742043</v>
      </c>
      <c r="D20" s="2">
        <v>447555839.06773567</v>
      </c>
      <c r="E20" s="309">
        <v>-6.5566570991757112E-2</v>
      </c>
      <c r="F20" s="93">
        <f>VLOOKUP(B20,'Rate Application - ICC Summary'!$1:$1048576,4,FALSE)</f>
        <v>-8.5588524830586543E-2</v>
      </c>
      <c r="G20">
        <f t="shared" si="0"/>
        <v>17</v>
      </c>
      <c r="H20">
        <f t="shared" si="2"/>
        <v>21</v>
      </c>
      <c r="I20">
        <f t="shared" si="1"/>
        <v>4</v>
      </c>
    </row>
    <row r="21" spans="2:9" x14ac:dyDescent="0.55000000000000004">
      <c r="B21" t="s">
        <v>420</v>
      </c>
      <c r="C21" s="2">
        <v>111736905.45604147</v>
      </c>
      <c r="D21" s="2">
        <v>104235756.94449392</v>
      </c>
      <c r="E21" s="309">
        <v>-6.7132237830754948E-2</v>
      </c>
      <c r="F21" s="93">
        <f>VLOOKUP(B21,'Rate Application - ICC Summary'!$1:$1048576,4,FALSE)</f>
        <v>-0.11224170211440576</v>
      </c>
      <c r="G21">
        <f t="shared" si="0"/>
        <v>18</v>
      </c>
      <c r="H21">
        <f t="shared" si="2"/>
        <v>26</v>
      </c>
      <c r="I21">
        <f t="shared" si="1"/>
        <v>8</v>
      </c>
    </row>
    <row r="22" spans="2:9" x14ac:dyDescent="0.55000000000000004">
      <c r="B22" t="s">
        <v>377</v>
      </c>
      <c r="C22" s="2">
        <v>441501289.78100872</v>
      </c>
      <c r="D22" s="2">
        <v>411757881.6261844</v>
      </c>
      <c r="E22" s="309">
        <v>-6.7368791084568502E-2</v>
      </c>
      <c r="F22" s="93">
        <f>VLOOKUP(B22,'Rate Application - ICC Summary'!$1:$1048576,4,FALSE)</f>
        <v>-5.7770969518658788E-2</v>
      </c>
      <c r="G22">
        <f t="shared" si="0"/>
        <v>19</v>
      </c>
      <c r="H22">
        <f t="shared" si="2"/>
        <v>13</v>
      </c>
      <c r="I22">
        <f t="shared" si="1"/>
        <v>-6</v>
      </c>
    </row>
    <row r="23" spans="2:9" x14ac:dyDescent="0.55000000000000004">
      <c r="B23" t="s">
        <v>391</v>
      </c>
      <c r="C23" s="2">
        <v>479405027.32837516</v>
      </c>
      <c r="D23" s="2">
        <v>446785372.55534923</v>
      </c>
      <c r="E23" s="309">
        <v>-6.8041953908594799E-2</v>
      </c>
      <c r="F23" s="93">
        <f>VLOOKUP(B23,'Rate Application - ICC Summary'!$1:$1048576,4,FALSE)</f>
        <v>-9.1369339906336999E-2</v>
      </c>
      <c r="G23">
        <f t="shared" si="0"/>
        <v>20</v>
      </c>
      <c r="H23">
        <f t="shared" si="2"/>
        <v>22</v>
      </c>
      <c r="I23">
        <f t="shared" si="1"/>
        <v>2</v>
      </c>
    </row>
    <row r="24" spans="2:9" x14ac:dyDescent="0.55000000000000004">
      <c r="B24" t="s">
        <v>386</v>
      </c>
      <c r="C24" s="2">
        <v>271471178.92933607</v>
      </c>
      <c r="D24" s="2">
        <v>247469612.21982023</v>
      </c>
      <c r="E24" s="309">
        <v>-8.8412946096806277E-2</v>
      </c>
      <c r="F24" s="93">
        <f>VLOOKUP(B24,'Rate Application - ICC Summary'!$1:$1048576,4,FALSE)</f>
        <v>-7.9310632931579139E-2</v>
      </c>
      <c r="G24">
        <f t="shared" si="0"/>
        <v>22</v>
      </c>
      <c r="H24">
        <f t="shared" si="2"/>
        <v>18</v>
      </c>
      <c r="I24">
        <f t="shared" si="1"/>
        <v>-4</v>
      </c>
    </row>
    <row r="25" spans="2:9" x14ac:dyDescent="0.55000000000000004">
      <c r="B25" t="s">
        <v>416</v>
      </c>
      <c r="C25" s="2">
        <v>463917929.5748083</v>
      </c>
      <c r="D25" s="2">
        <v>421878808.9497081</v>
      </c>
      <c r="E25" s="309">
        <v>-9.0617581139039061E-2</v>
      </c>
      <c r="F25" s="93">
        <f>VLOOKUP(B25,'Rate Application - ICC Summary'!$1:$1048576,4,FALSE)</f>
        <v>-0.14861328954857844</v>
      </c>
      <c r="G25">
        <f t="shared" si="0"/>
        <v>23</v>
      </c>
      <c r="H25">
        <f>RANK(F25,$F$5:$F$47)</f>
        <v>35</v>
      </c>
      <c r="I25">
        <f t="shared" si="1"/>
        <v>12</v>
      </c>
    </row>
    <row r="26" spans="2:9" x14ac:dyDescent="0.55000000000000004">
      <c r="B26" t="s">
        <v>410</v>
      </c>
      <c r="C26" s="2">
        <v>198357034.28269643</v>
      </c>
      <c r="D26" s="2">
        <v>179779763.14204574</v>
      </c>
      <c r="E26" s="309">
        <v>-9.3655721400706882E-2</v>
      </c>
      <c r="F26" s="93">
        <f>VLOOKUP(B26,'Rate Application - ICC Summary'!$1:$1048576,4,FALSE)</f>
        <v>-0.12242612915795781</v>
      </c>
      <c r="G26">
        <f t="shared" si="0"/>
        <v>24</v>
      </c>
      <c r="H26">
        <f t="shared" si="2"/>
        <v>28</v>
      </c>
      <c r="I26">
        <f t="shared" si="1"/>
        <v>4</v>
      </c>
    </row>
    <row r="27" spans="2:9" x14ac:dyDescent="0.55000000000000004">
      <c r="B27" t="s">
        <v>407</v>
      </c>
      <c r="C27" s="2">
        <v>704906575.99958563</v>
      </c>
      <c r="D27" s="2">
        <v>638133708.58452988</v>
      </c>
      <c r="E27" s="309">
        <v>-9.4725839832560998E-2</v>
      </c>
      <c r="F27" s="93">
        <f>VLOOKUP(B27,'Rate Application - ICC Summary'!$1:$1048576,4,FALSE)</f>
        <v>-6.9036151801882495E-2</v>
      </c>
      <c r="G27">
        <f t="shared" si="0"/>
        <v>25</v>
      </c>
      <c r="H27">
        <f t="shared" si="2"/>
        <v>17</v>
      </c>
      <c r="I27">
        <f t="shared" si="1"/>
        <v>-8</v>
      </c>
    </row>
    <row r="28" spans="2:9" x14ac:dyDescent="0.55000000000000004">
      <c r="B28" t="s">
        <v>378</v>
      </c>
      <c r="C28" s="2">
        <v>310623280.19533324</v>
      </c>
      <c r="D28" s="2">
        <v>280434630.53585118</v>
      </c>
      <c r="E28" s="309">
        <v>-9.7187337795474171E-2</v>
      </c>
      <c r="F28" s="93">
        <f>VLOOKUP(B28,'Rate Application - ICC Summary'!$1:$1048576,4,FALSE)</f>
        <v>-0.12431136656922337</v>
      </c>
      <c r="G28">
        <f t="shared" si="0"/>
        <v>26</v>
      </c>
      <c r="H28">
        <f t="shared" si="2"/>
        <v>29</v>
      </c>
      <c r="I28">
        <f t="shared" si="1"/>
        <v>3</v>
      </c>
    </row>
    <row r="29" spans="2:9" x14ac:dyDescent="0.55000000000000004">
      <c r="B29" t="s">
        <v>421</v>
      </c>
      <c r="C29" s="2">
        <v>389282179.80573398</v>
      </c>
      <c r="D29" s="2">
        <v>350737672.39719117</v>
      </c>
      <c r="E29" s="309">
        <v>-9.9014312516894409E-2</v>
      </c>
      <c r="F29" s="93">
        <f>VLOOKUP(B29,'Rate Application - ICC Summary'!$1:$1048576,4,FALSE)</f>
        <v>-0.10822481144254759</v>
      </c>
      <c r="G29">
        <f t="shared" si="0"/>
        <v>27</v>
      </c>
      <c r="H29">
        <f t="shared" si="2"/>
        <v>23</v>
      </c>
      <c r="I29">
        <f t="shared" si="1"/>
        <v>-4</v>
      </c>
    </row>
    <row r="30" spans="2:9" x14ac:dyDescent="0.55000000000000004">
      <c r="B30" t="s">
        <v>381</v>
      </c>
      <c r="C30" s="2">
        <v>65524512.041859597</v>
      </c>
      <c r="D30" s="2">
        <v>58927814.209178947</v>
      </c>
      <c r="E30" s="309">
        <v>-0.10067526834028806</v>
      </c>
      <c r="F30" s="93">
        <f>VLOOKUP(B30,'Rate Application - ICC Summary'!$1:$1048576,4,FALSE)</f>
        <v>-0.14222493714016593</v>
      </c>
      <c r="G30">
        <f t="shared" si="0"/>
        <v>28</v>
      </c>
      <c r="H30">
        <f t="shared" si="2"/>
        <v>34</v>
      </c>
      <c r="I30">
        <f t="shared" si="1"/>
        <v>6</v>
      </c>
    </row>
    <row r="31" spans="2:9" x14ac:dyDescent="0.55000000000000004">
      <c r="B31" t="s">
        <v>419</v>
      </c>
      <c r="C31" s="2">
        <v>629192420.7775166</v>
      </c>
      <c r="D31" s="2">
        <v>564483373.76494765</v>
      </c>
      <c r="E31" s="309">
        <v>-0.10284460663497119</v>
      </c>
      <c r="F31" s="93">
        <f>VLOOKUP(B31,'Rate Application - ICC Summary'!$1:$1048576,4,FALSE)</f>
        <v>-0.11135817668484616</v>
      </c>
      <c r="G31">
        <f t="shared" si="0"/>
        <v>29</v>
      </c>
      <c r="H31">
        <f t="shared" si="2"/>
        <v>25</v>
      </c>
      <c r="I31">
        <f t="shared" si="1"/>
        <v>-4</v>
      </c>
    </row>
    <row r="32" spans="2:9" x14ac:dyDescent="0.55000000000000004">
      <c r="B32" t="s">
        <v>393</v>
      </c>
      <c r="C32" s="2">
        <v>292537198.30604488</v>
      </c>
      <c r="D32" s="2">
        <v>262056279.545995</v>
      </c>
      <c r="E32" s="309">
        <v>-0.10419501839954559</v>
      </c>
      <c r="F32" s="93">
        <f>VLOOKUP(B32,'Rate Application - ICC Summary'!$1:$1048576,4,FALSE)</f>
        <v>-0.14886701938918023</v>
      </c>
      <c r="G32">
        <f t="shared" si="0"/>
        <v>30</v>
      </c>
      <c r="H32">
        <f t="shared" si="2"/>
        <v>36</v>
      </c>
      <c r="I32">
        <f t="shared" si="1"/>
        <v>6</v>
      </c>
    </row>
    <row r="33" spans="1:9" x14ac:dyDescent="0.55000000000000004">
      <c r="B33" t="s">
        <v>408</v>
      </c>
      <c r="C33" s="2">
        <v>393223971.76524913</v>
      </c>
      <c r="D33" s="2">
        <v>349771120.05168283</v>
      </c>
      <c r="E33" s="309">
        <v>-0.11050407613375934</v>
      </c>
      <c r="F33" s="93">
        <f>VLOOKUP(B33,'Rate Application - ICC Summary'!$1:$1048576,4,FALSE)</f>
        <v>-0.12884970866214085</v>
      </c>
      <c r="G33">
        <f t="shared" si="0"/>
        <v>31</v>
      </c>
      <c r="H33">
        <f t="shared" si="2"/>
        <v>31</v>
      </c>
      <c r="I33">
        <f t="shared" si="1"/>
        <v>0</v>
      </c>
    </row>
    <row r="34" spans="1:9" x14ac:dyDescent="0.55000000000000004">
      <c r="B34" t="s">
        <v>383</v>
      </c>
      <c r="C34" s="2">
        <v>498044320.36016619</v>
      </c>
      <c r="D34" s="2">
        <v>439362409.66691858</v>
      </c>
      <c r="E34" s="309">
        <v>-0.11782467602644509</v>
      </c>
      <c r="F34" s="93">
        <f>VLOOKUP(B34,'Rate Application - ICC Summary'!$1:$1048576,4,FALSE)</f>
        <v>-0.12719980771081385</v>
      </c>
      <c r="G34">
        <f t="shared" si="0"/>
        <v>32</v>
      </c>
      <c r="H34">
        <f t="shared" si="2"/>
        <v>30</v>
      </c>
      <c r="I34">
        <f t="shared" si="1"/>
        <v>-2</v>
      </c>
    </row>
    <row r="35" spans="1:9" x14ac:dyDescent="0.55000000000000004">
      <c r="B35" t="s">
        <v>399</v>
      </c>
      <c r="C35" s="2">
        <v>267259938.27860209</v>
      </c>
      <c r="D35" s="2">
        <v>233550723.96552414</v>
      </c>
      <c r="E35" s="309">
        <v>-0.12612894596248159</v>
      </c>
      <c r="F35" s="93">
        <f>VLOOKUP(B35,'Rate Application - ICC Summary'!$1:$1048576,4,FALSE)</f>
        <v>-0.13876547776148429</v>
      </c>
      <c r="G35">
        <f t="shared" si="0"/>
        <v>33</v>
      </c>
      <c r="H35">
        <f t="shared" si="2"/>
        <v>33</v>
      </c>
      <c r="I35">
        <f t="shared" si="1"/>
        <v>0</v>
      </c>
    </row>
    <row r="36" spans="1:9" x14ac:dyDescent="0.55000000000000004">
      <c r="B36" t="s">
        <v>412</v>
      </c>
      <c r="C36" s="2">
        <v>347884597.26089543</v>
      </c>
      <c r="D36" s="2">
        <v>300299851.29169792</v>
      </c>
      <c r="E36" s="309">
        <v>-0.1367831353956479</v>
      </c>
      <c r="F36" s="93">
        <f>VLOOKUP(B36,'Rate Application - ICC Summary'!$1:$1048576,4,FALSE)</f>
        <v>-0.11096805187232117</v>
      </c>
      <c r="G36">
        <f t="shared" si="0"/>
        <v>34</v>
      </c>
      <c r="H36">
        <f t="shared" si="2"/>
        <v>24</v>
      </c>
      <c r="I36">
        <f t="shared" si="1"/>
        <v>-10</v>
      </c>
    </row>
    <row r="37" spans="1:9" x14ac:dyDescent="0.55000000000000004">
      <c r="B37" t="s">
        <v>402</v>
      </c>
      <c r="C37" s="2">
        <v>701874512.24118495</v>
      </c>
      <c r="D37" s="2">
        <v>605182223.48909783</v>
      </c>
      <c r="E37" s="309">
        <v>-0.13776292922125766</v>
      </c>
      <c r="F37" s="93">
        <f>VLOOKUP(B37,'Rate Application - ICC Summary'!$1:$1048576,4,FALSE)</f>
        <v>-0.15392712484614901</v>
      </c>
      <c r="G37">
        <f t="shared" si="0"/>
        <v>35</v>
      </c>
      <c r="H37">
        <f t="shared" si="2"/>
        <v>37</v>
      </c>
      <c r="I37">
        <f t="shared" si="1"/>
        <v>2</v>
      </c>
    </row>
    <row r="38" spans="1:9" x14ac:dyDescent="0.55000000000000004">
      <c r="B38" t="s">
        <v>394</v>
      </c>
      <c r="C38" s="2">
        <v>166047924.03270695</v>
      </c>
      <c r="D38" s="2">
        <v>139237400.00102833</v>
      </c>
      <c r="E38" s="309">
        <v>-0.1614625668334021</v>
      </c>
      <c r="F38" s="93">
        <f>VLOOKUP(B38,'Rate Application - ICC Summary'!$1:$1048576,4,FALSE)</f>
        <v>-0.11586126176866041</v>
      </c>
      <c r="G38">
        <f t="shared" si="0"/>
        <v>36</v>
      </c>
      <c r="H38">
        <f t="shared" si="2"/>
        <v>27</v>
      </c>
      <c r="I38">
        <f t="shared" si="1"/>
        <v>-9</v>
      </c>
    </row>
    <row r="39" spans="1:9" x14ac:dyDescent="0.55000000000000004">
      <c r="B39" t="s">
        <v>400</v>
      </c>
      <c r="C39" s="2">
        <v>187801683.18495172</v>
      </c>
      <c r="D39" s="2">
        <v>154566655.97685775</v>
      </c>
      <c r="E39" s="309">
        <v>-0.17696873981349415</v>
      </c>
      <c r="F39" s="93">
        <f>VLOOKUP(B39,'Rate Application - ICC Summary'!$1:$1048576,4,FALSE)</f>
        <v>-0.13710802215596096</v>
      </c>
      <c r="G39">
        <f t="shared" si="0"/>
        <v>37</v>
      </c>
      <c r="H39">
        <f t="shared" si="2"/>
        <v>32</v>
      </c>
      <c r="I39">
        <f t="shared" si="1"/>
        <v>-5</v>
      </c>
    </row>
    <row r="40" spans="1:9" x14ac:dyDescent="0.55000000000000004">
      <c r="B40" t="s">
        <v>395</v>
      </c>
      <c r="C40" s="2">
        <v>247695139.32122138</v>
      </c>
      <c r="D40" s="2">
        <v>203270141.46472982</v>
      </c>
      <c r="E40" s="309">
        <v>-0.17935353103106066</v>
      </c>
      <c r="F40" s="93">
        <f>VLOOKUP(B40,'Rate Application - ICC Summary'!$1:$1048576,4,FALSE)</f>
        <v>-0.19365438571900229</v>
      </c>
      <c r="G40">
        <f t="shared" si="0"/>
        <v>38</v>
      </c>
      <c r="H40">
        <f t="shared" si="2"/>
        <v>38</v>
      </c>
      <c r="I40">
        <f t="shared" si="1"/>
        <v>0</v>
      </c>
    </row>
    <row r="41" spans="1:9" x14ac:dyDescent="0.55000000000000004">
      <c r="B41" t="s">
        <v>396</v>
      </c>
      <c r="C41" s="2">
        <v>268416796.67069432</v>
      </c>
      <c r="D41" s="2">
        <v>216404996.804324</v>
      </c>
      <c r="E41" s="309">
        <v>-0.19377252285064972</v>
      </c>
      <c r="F41" s="93">
        <f>VLOOKUP(B41,'Rate Application - ICC Summary'!$1:$1048576,4,FALSE)</f>
        <v>-0.20243749203096206</v>
      </c>
      <c r="G41">
        <f t="shared" si="0"/>
        <v>39</v>
      </c>
      <c r="H41">
        <f t="shared" si="2"/>
        <v>39</v>
      </c>
      <c r="I41">
        <f t="shared" si="1"/>
        <v>0</v>
      </c>
    </row>
    <row r="42" spans="1:9" x14ac:dyDescent="0.55000000000000004">
      <c r="B42" t="s">
        <v>423</v>
      </c>
      <c r="C42" s="2">
        <v>380375203.56753546</v>
      </c>
      <c r="D42" s="2">
        <v>302987520.1763922</v>
      </c>
      <c r="E42" s="309">
        <v>-0.20345091547851935</v>
      </c>
      <c r="F42" s="93">
        <f>VLOOKUP(B42,'Rate Application - ICC Summary'!$1:$1048576,4,FALSE)</f>
        <v>-0.22550210280006588</v>
      </c>
      <c r="G42">
        <f t="shared" si="0"/>
        <v>40</v>
      </c>
      <c r="H42">
        <f t="shared" si="2"/>
        <v>40</v>
      </c>
      <c r="I42">
        <f t="shared" si="1"/>
        <v>0</v>
      </c>
    </row>
    <row r="43" spans="1:9" x14ac:dyDescent="0.55000000000000004">
      <c r="B43" t="s">
        <v>415</v>
      </c>
      <c r="C43" s="2">
        <v>861936517.09345961</v>
      </c>
      <c r="D43" s="2">
        <v>676609165.86558008</v>
      </c>
      <c r="E43" s="309">
        <v>-0.21501276202199071</v>
      </c>
      <c r="F43" s="93">
        <f>VLOOKUP(B43,'Rate Application - ICC Summary'!$1:$1048576,4,FALSE)</f>
        <v>-0.23018763539964104</v>
      </c>
      <c r="G43">
        <f t="shared" si="0"/>
        <v>41</v>
      </c>
      <c r="H43">
        <f t="shared" si="2"/>
        <v>41</v>
      </c>
      <c r="I43">
        <f t="shared" si="1"/>
        <v>0</v>
      </c>
    </row>
    <row r="44" spans="1:9" x14ac:dyDescent="0.55000000000000004">
      <c r="B44" t="s">
        <v>382</v>
      </c>
      <c r="C44" s="2">
        <v>116188893.52768132</v>
      </c>
      <c r="D44" s="2">
        <v>84164304.961676002</v>
      </c>
      <c r="E44" s="309">
        <v>-0.27562521333741463</v>
      </c>
      <c r="F44" s="93">
        <f>VLOOKUP(B44,'Rate Application - ICC Summary'!$1:$1048576,4,FALSE)</f>
        <v>-0.2766163331013507</v>
      </c>
      <c r="G44">
        <f t="shared" si="0"/>
        <v>42</v>
      </c>
      <c r="H44">
        <f t="shared" si="2"/>
        <v>42</v>
      </c>
      <c r="I44">
        <f t="shared" si="1"/>
        <v>0</v>
      </c>
    </row>
    <row r="45" spans="1:9" x14ac:dyDescent="0.55000000000000004">
      <c r="B45" t="s">
        <v>401</v>
      </c>
      <c r="C45" s="2">
        <v>52153723.776889794</v>
      </c>
      <c r="D45" s="2">
        <v>36911795.674833551</v>
      </c>
      <c r="E45" s="309">
        <v>-0.29225004464226201</v>
      </c>
      <c r="F45" s="93">
        <f>VLOOKUP(B45,'Rate Application - ICC Summary'!$1:$1048576,4,FALSE)</f>
        <v>-0.36736647763077757</v>
      </c>
      <c r="G45">
        <f t="shared" si="0"/>
        <v>43</v>
      </c>
      <c r="H45">
        <f t="shared" si="2"/>
        <v>43</v>
      </c>
      <c r="I45">
        <f t="shared" si="1"/>
        <v>0</v>
      </c>
    </row>
    <row r="46" spans="1:9" x14ac:dyDescent="0.55000000000000004">
      <c r="A46">
        <v>5</v>
      </c>
      <c r="B46" t="s">
        <v>424</v>
      </c>
      <c r="C46" s="2">
        <v>1307714834.2625487</v>
      </c>
      <c r="D46" s="2">
        <v>1230161029.0360384</v>
      </c>
      <c r="E46" s="309">
        <v>-5.9304829458667663E-2</v>
      </c>
      <c r="F46" s="93">
        <f>VLOOKUP(B46,'Rate Application - ICC Summary'!$1:$1048576,4,FALSE)</f>
        <v>-8.4549775713646635E-2</v>
      </c>
      <c r="G46">
        <f t="shared" si="0"/>
        <v>15</v>
      </c>
      <c r="H46">
        <f t="shared" si="2"/>
        <v>20</v>
      </c>
      <c r="I46">
        <f t="shared" si="1"/>
        <v>5</v>
      </c>
    </row>
    <row r="47" spans="1:9" x14ac:dyDescent="0.55000000000000004">
      <c r="B47" t="s">
        <v>418</v>
      </c>
      <c r="C47" s="2">
        <v>2412318168.0345168</v>
      </c>
      <c r="D47" s="2">
        <v>2220408150.4310646</v>
      </c>
      <c r="E47" s="309">
        <v>-7.9554189885248316E-2</v>
      </c>
      <c r="F47" s="93">
        <f>VLOOKUP(B47,'Rate Application - ICC Summary'!$1:$1048576,4,FALSE)</f>
        <v>-8.4301219921015469E-2</v>
      </c>
      <c r="G47">
        <f t="shared" si="0"/>
        <v>21</v>
      </c>
      <c r="H47">
        <f>RANK(F47,$F$5:$F$47)</f>
        <v>19</v>
      </c>
      <c r="I47">
        <f t="shared" si="1"/>
        <v>-2</v>
      </c>
    </row>
    <row r="48" spans="1:9" x14ac:dyDescent="0.55000000000000004">
      <c r="B48"/>
      <c r="D48"/>
    </row>
    <row r="49" spans="2:6" x14ac:dyDescent="0.55000000000000004">
      <c r="B49"/>
      <c r="D49"/>
      <c r="F49" s="95">
        <f>CORREL(E5:E47,F5:F47)</f>
        <v>0.96866029162413625</v>
      </c>
    </row>
    <row r="50" spans="2:6" x14ac:dyDescent="0.55000000000000004">
      <c r="B50"/>
      <c r="D50"/>
    </row>
    <row r="51" spans="2:6" x14ac:dyDescent="0.55000000000000004">
      <c r="B51"/>
      <c r="D51"/>
    </row>
    <row r="52" spans="2:6" x14ac:dyDescent="0.55000000000000004">
      <c r="B52"/>
      <c r="D52"/>
    </row>
    <row r="53" spans="2:6" x14ac:dyDescent="0.55000000000000004">
      <c r="B53"/>
      <c r="D53"/>
    </row>
    <row r="54" spans="2:6" x14ac:dyDescent="0.55000000000000004">
      <c r="B54"/>
      <c r="D54"/>
    </row>
    <row r="55" spans="2:6" x14ac:dyDescent="0.55000000000000004">
      <c r="B55"/>
      <c r="D55"/>
    </row>
    <row r="56" spans="2:6" x14ac:dyDescent="0.55000000000000004">
      <c r="B56"/>
      <c r="D56"/>
    </row>
    <row r="57" spans="2:6" x14ac:dyDescent="0.55000000000000004">
      <c r="B57"/>
      <c r="D57"/>
    </row>
    <row r="58" spans="2:6" x14ac:dyDescent="0.55000000000000004">
      <c r="B58"/>
      <c r="D58"/>
    </row>
    <row r="59" spans="2:6" x14ac:dyDescent="0.55000000000000004">
      <c r="B59"/>
      <c r="D59"/>
    </row>
    <row r="60" spans="2:6" x14ac:dyDescent="0.55000000000000004">
      <c r="B60"/>
      <c r="D60"/>
    </row>
    <row r="61" spans="2:6" x14ac:dyDescent="0.55000000000000004">
      <c r="B61"/>
      <c r="D61"/>
    </row>
    <row r="62" spans="2:6" x14ac:dyDescent="0.55000000000000004">
      <c r="B62"/>
      <c r="D62"/>
    </row>
    <row r="63" spans="2:6" x14ac:dyDescent="0.55000000000000004">
      <c r="B63"/>
      <c r="D63"/>
    </row>
    <row r="64" spans="2:6" x14ac:dyDescent="0.55000000000000004">
      <c r="B64"/>
      <c r="D64"/>
    </row>
    <row r="65" spans="2:4" x14ac:dyDescent="0.55000000000000004">
      <c r="B65"/>
      <c r="D65"/>
    </row>
    <row r="66" spans="2:4" x14ac:dyDescent="0.55000000000000004">
      <c r="B66"/>
      <c r="D66"/>
    </row>
    <row r="67" spans="2:4" x14ac:dyDescent="0.55000000000000004">
      <c r="B67"/>
      <c r="D67"/>
    </row>
    <row r="68" spans="2:4" x14ac:dyDescent="0.55000000000000004">
      <c r="B68"/>
      <c r="D68"/>
    </row>
    <row r="69" spans="2:4" x14ac:dyDescent="0.55000000000000004">
      <c r="B69"/>
      <c r="D69"/>
    </row>
    <row r="70" spans="2:4" x14ac:dyDescent="0.55000000000000004">
      <c r="B70"/>
      <c r="D70"/>
    </row>
    <row r="71" spans="2:4" x14ac:dyDescent="0.55000000000000004">
      <c r="B71"/>
      <c r="D71"/>
    </row>
    <row r="72" spans="2:4" x14ac:dyDescent="0.55000000000000004">
      <c r="B72"/>
      <c r="D72"/>
    </row>
    <row r="73" spans="2:4" x14ac:dyDescent="0.55000000000000004">
      <c r="B73"/>
      <c r="D73"/>
    </row>
    <row r="74" spans="2:4" x14ac:dyDescent="0.55000000000000004">
      <c r="B74"/>
      <c r="D74"/>
    </row>
    <row r="75" spans="2:4" x14ac:dyDescent="0.55000000000000004">
      <c r="B75"/>
      <c r="D75"/>
    </row>
    <row r="76" spans="2:4" x14ac:dyDescent="0.55000000000000004">
      <c r="B76"/>
      <c r="D76"/>
    </row>
    <row r="77" spans="2:4" x14ac:dyDescent="0.55000000000000004">
      <c r="B77"/>
      <c r="D77"/>
    </row>
    <row r="78" spans="2:4" x14ac:dyDescent="0.55000000000000004">
      <c r="B78"/>
      <c r="D78"/>
    </row>
    <row r="79" spans="2:4" x14ac:dyDescent="0.55000000000000004">
      <c r="B79"/>
      <c r="D79"/>
    </row>
    <row r="80" spans="2:4" x14ac:dyDescent="0.55000000000000004">
      <c r="B80"/>
      <c r="D80"/>
    </row>
    <row r="81" spans="2:4" x14ac:dyDescent="0.55000000000000004">
      <c r="B81"/>
      <c r="D81"/>
    </row>
    <row r="82" spans="2:4" x14ac:dyDescent="0.55000000000000004">
      <c r="B82"/>
      <c r="D82"/>
    </row>
    <row r="83" spans="2:4" x14ac:dyDescent="0.55000000000000004">
      <c r="B83"/>
      <c r="D83"/>
    </row>
    <row r="84" spans="2:4" x14ac:dyDescent="0.55000000000000004">
      <c r="B84"/>
      <c r="D84"/>
    </row>
    <row r="85" spans="2:4" x14ac:dyDescent="0.55000000000000004">
      <c r="B85"/>
      <c r="D85"/>
    </row>
    <row r="86" spans="2:4" x14ac:dyDescent="0.55000000000000004">
      <c r="B86"/>
      <c r="D86"/>
    </row>
    <row r="87" spans="2:4" x14ac:dyDescent="0.55000000000000004">
      <c r="B87"/>
      <c r="D87"/>
    </row>
    <row r="88" spans="2:4" x14ac:dyDescent="0.55000000000000004">
      <c r="B88"/>
      <c r="D88"/>
    </row>
  </sheetData>
  <sheetCalcPr fullCalcOnLoad="1"/>
  <phoneticPr fontId="27" type="noConversion"/>
  <conditionalFormatting sqref="I5:I4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G76"/>
  <sheetViews>
    <sheetView zoomScale="90" zoomScaleNormal="90" workbookViewId="0">
      <pane xSplit="2" ySplit="2" topLeftCell="C40" activePane="bottomRight" state="frozen"/>
      <selection pane="topRight" activeCell="C1" sqref="C1"/>
      <selection pane="bottomLeft" activeCell="A3" sqref="A3"/>
      <selection pane="bottomRight" activeCell="J40" sqref="J40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17.68359375" style="11" customWidth="1"/>
    <col min="5" max="7" width="17.68359375" style="11" hidden="1" customWidth="1"/>
    <col min="8" max="8" width="17.68359375" style="11" customWidth="1"/>
    <col min="9" max="9" width="18.15625" style="10" bestFit="1" customWidth="1"/>
    <col min="10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bestFit="1" customWidth="1"/>
    <col min="28" max="28" width="17" style="10" customWidth="1"/>
    <col min="29" max="29" width="17.68359375" style="10" bestFit="1" customWidth="1"/>
    <col min="30" max="30" width="18" style="10" customWidth="1"/>
    <col min="31" max="31" width="12.41796875" style="10" hidden="1" customWidth="1"/>
    <col min="32" max="32" width="12.41796875" style="10"/>
    <col min="33" max="33" width="30.68359375" style="10" bestFit="1" customWidth="1"/>
    <col min="34" max="16384" width="12.41796875" style="10"/>
  </cols>
  <sheetData>
    <row r="1" spans="1:33" ht="46.5" x14ac:dyDescent="1.5">
      <c r="A1" s="56" t="s">
        <v>502</v>
      </c>
      <c r="B1" s="55"/>
      <c r="C1" s="55"/>
      <c r="D1" s="50"/>
      <c r="E1" s="50"/>
      <c r="F1" s="50"/>
      <c r="G1" s="50"/>
      <c r="H1" s="50"/>
      <c r="I1" s="55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</row>
    <row r="2" spans="1:33" ht="87" x14ac:dyDescent="0.55000000000000004">
      <c r="A2" s="48" t="s">
        <v>106</v>
      </c>
      <c r="B2" s="47" t="s">
        <v>105</v>
      </c>
      <c r="C2" s="47" t="s">
        <v>104</v>
      </c>
      <c r="D2" s="40" t="s">
        <v>470</v>
      </c>
      <c r="E2" s="287" t="s">
        <v>174</v>
      </c>
      <c r="F2" s="40" t="s">
        <v>173</v>
      </c>
      <c r="G2" s="40" t="s">
        <v>172</v>
      </c>
      <c r="H2" s="40" t="s">
        <v>171</v>
      </c>
      <c r="I2" s="41" t="s">
        <v>92</v>
      </c>
      <c r="J2" s="40" t="s">
        <v>170</v>
      </c>
      <c r="K2" s="40" t="s">
        <v>169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</row>
    <row r="3" spans="1:33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IF(C3=1,'Rate Application - REM Cycle I'!$X$65,IF(C3=3,'Rate Application - REM Cycle I'!$X$66,IF(C3=4,'Rate Application - REM Cycle I'!$X$67,IF(C3=5,'Rate Application - REM Cycle I'!$X$68,0))))</f>
        <v>14752.82215273459</v>
      </c>
      <c r="E3" s="87">
        <v>0</v>
      </c>
      <c r="F3" s="87">
        <v>0</v>
      </c>
      <c r="G3" s="87">
        <f t="shared" ref="G3:G34" si="0">IF(C3=1,$F$71,IF(C3=3,$F$66,IF(C3=4,$F$67,IF(C3=5,$F$74,0))))*0</f>
        <v>0</v>
      </c>
      <c r="H3" s="87">
        <f t="shared" ref="H3:H54" si="1">D3+G3</f>
        <v>14752.82215273459</v>
      </c>
      <c r="I3" s="65">
        <f>VLOOKUP(A3,'Rate Application - REM Cycle I'!$1:$65535,15,FALSE)</f>
        <v>29234.020255178955</v>
      </c>
      <c r="J3" s="19">
        <f>VLOOKUP(A3,'Rate Application - REM Cycle I'!$1:$65535,20,FALSE)</f>
        <v>81.226447456567413</v>
      </c>
      <c r="K3" s="11">
        <f t="shared" ref="K3:K54" si="2">+H3+J3</f>
        <v>14834.048600191158</v>
      </c>
      <c r="L3" s="11">
        <f t="shared" ref="L3:L54" si="3">K3*I3</f>
        <v>433658877.24429733</v>
      </c>
      <c r="M3" s="36">
        <f>VLOOKUP(A3,'Variable Input'!$1:$1048576,23,FALSE)</f>
        <v>0.99671861092415948</v>
      </c>
      <c r="N3" s="22">
        <f t="shared" ref="N3:N54" si="4">L3*M3</f>
        <v>432235873.74186665</v>
      </c>
      <c r="O3" s="19">
        <f t="shared" ref="O3:O54" si="5">IFERROR(N3/I3,0)</f>
        <v>14785.372315164004</v>
      </c>
      <c r="P3" s="18">
        <f>VLOOKUP(A3,'Rate Application - REM Cycle I'!$1:$65535,11,FALSE)</f>
        <v>6625379.0220225165</v>
      </c>
      <c r="Q3" s="18">
        <f t="shared" ref="Q3:Q54" si="6">N3+P3</f>
        <v>438861252.76388919</v>
      </c>
      <c r="R3" s="19">
        <f t="shared" ref="R3:R54" si="7">IFERROR(Q3/I3,0)</f>
        <v>15012.004812651201</v>
      </c>
      <c r="S3" s="81">
        <f>VLOOKUP(A3,'Rate Application - REM Cycle I'!$1:$65535,9,FALSE)</f>
        <v>1.1196537153887776</v>
      </c>
      <c r="T3" s="19">
        <f t="shared" ref="T3:T54" si="8">Q3*S3</f>
        <v>491372632.19726199</v>
      </c>
      <c r="U3" s="22">
        <f t="shared" ref="U3:U54" si="9">IFERROR(T3/I3,0)</f>
        <v>16808.246963919129</v>
      </c>
      <c r="V3" s="88">
        <f>IFERROR(VLOOKUP(A4,'PAU Volume'!AX:AZ,3,FALSE)-VLOOKUP(A4,'PAU Volume'!#REF!,4,FALSE)+VLOOKUP(A4,'PAU Volume'!#REF!,2,FALSE),0)*0</f>
        <v>0</v>
      </c>
      <c r="W3" s="79">
        <f t="shared" ref="W3:W54" si="10">I3+V3</f>
        <v>29234.020255178955</v>
      </c>
      <c r="X3" s="15">
        <f t="shared" ref="X3:X54" si="11">W3*U3</f>
        <v>491372632.19726199</v>
      </c>
      <c r="Y3" s="11">
        <f>VLOOKUP(A3,'Rate Application - REM Cycle I'!$1:$65535,7,FALSE)</f>
        <v>409229772.57070911</v>
      </c>
      <c r="Z3" s="78">
        <f t="shared" ref="Z3:Z54" si="12">IFERROR(X3/Y3-1," ")</f>
        <v>0.20072552177850089</v>
      </c>
      <c r="AA3" s="82">
        <f>IFERROR(VLOOKUP(A3,'GBR Revenue for ICC'!#REF!,17,FALSE),0)</f>
        <v>0</v>
      </c>
      <c r="AB3" s="82">
        <f t="shared" ref="AB3:AB54" si="13">IFERROR(AA3*(1+Z3),0)</f>
        <v>0</v>
      </c>
      <c r="AC3" s="11">
        <f t="shared" ref="AC3:AC54" si="14">Y3+AA3</f>
        <v>409229772.57070911</v>
      </c>
      <c r="AD3" s="11">
        <f t="shared" ref="AD3:AD54" si="15">X3+AB3</f>
        <v>491372632.19726199</v>
      </c>
      <c r="AE3" s="10">
        <v>1</v>
      </c>
      <c r="AG3" s="271"/>
    </row>
    <row r="4" spans="1:33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IF(C4=1,'Rate Application - REM Cycle I'!$X$65,IF(C4=3,'Rate Application - REM Cycle I'!$X$66,IF(C4=4,'Rate Application - REM Cycle I'!$X$67,IF(C4=5,'Rate Application - REM Cycle I'!$X$68,0))))</f>
        <v>16863.368236533166</v>
      </c>
      <c r="E4" s="87">
        <v>0</v>
      </c>
      <c r="F4" s="87">
        <v>0</v>
      </c>
      <c r="G4" s="87">
        <f t="shared" si="0"/>
        <v>0</v>
      </c>
      <c r="H4" s="87">
        <f t="shared" si="1"/>
        <v>16863.368236533166</v>
      </c>
      <c r="I4" s="65">
        <f>VLOOKUP(A4,'Rate Application - REM Cycle I'!$1:$65535,15,FALSE)</f>
        <v>53406.112545307114</v>
      </c>
      <c r="J4" s="19">
        <f>VLOOKUP(A4,'Rate Application - REM Cycle I'!$1:$65535,20,FALSE)</f>
        <v>2904.7925350190649</v>
      </c>
      <c r="K4" s="11">
        <f t="shared" si="2"/>
        <v>19768.16077155223</v>
      </c>
      <c r="L4" s="11">
        <f t="shared" si="3"/>
        <v>1055740618.9792435</v>
      </c>
      <c r="M4" s="36">
        <f>VLOOKUP(A4,'Variable Input'!$1:$1048576,23,FALSE)</f>
        <v>0.99671861092415948</v>
      </c>
      <c r="N4" s="22">
        <f t="shared" si="4"/>
        <v>1052276323.245204</v>
      </c>
      <c r="O4" s="19">
        <f t="shared" si="5"/>
        <v>19703.293744746999</v>
      </c>
      <c r="P4" s="18">
        <f>VLOOKUP(A4,'Rate Application - REM Cycle I'!$1:$65535,11,FALSE)</f>
        <v>59584704.514455065</v>
      </c>
      <c r="Q4" s="18">
        <f t="shared" si="6"/>
        <v>1111861027.7596591</v>
      </c>
      <c r="R4" s="19">
        <f t="shared" si="7"/>
        <v>20818.984471420026</v>
      </c>
      <c r="S4" s="81">
        <f>VLOOKUP(A4,'Rate Application - REM Cycle I'!$1:$65535,9,FALSE)</f>
        <v>1.1149630516096494</v>
      </c>
      <c r="T4" s="19">
        <f t="shared" si="8"/>
        <v>1239683964.4767506</v>
      </c>
      <c r="U4" s="22">
        <f t="shared" si="9"/>
        <v>23212.398457668376</v>
      </c>
      <c r="V4" s="88">
        <f>IFERROR(VLOOKUP(A5,'PAU Volume'!AX:AZ,3,FALSE)-VLOOKUP(A5,'PAU Volume'!#REF!,4,FALSE)+VLOOKUP(A5,'PAU Volume'!#REF!,2,FALSE),0)*0</f>
        <v>0</v>
      </c>
      <c r="W4" s="79">
        <f t="shared" si="10"/>
        <v>53406.112545307114</v>
      </c>
      <c r="X4" s="15">
        <f t="shared" si="11"/>
        <v>1239683964.4767506</v>
      </c>
      <c r="Y4" s="11">
        <f>VLOOKUP(A4,'Rate Application - REM Cycle I'!$1:$65535,7,FALSE)</f>
        <v>1331249266.2329757</v>
      </c>
      <c r="Z4" s="78">
        <f t="shared" si="12"/>
        <v>-6.8781485240045681E-2</v>
      </c>
      <c r="AA4" s="82">
        <f>IFERROR(VLOOKUP(A4,'GBR Revenue for ICC'!#REF!,17,FALSE),0)</f>
        <v>0</v>
      </c>
      <c r="AB4" s="82">
        <f t="shared" si="13"/>
        <v>0</v>
      </c>
      <c r="AC4" s="11">
        <f t="shared" si="14"/>
        <v>1331249266.2329757</v>
      </c>
      <c r="AD4" s="11">
        <f t="shared" si="15"/>
        <v>1239683964.4767506</v>
      </c>
      <c r="AE4" s="10">
        <v>1</v>
      </c>
      <c r="AG4" s="271"/>
    </row>
    <row r="5" spans="1:33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IF(C5=1,'Rate Application - REM Cycle I'!$X$65,IF(C5=3,'Rate Application - REM Cycle I'!$X$66,IF(C5=4,'Rate Application - REM Cycle I'!$X$67,IF(C5=5,'Rate Application - REM Cycle I'!$X$68,0))))</f>
        <v>14752.82215273459</v>
      </c>
      <c r="E5" s="87">
        <v>0</v>
      </c>
      <c r="F5" s="87">
        <v>0</v>
      </c>
      <c r="G5" s="87">
        <f t="shared" si="0"/>
        <v>0</v>
      </c>
      <c r="H5" s="87">
        <f t="shared" si="1"/>
        <v>14752.82215273459</v>
      </c>
      <c r="I5" s="65">
        <f>VLOOKUP(A5,'Rate Application - REM Cycle I'!$1:$65535,15,FALSE)</f>
        <v>16622.361523679996</v>
      </c>
      <c r="J5" s="19">
        <f>VLOOKUP(A5,'Rate Application - REM Cycle I'!$1:$65535,20,FALSE)</f>
        <v>380.94476637289404</v>
      </c>
      <c r="K5" s="11">
        <f t="shared" si="2"/>
        <v>15133.766919107484</v>
      </c>
      <c r="L5" s="11">
        <f t="shared" si="3"/>
        <v>251558944.94451338</v>
      </c>
      <c r="M5" s="36">
        <f>VLOOKUP(A5,'Variable Input'!$1:$1048576,23,FALSE)</f>
        <v>1.0181752931904677</v>
      </c>
      <c r="N5" s="22">
        <f t="shared" si="4"/>
        <v>256131102.52356464</v>
      </c>
      <c r="O5" s="19">
        <f t="shared" si="5"/>
        <v>15408.827569938463</v>
      </c>
      <c r="P5" s="18">
        <f>VLOOKUP(A5,'Rate Application - REM Cycle I'!$1:$65535,11,FALSE)</f>
        <v>10600897.780621644</v>
      </c>
      <c r="Q5" s="18">
        <f t="shared" si="6"/>
        <v>266732000.30418628</v>
      </c>
      <c r="R5" s="19">
        <f t="shared" si="7"/>
        <v>16046.576770948184</v>
      </c>
      <c r="S5" s="81">
        <f>VLOOKUP(A5,'Rate Application - REM Cycle I'!$1:$65535,9,FALSE)</f>
        <v>1.1150592197193865</v>
      </c>
      <c r="T5" s="19">
        <f t="shared" si="8"/>
        <v>297421976.13337713</v>
      </c>
      <c r="U5" s="22">
        <f t="shared" si="9"/>
        <v>17892.883373380715</v>
      </c>
      <c r="V5" s="88">
        <f>IFERROR(VLOOKUP(A6,'PAU Volume'!AX:AZ,3,FALSE)-VLOOKUP(A6,'PAU Volume'!#REF!,4,FALSE)+VLOOKUP(A6,'PAU Volume'!#REF!,2,FALSE),0)*0</f>
        <v>0</v>
      </c>
      <c r="W5" s="79">
        <f t="shared" si="10"/>
        <v>16622.361523679996</v>
      </c>
      <c r="X5" s="15">
        <f t="shared" si="11"/>
        <v>297421976.13337713</v>
      </c>
      <c r="Y5" s="11">
        <f>VLOOKUP(A5,'Rate Application - REM Cycle I'!$1:$65535,7,FALSE)</f>
        <v>379598110.09410959</v>
      </c>
      <c r="Z5" s="78">
        <f t="shared" si="12"/>
        <v>-0.21648193648898684</v>
      </c>
      <c r="AA5" s="82">
        <f>IFERROR(VLOOKUP(A5,'GBR Revenue for ICC'!#REF!,17,FALSE),0)</f>
        <v>0</v>
      </c>
      <c r="AB5" s="82">
        <f t="shared" si="13"/>
        <v>0</v>
      </c>
      <c r="AC5" s="11">
        <f t="shared" si="14"/>
        <v>379598110.09410959</v>
      </c>
      <c r="AD5" s="11">
        <f t="shared" si="15"/>
        <v>297421976.13337713</v>
      </c>
      <c r="AE5" s="10">
        <v>1</v>
      </c>
      <c r="AG5" s="271"/>
    </row>
    <row r="6" spans="1:33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87">
        <f>IF(C6=1,'Rate Application - REM Cycle I'!$X$65,IF(C6=3,'Rate Application - REM Cycle I'!$X$66,IF(C6=4,'Rate Application - REM Cycle I'!$X$67,IF(C6=5,'Rate Application - REM Cycle I'!$X$68,0))))</f>
        <v>14752.82215273459</v>
      </c>
      <c r="E6" s="87">
        <v>0</v>
      </c>
      <c r="F6" s="87">
        <v>0</v>
      </c>
      <c r="G6" s="87">
        <f t="shared" si="0"/>
        <v>0</v>
      </c>
      <c r="H6" s="87">
        <f t="shared" si="1"/>
        <v>14752.82215273459</v>
      </c>
      <c r="I6" s="65">
        <f>VLOOKUP(A6,'Rate Application - REM Cycle I'!$1:$65535,15,FALSE)</f>
        <v>35389.172988776867</v>
      </c>
      <c r="J6" s="19">
        <f>VLOOKUP(A6,'Rate Application - REM Cycle I'!$1:$65535,20,FALSE)</f>
        <v>70.826647410772608</v>
      </c>
      <c r="K6" s="11">
        <f t="shared" si="2"/>
        <v>14823.648800145364</v>
      </c>
      <c r="L6" s="11">
        <f t="shared" si="3"/>
        <v>524596671.71321893</v>
      </c>
      <c r="M6" s="36">
        <f>VLOOKUP(A6,'Variable Input'!$1:$1048576,23,FALSE)</f>
        <v>1.0181752931904677</v>
      </c>
      <c r="N6" s="22">
        <f t="shared" si="4"/>
        <v>534131370.02835023</v>
      </c>
      <c r="O6" s="19">
        <f t="shared" si="5"/>
        <v>15093.072963240531</v>
      </c>
      <c r="P6" s="18">
        <f>VLOOKUP(A6,'Rate Application - REM Cycle I'!$1:$65535,11,FALSE)</f>
        <v>1942313.1270902995</v>
      </c>
      <c r="Q6" s="18">
        <f t="shared" si="6"/>
        <v>536073683.15544051</v>
      </c>
      <c r="R6" s="19">
        <f t="shared" si="7"/>
        <v>15147.957351968866</v>
      </c>
      <c r="S6" s="81">
        <f>VLOOKUP(A6,'Rate Application - REM Cycle I'!$1:$65535,9,FALSE)</f>
        <v>1.1099846191041804</v>
      </c>
      <c r="T6" s="19">
        <f t="shared" si="8"/>
        <v>595033543.0090667</v>
      </c>
      <c r="U6" s="22">
        <f t="shared" si="9"/>
        <v>16813.999671531528</v>
      </c>
      <c r="V6" s="88">
        <f>IFERROR(VLOOKUP(A7,'PAU Volume'!AX:AZ,3,FALSE)-VLOOKUP(A7,'PAU Volume'!#REF!,4,FALSE)+VLOOKUP(A7,'PAU Volume'!#REF!,2,FALSE),0)*0</f>
        <v>0</v>
      </c>
      <c r="W6" s="79">
        <f t="shared" si="10"/>
        <v>35389.172988776867</v>
      </c>
      <c r="X6" s="15">
        <f t="shared" si="11"/>
        <v>595033543.0090667</v>
      </c>
      <c r="Y6" s="11">
        <f>VLOOKUP(A6,'Rate Application - REM Cycle I'!$1:$65535,7,FALSE)</f>
        <v>562162526.23688054</v>
      </c>
      <c r="Z6" s="78">
        <f t="shared" si="12"/>
        <v>5.8472443889536541E-2</v>
      </c>
      <c r="AA6" s="82">
        <f>IFERROR(VLOOKUP(A6,'GBR Revenue for ICC'!#REF!,17,FALSE),0)</f>
        <v>0</v>
      </c>
      <c r="AB6" s="82">
        <f t="shared" si="13"/>
        <v>0</v>
      </c>
      <c r="AC6" s="11">
        <f t="shared" si="14"/>
        <v>562162526.23688054</v>
      </c>
      <c r="AD6" s="11">
        <f t="shared" si="15"/>
        <v>595033543.0090667</v>
      </c>
      <c r="AG6" s="271"/>
    </row>
    <row r="7" spans="1:33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IF(C7=1,'Rate Application - REM Cycle I'!$X$65,IF(C7=3,'Rate Application - REM Cycle I'!$X$66,IF(C7=4,'Rate Application - REM Cycle I'!$X$67,IF(C7=5,'Rate Application - REM Cycle I'!$X$68,0))))</f>
        <v>14752.82215273459</v>
      </c>
      <c r="E7" s="87">
        <v>0</v>
      </c>
      <c r="F7" s="87">
        <v>0</v>
      </c>
      <c r="G7" s="87">
        <f t="shared" si="0"/>
        <v>0</v>
      </c>
      <c r="H7" s="87">
        <f t="shared" si="1"/>
        <v>14752.82215273459</v>
      </c>
      <c r="I7" s="65">
        <f>VLOOKUP(A7,'Rate Application - REM Cycle I'!$1:$65535,15,FALSE)</f>
        <v>24661.79924888902</v>
      </c>
      <c r="J7" s="19">
        <f>VLOOKUP(A7,'Rate Application - REM Cycle I'!$1:$65535,20,FALSE)</f>
        <v>0</v>
      </c>
      <c r="K7" s="11">
        <f t="shared" si="2"/>
        <v>14752.82215273459</v>
      </c>
      <c r="L7" s="11">
        <f t="shared" si="3"/>
        <v>363831138.28530324</v>
      </c>
      <c r="M7" s="36">
        <f>VLOOKUP(A7,'Variable Input'!$1:$1048576,23,FALSE)</f>
        <v>0.99671861092415948</v>
      </c>
      <c r="N7" s="22">
        <f t="shared" si="4"/>
        <v>362637266.76268321</v>
      </c>
      <c r="O7" s="19">
        <f t="shared" si="5"/>
        <v>14704.41240328479</v>
      </c>
      <c r="P7" s="18">
        <f>VLOOKUP(A7,'Rate Application - REM Cycle I'!$1:$65535,11,FALSE)</f>
        <v>424862.32800000021</v>
      </c>
      <c r="Q7" s="18">
        <f t="shared" si="6"/>
        <v>363062129.09068322</v>
      </c>
      <c r="R7" s="19">
        <f t="shared" si="7"/>
        <v>14721.639951190449</v>
      </c>
      <c r="S7" s="81">
        <f>VLOOKUP(A7,'Rate Application - REM Cycle I'!$1:$65535,9,FALSE)</f>
        <v>1.1133096880777904</v>
      </c>
      <c r="T7" s="19">
        <f t="shared" si="8"/>
        <v>404200585.69080698</v>
      </c>
      <c r="U7" s="22">
        <f t="shared" si="9"/>
        <v>16389.744382053377</v>
      </c>
      <c r="V7" s="88">
        <f>IFERROR(VLOOKUP(A8,'PAU Volume'!AX:AZ,3,FALSE)-VLOOKUP(A8,'PAU Volume'!#REF!,4,FALSE)+VLOOKUP(A8,'PAU Volume'!#REF!,2,FALSE),0)*0</f>
        <v>0</v>
      </c>
      <c r="W7" s="79">
        <f t="shared" si="10"/>
        <v>24661.79924888902</v>
      </c>
      <c r="X7" s="15">
        <f t="shared" si="11"/>
        <v>404200585.69080698</v>
      </c>
      <c r="Y7" s="11">
        <f>VLOOKUP(A7,'Rate Application - REM Cycle I'!$1:$65535,7,FALSE)</f>
        <v>403201661.03720772</v>
      </c>
      <c r="Z7" s="78">
        <f t="shared" si="12"/>
        <v>2.4774814940731194E-3</v>
      </c>
      <c r="AA7" s="82">
        <f>IFERROR(VLOOKUP(A7,'GBR Revenue for ICC'!#REF!,17,FALSE),0)</f>
        <v>0</v>
      </c>
      <c r="AB7" s="82">
        <f t="shared" si="13"/>
        <v>0</v>
      </c>
      <c r="AC7" s="11">
        <f t="shared" si="14"/>
        <v>403201661.03720772</v>
      </c>
      <c r="AD7" s="11">
        <f t="shared" si="15"/>
        <v>404200585.69080698</v>
      </c>
      <c r="AE7" s="10">
        <v>1</v>
      </c>
      <c r="AG7" s="271"/>
    </row>
    <row r="8" spans="1:33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IF(C8=1,'Rate Application - REM Cycle I'!$X$65,IF(C8=3,'Rate Application - REM Cycle I'!$X$66,IF(C8=4,'Rate Application - REM Cycle I'!$X$67,IF(C8=5,'Rate Application - REM Cycle I'!$X$68,0))))</f>
        <v>14752.82215273459</v>
      </c>
      <c r="E8" s="87">
        <v>0</v>
      </c>
      <c r="F8" s="87">
        <v>0</v>
      </c>
      <c r="G8" s="87">
        <f t="shared" si="0"/>
        <v>0</v>
      </c>
      <c r="H8" s="87">
        <f t="shared" si="1"/>
        <v>14752.82215273459</v>
      </c>
      <c r="I8" s="65">
        <f>VLOOKUP(A8,'Rate Application - REM Cycle I'!$1:$65535,15,FALSE)</f>
        <v>6404.5558703010038</v>
      </c>
      <c r="J8" s="19">
        <f>VLOOKUP(A8,'Rate Application - REM Cycle I'!$1:$65535,20,FALSE)</f>
        <v>0</v>
      </c>
      <c r="K8" s="11">
        <f t="shared" si="2"/>
        <v>14752.82215273459</v>
      </c>
      <c r="L8" s="11">
        <f t="shared" si="3"/>
        <v>94485273.72180301</v>
      </c>
      <c r="M8" s="36">
        <f>VLOOKUP(A8,'Variable Input'!$1:$1048576,23,FALSE)</f>
        <v>0.99671861092415948</v>
      </c>
      <c r="N8" s="22">
        <f t="shared" si="4"/>
        <v>94175230.77678448</v>
      </c>
      <c r="O8" s="19">
        <f t="shared" si="5"/>
        <v>14704.412403284789</v>
      </c>
      <c r="P8" s="18">
        <f>VLOOKUP(A8,'Rate Application - REM Cycle I'!$1:$65535,11,FALSE)</f>
        <v>0</v>
      </c>
      <c r="Q8" s="18">
        <f t="shared" si="6"/>
        <v>94175230.77678448</v>
      </c>
      <c r="R8" s="19">
        <f t="shared" si="7"/>
        <v>14704.412403284789</v>
      </c>
      <c r="S8" s="81">
        <f>VLOOKUP(A8,'Rate Application - REM Cycle I'!$1:$65535,9,FALSE)</f>
        <v>1.1180012832443968</v>
      </c>
      <c r="T8" s="19">
        <f t="shared" si="8"/>
        <v>105288028.85828227</v>
      </c>
      <c r="U8" s="22">
        <f t="shared" si="9"/>
        <v>16439.551936227221</v>
      </c>
      <c r="V8" s="88">
        <f>IFERROR(VLOOKUP(A9,'PAU Volume'!AX:AZ,3,FALSE)-VLOOKUP(A9,'PAU Volume'!#REF!,4,FALSE)+VLOOKUP(A9,'PAU Volume'!#REF!,2,FALSE),0)*0</f>
        <v>0</v>
      </c>
      <c r="W8" s="79">
        <f t="shared" si="10"/>
        <v>6404.5558703010038</v>
      </c>
      <c r="X8" s="15">
        <f t="shared" si="11"/>
        <v>105288028.85828228</v>
      </c>
      <c r="Y8" s="11">
        <f>VLOOKUP(A8,'Rate Application - REM Cycle I'!$1:$65535,7,FALSE)</f>
        <v>115237915.49091636</v>
      </c>
      <c r="Z8" s="78">
        <f t="shared" si="12"/>
        <v>-8.6342126115760753E-2</v>
      </c>
      <c r="AA8" s="82">
        <f>IFERROR(VLOOKUP(A8,'GBR Revenue for ICC'!#REF!,17,FALSE),0)</f>
        <v>0</v>
      </c>
      <c r="AB8" s="82">
        <f t="shared" si="13"/>
        <v>0</v>
      </c>
      <c r="AC8" s="11">
        <f t="shared" si="14"/>
        <v>115237915.49091636</v>
      </c>
      <c r="AD8" s="11">
        <f t="shared" si="15"/>
        <v>105288028.85828228</v>
      </c>
      <c r="AE8" s="10">
        <v>1</v>
      </c>
      <c r="AG8" s="271"/>
    </row>
    <row r="9" spans="1:33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IF(C9=1,'Rate Application - REM Cycle I'!$X$65,IF(C9=3,'Rate Application - REM Cycle I'!$X$66,IF(C9=4,'Rate Application - REM Cycle I'!$X$67,IF(C9=5,'Rate Application - REM Cycle I'!$X$68,0))))</f>
        <v>14752.82215273459</v>
      </c>
      <c r="E9" s="87">
        <v>0</v>
      </c>
      <c r="F9" s="87">
        <v>0</v>
      </c>
      <c r="G9" s="87">
        <f t="shared" si="0"/>
        <v>0</v>
      </c>
      <c r="H9" s="87">
        <f t="shared" si="1"/>
        <v>14752.82215273459</v>
      </c>
      <c r="I9" s="65">
        <f>VLOOKUP(A9,'Rate Application - REM Cycle I'!$1:$65535,15,FALSE)</f>
        <v>37187.68418079293</v>
      </c>
      <c r="J9" s="19">
        <f>VLOOKUP(A9,'Rate Application - REM Cycle I'!$1:$65535,20,FALSE)</f>
        <v>171.73315453928049</v>
      </c>
      <c r="K9" s="11">
        <f t="shared" si="2"/>
        <v>14924.555307273871</v>
      </c>
      <c r="L9" s="11">
        <f t="shared" si="3"/>
        <v>555009649.30567777</v>
      </c>
      <c r="M9" s="36">
        <f>VLOOKUP(A9,'Variable Input'!$1:$1048576,23,FALSE)</f>
        <v>0.99671861092415948</v>
      </c>
      <c r="N9" s="22">
        <f t="shared" si="4"/>
        <v>553188446.70546007</v>
      </c>
      <c r="O9" s="19">
        <f t="shared" si="5"/>
        <v>14875.582034526808</v>
      </c>
      <c r="P9" s="18">
        <f>VLOOKUP(A9,'Rate Application - REM Cycle I'!$1:$65535,11,FALSE)</f>
        <v>5003207.6874727393</v>
      </c>
      <c r="Q9" s="18">
        <f t="shared" si="6"/>
        <v>558191654.39293277</v>
      </c>
      <c r="R9" s="19">
        <f t="shared" si="7"/>
        <v>15010.121406840204</v>
      </c>
      <c r="S9" s="81">
        <f>VLOOKUP(A9,'Rate Application - REM Cycle I'!$1:$65535,9,FALSE)</f>
        <v>1.1102695565875482</v>
      </c>
      <c r="T9" s="19">
        <f t="shared" si="8"/>
        <v>619743200.61371148</v>
      </c>
      <c r="U9" s="22">
        <f t="shared" si="9"/>
        <v>16665.280838697741</v>
      </c>
      <c r="V9" s="88">
        <f>IFERROR(VLOOKUP(A10,'PAU Volume'!AX:AZ,3,FALSE)-VLOOKUP(A10,'PAU Volume'!#REF!,4,FALSE)+VLOOKUP(A10,'PAU Volume'!#REF!,2,FALSE),0)*0</f>
        <v>0</v>
      </c>
      <c r="W9" s="79">
        <f t="shared" si="10"/>
        <v>37187.68418079293</v>
      </c>
      <c r="X9" s="15">
        <f t="shared" si="11"/>
        <v>619743200.61371148</v>
      </c>
      <c r="Y9" s="11">
        <f>VLOOKUP(A9,'Rate Application - REM Cycle I'!$1:$65535,7,FALSE)</f>
        <v>630435213.30233288</v>
      </c>
      <c r="Z9" s="78">
        <f t="shared" si="12"/>
        <v>-1.6959732678342498E-2</v>
      </c>
      <c r="AA9" s="82">
        <f>IFERROR(VLOOKUP(A9,'GBR Revenue for ICC'!#REF!,17,FALSE),0)</f>
        <v>0</v>
      </c>
      <c r="AB9" s="82">
        <f t="shared" si="13"/>
        <v>0</v>
      </c>
      <c r="AC9" s="11">
        <f t="shared" si="14"/>
        <v>630435213.30233288</v>
      </c>
      <c r="AD9" s="11">
        <f t="shared" si="15"/>
        <v>619743200.61371148</v>
      </c>
      <c r="AE9" s="10">
        <v>1</v>
      </c>
      <c r="AG9" s="271"/>
    </row>
    <row r="10" spans="1:33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IF(C10=1,'Rate Application - REM Cycle I'!$X$65,IF(C10=3,'Rate Application - REM Cycle I'!$X$66,IF(C10=4,'Rate Application - REM Cycle I'!$X$67,IF(C10=5,'Rate Application - REM Cycle I'!$X$68,0))))</f>
        <v>16863.368236533166</v>
      </c>
      <c r="E10" s="87">
        <v>0</v>
      </c>
      <c r="F10" s="87">
        <v>0</v>
      </c>
      <c r="G10" s="87">
        <f t="shared" si="0"/>
        <v>0</v>
      </c>
      <c r="H10" s="87">
        <f t="shared" si="1"/>
        <v>16863.368236533166</v>
      </c>
      <c r="I10" s="65">
        <f>VLOOKUP(A10,'Rate Application - REM Cycle I'!$1:$65535,15,FALSE)</f>
        <v>104111.82276682714</v>
      </c>
      <c r="J10" s="19">
        <f>VLOOKUP(A10,'Rate Application - REM Cycle I'!$1:$65535,20,FALSE)</f>
        <v>2718.743197387912</v>
      </c>
      <c r="K10" s="11">
        <f t="shared" si="2"/>
        <v>19582.111433921076</v>
      </c>
      <c r="L10" s="11">
        <f t="shared" si="3"/>
        <v>2038729315.0086503</v>
      </c>
      <c r="M10" s="36">
        <f>VLOOKUP(A10,'Variable Input'!$1:$1048576,23,FALSE)</f>
        <v>0.99671861092415948</v>
      </c>
      <c r="N10" s="22">
        <f t="shared" si="4"/>
        <v>2032039450.9057851</v>
      </c>
      <c r="O10" s="19">
        <f t="shared" si="5"/>
        <v>19517.854907379915</v>
      </c>
      <c r="P10" s="18">
        <f>VLOOKUP(A10,'Rate Application - REM Cycle I'!$1:$65535,11,FALSE)</f>
        <v>121878078.47076836</v>
      </c>
      <c r="Q10" s="18">
        <f t="shared" si="6"/>
        <v>2153917529.3765535</v>
      </c>
      <c r="R10" s="19">
        <f t="shared" si="7"/>
        <v>20688.500807449604</v>
      </c>
      <c r="S10" s="81">
        <f>VLOOKUP(A10,'Rate Application - REM Cycle I'!$1:$65535,9,FALSE)</f>
        <v>1.106052155233989</v>
      </c>
      <c r="T10" s="19">
        <f t="shared" si="8"/>
        <v>2382345125.5632057</v>
      </c>
      <c r="U10" s="22">
        <f t="shared" si="9"/>
        <v>22882.560906639756</v>
      </c>
      <c r="V10" s="88">
        <f>IFERROR(VLOOKUP(A11,'PAU Volume'!AX:AZ,3,FALSE)-VLOOKUP(A11,'PAU Volume'!#REF!,4,FALSE)+VLOOKUP(A11,'PAU Volume'!#REF!,2,FALSE),0)*0</f>
        <v>0</v>
      </c>
      <c r="W10" s="79">
        <f t="shared" si="10"/>
        <v>104111.82276682714</v>
      </c>
      <c r="X10" s="15">
        <f t="shared" si="11"/>
        <v>2382345125.5632057</v>
      </c>
      <c r="Y10" s="11">
        <f>VLOOKUP(A10,'Rate Application - REM Cycle I'!$1:$65535,7,FALSE)</f>
        <v>2426767253.0622015</v>
      </c>
      <c r="Z10" s="78">
        <f t="shared" si="12"/>
        <v>-1.8305063018689616E-2</v>
      </c>
      <c r="AA10" s="82">
        <f>IFERROR(VLOOKUP(A10,'GBR Revenue for ICC'!#REF!,17,FALSE),0)</f>
        <v>0</v>
      </c>
      <c r="AB10" s="82">
        <f t="shared" si="13"/>
        <v>0</v>
      </c>
      <c r="AC10" s="11">
        <f t="shared" si="14"/>
        <v>2426767253.0622015</v>
      </c>
      <c r="AD10" s="11">
        <f t="shared" si="15"/>
        <v>2382345125.5632057</v>
      </c>
      <c r="AE10" s="10">
        <v>1</v>
      </c>
      <c r="AG10" s="271"/>
    </row>
    <row r="11" spans="1:33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IF(C11=1,'Rate Application - REM Cycle I'!$X$65,IF(C11=3,'Rate Application - REM Cycle I'!$X$66,IF(C11=4,'Rate Application - REM Cycle I'!$X$67,IF(C11=5,'Rate Application - REM Cycle I'!$X$68,0))))</f>
        <v>0</v>
      </c>
      <c r="E11" s="87">
        <v>0</v>
      </c>
      <c r="F11" s="87">
        <v>0</v>
      </c>
      <c r="G11" s="87">
        <f t="shared" si="0"/>
        <v>0</v>
      </c>
      <c r="H11" s="87">
        <f t="shared" si="1"/>
        <v>0</v>
      </c>
      <c r="I11" s="65">
        <f>VLOOKUP(A11,'Rate Application - REM Cycle I'!$1:$65535,15,FALSE)</f>
        <v>1185.4899110060007</v>
      </c>
      <c r="J11" s="19">
        <f>VLOOKUP(A11,'Rate Application - REM Cycle I'!$1:$65535,20,FALSE)</f>
        <v>0</v>
      </c>
      <c r="K11" s="11">
        <f t="shared" si="2"/>
        <v>0</v>
      </c>
      <c r="L11" s="11">
        <f t="shared" si="3"/>
        <v>0</v>
      </c>
      <c r="M11" s="36">
        <f>VLOOKUP(A11,'Variable Input'!$1:$1048576,23,FALSE)</f>
        <v>0.99671861092415948</v>
      </c>
      <c r="N11" s="22">
        <f t="shared" si="4"/>
        <v>0</v>
      </c>
      <c r="O11" s="19">
        <f t="shared" si="5"/>
        <v>0</v>
      </c>
      <c r="P11" s="18">
        <f>VLOOKUP(A11,'Rate Application - REM Cycle I'!$1:$65535,11,FALSE)</f>
        <v>62612.30027663122</v>
      </c>
      <c r="Q11" s="18">
        <f t="shared" si="6"/>
        <v>62612.30027663122</v>
      </c>
      <c r="R11" s="19">
        <f t="shared" si="7"/>
        <v>52.815548825294293</v>
      </c>
      <c r="S11" s="81">
        <f>VLOOKUP(A11,'Rate Application - REM Cycle I'!$1:$65535,9,FALSE)</f>
        <v>1.1237799950517624</v>
      </c>
      <c r="T11" s="19">
        <f t="shared" si="8"/>
        <v>70362.450495052093</v>
      </c>
      <c r="U11" s="22">
        <f t="shared" si="9"/>
        <v>59.35305719754534</v>
      </c>
      <c r="V11" s="88">
        <f>IFERROR(VLOOKUP(A12,'PAU Volume'!AX:AZ,3,FALSE)-VLOOKUP(A12,'PAU Volume'!#REF!,4,FALSE)+VLOOKUP(A12,'PAU Volume'!#REF!,2,FALSE),0)*0</f>
        <v>0</v>
      </c>
      <c r="W11" s="79">
        <f t="shared" si="10"/>
        <v>1185.4899110060007</v>
      </c>
      <c r="X11" s="15">
        <f t="shared" si="11"/>
        <v>70362.450495052093</v>
      </c>
      <c r="Y11" s="11">
        <f>VLOOKUP(A11,'Rate Application - REM Cycle I'!$1:$65535,7,FALSE)</f>
        <v>13980115.965862775</v>
      </c>
      <c r="Z11" s="78">
        <f t="shared" si="12"/>
        <v>-0.99496696231512916</v>
      </c>
      <c r="AA11" s="82">
        <f>IFERROR(VLOOKUP(A11,'GBR Revenue for ICC'!#REF!,17,FALSE),0)</f>
        <v>0</v>
      </c>
      <c r="AB11" s="82">
        <f t="shared" si="13"/>
        <v>0</v>
      </c>
      <c r="AC11" s="11">
        <f t="shared" si="14"/>
        <v>13980115.965862775</v>
      </c>
      <c r="AD11" s="11">
        <f t="shared" si="15"/>
        <v>70362.450495052093</v>
      </c>
      <c r="AE11" s="10">
        <v>1</v>
      </c>
      <c r="AG11" s="271"/>
    </row>
    <row r="12" spans="1:33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IF(C12=1,'Rate Application - REM Cycle I'!$X$65,IF(C12=3,'Rate Application - REM Cycle I'!$X$66,IF(C12=4,'Rate Application - REM Cycle I'!$X$67,IF(C12=5,'Rate Application - REM Cycle I'!$X$68,0))))</f>
        <v>14752.82215273459</v>
      </c>
      <c r="E12" s="87">
        <v>0</v>
      </c>
      <c r="F12" s="87">
        <v>0</v>
      </c>
      <c r="G12" s="87">
        <f t="shared" si="0"/>
        <v>0</v>
      </c>
      <c r="H12" s="87">
        <f t="shared" si="1"/>
        <v>14752.82215273459</v>
      </c>
      <c r="I12" s="65">
        <f>VLOOKUP(A12,'Rate Application - REM Cycle I'!$1:$65535,15,FALSE)</f>
        <v>24239.679898120015</v>
      </c>
      <c r="J12" s="19">
        <f>VLOOKUP(A12,'Rate Application - REM Cycle I'!$1:$65535,20,FALSE)</f>
        <v>352.12016602018389</v>
      </c>
      <c r="K12" s="11">
        <f t="shared" si="2"/>
        <v>15104.942318754775</v>
      </c>
      <c r="L12" s="11">
        <f t="shared" si="3"/>
        <v>366138966.68618244</v>
      </c>
      <c r="M12" s="36">
        <f>VLOOKUP(A12,'Variable Input'!$1:$1048576,23,FALSE)</f>
        <v>0.99671861092415948</v>
      </c>
      <c r="N12" s="22">
        <f t="shared" si="4"/>
        <v>364937522.28065884</v>
      </c>
      <c r="O12" s="19">
        <f t="shared" si="5"/>
        <v>15055.377126038811</v>
      </c>
      <c r="P12" s="18">
        <f>VLOOKUP(A12,'Rate Application - REM Cycle I'!$1:$65535,11,FALSE)</f>
        <v>5944161.5154257026</v>
      </c>
      <c r="Q12" s="18">
        <f t="shared" si="6"/>
        <v>370881683.79608452</v>
      </c>
      <c r="R12" s="19">
        <f t="shared" si="7"/>
        <v>15300.601548985365</v>
      </c>
      <c r="S12" s="81">
        <f>VLOOKUP(A12,'Rate Application - REM Cycle I'!$1:$65535,9,FALSE)</f>
        <v>1.1208321340194023</v>
      </c>
      <c r="T12" s="19">
        <f t="shared" si="8"/>
        <v>415696109.11787456</v>
      </c>
      <c r="U12" s="22">
        <f t="shared" si="9"/>
        <v>17149.405885929838</v>
      </c>
      <c r="V12" s="88">
        <f>IFERROR(VLOOKUP(A13,'PAU Volume'!AX:AZ,3,FALSE)-VLOOKUP(A13,'PAU Volume'!#REF!,4,FALSE)+VLOOKUP(A13,'PAU Volume'!#REF!,2,FALSE),0)*0</f>
        <v>0</v>
      </c>
      <c r="W12" s="79">
        <f t="shared" si="10"/>
        <v>24239.679898120015</v>
      </c>
      <c r="X12" s="15">
        <f t="shared" si="11"/>
        <v>415696109.11787456</v>
      </c>
      <c r="Y12" s="11">
        <f>VLOOKUP(A12,'Rate Application - REM Cycle I'!$1:$65535,7,FALSE)</f>
        <v>463292938.08589423</v>
      </c>
      <c r="Z12" s="78">
        <f t="shared" si="12"/>
        <v>-0.10273592592338465</v>
      </c>
      <c r="AA12" s="82">
        <f>IFERROR(VLOOKUP(A12,'GBR Revenue for ICC'!#REF!,17,FALSE),0)</f>
        <v>0</v>
      </c>
      <c r="AB12" s="82">
        <f t="shared" si="13"/>
        <v>0</v>
      </c>
      <c r="AC12" s="11">
        <f t="shared" si="14"/>
        <v>463292938.08589423</v>
      </c>
      <c r="AD12" s="11">
        <f t="shared" si="15"/>
        <v>415696109.11787456</v>
      </c>
      <c r="AE12" s="10">
        <v>1</v>
      </c>
      <c r="AG12" s="271"/>
    </row>
    <row r="13" spans="1:33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IF(C13=1,'Rate Application - REM Cycle I'!$X$65,IF(C13=3,'Rate Application - REM Cycle I'!$X$66,IF(C13=4,'Rate Application - REM Cycle I'!$X$67,IF(C13=5,'Rate Application - REM Cycle I'!$X$68,0))))</f>
        <v>14752.82215273459</v>
      </c>
      <c r="E13" s="87">
        <v>0</v>
      </c>
      <c r="F13" s="87">
        <v>0</v>
      </c>
      <c r="G13" s="87">
        <f t="shared" si="0"/>
        <v>0</v>
      </c>
      <c r="H13" s="87">
        <f t="shared" si="1"/>
        <v>14752.82215273459</v>
      </c>
      <c r="I13" s="65">
        <f>VLOOKUP(A13,'Rate Application - REM Cycle I'!$1:$65535,15,FALSE)</f>
        <v>39233.431532673072</v>
      </c>
      <c r="J13" s="19">
        <f>VLOOKUP(A13,'Rate Application - REM Cycle I'!$1:$65535,20,FALSE)</f>
        <v>423.6700340006721</v>
      </c>
      <c r="K13" s="11">
        <f t="shared" si="2"/>
        <v>15176.492186735262</v>
      </c>
      <c r="L13" s="11">
        <f t="shared" si="3"/>
        <v>595425867.11442578</v>
      </c>
      <c r="M13" s="36">
        <f>VLOOKUP(A13,'Variable Input'!$1:$1048576,23,FALSE)</f>
        <v>0.99671861092415948</v>
      </c>
      <c r="N13" s="22">
        <f t="shared" si="4"/>
        <v>593472043.17860365</v>
      </c>
      <c r="O13" s="19">
        <f t="shared" si="5"/>
        <v>15126.692211064132</v>
      </c>
      <c r="P13" s="18">
        <f>VLOOKUP(A13,'Rate Application - REM Cycle I'!$1:$65535,11,FALSE)</f>
        <v>20760568.355981968</v>
      </c>
      <c r="Q13" s="18">
        <f t="shared" si="6"/>
        <v>614232611.5345856</v>
      </c>
      <c r="R13" s="19">
        <f t="shared" si="7"/>
        <v>15655.847259321708</v>
      </c>
      <c r="S13" s="81">
        <f>VLOOKUP(A13,'Rate Application - REM Cycle I'!$1:$65535,9,FALSE)</f>
        <v>1.1214469245143464</v>
      </c>
      <c r="T13" s="19">
        <f t="shared" si="8"/>
        <v>688829273.14187622</v>
      </c>
      <c r="U13" s="22">
        <f t="shared" si="9"/>
        <v>17557.201759632688</v>
      </c>
      <c r="V13" s="88">
        <f>IFERROR(VLOOKUP(A14,'PAU Volume'!AX:AZ,3,FALSE)-VLOOKUP(A14,'PAU Volume'!#REF!,4,FALSE)+VLOOKUP(A14,'PAU Volume'!#REF!,2,FALSE),0)*0</f>
        <v>0</v>
      </c>
      <c r="W13" s="79">
        <f t="shared" si="10"/>
        <v>39233.431532673072</v>
      </c>
      <c r="X13" s="15">
        <f t="shared" si="11"/>
        <v>688829273.14187622</v>
      </c>
      <c r="Y13" s="11">
        <f>VLOOKUP(A13,'Rate Application - REM Cycle I'!$1:$65535,7,FALSE)</f>
        <v>853868775.33511937</v>
      </c>
      <c r="Z13" s="78">
        <f t="shared" si="12"/>
        <v>-0.19328438626704647</v>
      </c>
      <c r="AA13" s="82">
        <f>IFERROR(VLOOKUP(A13,'GBR Revenue for ICC'!#REF!,17,FALSE),0)</f>
        <v>0</v>
      </c>
      <c r="AB13" s="82">
        <f t="shared" si="13"/>
        <v>0</v>
      </c>
      <c r="AC13" s="11">
        <f t="shared" si="14"/>
        <v>853868775.33511937</v>
      </c>
      <c r="AD13" s="11">
        <f t="shared" si="15"/>
        <v>688829273.14187622</v>
      </c>
      <c r="AE13" s="10">
        <v>1</v>
      </c>
      <c r="AG13" s="271"/>
    </row>
    <row r="14" spans="1:33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IF(C14=1,'Rate Application - REM Cycle I'!$X$65,IF(C14=3,'Rate Application - REM Cycle I'!$X$66,IF(C14=4,'Rate Application - REM Cycle I'!$X$67,IF(C14=5,'Rate Application - REM Cycle I'!$X$68,0))))</f>
        <v>0</v>
      </c>
      <c r="E14" s="87">
        <v>0</v>
      </c>
      <c r="F14" s="87">
        <v>0</v>
      </c>
      <c r="G14" s="87">
        <f t="shared" si="0"/>
        <v>0</v>
      </c>
      <c r="H14" s="87">
        <f t="shared" si="1"/>
        <v>0</v>
      </c>
      <c r="I14" s="65">
        <f>VLOOKUP(A14,'Rate Application - REM Cycle I'!$1:$65535,15,FALSE)</f>
        <v>1608.5265612699982</v>
      </c>
      <c r="J14" s="19">
        <f>VLOOKUP(A14,'Rate Application - REM Cycle I'!$1:$65535,20,FALSE)</f>
        <v>0</v>
      </c>
      <c r="K14" s="11">
        <f t="shared" si="2"/>
        <v>0</v>
      </c>
      <c r="L14" s="11">
        <f t="shared" si="3"/>
        <v>0</v>
      </c>
      <c r="M14" s="36">
        <f>VLOOKUP(A14,'Variable Input'!$1:$1048576,23,FALSE)</f>
        <v>0.99671861092415948</v>
      </c>
      <c r="N14" s="22">
        <f t="shared" si="4"/>
        <v>0</v>
      </c>
      <c r="O14" s="19">
        <f t="shared" si="5"/>
        <v>0</v>
      </c>
      <c r="P14" s="18">
        <f>VLOOKUP(A14,'Rate Application - REM Cycle I'!$1:$65535,11,FALSE)</f>
        <v>0</v>
      </c>
      <c r="Q14" s="18">
        <f t="shared" si="6"/>
        <v>0</v>
      </c>
      <c r="R14" s="19">
        <f t="shared" si="7"/>
        <v>0</v>
      </c>
      <c r="S14" s="81">
        <f>VLOOKUP(A14,'Rate Application - REM Cycle I'!$1:$65535,9,FALSE)</f>
        <v>1.1357641348932981</v>
      </c>
      <c r="T14" s="19">
        <f t="shared" si="8"/>
        <v>0</v>
      </c>
      <c r="U14" s="22">
        <f t="shared" si="9"/>
        <v>0</v>
      </c>
      <c r="V14" s="88">
        <f>IFERROR(VLOOKUP(A15,'PAU Volume'!AX:AZ,3,FALSE)-VLOOKUP(A15,'PAU Volume'!#REF!,4,FALSE)+VLOOKUP(A15,'PAU Volume'!#REF!,2,FALSE),0)*0</f>
        <v>0</v>
      </c>
      <c r="W14" s="79">
        <f t="shared" si="10"/>
        <v>1608.5265612699982</v>
      </c>
      <c r="X14" s="15">
        <f t="shared" si="11"/>
        <v>0</v>
      </c>
      <c r="Y14" s="11">
        <f>VLOOKUP(A14,'Rate Application - REM Cycle I'!$1:$65535,7,FALSE)</f>
        <v>24727459.158067033</v>
      </c>
      <c r="Z14" s="78">
        <f t="shared" si="12"/>
        <v>-1</v>
      </c>
      <c r="AA14" s="82">
        <f>IFERROR(VLOOKUP(A14,'GBR Revenue for ICC'!#REF!,17,FALSE),0)</f>
        <v>0</v>
      </c>
      <c r="AB14" s="82">
        <f t="shared" si="13"/>
        <v>0</v>
      </c>
      <c r="AC14" s="11">
        <f t="shared" si="14"/>
        <v>24727459.158067033</v>
      </c>
      <c r="AD14" s="11">
        <f t="shared" si="15"/>
        <v>0</v>
      </c>
      <c r="AE14" s="10">
        <v>1</v>
      </c>
      <c r="AG14" s="271"/>
    </row>
    <row r="15" spans="1:33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IF(C15=1,'Rate Application - REM Cycle I'!$X$65,IF(C15=3,'Rate Application - REM Cycle I'!$X$66,IF(C15=4,'Rate Application - REM Cycle I'!$X$67,IF(C15=5,'Rate Application - REM Cycle I'!$X$68,0))))</f>
        <v>14752.82215273459</v>
      </c>
      <c r="E15" s="87">
        <v>0</v>
      </c>
      <c r="F15" s="87">
        <v>0</v>
      </c>
      <c r="G15" s="87">
        <f t="shared" si="0"/>
        <v>0</v>
      </c>
      <c r="H15" s="87">
        <f t="shared" si="1"/>
        <v>14752.82215273459</v>
      </c>
      <c r="I15" s="65">
        <f>VLOOKUP(A15,'Rate Application - REM Cycle I'!$1:$65535,15,FALSE)</f>
        <v>36896.780287905021</v>
      </c>
      <c r="J15" s="19">
        <f>VLOOKUP(A15,'Rate Application - REM Cycle I'!$1:$65535,20,FALSE)</f>
        <v>278.88145154984312</v>
      </c>
      <c r="K15" s="11">
        <f t="shared" si="2"/>
        <v>15031.703604284434</v>
      </c>
      <c r="L15" s="11">
        <f t="shared" si="3"/>
        <v>554621465.24019277</v>
      </c>
      <c r="M15" s="36">
        <f>VLOOKUP(A15,'Variable Input'!$1:$1048576,23,FALSE)</f>
        <v>0.99671861092415948</v>
      </c>
      <c r="N15" s="22">
        <f t="shared" si="4"/>
        <v>552801536.4229269</v>
      </c>
      <c r="O15" s="19">
        <f t="shared" si="5"/>
        <v>14982.378736286062</v>
      </c>
      <c r="P15" s="18">
        <f>VLOOKUP(A15,'Rate Application - REM Cycle I'!$1:$65535,11,FALSE)</f>
        <v>10719878.177063769</v>
      </c>
      <c r="Q15" s="18">
        <f t="shared" si="6"/>
        <v>563521414.59999073</v>
      </c>
      <c r="R15" s="19">
        <f t="shared" si="7"/>
        <v>15272.915690822929</v>
      </c>
      <c r="S15" s="81">
        <f>VLOOKUP(A15,'Rate Application - REM Cycle I'!$1:$65535,9,FALSE)</f>
        <v>1.1215228084765592</v>
      </c>
      <c r="T15" s="19">
        <f t="shared" si="8"/>
        <v>632002119.53886509</v>
      </c>
      <c r="U15" s="22">
        <f t="shared" si="9"/>
        <v>17128.923299197439</v>
      </c>
      <c r="V15" s="88">
        <f>IFERROR(VLOOKUP(A16,'PAU Volume'!AX:AZ,3,FALSE)-VLOOKUP(A16,'PAU Volume'!#REF!,4,FALSE)+VLOOKUP(A16,'PAU Volume'!#REF!,2,FALSE),0)*0</f>
        <v>0</v>
      </c>
      <c r="W15" s="79">
        <f t="shared" si="10"/>
        <v>36896.780287905021</v>
      </c>
      <c r="X15" s="15">
        <f t="shared" si="11"/>
        <v>632002119.53886509</v>
      </c>
      <c r="Y15" s="11">
        <f>VLOOKUP(A15,'Rate Application - REM Cycle I'!$1:$65535,7,FALSE)</f>
        <v>604791227.6741339</v>
      </c>
      <c r="Z15" s="78">
        <f t="shared" si="12"/>
        <v>4.4992206598923445E-2</v>
      </c>
      <c r="AA15" s="82">
        <f>IFERROR(VLOOKUP(A15,'GBR Revenue for ICC'!#REF!,17,FALSE),0)</f>
        <v>0</v>
      </c>
      <c r="AB15" s="82">
        <f t="shared" si="13"/>
        <v>0</v>
      </c>
      <c r="AC15" s="11">
        <f t="shared" si="14"/>
        <v>604791227.6741339</v>
      </c>
      <c r="AD15" s="11">
        <f t="shared" si="15"/>
        <v>632002119.53886509</v>
      </c>
      <c r="AE15" s="10">
        <v>1</v>
      </c>
      <c r="AG15" s="271"/>
    </row>
    <row r="16" spans="1:33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IF(C16=1,'Rate Application - REM Cycle I'!$X$65,IF(C16=3,'Rate Application - REM Cycle I'!$X$66,IF(C16=4,'Rate Application - REM Cycle I'!$X$67,IF(C16=5,'Rate Application - REM Cycle I'!$X$68,0))))</f>
        <v>14752.82215273459</v>
      </c>
      <c r="E16" s="87">
        <v>0</v>
      </c>
      <c r="F16" s="87">
        <v>0</v>
      </c>
      <c r="G16" s="87">
        <f t="shared" si="0"/>
        <v>0</v>
      </c>
      <c r="H16" s="87">
        <f t="shared" si="1"/>
        <v>14752.82215273459</v>
      </c>
      <c r="I16" s="65">
        <f>VLOOKUP(A16,'Rate Application - REM Cycle I'!$1:$65535,15,FALSE)</f>
        <v>19503.503490301038</v>
      </c>
      <c r="J16" s="19">
        <f>VLOOKUP(A16,'Rate Application - REM Cycle I'!$1:$65535,20,FALSE)</f>
        <v>0</v>
      </c>
      <c r="K16" s="11">
        <f t="shared" si="2"/>
        <v>14752.82215273459</v>
      </c>
      <c r="L16" s="11">
        <f t="shared" si="3"/>
        <v>287731718.34764957</v>
      </c>
      <c r="M16" s="36">
        <f>VLOOKUP(A16,'Variable Input'!$1:$1048576,23,FALSE)</f>
        <v>1.0181752931904677</v>
      </c>
      <c r="N16" s="22">
        <f t="shared" si="4"/>
        <v>292961326.68881518</v>
      </c>
      <c r="O16" s="19">
        <f t="shared" si="5"/>
        <v>15020.959020747368</v>
      </c>
      <c r="P16" s="18">
        <f>VLOOKUP(A16,'Rate Application - REM Cycle I'!$1:$65535,11,FALSE)</f>
        <v>0</v>
      </c>
      <c r="Q16" s="18">
        <f t="shared" si="6"/>
        <v>292961326.68881518</v>
      </c>
      <c r="R16" s="19">
        <f t="shared" si="7"/>
        <v>15020.959020747368</v>
      </c>
      <c r="S16" s="81">
        <f>VLOOKUP(A16,'Rate Application - REM Cycle I'!$1:$65535,9,FALSE)</f>
        <v>1.1206186736274211</v>
      </c>
      <c r="T16" s="19">
        <f t="shared" si="8"/>
        <v>328297933.33814967</v>
      </c>
      <c r="U16" s="22">
        <f t="shared" si="9"/>
        <v>16832.767174441764</v>
      </c>
      <c r="V16" s="88">
        <f>IFERROR(VLOOKUP(A17,'PAU Volume'!AX:AZ,3,FALSE)-VLOOKUP(A17,'PAU Volume'!#REF!,4,FALSE)+VLOOKUP(A17,'PAU Volume'!#REF!,2,FALSE),0)*0</f>
        <v>0</v>
      </c>
      <c r="W16" s="79">
        <f t="shared" si="10"/>
        <v>19503.503490301038</v>
      </c>
      <c r="X16" s="15">
        <f t="shared" si="11"/>
        <v>328297933.33814967</v>
      </c>
      <c r="Y16" s="11">
        <f>VLOOKUP(A16,'Rate Application - REM Cycle I'!$1:$65535,7,FALSE)</f>
        <v>348939116.84586889</v>
      </c>
      <c r="Z16" s="78">
        <f t="shared" si="12"/>
        <v>-5.9154111738170978E-2</v>
      </c>
      <c r="AA16" s="82">
        <f>IFERROR(VLOOKUP(A16,'GBR Revenue for ICC'!#REF!,17,FALSE),0)</f>
        <v>0</v>
      </c>
      <c r="AB16" s="82">
        <f t="shared" si="13"/>
        <v>0</v>
      </c>
      <c r="AC16" s="11">
        <f t="shared" si="14"/>
        <v>348939116.84586889</v>
      </c>
      <c r="AD16" s="11">
        <f t="shared" si="15"/>
        <v>328297933.33814967</v>
      </c>
      <c r="AE16" s="10">
        <v>1</v>
      </c>
      <c r="AG16" s="271"/>
    </row>
    <row r="17" spans="1:33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IF(C17=1,'Rate Application - REM Cycle I'!$X$65,IF(C17=3,'Rate Application - REM Cycle I'!$X$66,IF(C17=4,'Rate Application - REM Cycle I'!$X$67,IF(C17=5,'Rate Application - REM Cycle I'!$X$68,0))))</f>
        <v>14752.82215273459</v>
      </c>
      <c r="E17" s="87">
        <v>0</v>
      </c>
      <c r="F17" s="87">
        <v>0</v>
      </c>
      <c r="G17" s="87">
        <f t="shared" si="0"/>
        <v>0</v>
      </c>
      <c r="H17" s="87">
        <f t="shared" si="1"/>
        <v>14752.82215273459</v>
      </c>
      <c r="I17" s="65">
        <f>VLOOKUP(A17,'Rate Application - REM Cycle I'!$1:$65535,15,FALSE)</f>
        <v>5661.7590092090077</v>
      </c>
      <c r="J17" s="19">
        <f>VLOOKUP(A17,'Rate Application - REM Cycle I'!$1:$65535,20,FALSE)</f>
        <v>0</v>
      </c>
      <c r="K17" s="11">
        <f t="shared" si="2"/>
        <v>14752.82215273459</v>
      </c>
      <c r="L17" s="11">
        <f t="shared" si="3"/>
        <v>83526923.734503299</v>
      </c>
      <c r="M17" s="36">
        <f>VLOOKUP(A17,'Variable Input'!$1:$1048576,23,FALSE)</f>
        <v>0.99671861092415948</v>
      </c>
      <c r="N17" s="22">
        <f t="shared" si="4"/>
        <v>83252839.399422333</v>
      </c>
      <c r="O17" s="19">
        <f t="shared" si="5"/>
        <v>14704.412403284789</v>
      </c>
      <c r="P17" s="18">
        <f>VLOOKUP(A17,'Rate Application - REM Cycle I'!$1:$65535,11,FALSE)</f>
        <v>0</v>
      </c>
      <c r="Q17" s="18">
        <f t="shared" si="6"/>
        <v>83252839.399422333</v>
      </c>
      <c r="R17" s="19">
        <f t="shared" si="7"/>
        <v>14704.412403284789</v>
      </c>
      <c r="S17" s="81">
        <f>VLOOKUP(A17,'Rate Application - REM Cycle I'!$1:$65535,9,FALSE)</f>
        <v>1.1207568789217148</v>
      </c>
      <c r="T17" s="19">
        <f t="shared" si="8"/>
        <v>93306192.446667343</v>
      </c>
      <c r="U17" s="22">
        <f t="shared" si="9"/>
        <v>16480.071351483213</v>
      </c>
      <c r="V17" s="88">
        <f>IFERROR(VLOOKUP(A18,'PAU Volume'!AX:AZ,3,FALSE)-VLOOKUP(A18,'PAU Volume'!#REF!,4,FALSE)+VLOOKUP(A18,'PAU Volume'!#REF!,2,FALSE),0)*0</f>
        <v>0</v>
      </c>
      <c r="W17" s="79">
        <f t="shared" si="10"/>
        <v>5661.7590092090077</v>
      </c>
      <c r="X17" s="15">
        <f t="shared" si="11"/>
        <v>93306192.446667343</v>
      </c>
      <c r="Y17" s="11">
        <f>VLOOKUP(A17,'Rate Application - REM Cycle I'!$1:$65535,7,FALSE)</f>
        <v>73641018.606041223</v>
      </c>
      <c r="Z17" s="78">
        <f t="shared" si="12"/>
        <v>0.26704103518487821</v>
      </c>
      <c r="AA17" s="82">
        <f>IFERROR(VLOOKUP(A17,'GBR Revenue for ICC'!#REF!,17,FALSE),0)</f>
        <v>0</v>
      </c>
      <c r="AB17" s="82">
        <f t="shared" si="13"/>
        <v>0</v>
      </c>
      <c r="AC17" s="11">
        <f t="shared" si="14"/>
        <v>73641018.606041223</v>
      </c>
      <c r="AD17" s="11">
        <f t="shared" si="15"/>
        <v>93306192.446667343</v>
      </c>
      <c r="AE17" s="10">
        <v>1</v>
      </c>
      <c r="AG17" s="271"/>
    </row>
    <row r="18" spans="1:33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IF(C18=1,'Rate Application - REM Cycle I'!$X$65,IF(C18=3,'Rate Application - REM Cycle I'!$X$66,IF(C18=4,'Rate Application - REM Cycle I'!$X$67,IF(C18=5,'Rate Application - REM Cycle I'!$X$68,0))))</f>
        <v>14752.82215273459</v>
      </c>
      <c r="E18" s="87">
        <v>0</v>
      </c>
      <c r="F18" s="87">
        <v>0</v>
      </c>
      <c r="G18" s="87">
        <f t="shared" si="0"/>
        <v>0</v>
      </c>
      <c r="H18" s="87">
        <f t="shared" si="1"/>
        <v>14752.82215273459</v>
      </c>
      <c r="I18" s="65">
        <f>VLOOKUP(A18,'Rate Application - REM Cycle I'!$1:$65535,15,FALSE)</f>
        <v>11828.629976083985</v>
      </c>
      <c r="J18" s="19">
        <f>VLOOKUP(A18,'Rate Application - REM Cycle I'!$1:$65535,20,FALSE)</f>
        <v>0</v>
      </c>
      <c r="K18" s="11">
        <f t="shared" si="2"/>
        <v>14752.82215273459</v>
      </c>
      <c r="L18" s="11">
        <f t="shared" si="3"/>
        <v>174505674.34767222</v>
      </c>
      <c r="M18" s="36">
        <f>VLOOKUP(A18,'Variable Input'!$1:$1048576,23,FALSE)</f>
        <v>1.0181752931904677</v>
      </c>
      <c r="N18" s="22">
        <f t="shared" si="4"/>
        <v>177677366.14234146</v>
      </c>
      <c r="O18" s="19">
        <f t="shared" si="5"/>
        <v>15020.959020747368</v>
      </c>
      <c r="P18" s="18">
        <f>VLOOKUP(A18,'Rate Application - REM Cycle I'!$1:$65535,11,FALSE)</f>
        <v>0</v>
      </c>
      <c r="Q18" s="18">
        <f t="shared" si="6"/>
        <v>177677366.14234146</v>
      </c>
      <c r="R18" s="19">
        <f t="shared" si="7"/>
        <v>15020.959020747368</v>
      </c>
      <c r="S18" s="81">
        <f>VLOOKUP(A18,'Rate Application - REM Cycle I'!$1:$65535,9,FALSE)</f>
        <v>1.1159266108518389</v>
      </c>
      <c r="T18" s="19">
        <f t="shared" si="8"/>
        <v>198274901.02430436</v>
      </c>
      <c r="U18" s="22">
        <f t="shared" si="9"/>
        <v>16762.287891766966</v>
      </c>
      <c r="V18" s="88">
        <f>IFERROR(VLOOKUP(A19,'PAU Volume'!AX:AZ,3,FALSE)-VLOOKUP(A19,'PAU Volume'!#REF!,4,FALSE)+VLOOKUP(A19,'PAU Volume'!#REF!,2,FALSE),0)*0</f>
        <v>0</v>
      </c>
      <c r="W18" s="79">
        <f t="shared" si="10"/>
        <v>11828.629976083985</v>
      </c>
      <c r="X18" s="15">
        <f t="shared" si="11"/>
        <v>198274901.02430436</v>
      </c>
      <c r="Y18" s="11">
        <f>VLOOKUP(A18,'Rate Application - REM Cycle I'!$1:$65535,7,FALSE)</f>
        <v>196654013.68149054</v>
      </c>
      <c r="Z18" s="78">
        <f t="shared" si="12"/>
        <v>8.242330336766468E-3</v>
      </c>
      <c r="AA18" s="82">
        <f>IFERROR(VLOOKUP(A18,'GBR Revenue for ICC'!#REF!,17,FALSE),0)</f>
        <v>0</v>
      </c>
      <c r="AB18" s="82">
        <f t="shared" si="13"/>
        <v>0</v>
      </c>
      <c r="AC18" s="11">
        <f t="shared" si="14"/>
        <v>196654013.68149054</v>
      </c>
      <c r="AD18" s="11">
        <f t="shared" si="15"/>
        <v>198274901.02430436</v>
      </c>
      <c r="AE18" s="10">
        <v>1</v>
      </c>
      <c r="AG18" s="271"/>
    </row>
    <row r="19" spans="1:33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IF(C19=1,'Rate Application - REM Cycle I'!$X$65,IF(C19=3,'Rate Application - REM Cycle I'!$X$66,IF(C19=4,'Rate Application - REM Cycle I'!$X$67,IF(C19=5,'Rate Application - REM Cycle I'!$X$68,0))))</f>
        <v>14752.82215273459</v>
      </c>
      <c r="E19" s="87">
        <v>0</v>
      </c>
      <c r="F19" s="87">
        <v>0</v>
      </c>
      <c r="G19" s="87">
        <f t="shared" si="0"/>
        <v>0</v>
      </c>
      <c r="H19" s="87">
        <f t="shared" si="1"/>
        <v>14752.82215273459</v>
      </c>
      <c r="I19" s="65">
        <f>VLOOKUP(A19,'Rate Application - REM Cycle I'!$1:$65535,15,FALSE)</f>
        <v>35575.296562612995</v>
      </c>
      <c r="J19" s="19">
        <f>VLOOKUP(A19,'Rate Application - REM Cycle I'!$1:$65535,20,FALSE)</f>
        <v>37.082155310001518</v>
      </c>
      <c r="K19" s="11">
        <f t="shared" si="2"/>
        <v>14789.904308044592</v>
      </c>
      <c r="L19" s="11">
        <f t="shared" si="3"/>
        <v>526155231.89135391</v>
      </c>
      <c r="M19" s="36">
        <f>VLOOKUP(A19,'Variable Input'!$1:$1048576,23,FALSE)</f>
        <v>0.99671861092415948</v>
      </c>
      <c r="N19" s="22">
        <f t="shared" si="4"/>
        <v>524428711.8612293</v>
      </c>
      <c r="O19" s="19">
        <f t="shared" si="5"/>
        <v>14741.372877615448</v>
      </c>
      <c r="P19" s="18">
        <f>VLOOKUP(A19,'Rate Application - REM Cycle I'!$1:$65535,11,FALSE)</f>
        <v>3385733.4707238162</v>
      </c>
      <c r="Q19" s="18">
        <f t="shared" si="6"/>
        <v>527814445.33195311</v>
      </c>
      <c r="R19" s="19">
        <f t="shared" si="7"/>
        <v>14836.543791082462</v>
      </c>
      <c r="S19" s="81">
        <f>VLOOKUP(A19,'Rate Application - REM Cycle I'!$1:$65535,9,FALSE)</f>
        <v>1.1235285459397526</v>
      </c>
      <c r="T19" s="19">
        <f t="shared" si="8"/>
        <v>593014596.28980637</v>
      </c>
      <c r="U19" s="22">
        <f t="shared" si="9"/>
        <v>16669.280472366347</v>
      </c>
      <c r="V19" s="88">
        <f>IFERROR(VLOOKUP(A20,'PAU Volume'!AX:AZ,3,FALSE)-VLOOKUP(A20,'PAU Volume'!#REF!,4,FALSE)+VLOOKUP(A20,'PAU Volume'!#REF!,2,FALSE),0)*0</f>
        <v>0</v>
      </c>
      <c r="W19" s="79">
        <f t="shared" si="10"/>
        <v>35575.296562612995</v>
      </c>
      <c r="X19" s="15">
        <f t="shared" si="11"/>
        <v>593014596.28980637</v>
      </c>
      <c r="Y19" s="11">
        <f>VLOOKUP(A19,'Rate Application - REM Cycle I'!$1:$65535,7,FALSE)</f>
        <v>514736173.59971368</v>
      </c>
      <c r="Z19" s="78">
        <f t="shared" si="12"/>
        <v>0.15207484281251649</v>
      </c>
      <c r="AA19" s="82">
        <f>IFERROR(VLOOKUP(A19,'GBR Revenue for ICC'!#REF!,17,FALSE),0)</f>
        <v>0</v>
      </c>
      <c r="AB19" s="82">
        <f t="shared" si="13"/>
        <v>0</v>
      </c>
      <c r="AC19" s="11">
        <f t="shared" si="14"/>
        <v>514736173.59971368</v>
      </c>
      <c r="AD19" s="11">
        <f t="shared" si="15"/>
        <v>593014596.28980637</v>
      </c>
      <c r="AE19" s="10">
        <v>1</v>
      </c>
      <c r="AG19" s="271"/>
    </row>
    <row r="20" spans="1:33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IF(C20=1,'Rate Application - REM Cycle I'!$X$65,IF(C20=3,'Rate Application - REM Cycle I'!$X$66,IF(C20=4,'Rate Application - REM Cycle I'!$X$67,IF(C20=5,'Rate Application - REM Cycle I'!$X$68,0))))</f>
        <v>14752.82215273459</v>
      </c>
      <c r="E20" s="87">
        <v>0</v>
      </c>
      <c r="F20" s="87">
        <v>0</v>
      </c>
      <c r="G20" s="87">
        <f t="shared" si="0"/>
        <v>0</v>
      </c>
      <c r="H20" s="87">
        <f t="shared" si="1"/>
        <v>14752.82215273459</v>
      </c>
      <c r="I20" s="65">
        <f>VLOOKUP(A20,'Rate Application - REM Cycle I'!$1:$65535,15,FALSE)</f>
        <v>24909.085237375984</v>
      </c>
      <c r="J20" s="19">
        <f>VLOOKUP(A20,'Rate Application - REM Cycle I'!$1:$65535,20,FALSE)</f>
        <v>21.184377664013301</v>
      </c>
      <c r="K20" s="11">
        <f t="shared" si="2"/>
        <v>14774.006530398603</v>
      </c>
      <c r="L20" s="11">
        <f t="shared" si="3"/>
        <v>368006987.96324825</v>
      </c>
      <c r="M20" s="36">
        <f>VLOOKUP(A20,'Variable Input'!$1:$1048576,23,FALSE)</f>
        <v>1.0181752931904677</v>
      </c>
      <c r="N20" s="22">
        <f t="shared" si="4"/>
        <v>374695622.86562121</v>
      </c>
      <c r="O20" s="19">
        <f t="shared" si="5"/>
        <v>15042.528430686483</v>
      </c>
      <c r="P20" s="18">
        <f>VLOOKUP(A20,'Rate Application - REM Cycle I'!$1:$65535,11,FALSE)</f>
        <v>4332162.9357895656</v>
      </c>
      <c r="Q20" s="18">
        <f t="shared" si="6"/>
        <v>379027785.80141079</v>
      </c>
      <c r="R20" s="19">
        <f t="shared" si="7"/>
        <v>15216.447420264198</v>
      </c>
      <c r="S20" s="81">
        <f>VLOOKUP(A20,'Rate Application - REM Cycle I'!$1:$65535,9,FALSE)</f>
        <v>1.106961162419857</v>
      </c>
      <c r="T20" s="19">
        <f t="shared" si="8"/>
        <v>419569038.36015427</v>
      </c>
      <c r="U20" s="22">
        <f t="shared" si="9"/>
        <v>16844.016324236291</v>
      </c>
      <c r="V20" s="88">
        <f>IFERROR(VLOOKUP(A21,'PAU Volume'!AX:AZ,3,FALSE)-VLOOKUP(A21,'PAU Volume'!#REF!,4,FALSE)+VLOOKUP(A21,'PAU Volume'!#REF!,2,FALSE),0)*0</f>
        <v>0</v>
      </c>
      <c r="W20" s="79">
        <f t="shared" si="10"/>
        <v>24909.085237375984</v>
      </c>
      <c r="X20" s="15">
        <f t="shared" si="11"/>
        <v>419569038.36015427</v>
      </c>
      <c r="Y20" s="11">
        <f>VLOOKUP(A20,'Rate Application - REM Cycle I'!$1:$65535,7,FALSE)</f>
        <v>398364615.39914006</v>
      </c>
      <c r="Z20" s="78">
        <f t="shared" si="12"/>
        <v>5.322868081485721E-2</v>
      </c>
      <c r="AA20" s="82">
        <f>IFERROR(VLOOKUP(A20,'GBR Revenue for ICC'!#REF!,17,FALSE),0)</f>
        <v>0</v>
      </c>
      <c r="AB20" s="82">
        <f t="shared" si="13"/>
        <v>0</v>
      </c>
      <c r="AC20" s="11">
        <f t="shared" si="14"/>
        <v>398364615.39914006</v>
      </c>
      <c r="AD20" s="11">
        <f t="shared" si="15"/>
        <v>419569038.36015427</v>
      </c>
      <c r="AE20" s="10">
        <v>1</v>
      </c>
      <c r="AG20" s="271"/>
    </row>
    <row r="21" spans="1:33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IF(C21=1,'Rate Application - REM Cycle I'!$X$65,IF(C21=3,'Rate Application - REM Cycle I'!$X$66,IF(C21=4,'Rate Application - REM Cycle I'!$X$67,IF(C21=5,'Rate Application - REM Cycle I'!$X$68,0))))</f>
        <v>14752.82215273459</v>
      </c>
      <c r="E21" s="87">
        <v>0</v>
      </c>
      <c r="F21" s="87">
        <v>0</v>
      </c>
      <c r="G21" s="87">
        <f t="shared" si="0"/>
        <v>0</v>
      </c>
      <c r="H21" s="87">
        <f t="shared" si="1"/>
        <v>14752.82215273459</v>
      </c>
      <c r="I21" s="65">
        <f>VLOOKUP(A21,'Rate Application - REM Cycle I'!$1:$65535,15,FALSE)</f>
        <v>47800.030712699874</v>
      </c>
      <c r="J21" s="19">
        <f>VLOOKUP(A21,'Rate Application - REM Cycle I'!$1:$65535,20,FALSE)</f>
        <v>152.06768021239117</v>
      </c>
      <c r="K21" s="11">
        <f t="shared" si="2"/>
        <v>14904.889832946981</v>
      </c>
      <c r="L21" s="11">
        <f t="shared" si="3"/>
        <v>712454191.78427374</v>
      </c>
      <c r="M21" s="36">
        <f>VLOOKUP(A21,'Variable Input'!$1:$1048576,23,FALSE)</f>
        <v>0.99671861092415948</v>
      </c>
      <c r="N21" s="22">
        <f t="shared" si="4"/>
        <v>710116352.38231599</v>
      </c>
      <c r="O21" s="19">
        <f t="shared" si="5"/>
        <v>14855.98109027254</v>
      </c>
      <c r="P21" s="18">
        <f>VLOOKUP(A21,'Rate Application - REM Cycle I'!$1:$65535,11,FALSE)</f>
        <v>6692185.3853537869</v>
      </c>
      <c r="Q21" s="18">
        <f t="shared" si="6"/>
        <v>716808537.7676698</v>
      </c>
      <c r="R21" s="19">
        <f t="shared" si="7"/>
        <v>14995.984878671274</v>
      </c>
      <c r="S21" s="81">
        <f>VLOOKUP(A21,'Rate Application - REM Cycle I'!$1:$65535,9,FALSE)</f>
        <v>1.1086069567461017</v>
      </c>
      <c r="T21" s="19">
        <f t="shared" si="8"/>
        <v>794658931.62423944</v>
      </c>
      <c r="U21" s="22">
        <f t="shared" si="9"/>
        <v>16624.653159754318</v>
      </c>
      <c r="V21" s="88">
        <f>IFERROR(VLOOKUP(A22,'PAU Volume'!AX:AZ,3,FALSE)-VLOOKUP(A22,'PAU Volume'!#REF!,4,FALSE)+VLOOKUP(A22,'PAU Volume'!#REF!,2,FALSE),0)*0</f>
        <v>0</v>
      </c>
      <c r="W21" s="79">
        <f t="shared" si="10"/>
        <v>47800.030712699874</v>
      </c>
      <c r="X21" s="15">
        <f t="shared" si="11"/>
        <v>794658931.62423944</v>
      </c>
      <c r="Y21" s="11">
        <f>VLOOKUP(A21,'Rate Application - REM Cycle I'!$1:$65535,7,FALSE)</f>
        <v>712352222.34826219</v>
      </c>
      <c r="Z21" s="78">
        <f t="shared" si="12"/>
        <v>0.1155421527354179</v>
      </c>
      <c r="AA21" s="82">
        <f>IFERROR(VLOOKUP(A21,'GBR Revenue for ICC'!#REF!,17,FALSE),0)</f>
        <v>0</v>
      </c>
      <c r="AB21" s="82">
        <f t="shared" si="13"/>
        <v>0</v>
      </c>
      <c r="AC21" s="11">
        <f t="shared" si="14"/>
        <v>712352222.34826219</v>
      </c>
      <c r="AD21" s="11">
        <f t="shared" si="15"/>
        <v>794658931.62423944</v>
      </c>
      <c r="AE21" s="10">
        <v>1</v>
      </c>
      <c r="AG21" s="271"/>
    </row>
    <row r="22" spans="1:33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IF(C22=1,'Rate Application - REM Cycle I'!$X$65,IF(C22=3,'Rate Application - REM Cycle I'!$X$66,IF(C22=4,'Rate Application - REM Cycle I'!$X$67,IF(C22=5,'Rate Application - REM Cycle I'!$X$68,0))))</f>
        <v>14752.82215273459</v>
      </c>
      <c r="E22" s="87">
        <v>0</v>
      </c>
      <c r="F22" s="87">
        <v>0</v>
      </c>
      <c r="G22" s="87">
        <f t="shared" si="0"/>
        <v>0</v>
      </c>
      <c r="H22" s="87">
        <f t="shared" si="1"/>
        <v>14752.82215273459</v>
      </c>
      <c r="I22" s="65">
        <f>VLOOKUP(A22,'Rate Application - REM Cycle I'!$1:$65535,15,FALSE)</f>
        <v>26999.26188542712</v>
      </c>
      <c r="J22" s="19">
        <f>VLOOKUP(A22,'Rate Application - REM Cycle I'!$1:$65535,20,FALSE)</f>
        <v>429.97606252364841</v>
      </c>
      <c r="K22" s="11">
        <f t="shared" si="2"/>
        <v>15182.798215258239</v>
      </c>
      <c r="L22" s="11">
        <f t="shared" si="3"/>
        <v>409924345.16735268</v>
      </c>
      <c r="M22" s="36">
        <f>VLOOKUP(A22,'Variable Input'!$1:$1048576,23,FALSE)</f>
        <v>0.99671861092415948</v>
      </c>
      <c r="N22" s="22">
        <f t="shared" si="4"/>
        <v>408579223.89919943</v>
      </c>
      <c r="O22" s="19">
        <f t="shared" si="5"/>
        <v>15132.977547053999</v>
      </c>
      <c r="P22" s="18">
        <f>VLOOKUP(A22,'Rate Application - REM Cycle I'!$1:$65535,11,FALSE)</f>
        <v>12196844.09297953</v>
      </c>
      <c r="Q22" s="18">
        <f t="shared" si="6"/>
        <v>420776067.99217898</v>
      </c>
      <c r="R22" s="19">
        <f t="shared" si="7"/>
        <v>15584.724863137584</v>
      </c>
      <c r="S22" s="81">
        <f>VLOOKUP(A22,'Rate Application - REM Cycle I'!$1:$65535,9,FALSE)</f>
        <v>1.1223202362274129</v>
      </c>
      <c r="T22" s="19">
        <f t="shared" si="8"/>
        <v>472245496.02782428</v>
      </c>
      <c r="U22" s="22">
        <f t="shared" si="9"/>
        <v>17491.052089935809</v>
      </c>
      <c r="V22" s="88">
        <f>IFERROR(VLOOKUP(A23,'PAU Volume'!AX:AZ,3,FALSE)-VLOOKUP(A23,'PAU Volume'!#REF!,4,FALSE)+VLOOKUP(A23,'PAU Volume'!#REF!,2,FALSE),0)*0</f>
        <v>0</v>
      </c>
      <c r="W22" s="79">
        <f t="shared" si="10"/>
        <v>26999.26188542712</v>
      </c>
      <c r="X22" s="15">
        <f t="shared" si="11"/>
        <v>472245496.02782428</v>
      </c>
      <c r="Y22" s="11">
        <f>VLOOKUP(A22,'Rate Application - REM Cycle I'!$1:$65535,7,FALSE)</f>
        <v>481596679.12083691</v>
      </c>
      <c r="Z22" s="78">
        <f t="shared" si="12"/>
        <v>-1.9417042306195675E-2</v>
      </c>
      <c r="AA22" s="82">
        <f>IFERROR(VLOOKUP(A22,'GBR Revenue for ICC'!#REF!,17,FALSE),0)</f>
        <v>0</v>
      </c>
      <c r="AB22" s="82">
        <f t="shared" si="13"/>
        <v>0</v>
      </c>
      <c r="AC22" s="11">
        <f t="shared" si="14"/>
        <v>481596679.12083691</v>
      </c>
      <c r="AD22" s="11">
        <f t="shared" si="15"/>
        <v>472245496.02782428</v>
      </c>
      <c r="AE22" s="10">
        <v>1</v>
      </c>
      <c r="AG22" s="271"/>
    </row>
    <row r="23" spans="1:33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IF(C23=1,'Rate Application - REM Cycle I'!$X$65,IF(C23=3,'Rate Application - REM Cycle I'!$X$66,IF(C23=4,'Rate Application - REM Cycle I'!$X$67,IF(C23=5,'Rate Application - REM Cycle I'!$X$68,0))))</f>
        <v>14752.82215273459</v>
      </c>
      <c r="E23" s="87">
        <v>0</v>
      </c>
      <c r="F23" s="87">
        <v>0</v>
      </c>
      <c r="G23" s="87">
        <f t="shared" si="0"/>
        <v>0</v>
      </c>
      <c r="H23" s="87">
        <f t="shared" si="1"/>
        <v>14752.82215273459</v>
      </c>
      <c r="I23" s="65">
        <f>VLOOKUP(A23,'Rate Application - REM Cycle I'!$1:$65535,15,FALSE)</f>
        <v>22692.781590576982</v>
      </c>
      <c r="J23" s="19">
        <f>VLOOKUP(A23,'Rate Application - REM Cycle I'!$1:$65535,20,FALSE)</f>
        <v>0</v>
      </c>
      <c r="K23" s="11">
        <f t="shared" si="2"/>
        <v>14752.82215273459</v>
      </c>
      <c r="L23" s="11">
        <f t="shared" si="3"/>
        <v>334782570.95663178</v>
      </c>
      <c r="M23" s="36">
        <f>VLOOKUP(A23,'Variable Input'!$1:$1048576,23,FALSE)</f>
        <v>0.99671861092415948</v>
      </c>
      <c r="N23" s="22">
        <f t="shared" si="4"/>
        <v>333684019.08551288</v>
      </c>
      <c r="O23" s="19">
        <f t="shared" si="5"/>
        <v>14704.412403284789</v>
      </c>
      <c r="P23" s="18">
        <f>VLOOKUP(A23,'Rate Application - REM Cycle I'!$1:$65535,11,FALSE)</f>
        <v>1887638.9011087576</v>
      </c>
      <c r="Q23" s="18">
        <f t="shared" si="6"/>
        <v>335571657.98662162</v>
      </c>
      <c r="R23" s="19">
        <f t="shared" si="7"/>
        <v>14787.594753300997</v>
      </c>
      <c r="S23" s="81">
        <f>VLOOKUP(A23,'Rate Application - REM Cycle I'!$1:$65535,9,FALSE)</f>
        <v>1.1268001645719641</v>
      </c>
      <c r="T23" s="19">
        <f t="shared" si="8"/>
        <v>378122199.44501209</v>
      </c>
      <c r="U23" s="22">
        <f t="shared" si="9"/>
        <v>16662.664201643074</v>
      </c>
      <c r="V23" s="88">
        <f>IFERROR(VLOOKUP(A24,'PAU Volume'!AX:AZ,3,FALSE)-VLOOKUP(A24,'PAU Volume'!#REF!,4,FALSE)+VLOOKUP(A24,'PAU Volume'!#REF!,2,FALSE),0)*0</f>
        <v>0</v>
      </c>
      <c r="W23" s="79">
        <f t="shared" si="10"/>
        <v>22692.781590576982</v>
      </c>
      <c r="X23" s="15">
        <f t="shared" si="11"/>
        <v>378122199.44501203</v>
      </c>
      <c r="Y23" s="11">
        <f>VLOOKUP(A23,'Rate Application - REM Cycle I'!$1:$65535,7,FALSE)</f>
        <v>346927138.42145127</v>
      </c>
      <c r="Z23" s="78">
        <f t="shared" si="12"/>
        <v>8.9918191945147274E-2</v>
      </c>
      <c r="AA23" s="82">
        <f>IFERROR(VLOOKUP(A23,'GBR Revenue for ICC'!#REF!,17,FALSE),0)</f>
        <v>0</v>
      </c>
      <c r="AB23" s="82">
        <f t="shared" si="13"/>
        <v>0</v>
      </c>
      <c r="AC23" s="11">
        <f t="shared" si="14"/>
        <v>346927138.42145127</v>
      </c>
      <c r="AD23" s="11">
        <f t="shared" si="15"/>
        <v>378122199.44501203</v>
      </c>
      <c r="AE23" s="10">
        <v>1</v>
      </c>
      <c r="AG23" s="271"/>
    </row>
    <row r="24" spans="1:33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IF(C24=1,'Rate Application - REM Cycle I'!$X$65,IF(C24=3,'Rate Application - REM Cycle I'!$X$66,IF(C24=4,'Rate Application - REM Cycle I'!$X$67,IF(C24=5,'Rate Application - REM Cycle I'!$X$68,0))))</f>
        <v>14752.82215273459</v>
      </c>
      <c r="E24" s="87">
        <v>0</v>
      </c>
      <c r="F24" s="87">
        <v>0</v>
      </c>
      <c r="G24" s="87">
        <f t="shared" si="0"/>
        <v>0</v>
      </c>
      <c r="H24" s="87">
        <f t="shared" si="1"/>
        <v>14752.82215273459</v>
      </c>
      <c r="I24" s="65">
        <f>VLOOKUP(A24,'Rate Application - REM Cycle I'!$1:$65535,15,FALSE)</f>
        <v>14672.575577466996</v>
      </c>
      <c r="J24" s="19">
        <f>VLOOKUP(A24,'Rate Application - REM Cycle I'!$1:$65535,20,FALSE)</f>
        <v>0</v>
      </c>
      <c r="K24" s="11">
        <f t="shared" si="2"/>
        <v>14752.82215273459</v>
      </c>
      <c r="L24" s="11">
        <f t="shared" si="3"/>
        <v>216461898.01692763</v>
      </c>
      <c r="M24" s="36">
        <f>VLOOKUP(A24,'Variable Input'!$1:$1048576,23,FALSE)</f>
        <v>0.99671861092415948</v>
      </c>
      <c r="N24" s="22">
        <f t="shared" si="4"/>
        <v>215751602.30943918</v>
      </c>
      <c r="O24" s="19">
        <f t="shared" si="5"/>
        <v>14704.41240328479</v>
      </c>
      <c r="P24" s="18">
        <f>VLOOKUP(A24,'Rate Application - REM Cycle I'!$1:$65535,11,FALSE)</f>
        <v>0</v>
      </c>
      <c r="Q24" s="18">
        <f t="shared" si="6"/>
        <v>215751602.30943918</v>
      </c>
      <c r="R24" s="19">
        <f t="shared" si="7"/>
        <v>14704.41240328479</v>
      </c>
      <c r="S24" s="81">
        <f>VLOOKUP(A24,'Rate Application - REM Cycle I'!$1:$65535,9,FALSE)</f>
        <v>1.1136722213908725</v>
      </c>
      <c r="T24" s="19">
        <f t="shared" si="8"/>
        <v>240276566.21259323</v>
      </c>
      <c r="U24" s="22">
        <f t="shared" si="9"/>
        <v>16375.89562541367</v>
      </c>
      <c r="V24" s="88">
        <f>IFERROR(VLOOKUP(A25,'PAU Volume'!AX:AZ,3,FALSE)-VLOOKUP(A25,'PAU Volume'!#REF!,4,FALSE)+VLOOKUP(A25,'PAU Volume'!#REF!,2,FALSE),0)*0</f>
        <v>0</v>
      </c>
      <c r="W24" s="79">
        <f t="shared" si="10"/>
        <v>14672.575577466996</v>
      </c>
      <c r="X24" s="15">
        <f t="shared" si="11"/>
        <v>240276566.21259323</v>
      </c>
      <c r="Y24" s="11">
        <f>VLOOKUP(A24,'Rate Application - REM Cycle I'!$1:$65535,7,FALSE)</f>
        <v>208234246.15730399</v>
      </c>
      <c r="Z24" s="78">
        <f t="shared" si="12"/>
        <v>0.1538763226826958</v>
      </c>
      <c r="AA24" s="82">
        <f>IFERROR(VLOOKUP(A24,'GBR Revenue for ICC'!#REF!,17,FALSE),0)</f>
        <v>0</v>
      </c>
      <c r="AB24" s="82">
        <f t="shared" si="13"/>
        <v>0</v>
      </c>
      <c r="AC24" s="11">
        <f t="shared" si="14"/>
        <v>208234246.15730399</v>
      </c>
      <c r="AD24" s="11">
        <f t="shared" si="15"/>
        <v>240276566.21259323</v>
      </c>
      <c r="AE24" s="10">
        <v>1</v>
      </c>
      <c r="AG24" s="271"/>
    </row>
    <row r="25" spans="1:33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IF(C25=1,'Rate Application - REM Cycle I'!$X$65,IF(C25=3,'Rate Application - REM Cycle I'!$X$66,IF(C25=4,'Rate Application - REM Cycle I'!$X$67,IF(C25=5,'Rate Application - REM Cycle I'!$X$68,0))))</f>
        <v>14752.82215273459</v>
      </c>
      <c r="E25" s="87">
        <v>0</v>
      </c>
      <c r="F25" s="87">
        <v>0</v>
      </c>
      <c r="G25" s="87">
        <f t="shared" si="0"/>
        <v>0</v>
      </c>
      <c r="H25" s="87">
        <f t="shared" si="1"/>
        <v>14752.82215273459</v>
      </c>
      <c r="I25" s="65">
        <f>VLOOKUP(A25,'Rate Application - REM Cycle I'!$1:$65535,15,FALSE)</f>
        <v>35540.799933832066</v>
      </c>
      <c r="J25" s="19">
        <f>VLOOKUP(A25,'Rate Application - REM Cycle I'!$1:$65535,20,FALSE)</f>
        <v>523.78238472766361</v>
      </c>
      <c r="K25" s="11">
        <f t="shared" si="2"/>
        <v>15276.604537462254</v>
      </c>
      <c r="L25" s="11">
        <f t="shared" si="3"/>
        <v>542942745.53421712</v>
      </c>
      <c r="M25" s="36">
        <f>VLOOKUP(A25,'Variable Input'!$1:$1048576,23,FALSE)</f>
        <v>0.99671861092415948</v>
      </c>
      <c r="N25" s="22">
        <f t="shared" si="4"/>
        <v>541161139.14021432</v>
      </c>
      <c r="O25" s="19">
        <f t="shared" si="5"/>
        <v>15226.476054217092</v>
      </c>
      <c r="P25" s="18">
        <f>VLOOKUP(A25,'Rate Application - REM Cycle I'!$1:$65535,11,FALSE)</f>
        <v>27476780.845164478</v>
      </c>
      <c r="Q25" s="18">
        <f t="shared" si="6"/>
        <v>568637919.98537874</v>
      </c>
      <c r="R25" s="19">
        <f t="shared" si="7"/>
        <v>15999.581355626153</v>
      </c>
      <c r="S25" s="81">
        <f>VLOOKUP(A25,'Rate Application - REM Cycle I'!$1:$65535,9,FALSE)</f>
        <v>1.1160480491569686</v>
      </c>
      <c r="T25" s="19">
        <f t="shared" si="8"/>
        <v>634627241.27635837</v>
      </c>
      <c r="U25" s="22">
        <f t="shared" si="9"/>
        <v>17856.301559274776</v>
      </c>
      <c r="V25" s="88">
        <f>IFERROR(VLOOKUP(A26,'PAU Volume'!AX:AZ,3,FALSE)-VLOOKUP(A26,'PAU Volume'!#REF!,4,FALSE)+VLOOKUP(A26,'PAU Volume'!#REF!,2,FALSE),0)*0</f>
        <v>0</v>
      </c>
      <c r="W25" s="79">
        <f t="shared" si="10"/>
        <v>35540.799933832066</v>
      </c>
      <c r="X25" s="15">
        <f t="shared" si="11"/>
        <v>634627241.27635837</v>
      </c>
      <c r="Y25" s="11">
        <f>VLOOKUP(A25,'Rate Application - REM Cycle I'!$1:$65535,7,FALSE)</f>
        <v>714563622.53195643</v>
      </c>
      <c r="Z25" s="78">
        <f t="shared" si="12"/>
        <v>-0.1118674093320825</v>
      </c>
      <c r="AA25" s="82">
        <f>IFERROR(VLOOKUP(A25,'GBR Revenue for ICC'!#REF!,17,FALSE),0)</f>
        <v>0</v>
      </c>
      <c r="AB25" s="82">
        <f t="shared" si="13"/>
        <v>0</v>
      </c>
      <c r="AC25" s="11">
        <f t="shared" si="14"/>
        <v>714563622.53195643</v>
      </c>
      <c r="AD25" s="11">
        <f t="shared" si="15"/>
        <v>634627241.27635837</v>
      </c>
      <c r="AE25" s="10">
        <v>1</v>
      </c>
      <c r="AG25" s="271"/>
    </row>
    <row r="26" spans="1:33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IF(C26=1,'Rate Application - REM Cycle I'!$X$65,IF(C26=3,'Rate Application - REM Cycle I'!$X$66,IF(C26=4,'Rate Application - REM Cycle I'!$X$67,IF(C26=5,'Rate Application - REM Cycle I'!$X$68,0))))</f>
        <v>14752.82215273459</v>
      </c>
      <c r="E26" s="87">
        <v>0</v>
      </c>
      <c r="F26" s="87">
        <v>0</v>
      </c>
      <c r="G26" s="87">
        <f t="shared" si="0"/>
        <v>0</v>
      </c>
      <c r="H26" s="87">
        <f t="shared" si="1"/>
        <v>14752.82215273459</v>
      </c>
      <c r="I26" s="65">
        <f>VLOOKUP(A26,'Rate Application - REM Cycle I'!$1:$65535,15,FALSE)</f>
        <v>2175.2241478610003</v>
      </c>
      <c r="J26" s="19">
        <f>VLOOKUP(A26,'Rate Application - REM Cycle I'!$1:$65535,20,FALSE)</f>
        <v>0</v>
      </c>
      <c r="K26" s="11">
        <f t="shared" si="2"/>
        <v>14752.82215273459</v>
      </c>
      <c r="L26" s="11">
        <f t="shared" si="3"/>
        <v>32090694.995726988</v>
      </c>
      <c r="M26" s="36">
        <f>VLOOKUP(A26,'Variable Input'!$1:$1048576,23,FALSE)</f>
        <v>0.99671861092415948</v>
      </c>
      <c r="N26" s="22">
        <f t="shared" si="4"/>
        <v>31985392.939731877</v>
      </c>
      <c r="O26" s="19">
        <f t="shared" si="5"/>
        <v>14704.412403284789</v>
      </c>
      <c r="P26" s="18">
        <f>VLOOKUP(A26,'Rate Application - REM Cycle I'!$1:$65535,11,FALSE)</f>
        <v>208535.14400062207</v>
      </c>
      <c r="Q26" s="18">
        <f t="shared" si="6"/>
        <v>32193928.083732501</v>
      </c>
      <c r="R26" s="19">
        <f t="shared" si="7"/>
        <v>14800.280750556349</v>
      </c>
      <c r="S26" s="81">
        <f>VLOOKUP(A26,'Rate Application - REM Cycle I'!$1:$65535,9,FALSE)</f>
        <v>1.1237498376689119</v>
      </c>
      <c r="T26" s="19">
        <f t="shared" si="8"/>
        <v>36177921.458019018</v>
      </c>
      <c r="U26" s="22">
        <f t="shared" si="9"/>
        <v>16631.813090892017</v>
      </c>
      <c r="V26" s="88">
        <f>IFERROR(VLOOKUP(A27,'PAU Volume'!AX:AZ,3,FALSE)-VLOOKUP(A27,'PAU Volume'!#REF!,4,FALSE)+VLOOKUP(A27,'PAU Volume'!#REF!,2,FALSE),0)*0</f>
        <v>0</v>
      </c>
      <c r="W26" s="79">
        <f t="shared" si="10"/>
        <v>2175.2241478610003</v>
      </c>
      <c r="X26" s="15">
        <f t="shared" si="11"/>
        <v>36177921.458019018</v>
      </c>
      <c r="Y26" s="11">
        <f>VLOOKUP(A26,'Rate Application - REM Cycle I'!$1:$65535,7,FALSE)</f>
        <v>53886862.099348657</v>
      </c>
      <c r="Z26" s="78">
        <f t="shared" si="12"/>
        <v>-0.32863187707386832</v>
      </c>
      <c r="AA26" s="82">
        <f>IFERROR(VLOOKUP(A26,'GBR Revenue for ICC'!#REF!,17,FALSE),0)</f>
        <v>0</v>
      </c>
      <c r="AB26" s="82">
        <f t="shared" si="13"/>
        <v>0</v>
      </c>
      <c r="AC26" s="11">
        <f t="shared" si="14"/>
        <v>53886862.099348657</v>
      </c>
      <c r="AD26" s="11">
        <f t="shared" si="15"/>
        <v>36177921.458019018</v>
      </c>
      <c r="AE26" s="10">
        <v>1</v>
      </c>
      <c r="AG26" s="271"/>
    </row>
    <row r="27" spans="1:33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IF(C27=1,'Rate Application - REM Cycle I'!$X$65,IF(C27=3,'Rate Application - REM Cycle I'!$X$66,IF(C27=4,'Rate Application - REM Cycle I'!$X$67,IF(C27=5,'Rate Application - REM Cycle I'!$X$68,0))))</f>
        <v>14752.82215273459</v>
      </c>
      <c r="E27" s="87">
        <v>0</v>
      </c>
      <c r="F27" s="87">
        <v>0</v>
      </c>
      <c r="G27" s="87">
        <f t="shared" si="0"/>
        <v>0</v>
      </c>
      <c r="H27" s="87">
        <f t="shared" si="1"/>
        <v>14752.82215273459</v>
      </c>
      <c r="I27" s="65">
        <f>VLOOKUP(A27,'Rate Application - REM Cycle I'!$1:$65535,15,FALSE)</f>
        <v>10926.435215269013</v>
      </c>
      <c r="J27" s="19">
        <f>VLOOKUP(A27,'Rate Application - REM Cycle I'!$1:$65535,20,FALSE)</f>
        <v>0</v>
      </c>
      <c r="K27" s="11">
        <f t="shared" si="2"/>
        <v>14752.82215273459</v>
      </c>
      <c r="L27" s="11">
        <f t="shared" si="3"/>
        <v>161195755.49424005</v>
      </c>
      <c r="M27" s="36">
        <f>VLOOKUP(A27,'Variable Input'!$1:$1048576,23,FALSE)</f>
        <v>0.99671861092415948</v>
      </c>
      <c r="N27" s="22">
        <f t="shared" si="4"/>
        <v>160666809.5030894</v>
      </c>
      <c r="O27" s="19">
        <f t="shared" si="5"/>
        <v>14704.41240328479</v>
      </c>
      <c r="P27" s="18">
        <f>VLOOKUP(A27,'Rate Application - REM Cycle I'!$1:$65535,11,FALSE)</f>
        <v>0</v>
      </c>
      <c r="Q27" s="18">
        <f t="shared" si="6"/>
        <v>160666809.5030894</v>
      </c>
      <c r="R27" s="19">
        <f t="shared" si="7"/>
        <v>14704.41240328479</v>
      </c>
      <c r="S27" s="81">
        <f>VLOOKUP(A27,'Rate Application - REM Cycle I'!$1:$65535,9,FALSE)</f>
        <v>1.1182795268578634</v>
      </c>
      <c r="T27" s="19">
        <f t="shared" si="8"/>
        <v>179670403.71287727</v>
      </c>
      <c r="U27" s="22">
        <f t="shared" si="9"/>
        <v>16443.643345068213</v>
      </c>
      <c r="V27" s="88">
        <f>IFERROR(VLOOKUP(A28,'PAU Volume'!AX:AZ,3,FALSE)-VLOOKUP(A28,'PAU Volume'!#REF!,4,FALSE)+VLOOKUP(A28,'PAU Volume'!#REF!,2,FALSE),0)*0</f>
        <v>0</v>
      </c>
      <c r="W27" s="79">
        <f t="shared" si="10"/>
        <v>10926.435215269013</v>
      </c>
      <c r="X27" s="15">
        <f t="shared" si="11"/>
        <v>179670403.71287727</v>
      </c>
      <c r="Y27" s="11">
        <f>VLOOKUP(A27,'Rate Application - REM Cycle I'!$1:$65535,7,FALSE)</f>
        <v>188376183.84885556</v>
      </c>
      <c r="Z27" s="78">
        <f t="shared" si="12"/>
        <v>-4.6214866221960471E-2</v>
      </c>
      <c r="AA27" s="82">
        <f>IFERROR(VLOOKUP(A27,'GBR Revenue for ICC'!#REF!,17,FALSE),0)</f>
        <v>0</v>
      </c>
      <c r="AB27" s="82">
        <f t="shared" si="13"/>
        <v>0</v>
      </c>
      <c r="AC27" s="11">
        <f t="shared" si="14"/>
        <v>188376183.84885556</v>
      </c>
      <c r="AD27" s="11">
        <f t="shared" si="15"/>
        <v>179670403.71287727</v>
      </c>
      <c r="AE27" s="10">
        <v>1</v>
      </c>
      <c r="AG27" s="271"/>
    </row>
    <row r="28" spans="1:33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IF(C28=1,'Rate Application - REM Cycle I'!$X$65,IF(C28=3,'Rate Application - REM Cycle I'!$X$66,IF(C28=4,'Rate Application - REM Cycle I'!$X$67,IF(C28=5,'Rate Application - REM Cycle I'!$X$68,0))))</f>
        <v>14752.82215273459</v>
      </c>
      <c r="E28" s="87">
        <v>0</v>
      </c>
      <c r="F28" s="87">
        <v>0</v>
      </c>
      <c r="G28" s="87">
        <f t="shared" si="0"/>
        <v>0</v>
      </c>
      <c r="H28" s="87">
        <f t="shared" si="1"/>
        <v>14752.82215273459</v>
      </c>
      <c r="I28" s="65">
        <f>VLOOKUP(A28,'Rate Application - REM Cycle I'!$1:$65535,15,FALSE)</f>
        <v>16462.876928917998</v>
      </c>
      <c r="J28" s="19">
        <f>VLOOKUP(A28,'Rate Application - REM Cycle I'!$1:$65535,20,FALSE)</f>
        <v>0</v>
      </c>
      <c r="K28" s="11">
        <f t="shared" si="2"/>
        <v>14752.82215273459</v>
      </c>
      <c r="L28" s="11">
        <f t="shared" si="3"/>
        <v>242873895.45468464</v>
      </c>
      <c r="M28" s="36">
        <f>VLOOKUP(A28,'Variable Input'!$1:$1048576,23,FALSE)</f>
        <v>0.99671861092415948</v>
      </c>
      <c r="N28" s="22">
        <f t="shared" si="4"/>
        <v>242076931.70733282</v>
      </c>
      <c r="O28" s="19">
        <f t="shared" si="5"/>
        <v>14704.41240328479</v>
      </c>
      <c r="P28" s="18">
        <f>VLOOKUP(A28,'Rate Application - REM Cycle I'!$1:$65535,11,FALSE)</f>
        <v>0</v>
      </c>
      <c r="Q28" s="18">
        <f t="shared" si="6"/>
        <v>242076931.70733282</v>
      </c>
      <c r="R28" s="19">
        <f t="shared" si="7"/>
        <v>14704.41240328479</v>
      </c>
      <c r="S28" s="81">
        <f>VLOOKUP(A28,'Rate Application - REM Cycle I'!$1:$65535,9,FALSE)</f>
        <v>1.1165021686409196</v>
      </c>
      <c r="T28" s="19">
        <f t="shared" si="8"/>
        <v>270279419.22917688</v>
      </c>
      <c r="U28" s="22">
        <f t="shared" si="9"/>
        <v>16417.508336857903</v>
      </c>
      <c r="V28" s="88">
        <f>IFERROR(VLOOKUP(A29,'PAU Volume'!AX:AZ,3,FALSE)-VLOOKUP(A29,'PAU Volume'!#REF!,4,FALSE)+VLOOKUP(A29,'PAU Volume'!#REF!,2,FALSE),0)*0</f>
        <v>0</v>
      </c>
      <c r="W28" s="79">
        <f t="shared" si="10"/>
        <v>16462.876928917998</v>
      </c>
      <c r="X28" s="15">
        <f t="shared" si="11"/>
        <v>270279419.22917688</v>
      </c>
      <c r="Y28" s="11">
        <f>VLOOKUP(A28,'Rate Application - REM Cycle I'!$1:$65535,7,FALSE)</f>
        <v>270127753.60721987</v>
      </c>
      <c r="Z28" s="78">
        <f t="shared" si="12"/>
        <v>5.6145886504332942E-4</v>
      </c>
      <c r="AA28" s="82">
        <f>IFERROR(VLOOKUP(A28,'GBR Revenue for ICC'!#REF!,17,FALSE),0)</f>
        <v>0</v>
      </c>
      <c r="AB28" s="82">
        <f t="shared" si="13"/>
        <v>0</v>
      </c>
      <c r="AC28" s="11">
        <f t="shared" si="14"/>
        <v>270127753.60721987</v>
      </c>
      <c r="AD28" s="11">
        <f t="shared" si="15"/>
        <v>270279419.22917688</v>
      </c>
      <c r="AE28" s="10">
        <v>1</v>
      </c>
      <c r="AG28" s="271"/>
    </row>
    <row r="29" spans="1:33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IF(C29=1,'Rate Application - REM Cycle I'!$X$65,IF(C29=3,'Rate Application - REM Cycle I'!$X$66,IF(C29=4,'Rate Application - REM Cycle I'!$X$67,IF(C29=5,'Rate Application - REM Cycle I'!$X$68,0))))</f>
        <v>14752.82215273459</v>
      </c>
      <c r="E29" s="87">
        <v>0</v>
      </c>
      <c r="F29" s="87">
        <v>0</v>
      </c>
      <c r="G29" s="87">
        <f t="shared" si="0"/>
        <v>0</v>
      </c>
      <c r="H29" s="87">
        <f t="shared" si="1"/>
        <v>14752.82215273459</v>
      </c>
      <c r="I29" s="65">
        <f>VLOOKUP(A29,'Rate Application - REM Cycle I'!$1:$65535,15,FALSE)</f>
        <v>11637.098158323013</v>
      </c>
      <c r="J29" s="19">
        <f>VLOOKUP(A29,'Rate Application - REM Cycle I'!$1:$65535,20,FALSE)</f>
        <v>219.3949496707223</v>
      </c>
      <c r="K29" s="11">
        <f t="shared" si="2"/>
        <v>14972.217102405313</v>
      </c>
      <c r="L29" s="11">
        <f t="shared" si="3"/>
        <v>174233160.0684132</v>
      </c>
      <c r="M29" s="36">
        <f>VLOOKUP(A29,'Variable Input'!$1:$1048576,23,FALSE)</f>
        <v>0.99671861092415948</v>
      </c>
      <c r="N29" s="22">
        <f t="shared" si="4"/>
        <v>173661433.28031555</v>
      </c>
      <c r="O29" s="19">
        <f t="shared" si="5"/>
        <v>14923.087432764369</v>
      </c>
      <c r="P29" s="18">
        <f>VLOOKUP(A29,'Rate Application - REM Cycle I'!$1:$65535,11,FALSE)</f>
        <v>2578337.9692581748</v>
      </c>
      <c r="Q29" s="18">
        <f t="shared" si="6"/>
        <v>176239771.24957374</v>
      </c>
      <c r="R29" s="19">
        <f t="shared" si="7"/>
        <v>15144.649366347798</v>
      </c>
      <c r="S29" s="81">
        <f>VLOOKUP(A29,'Rate Application - REM Cycle I'!$1:$65535,9,FALSE)</f>
        <v>1.1252449607173489</v>
      </c>
      <c r="T29" s="19">
        <f t="shared" si="8"/>
        <v>198312914.47656116</v>
      </c>
      <c r="U29" s="22">
        <f t="shared" si="9"/>
        <v>17041.440381314049</v>
      </c>
      <c r="V29" s="88">
        <f>IFERROR(VLOOKUP(A30,'PAU Volume'!AX:AZ,3,FALSE)-VLOOKUP(A30,'PAU Volume'!#REF!,4,FALSE)+VLOOKUP(A30,'PAU Volume'!#REF!,2,FALSE),0)*0</f>
        <v>0</v>
      </c>
      <c r="W29" s="79">
        <f t="shared" si="10"/>
        <v>11637.098158323013</v>
      </c>
      <c r="X29" s="15">
        <f t="shared" si="11"/>
        <v>198312914.47656116</v>
      </c>
      <c r="Y29" s="11">
        <f>VLOOKUP(A29,'Rate Application - REM Cycle I'!$1:$65535,7,FALSE)</f>
        <v>207708721.24780929</v>
      </c>
      <c r="Z29" s="78">
        <f t="shared" si="12"/>
        <v>-4.5235494758250172E-2</v>
      </c>
      <c r="AA29" s="82">
        <f>IFERROR(VLOOKUP(A29,'GBR Revenue for ICC'!#REF!,17,FALSE),0)</f>
        <v>0</v>
      </c>
      <c r="AB29" s="82">
        <f t="shared" si="13"/>
        <v>0</v>
      </c>
      <c r="AC29" s="11">
        <f t="shared" si="14"/>
        <v>207708721.24780929</v>
      </c>
      <c r="AD29" s="11">
        <f t="shared" si="15"/>
        <v>198312914.47656116</v>
      </c>
      <c r="AE29" s="10">
        <v>1</v>
      </c>
      <c r="AG29" s="271"/>
    </row>
    <row r="30" spans="1:33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IF(C30=1,'Rate Application - REM Cycle I'!$X$65,IF(C30=3,'Rate Application - REM Cycle I'!$X$66,IF(C30=4,'Rate Application - REM Cycle I'!$X$67,IF(C30=5,'Rate Application - REM Cycle I'!$X$68,0))))</f>
        <v>14752.82215273459</v>
      </c>
      <c r="E30" s="87">
        <v>0</v>
      </c>
      <c r="F30" s="87">
        <v>0</v>
      </c>
      <c r="G30" s="87">
        <f t="shared" si="0"/>
        <v>0</v>
      </c>
      <c r="H30" s="87">
        <f t="shared" si="1"/>
        <v>14752.82215273459</v>
      </c>
      <c r="I30" s="65">
        <f>VLOOKUP(A30,'Rate Application - REM Cycle I'!$1:$65535,15,FALSE)</f>
        <v>12134.106723412984</v>
      </c>
      <c r="J30" s="19">
        <f>VLOOKUP(A30,'Rate Application - REM Cycle I'!$1:$65535,20,FALSE)</f>
        <v>0</v>
      </c>
      <c r="K30" s="11">
        <f t="shared" si="2"/>
        <v>14752.82215273459</v>
      </c>
      <c r="L30" s="11">
        <f t="shared" si="3"/>
        <v>179012318.4728128</v>
      </c>
      <c r="M30" s="36">
        <f>VLOOKUP(A30,'Variable Input'!$1:$1048576,23,FALSE)</f>
        <v>0.99671861092415948</v>
      </c>
      <c r="N30" s="22">
        <f t="shared" si="4"/>
        <v>178424909.40653524</v>
      </c>
      <c r="O30" s="19">
        <f t="shared" si="5"/>
        <v>14704.412403284789</v>
      </c>
      <c r="P30" s="18">
        <f>VLOOKUP(A30,'Rate Application - REM Cycle I'!$1:$65535,11,FALSE)</f>
        <v>0</v>
      </c>
      <c r="Q30" s="18">
        <f t="shared" si="6"/>
        <v>178424909.40653524</v>
      </c>
      <c r="R30" s="19">
        <f t="shared" si="7"/>
        <v>14704.412403284789</v>
      </c>
      <c r="S30" s="81">
        <f>VLOOKUP(A30,'Rate Application - REM Cycle I'!$1:$65535,9,FALSE)</f>
        <v>1.1148847928711076</v>
      </c>
      <c r="T30" s="19">
        <f t="shared" si="8"/>
        <v>198923218.16675118</v>
      </c>
      <c r="U30" s="22">
        <f t="shared" si="9"/>
        <v>16393.725776527506</v>
      </c>
      <c r="V30" s="88">
        <f>IFERROR(VLOOKUP(A31,'PAU Volume'!AX:AZ,3,FALSE)-VLOOKUP(A31,'PAU Volume'!#REF!,4,FALSE)+VLOOKUP(A31,'PAU Volume'!#REF!,2,FALSE),0)*0</f>
        <v>0</v>
      </c>
      <c r="W30" s="79">
        <f t="shared" si="10"/>
        <v>12134.106723412984</v>
      </c>
      <c r="X30" s="15">
        <f t="shared" si="11"/>
        <v>198923218.16675115</v>
      </c>
      <c r="Y30" s="11">
        <f>VLOOKUP(A30,'Rate Application - REM Cycle I'!$1:$65535,7,FALSE)</f>
        <v>178746811.03130147</v>
      </c>
      <c r="Z30" s="78">
        <f t="shared" si="12"/>
        <v>0.11287701872296041</v>
      </c>
      <c r="AA30" s="82">
        <f>IFERROR(VLOOKUP(A30,'GBR Revenue for ICC'!#REF!,17,FALSE),0)</f>
        <v>0</v>
      </c>
      <c r="AB30" s="82">
        <f t="shared" si="13"/>
        <v>0</v>
      </c>
      <c r="AC30" s="11">
        <f t="shared" si="14"/>
        <v>178746811.03130147</v>
      </c>
      <c r="AD30" s="11">
        <f t="shared" si="15"/>
        <v>198923218.16675115</v>
      </c>
      <c r="AE30" s="10">
        <v>1</v>
      </c>
      <c r="AG30" s="271"/>
    </row>
    <row r="31" spans="1:33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IF(C31=1,'Rate Application - REM Cycle I'!$X$65,IF(C31=3,'Rate Application - REM Cycle I'!$X$66,IF(C31=4,'Rate Application - REM Cycle I'!$X$67,IF(C31=5,'Rate Application - REM Cycle I'!$X$68,0))))</f>
        <v>14752.82215273459</v>
      </c>
      <c r="E31" s="87">
        <v>0</v>
      </c>
      <c r="F31" s="87">
        <v>0</v>
      </c>
      <c r="G31" s="87">
        <f t="shared" si="0"/>
        <v>0</v>
      </c>
      <c r="H31" s="87">
        <f t="shared" si="1"/>
        <v>14752.82215273459</v>
      </c>
      <c r="I31" s="65">
        <f>VLOOKUP(A31,'Rate Application - REM Cycle I'!$1:$65535,15,FALSE)</f>
        <v>14334.792159748988</v>
      </c>
      <c r="J31" s="19">
        <f>VLOOKUP(A31,'Rate Application - REM Cycle I'!$1:$65535,20,FALSE)</f>
        <v>0</v>
      </c>
      <c r="K31" s="11">
        <f t="shared" si="2"/>
        <v>14752.82215273459</v>
      </c>
      <c r="L31" s="11">
        <f t="shared" si="3"/>
        <v>211478639.329191</v>
      </c>
      <c r="M31" s="36">
        <f>VLOOKUP(A31,'Variable Input'!$1:$1048576,23,FALSE)</f>
        <v>0.99671861092415948</v>
      </c>
      <c r="N31" s="22">
        <f t="shared" si="4"/>
        <v>210784695.63232258</v>
      </c>
      <c r="O31" s="19">
        <f t="shared" si="5"/>
        <v>14704.41240328479</v>
      </c>
      <c r="P31" s="18">
        <f>VLOOKUP(A31,'Rate Application - REM Cycle I'!$1:$65535,11,FALSE)</f>
        <v>832816.30724702065</v>
      </c>
      <c r="Q31" s="18">
        <f t="shared" si="6"/>
        <v>211617511.93956959</v>
      </c>
      <c r="R31" s="19">
        <f t="shared" si="7"/>
        <v>14762.509953494517</v>
      </c>
      <c r="S31" s="81">
        <f>VLOOKUP(A31,'Rate Application - REM Cycle I'!$1:$65535,9,FALSE)</f>
        <v>1.1240965147015685</v>
      </c>
      <c r="T31" s="19">
        <f t="shared" si="8"/>
        <v>237878507.62108773</v>
      </c>
      <c r="U31" s="22">
        <f t="shared" si="9"/>
        <v>16594.485986970401</v>
      </c>
      <c r="V31" s="88">
        <f>IFERROR(VLOOKUP(A32,'PAU Volume'!AX:AZ,3,FALSE)-VLOOKUP(A32,'PAU Volume'!#REF!,4,FALSE)+VLOOKUP(A32,'PAU Volume'!#REF!,2,FALSE),0)*0</f>
        <v>0</v>
      </c>
      <c r="W31" s="79">
        <f t="shared" si="10"/>
        <v>14334.792159748988</v>
      </c>
      <c r="X31" s="15">
        <f t="shared" si="11"/>
        <v>237878507.62108776</v>
      </c>
      <c r="Y31" s="11">
        <f>VLOOKUP(A31,'Rate Application - REM Cycle I'!$1:$65535,7,FALSE)</f>
        <v>263996559.9878093</v>
      </c>
      <c r="Z31" s="78">
        <f t="shared" si="12"/>
        <v>-9.8933305676133121E-2</v>
      </c>
      <c r="AA31" s="82">
        <f>IFERROR(VLOOKUP(A31,'GBR Revenue for ICC'!#REF!,17,FALSE),0)</f>
        <v>0</v>
      </c>
      <c r="AB31" s="82">
        <f t="shared" si="13"/>
        <v>0</v>
      </c>
      <c r="AC31" s="11">
        <f t="shared" si="14"/>
        <v>263996559.9878093</v>
      </c>
      <c r="AD31" s="11">
        <f t="shared" si="15"/>
        <v>237878507.62108776</v>
      </c>
      <c r="AE31" s="10">
        <v>1</v>
      </c>
      <c r="AG31" s="271"/>
    </row>
    <row r="32" spans="1:33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IF(C32=1,'Rate Application - REM Cycle I'!$X$65,IF(C32=3,'Rate Application - REM Cycle I'!$X$66,IF(C32=4,'Rate Application - REM Cycle I'!$X$67,IF(C32=5,'Rate Application - REM Cycle I'!$X$68,0))))</f>
        <v>14752.82215273459</v>
      </c>
      <c r="E32" s="87">
        <v>0</v>
      </c>
      <c r="F32" s="87">
        <v>0</v>
      </c>
      <c r="G32" s="87">
        <f t="shared" si="0"/>
        <v>0</v>
      </c>
      <c r="H32" s="87">
        <f t="shared" si="1"/>
        <v>14752.82215273459</v>
      </c>
      <c r="I32" s="65">
        <f>VLOOKUP(A32,'Rate Application - REM Cycle I'!$1:$65535,15,FALSE)</f>
        <v>10658.398211444006</v>
      </c>
      <c r="J32" s="19">
        <f>VLOOKUP(A32,'Rate Application - REM Cycle I'!$1:$65535,20,FALSE)</f>
        <v>458.6754750324082</v>
      </c>
      <c r="K32" s="11">
        <f t="shared" si="2"/>
        <v>15211.497627766999</v>
      </c>
      <c r="L32" s="11">
        <f t="shared" si="3"/>
        <v>162130199.10917652</v>
      </c>
      <c r="M32" s="36">
        <f>VLOOKUP(A32,'Variable Input'!$1:$1048576,23,FALSE)</f>
        <v>0.99671861092415948</v>
      </c>
      <c r="N32" s="22">
        <f t="shared" si="4"/>
        <v>161598186.8449558</v>
      </c>
      <c r="O32" s="19">
        <f t="shared" si="5"/>
        <v>15161.582785624068</v>
      </c>
      <c r="P32" s="18">
        <f>VLOOKUP(A32,'Rate Application - REM Cycle I'!$1:$65535,11,FALSE)</f>
        <v>2754406.3071728726</v>
      </c>
      <c r="Q32" s="18">
        <f t="shared" si="6"/>
        <v>164352593.15212867</v>
      </c>
      <c r="R32" s="19">
        <f t="shared" si="7"/>
        <v>15420.008700337541</v>
      </c>
      <c r="S32" s="81">
        <f>VLOOKUP(A32,'Rate Application - REM Cycle I'!$1:$65535,9,FALSE)</f>
        <v>1.1259331913445376</v>
      </c>
      <c r="T32" s="19">
        <f t="shared" si="8"/>
        <v>185050039.71352664</v>
      </c>
      <c r="U32" s="22">
        <f t="shared" si="9"/>
        <v>17361.899606531584</v>
      </c>
      <c r="V32" s="88">
        <f>IFERROR(VLOOKUP(A33,'PAU Volume'!AX:AZ,3,FALSE)-VLOOKUP(A33,'PAU Volume'!#REF!,4,FALSE)+VLOOKUP(A33,'PAU Volume'!#REF!,2,FALSE),0)*0</f>
        <v>0</v>
      </c>
      <c r="W32" s="79">
        <f t="shared" si="10"/>
        <v>10658.398211444006</v>
      </c>
      <c r="X32" s="15">
        <f t="shared" si="11"/>
        <v>185050039.71352664</v>
      </c>
      <c r="Y32" s="11">
        <f>VLOOKUP(A32,'Rate Application - REM Cycle I'!$1:$65535,7,FALSE)</f>
        <v>245342788.39216566</v>
      </c>
      <c r="Z32" s="78">
        <f t="shared" si="12"/>
        <v>-0.24574901538277416</v>
      </c>
      <c r="AA32" s="82">
        <f>IFERROR(VLOOKUP(A32,'GBR Revenue for ICC'!#REF!,17,FALSE),0)</f>
        <v>0</v>
      </c>
      <c r="AB32" s="82">
        <f t="shared" si="13"/>
        <v>0</v>
      </c>
      <c r="AC32" s="11">
        <f t="shared" si="14"/>
        <v>245342788.39216566</v>
      </c>
      <c r="AD32" s="11">
        <f t="shared" si="15"/>
        <v>185050039.71352664</v>
      </c>
      <c r="AE32" s="10">
        <v>1</v>
      </c>
      <c r="AG32" s="271"/>
    </row>
    <row r="33" spans="1:33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IF(C33=1,'Rate Application - REM Cycle I'!$X$65,IF(C33=3,'Rate Application - REM Cycle I'!$X$66,IF(C33=4,'Rate Application - REM Cycle I'!$X$67,IF(C33=5,'Rate Application - REM Cycle I'!$X$68,0))))</f>
        <v>14752.82215273459</v>
      </c>
      <c r="E33" s="87">
        <v>0</v>
      </c>
      <c r="F33" s="87">
        <v>0</v>
      </c>
      <c r="G33" s="87">
        <f t="shared" si="0"/>
        <v>0</v>
      </c>
      <c r="H33" s="87">
        <f t="shared" si="1"/>
        <v>14752.82215273459</v>
      </c>
      <c r="I33" s="65">
        <f>VLOOKUP(A33,'Rate Application - REM Cycle I'!$1:$65535,15,FALSE)</f>
        <v>10412.594138032973</v>
      </c>
      <c r="J33" s="19">
        <f>VLOOKUP(A33,'Rate Application - REM Cycle I'!$1:$65535,20,FALSE)</f>
        <v>0</v>
      </c>
      <c r="K33" s="11">
        <f t="shared" si="2"/>
        <v>14752.82215273459</v>
      </c>
      <c r="L33" s="11">
        <f t="shared" si="3"/>
        <v>153615149.46700719</v>
      </c>
      <c r="M33" s="36">
        <f>VLOOKUP(A33,'Variable Input'!$1:$1048576,23,FALSE)</f>
        <v>0.99671861092415948</v>
      </c>
      <c r="N33" s="22">
        <f t="shared" si="4"/>
        <v>153111078.39366254</v>
      </c>
      <c r="O33" s="19">
        <f t="shared" si="5"/>
        <v>14704.41240328479</v>
      </c>
      <c r="P33" s="18">
        <f>VLOOKUP(A33,'Rate Application - REM Cycle I'!$1:$65535,11,FALSE)</f>
        <v>0</v>
      </c>
      <c r="Q33" s="18">
        <f t="shared" si="6"/>
        <v>153111078.39366254</v>
      </c>
      <c r="R33" s="19">
        <f t="shared" si="7"/>
        <v>14704.41240328479</v>
      </c>
      <c r="S33" s="81">
        <f>VLOOKUP(A33,'Rate Application - REM Cycle I'!$1:$65535,9,FALSE)</f>
        <v>1.1205505604288228</v>
      </c>
      <c r="T33" s="19">
        <f t="shared" si="8"/>
        <v>171568704.70187998</v>
      </c>
      <c r="U33" s="22">
        <f t="shared" si="9"/>
        <v>16477.037559277305</v>
      </c>
      <c r="V33" s="88">
        <f>IFERROR(VLOOKUP(A34,'PAU Volume'!AX:AZ,3,FALSE)-VLOOKUP(A34,'PAU Volume'!#REF!,4,FALSE)+VLOOKUP(A34,'PAU Volume'!#REF!,2,FALSE),0)*0</f>
        <v>0</v>
      </c>
      <c r="W33" s="79">
        <f t="shared" si="10"/>
        <v>10412.594138032973</v>
      </c>
      <c r="X33" s="15">
        <f t="shared" si="11"/>
        <v>171568704.70188001</v>
      </c>
      <c r="Y33" s="11">
        <f>VLOOKUP(A33,'Rate Application - REM Cycle I'!$1:$65535,7,FALSE)</f>
        <v>167288474.26448706</v>
      </c>
      <c r="Z33" s="78">
        <f t="shared" si="12"/>
        <v>2.558592548716665E-2</v>
      </c>
      <c r="AA33" s="82">
        <f>IFERROR(VLOOKUP(A33,'GBR Revenue for ICC'!#REF!,17,FALSE),0)</f>
        <v>0</v>
      </c>
      <c r="AB33" s="82">
        <f t="shared" si="13"/>
        <v>0</v>
      </c>
      <c r="AC33" s="11">
        <f t="shared" si="14"/>
        <v>167288474.26448706</v>
      </c>
      <c r="AD33" s="11">
        <f t="shared" si="15"/>
        <v>171568704.70188001</v>
      </c>
      <c r="AE33" s="10">
        <v>1</v>
      </c>
      <c r="AG33" s="271"/>
    </row>
    <row r="34" spans="1:33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IF(C34=1,'Rate Application - REM Cycle I'!$X$65,IF(C34=3,'Rate Application - REM Cycle I'!$X$66,IF(C34=4,'Rate Application - REM Cycle I'!$X$67,IF(C34=5,'Rate Application - REM Cycle I'!$X$68,0))))</f>
        <v>14752.82215273459</v>
      </c>
      <c r="E34" s="87">
        <v>0</v>
      </c>
      <c r="F34" s="87">
        <v>0</v>
      </c>
      <c r="G34" s="87">
        <f t="shared" si="0"/>
        <v>0</v>
      </c>
      <c r="H34" s="87">
        <f t="shared" si="1"/>
        <v>14752.82215273459</v>
      </c>
      <c r="I34" s="65">
        <f>VLOOKUP(A34,'Rate Application - REM Cycle I'!$1:$65535,15,FALSE)</f>
        <v>15965.725843327995</v>
      </c>
      <c r="J34" s="19">
        <f>VLOOKUP(A34,'Rate Application - REM Cycle I'!$1:$65535,20,FALSE)</f>
        <v>0</v>
      </c>
      <c r="K34" s="11">
        <f t="shared" si="2"/>
        <v>14752.82215273459</v>
      </c>
      <c r="L34" s="11">
        <f t="shared" si="3"/>
        <v>235539513.90593639</v>
      </c>
      <c r="M34" s="36">
        <f>VLOOKUP(A34,'Variable Input'!$1:$1048576,23,FALSE)</f>
        <v>0.99671861092415948</v>
      </c>
      <c r="N34" s="22">
        <f t="shared" si="4"/>
        <v>234766617.11807665</v>
      </c>
      <c r="O34" s="19">
        <f t="shared" si="5"/>
        <v>14704.412403284789</v>
      </c>
      <c r="P34" s="18">
        <f>VLOOKUP(A34,'Rate Application - REM Cycle I'!$1:$65535,11,FALSE)</f>
        <v>0</v>
      </c>
      <c r="Q34" s="18">
        <f t="shared" si="6"/>
        <v>234766617.11807665</v>
      </c>
      <c r="R34" s="19">
        <f t="shared" si="7"/>
        <v>14704.412403284789</v>
      </c>
      <c r="S34" s="81">
        <f>VLOOKUP(A34,'Rate Application - REM Cycle I'!$1:$65535,9,FALSE)</f>
        <v>1.120710322524318</v>
      </c>
      <c r="T34" s="19">
        <f t="shared" si="8"/>
        <v>263105371.18834275</v>
      </c>
      <c r="U34" s="22">
        <f t="shared" si="9"/>
        <v>16479.386767015876</v>
      </c>
      <c r="V34" s="88">
        <f>IFERROR(VLOOKUP(A35,'PAU Volume'!AX:AZ,3,FALSE)-VLOOKUP(A35,'PAU Volume'!#REF!,4,FALSE)+VLOOKUP(A35,'PAU Volume'!#REF!,2,FALSE),0)*0</f>
        <v>0</v>
      </c>
      <c r="W34" s="79">
        <f t="shared" si="10"/>
        <v>15965.725843327995</v>
      </c>
      <c r="X34" s="15">
        <f t="shared" si="11"/>
        <v>263105371.18834275</v>
      </c>
      <c r="Y34" s="11">
        <f>VLOOKUP(A34,'Rate Application - REM Cycle I'!$1:$65535,7,FALSE)</f>
        <v>293088731.67995536</v>
      </c>
      <c r="Z34" s="78">
        <f t="shared" si="12"/>
        <v>-0.10230130759292921</v>
      </c>
      <c r="AA34" s="82">
        <f>IFERROR(VLOOKUP(A34,'GBR Revenue for ICC'!#REF!,17,FALSE),0)</f>
        <v>0</v>
      </c>
      <c r="AB34" s="82">
        <f t="shared" si="13"/>
        <v>0</v>
      </c>
      <c r="AC34" s="11">
        <f t="shared" si="14"/>
        <v>293088731.67995536</v>
      </c>
      <c r="AD34" s="11">
        <f t="shared" si="15"/>
        <v>263105371.18834275</v>
      </c>
      <c r="AE34" s="10">
        <v>1</v>
      </c>
      <c r="AG34" s="271"/>
    </row>
    <row r="35" spans="1:33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IF(C35=1,'Rate Application - REM Cycle I'!$X$65,IF(C35=3,'Rate Application - REM Cycle I'!$X$66,IF(C35=4,'Rate Application - REM Cycle I'!$X$67,IF(C35=5,'Rate Application - REM Cycle I'!$X$68,0))))</f>
        <v>14752.82215273459</v>
      </c>
      <c r="E35" s="87">
        <v>0</v>
      </c>
      <c r="F35" s="87">
        <v>0</v>
      </c>
      <c r="G35" s="87">
        <f t="shared" ref="G35:G54" si="16">IF(C35=1,$F$71,IF(C35=3,$F$66,IF(C35=4,$F$67,IF(C35=5,$F$74,0))))*0</f>
        <v>0</v>
      </c>
      <c r="H35" s="87">
        <f t="shared" si="1"/>
        <v>14752.82215273459</v>
      </c>
      <c r="I35" s="65">
        <f>VLOOKUP(A35,'Rate Application - REM Cycle I'!$1:$65535,15,FALSE)</f>
        <v>30943.516611114035</v>
      </c>
      <c r="J35" s="19">
        <f>VLOOKUP(A35,'Rate Application - REM Cycle I'!$1:$65535,20,FALSE)</f>
        <v>21.316398664597084</v>
      </c>
      <c r="K35" s="11">
        <f t="shared" si="2"/>
        <v>14774.138551399188</v>
      </c>
      <c r="L35" s="11">
        <f t="shared" si="3"/>
        <v>457163801.680121</v>
      </c>
      <c r="M35" s="36">
        <f>VLOOKUP(A35,'Variable Input'!$1:$1048576,23,FALSE)</f>
        <v>0.99671861092415948</v>
      </c>
      <c r="N35" s="22">
        <f t="shared" si="4"/>
        <v>455663669.37541813</v>
      </c>
      <c r="O35" s="19">
        <f t="shared" si="5"/>
        <v>14725.658854551672</v>
      </c>
      <c r="P35" s="18">
        <f>VLOOKUP(A35,'Rate Application - REM Cycle I'!$1:$65535,11,FALSE)</f>
        <v>751420.3248961916</v>
      </c>
      <c r="Q35" s="18">
        <f t="shared" si="6"/>
        <v>456415089.70031434</v>
      </c>
      <c r="R35" s="19">
        <f t="shared" si="7"/>
        <v>14749.942465698387</v>
      </c>
      <c r="S35" s="81">
        <f>VLOOKUP(A35,'Rate Application - REM Cycle I'!$1:$65535,9,FALSE)</f>
        <v>1.1174861425645124</v>
      </c>
      <c r="T35" s="19">
        <f t="shared" si="8"/>
        <v>510037537.99744016</v>
      </c>
      <c r="U35" s="22">
        <f t="shared" si="9"/>
        <v>16482.856309041781</v>
      </c>
      <c r="V35" s="88">
        <f>IFERROR(VLOOKUP(A36,'PAU Volume'!AX:AZ,3,FALSE)-VLOOKUP(A36,'PAU Volume'!#REF!,4,FALSE)+VLOOKUP(A36,'PAU Volume'!#REF!,2,FALSE),0)*0</f>
        <v>0</v>
      </c>
      <c r="W35" s="79">
        <f t="shared" si="10"/>
        <v>30943.516611114035</v>
      </c>
      <c r="X35" s="15">
        <f t="shared" si="11"/>
        <v>510037537.9974401</v>
      </c>
      <c r="Y35" s="11">
        <f>VLOOKUP(A35,'Rate Application - REM Cycle I'!$1:$65535,7,FALSE)</f>
        <v>494588494.72270107</v>
      </c>
      <c r="Z35" s="78">
        <f t="shared" si="12"/>
        <v>3.1236155793314069E-2</v>
      </c>
      <c r="AA35" s="82">
        <f>IFERROR(VLOOKUP(A35,'GBR Revenue for ICC'!#REF!,17,FALSE),0)</f>
        <v>0</v>
      </c>
      <c r="AB35" s="82">
        <f t="shared" si="13"/>
        <v>0</v>
      </c>
      <c r="AC35" s="11">
        <f t="shared" si="14"/>
        <v>494588494.72270107</v>
      </c>
      <c r="AD35" s="11">
        <f t="shared" si="15"/>
        <v>510037537.9974401</v>
      </c>
      <c r="AE35" s="10">
        <v>1</v>
      </c>
      <c r="AG35" s="271"/>
    </row>
    <row r="36" spans="1:33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IF(C36=1,'Rate Application - REM Cycle I'!$X$65,IF(C36=3,'Rate Application - REM Cycle I'!$X$66,IF(C36=4,'Rate Application - REM Cycle I'!$X$67,IF(C36=5,'Rate Application - REM Cycle I'!$X$68,0))))</f>
        <v>14752.82215273459</v>
      </c>
      <c r="E36" s="87">
        <v>0</v>
      </c>
      <c r="F36" s="87">
        <v>0</v>
      </c>
      <c r="G36" s="87">
        <f t="shared" si="16"/>
        <v>0</v>
      </c>
      <c r="H36" s="87">
        <f t="shared" si="1"/>
        <v>14752.82215273459</v>
      </c>
      <c r="I36" s="65">
        <f>VLOOKUP(A36,'Rate Application - REM Cycle I'!$1:$65535,15,FALSE)</f>
        <v>30637.922123716067</v>
      </c>
      <c r="J36" s="19">
        <f>VLOOKUP(A36,'Rate Application - REM Cycle I'!$1:$65535,20,FALSE)</f>
        <v>249.73659338390533</v>
      </c>
      <c r="K36" s="11">
        <f t="shared" si="2"/>
        <v>15002.558746118495</v>
      </c>
      <c r="L36" s="11">
        <f t="shared" si="3"/>
        <v>459647226.5200538</v>
      </c>
      <c r="M36" s="36">
        <f>VLOOKUP(A36,'Variable Input'!$1:$1048576,23,FALSE)</f>
        <v>0.99671861092415948</v>
      </c>
      <c r="N36" s="22">
        <f t="shared" si="4"/>
        <v>458138945.13221049</v>
      </c>
      <c r="O36" s="19">
        <f t="shared" si="5"/>
        <v>14953.329513739325</v>
      </c>
      <c r="P36" s="18">
        <f>VLOOKUP(A36,'Rate Application - REM Cycle I'!$1:$65535,11,FALSE)</f>
        <v>7270460.1939369692</v>
      </c>
      <c r="Q36" s="18">
        <f t="shared" si="6"/>
        <v>465409405.32614744</v>
      </c>
      <c r="R36" s="19">
        <f t="shared" si="7"/>
        <v>15190.632166464233</v>
      </c>
      <c r="S36" s="81">
        <f>VLOOKUP(A36,'Rate Application - REM Cycle I'!$1:$65535,9,FALSE)</f>
        <v>1.1074866213835981</v>
      </c>
      <c r="T36" s="19">
        <f t="shared" si="8"/>
        <v>515434689.86480457</v>
      </c>
      <c r="U36" s="22">
        <f t="shared" si="9"/>
        <v>16823.421894718478</v>
      </c>
      <c r="V36" s="88">
        <f>IFERROR(VLOOKUP(A37,'PAU Volume'!AX:AZ,3,FALSE)-VLOOKUP(A37,'PAU Volume'!#REF!,4,FALSE)+VLOOKUP(A37,'PAU Volume'!#REF!,2,FALSE),0)*0</f>
        <v>0</v>
      </c>
      <c r="W36" s="79">
        <f t="shared" si="10"/>
        <v>30637.922123716067</v>
      </c>
      <c r="X36" s="15">
        <f t="shared" si="11"/>
        <v>515434689.86480457</v>
      </c>
      <c r="Y36" s="11">
        <f>VLOOKUP(A36,'Rate Application - REM Cycle I'!$1:$65535,7,FALSE)</f>
        <v>487480078.48555809</v>
      </c>
      <c r="Z36" s="78">
        <f t="shared" si="12"/>
        <v>5.7345135961437421E-2</v>
      </c>
      <c r="AA36" s="82">
        <f>IFERROR(VLOOKUP(A36,'GBR Revenue for ICC'!#REF!,17,FALSE),0)</f>
        <v>0</v>
      </c>
      <c r="AB36" s="82">
        <f t="shared" si="13"/>
        <v>0</v>
      </c>
      <c r="AC36" s="11">
        <f t="shared" si="14"/>
        <v>487480078.48555809</v>
      </c>
      <c r="AD36" s="11">
        <f t="shared" si="15"/>
        <v>515434689.86480457</v>
      </c>
      <c r="AE36" s="10">
        <v>1</v>
      </c>
      <c r="AG36" s="271"/>
    </row>
    <row r="37" spans="1:33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IF(C37=1,'Rate Application - REM Cycle I'!$X$65,IF(C37=3,'Rate Application - REM Cycle I'!$X$66,IF(C37=4,'Rate Application - REM Cycle I'!$X$67,IF(C37=5,'Rate Application - REM Cycle I'!$X$68,0))))</f>
        <v>0</v>
      </c>
      <c r="E37" s="87">
        <v>0</v>
      </c>
      <c r="F37" s="87">
        <v>0</v>
      </c>
      <c r="G37" s="87">
        <f t="shared" si="16"/>
        <v>0</v>
      </c>
      <c r="H37" s="87">
        <f t="shared" si="1"/>
        <v>0</v>
      </c>
      <c r="I37" s="65">
        <f>VLOOKUP(A37,'Rate Application - REM Cycle I'!$1:$65535,15,FALSE)</f>
        <v>566.52872944799947</v>
      </c>
      <c r="J37" s="19">
        <f>VLOOKUP(A37,'Rate Application - REM Cycle I'!$1:$65535,20,FALSE)</f>
        <v>0</v>
      </c>
      <c r="K37" s="11">
        <f t="shared" si="2"/>
        <v>0</v>
      </c>
      <c r="L37" s="11">
        <f t="shared" si="3"/>
        <v>0</v>
      </c>
      <c r="M37" s="36">
        <f>VLOOKUP(A37,'Variable Input'!$1:$1048576,23,FALSE)</f>
        <v>0.99671861092415948</v>
      </c>
      <c r="N37" s="22">
        <f t="shared" si="4"/>
        <v>0</v>
      </c>
      <c r="O37" s="19">
        <f t="shared" si="5"/>
        <v>0</v>
      </c>
      <c r="P37" s="18">
        <f>VLOOKUP(A37,'Rate Application - REM Cycle I'!$1:$65535,11,FALSE)</f>
        <v>0</v>
      </c>
      <c r="Q37" s="18">
        <f t="shared" si="6"/>
        <v>0</v>
      </c>
      <c r="R37" s="19">
        <f t="shared" si="7"/>
        <v>0</v>
      </c>
      <c r="S37" s="81">
        <f>VLOOKUP(A37,'Rate Application - REM Cycle I'!$1:$65535,9,FALSE)</f>
        <v>1.1235285459397526</v>
      </c>
      <c r="T37" s="19">
        <f t="shared" si="8"/>
        <v>0</v>
      </c>
      <c r="U37" s="22">
        <f t="shared" si="9"/>
        <v>0</v>
      </c>
      <c r="V37" s="88">
        <f>IFERROR(VLOOKUP(A38,'PAU Volume'!AX:AZ,3,FALSE)-VLOOKUP(A38,'PAU Volume'!#REF!,4,FALSE)+VLOOKUP(A38,'PAU Volume'!#REF!,2,FALSE),0)*0</f>
        <v>0</v>
      </c>
      <c r="W37" s="79">
        <f t="shared" si="10"/>
        <v>566.52872944799947</v>
      </c>
      <c r="X37" s="15">
        <f t="shared" si="11"/>
        <v>0</v>
      </c>
      <c r="Y37" s="11">
        <f>VLOOKUP(A37,'Rate Application - REM Cycle I'!$1:$65535,7,FALSE)</f>
        <v>6750663.1586297443</v>
      </c>
      <c r="Z37" s="78">
        <f t="shared" si="12"/>
        <v>-1</v>
      </c>
      <c r="AA37" s="82">
        <f>IFERROR(VLOOKUP(A37,'GBR Revenue for ICC'!#REF!,17,FALSE),0)</f>
        <v>0</v>
      </c>
      <c r="AB37" s="82">
        <f t="shared" si="13"/>
        <v>0</v>
      </c>
      <c r="AC37" s="11">
        <f t="shared" si="14"/>
        <v>6750663.1586297443</v>
      </c>
      <c r="AD37" s="11">
        <f t="shared" si="15"/>
        <v>0</v>
      </c>
      <c r="AE37" s="10">
        <v>1</v>
      </c>
      <c r="AG37" s="271"/>
    </row>
    <row r="38" spans="1:33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IF(C38=1,'Rate Application - REM Cycle I'!$X$65,IF(C38=3,'Rate Application - REM Cycle I'!$X$66,IF(C38=4,'Rate Application - REM Cycle I'!$X$67,IF(C38=5,'Rate Application - REM Cycle I'!$X$68,0))))</f>
        <v>14752.82215273459</v>
      </c>
      <c r="E38" s="87">
        <v>0</v>
      </c>
      <c r="F38" s="87">
        <v>0</v>
      </c>
      <c r="G38" s="87">
        <f t="shared" si="16"/>
        <v>0</v>
      </c>
      <c r="H38" s="87">
        <f t="shared" si="1"/>
        <v>14752.82215273459</v>
      </c>
      <c r="I38" s="65">
        <f>VLOOKUP(A38,'Rate Application - REM Cycle I'!$1:$65535,15,FALSE)</f>
        <v>24559.146065829038</v>
      </c>
      <c r="J38" s="19">
        <f>VLOOKUP(A38,'Rate Application - REM Cycle I'!$1:$65535,20,FALSE)</f>
        <v>0</v>
      </c>
      <c r="K38" s="11">
        <f t="shared" si="2"/>
        <v>14752.82215273459</v>
      </c>
      <c r="L38" s="11">
        <f t="shared" si="3"/>
        <v>362316714.13220721</v>
      </c>
      <c r="M38" s="36">
        <f>VLOOKUP(A38,'Variable Input'!$1:$1048576,23,FALSE)</f>
        <v>0.99671861092415948</v>
      </c>
      <c r="N38" s="22">
        <f t="shared" si="4"/>
        <v>361127812.02445936</v>
      </c>
      <c r="O38" s="19">
        <f t="shared" si="5"/>
        <v>14704.41240328479</v>
      </c>
      <c r="P38" s="18">
        <f>VLOOKUP(A38,'Rate Application - REM Cycle I'!$1:$65535,11,FALSE)</f>
        <v>0</v>
      </c>
      <c r="Q38" s="18">
        <f t="shared" si="6"/>
        <v>361127812.02445936</v>
      </c>
      <c r="R38" s="19">
        <f t="shared" si="7"/>
        <v>14704.41240328479</v>
      </c>
      <c r="S38" s="81">
        <f>VLOOKUP(A38,'Rate Application - REM Cycle I'!$1:$65535,9,FALSE)</f>
        <v>1.1035189993630976</v>
      </c>
      <c r="T38" s="19">
        <f t="shared" si="8"/>
        <v>398511401.76741618</v>
      </c>
      <c r="U38" s="22">
        <f t="shared" si="9"/>
        <v>16226.598461495152</v>
      </c>
      <c r="V38" s="88">
        <f>IFERROR(VLOOKUP(A39,'PAU Volume'!AX:AZ,3,FALSE)-VLOOKUP(A39,'PAU Volume'!#REF!,4,FALSE)+VLOOKUP(A39,'PAU Volume'!#REF!,2,FALSE),0)*0</f>
        <v>0</v>
      </c>
      <c r="W38" s="79">
        <f t="shared" si="10"/>
        <v>24559.146065829038</v>
      </c>
      <c r="X38" s="15">
        <f t="shared" si="11"/>
        <v>398511401.76741618</v>
      </c>
      <c r="Y38" s="11">
        <f>VLOOKUP(A38,'Rate Application - REM Cycle I'!$1:$65535,7,FALSE)</f>
        <v>347364244.13401937</v>
      </c>
      <c r="Z38" s="78">
        <f t="shared" si="12"/>
        <v>0.14724358795450265</v>
      </c>
      <c r="AA38" s="82">
        <f>IFERROR(VLOOKUP(A38,'GBR Revenue for ICC'!#REF!,17,FALSE),0)</f>
        <v>0</v>
      </c>
      <c r="AB38" s="82">
        <f t="shared" si="13"/>
        <v>0</v>
      </c>
      <c r="AC38" s="11">
        <f t="shared" si="14"/>
        <v>347364244.13401937</v>
      </c>
      <c r="AD38" s="11">
        <f t="shared" si="15"/>
        <v>398511401.76741618</v>
      </c>
      <c r="AE38" s="10">
        <v>1</v>
      </c>
      <c r="AG38" s="271"/>
    </row>
    <row r="39" spans="1:33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IF(C39=1,'Rate Application - REM Cycle I'!$X$65,IF(C39=3,'Rate Application - REM Cycle I'!$X$66,IF(C39=4,'Rate Application - REM Cycle I'!$X$67,IF(C39=5,'Rate Application - REM Cycle I'!$X$68,0))))</f>
        <v>14752.82215273459</v>
      </c>
      <c r="E39" s="87">
        <v>0</v>
      </c>
      <c r="F39" s="87">
        <v>0</v>
      </c>
      <c r="G39" s="87">
        <f t="shared" si="16"/>
        <v>0</v>
      </c>
      <c r="H39" s="87">
        <f t="shared" si="1"/>
        <v>14752.82215273459</v>
      </c>
      <c r="I39" s="65">
        <f>VLOOKUP(A39,'Rate Application - REM Cycle I'!$1:$65535,15,FALSE)</f>
        <v>24233.031990069048</v>
      </c>
      <c r="J39" s="19">
        <f>VLOOKUP(A39,'Rate Application - REM Cycle I'!$1:$65535,20,FALSE)</f>
        <v>0</v>
      </c>
      <c r="K39" s="11">
        <f t="shared" si="2"/>
        <v>14752.82215273459</v>
      </c>
      <c r="L39" s="11">
        <f t="shared" si="3"/>
        <v>357505611.17101663</v>
      </c>
      <c r="M39" s="36">
        <f>VLOOKUP(A39,'Variable Input'!$1:$1048576,23,FALSE)</f>
        <v>0.99671861092415948</v>
      </c>
      <c r="N39" s="22">
        <f t="shared" si="4"/>
        <v>356332496.16396838</v>
      </c>
      <c r="O39" s="19">
        <f t="shared" si="5"/>
        <v>14704.412403284789</v>
      </c>
      <c r="P39" s="18">
        <f>VLOOKUP(A39,'Rate Application - REM Cycle I'!$1:$65535,11,FALSE)</f>
        <v>0</v>
      </c>
      <c r="Q39" s="18">
        <f t="shared" si="6"/>
        <v>356332496.16396838</v>
      </c>
      <c r="R39" s="19">
        <f t="shared" si="7"/>
        <v>14704.412403284789</v>
      </c>
      <c r="S39" s="81">
        <f>VLOOKUP(A39,'Rate Application - REM Cycle I'!$1:$65535,9,FALSE)</f>
        <v>1.1147926720978587</v>
      </c>
      <c r="T39" s="19">
        <f t="shared" si="8"/>
        <v>397236855.55393028</v>
      </c>
      <c r="U39" s="22">
        <f t="shared" si="9"/>
        <v>16392.371194686744</v>
      </c>
      <c r="V39" s="88">
        <f>IFERROR(VLOOKUP(A40,'PAU Volume'!AX:AZ,3,FALSE)-VLOOKUP(A40,'PAU Volume'!#REF!,4,FALSE)+VLOOKUP(A40,'PAU Volume'!#REF!,2,FALSE),0)*0</f>
        <v>0</v>
      </c>
      <c r="W39" s="79">
        <f t="shared" si="10"/>
        <v>24233.031990069048</v>
      </c>
      <c r="X39" s="15">
        <f t="shared" si="11"/>
        <v>397236855.55393028</v>
      </c>
      <c r="Y39" s="11">
        <f>VLOOKUP(A39,'Rate Application - REM Cycle I'!$1:$65535,7,FALSE)</f>
        <v>360755199.70698422</v>
      </c>
      <c r="Z39" s="78">
        <f t="shared" si="12"/>
        <v>0.10112579354802786</v>
      </c>
      <c r="AA39" s="82">
        <f>IFERROR(VLOOKUP(A39,'GBR Revenue for ICC'!#REF!,17,FALSE),0)</f>
        <v>0</v>
      </c>
      <c r="AB39" s="82">
        <f t="shared" si="13"/>
        <v>0</v>
      </c>
      <c r="AC39" s="11">
        <f t="shared" si="14"/>
        <v>360755199.70698422</v>
      </c>
      <c r="AD39" s="11">
        <f t="shared" si="15"/>
        <v>397236855.55393028</v>
      </c>
      <c r="AE39" s="10">
        <v>1</v>
      </c>
      <c r="AG39" s="271"/>
    </row>
    <row r="40" spans="1:33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IF(C40=1,'Rate Application - REM Cycle I'!$X$65,IF(C40=3,'Rate Application - REM Cycle I'!$X$66,IF(C40=4,'Rate Application - REM Cycle I'!$X$67,IF(C40=5,'Rate Application - REM Cycle I'!$X$68,0))))</f>
        <v>14752.82215273459</v>
      </c>
      <c r="E40" s="87">
        <v>0</v>
      </c>
      <c r="F40" s="87">
        <v>0</v>
      </c>
      <c r="G40" s="87">
        <f t="shared" si="16"/>
        <v>0</v>
      </c>
      <c r="H40" s="87">
        <f t="shared" si="1"/>
        <v>14752.82215273459</v>
      </c>
      <c r="I40" s="65">
        <f>VLOOKUP(A40,'Rate Application - REM Cycle I'!$1:$65535,15,FALSE)</f>
        <v>15907.038226505023</v>
      </c>
      <c r="J40" s="19">
        <f>VLOOKUP(A40,'Rate Application - REM Cycle I'!$1:$65535,20,FALSE)</f>
        <v>0</v>
      </c>
      <c r="K40" s="11">
        <f t="shared" si="2"/>
        <v>14752.82215273459</v>
      </c>
      <c r="L40" s="11">
        <f t="shared" si="3"/>
        <v>234673705.93237925</v>
      </c>
      <c r="M40" s="36">
        <f>VLOOKUP(A40,'Variable Input'!$1:$1048576,23,FALSE)</f>
        <v>1.0181752931904677</v>
      </c>
      <c r="N40" s="22">
        <f t="shared" si="4"/>
        <v>238938969.34179384</v>
      </c>
      <c r="O40" s="19">
        <f t="shared" si="5"/>
        <v>15020.959020747368</v>
      </c>
      <c r="P40" s="18">
        <f>VLOOKUP(A40,'Rate Application - REM Cycle I'!$1:$65535,11,FALSE)</f>
        <v>0</v>
      </c>
      <c r="Q40" s="18">
        <f t="shared" si="6"/>
        <v>238938969.34179384</v>
      </c>
      <c r="R40" s="19">
        <f t="shared" si="7"/>
        <v>15020.959020747368</v>
      </c>
      <c r="S40" s="81">
        <f>VLOOKUP(A40,'Rate Application - REM Cycle I'!$1:$65535,9,FALSE)</f>
        <v>1.1175427593245362</v>
      </c>
      <c r="T40" s="19">
        <f t="shared" si="8"/>
        <v>267024515.10838905</v>
      </c>
      <c r="U40" s="22">
        <f t="shared" si="9"/>
        <v>16786.563991746796</v>
      </c>
      <c r="V40" s="88">
        <f>IFERROR(VLOOKUP(A41,'PAU Volume'!AX:AZ,3,FALSE)-VLOOKUP(A41,'PAU Volume'!#REF!,4,FALSE)+VLOOKUP(A41,'PAU Volume'!#REF!,2,FALSE),0)*0</f>
        <v>0</v>
      </c>
      <c r="W40" s="79">
        <f t="shared" si="10"/>
        <v>15907.038226505023</v>
      </c>
      <c r="X40" s="15">
        <f t="shared" si="11"/>
        <v>267024515.10838902</v>
      </c>
      <c r="Y40" s="11">
        <f>VLOOKUP(A40,'Rate Application - REM Cycle I'!$1:$65535,7,FALSE)</f>
        <v>285985121.35552841</v>
      </c>
      <c r="Z40" s="78">
        <f t="shared" si="12"/>
        <v>-6.6299275141548764E-2</v>
      </c>
      <c r="AA40" s="82">
        <f>IFERROR(VLOOKUP(A40,'GBR Revenue for ICC'!#REF!,17,FALSE),0)</f>
        <v>0</v>
      </c>
      <c r="AB40" s="82">
        <f t="shared" si="13"/>
        <v>0</v>
      </c>
      <c r="AC40" s="11">
        <f t="shared" si="14"/>
        <v>285985121.35552841</v>
      </c>
      <c r="AD40" s="11">
        <f t="shared" si="15"/>
        <v>267024515.10838902</v>
      </c>
      <c r="AE40" s="10">
        <v>1</v>
      </c>
      <c r="AG40" s="271"/>
    </row>
    <row r="41" spans="1:33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IF(C41=1,'Rate Application - REM Cycle I'!$X$65,IF(C41=3,'Rate Application - REM Cycle I'!$X$66,IF(C41=4,'Rate Application - REM Cycle I'!$X$67,IF(C41=5,'Rate Application - REM Cycle I'!$X$68,0))))</f>
        <v>0</v>
      </c>
      <c r="E41" s="87">
        <v>0</v>
      </c>
      <c r="F41" s="87">
        <v>0</v>
      </c>
      <c r="G41" s="87">
        <f t="shared" si="16"/>
        <v>0</v>
      </c>
      <c r="H41" s="87">
        <f t="shared" si="1"/>
        <v>0</v>
      </c>
      <c r="I41" s="65">
        <f>VLOOKUP(A41,'Rate Application - REM Cycle I'!$1:$65535,15,FALSE)</f>
        <v>1984.4844588999965</v>
      </c>
      <c r="J41" s="19">
        <f>VLOOKUP(A41,'Rate Application - REM Cycle I'!$1:$65535,20,FALSE)</f>
        <v>0</v>
      </c>
      <c r="K41" s="11">
        <f t="shared" si="2"/>
        <v>0</v>
      </c>
      <c r="L41" s="11">
        <f t="shared" si="3"/>
        <v>0</v>
      </c>
      <c r="M41" s="36">
        <f>VLOOKUP(A41,'Variable Input'!$1:$1048576,23,FALSE)</f>
        <v>1.0181752931904677</v>
      </c>
      <c r="N41" s="22">
        <f t="shared" si="4"/>
        <v>0</v>
      </c>
      <c r="O41" s="19">
        <f t="shared" si="5"/>
        <v>0</v>
      </c>
      <c r="P41" s="18">
        <f>VLOOKUP(A41,'Rate Application - REM Cycle I'!$1:$65535,11,FALSE)</f>
        <v>141502.60406345228</v>
      </c>
      <c r="Q41" s="18">
        <f t="shared" si="6"/>
        <v>141502.60406345228</v>
      </c>
      <c r="R41" s="19">
        <f t="shared" si="7"/>
        <v>71.304465715940879</v>
      </c>
      <c r="S41" s="81">
        <f>VLOOKUP(A41,'Rate Application - REM Cycle I'!$1:$65535,9,FALSE)</f>
        <v>1.2317684965243516</v>
      </c>
      <c r="T41" s="19">
        <f t="shared" si="8"/>
        <v>174298.44986151921</v>
      </c>
      <c r="U41" s="22">
        <f t="shared" si="9"/>
        <v>87.830594530396667</v>
      </c>
      <c r="V41" s="88">
        <f>IFERROR(VLOOKUP(A42,'PAU Volume'!AX:AZ,3,FALSE)-VLOOKUP(A42,'PAU Volume'!#REF!,4,FALSE)+VLOOKUP(A42,'PAU Volume'!#REF!,2,FALSE),0)*0</f>
        <v>0</v>
      </c>
      <c r="W41" s="79">
        <f t="shared" si="10"/>
        <v>1984.4844588999965</v>
      </c>
      <c r="X41" s="15">
        <f t="shared" si="11"/>
        <v>174298.44986151921</v>
      </c>
      <c r="Y41" s="11">
        <f>VLOOKUP(A41,'Rate Application - REM Cycle I'!$1:$65535,7,FALSE)</f>
        <v>40225326.036725186</v>
      </c>
      <c r="Z41" s="78">
        <f t="shared" si="12"/>
        <v>-0.99566694749217477</v>
      </c>
      <c r="AA41" s="82">
        <f>IFERROR(VLOOKUP(A41,'GBR Revenue for ICC'!#REF!,17,FALSE),0)</f>
        <v>0</v>
      </c>
      <c r="AB41" s="82">
        <f t="shared" si="13"/>
        <v>0</v>
      </c>
      <c r="AC41" s="11">
        <f t="shared" si="14"/>
        <v>40225326.036725186</v>
      </c>
      <c r="AD41" s="11">
        <f t="shared" si="15"/>
        <v>174298.44986151921</v>
      </c>
      <c r="AE41" s="10">
        <v>1</v>
      </c>
      <c r="AG41" s="271"/>
    </row>
    <row r="42" spans="1:33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IF(C42=1,'Rate Application - REM Cycle I'!$X$65,IF(C42=3,'Rate Application - REM Cycle I'!$X$66,IF(C42=4,'Rate Application - REM Cycle I'!$X$67,IF(C42=5,'Rate Application - REM Cycle I'!$X$68,0))))</f>
        <v>14752.82215273459</v>
      </c>
      <c r="E42" s="87">
        <v>0</v>
      </c>
      <c r="F42" s="87">
        <v>0</v>
      </c>
      <c r="G42" s="87">
        <f t="shared" si="16"/>
        <v>0</v>
      </c>
      <c r="H42" s="87">
        <f t="shared" si="1"/>
        <v>14752.82215273459</v>
      </c>
      <c r="I42" s="65">
        <f>VLOOKUP(A42,'Rate Application - REM Cycle I'!$1:$65535,15,FALSE)</f>
        <v>16881.552106553001</v>
      </c>
      <c r="J42" s="19">
        <f>VLOOKUP(A42,'Rate Application - REM Cycle I'!$1:$65535,20,FALSE)</f>
        <v>118.19803973248145</v>
      </c>
      <c r="K42" s="11">
        <f t="shared" si="2"/>
        <v>14871.020192467073</v>
      </c>
      <c r="L42" s="11">
        <f t="shared" si="3"/>
        <v>251045902.25673473</v>
      </c>
      <c r="M42" s="36">
        <f>VLOOKUP(A42,'Variable Input'!$1:$1048576,23,FALSE)</f>
        <v>0.99671861092415948</v>
      </c>
      <c r="N42" s="22">
        <f t="shared" si="4"/>
        <v>250222122.97553495</v>
      </c>
      <c r="O42" s="19">
        <f t="shared" si="5"/>
        <v>14822.222589260908</v>
      </c>
      <c r="P42" s="18">
        <f>VLOOKUP(A42,'Rate Application - REM Cycle I'!$1:$65535,11,FALSE)</f>
        <v>1799367.1419683334</v>
      </c>
      <c r="Q42" s="18">
        <f t="shared" si="6"/>
        <v>252021490.11750329</v>
      </c>
      <c r="R42" s="19">
        <f t="shared" si="7"/>
        <v>14928.810368074792</v>
      </c>
      <c r="S42" s="81">
        <f>VLOOKUP(A42,'Rate Application - REM Cycle I'!$1:$65535,9,FALSE)</f>
        <v>1.1293262174048309</v>
      </c>
      <c r="T42" s="19">
        <f t="shared" si="8"/>
        <v>284614476.13912892</v>
      </c>
      <c r="U42" s="22">
        <f t="shared" si="9"/>
        <v>16859.496943331924</v>
      </c>
      <c r="V42" s="88">
        <f>IFERROR(VLOOKUP(A43,'PAU Volume'!AX:AZ,3,FALSE)-VLOOKUP(A43,'PAU Volume'!#REF!,4,FALSE)+VLOOKUP(A43,'PAU Volume'!#REF!,2,FALSE),0)*0</f>
        <v>0</v>
      </c>
      <c r="W42" s="79">
        <f t="shared" si="10"/>
        <v>16881.552106553001</v>
      </c>
      <c r="X42" s="15">
        <f t="shared" si="11"/>
        <v>284614476.13912892</v>
      </c>
      <c r="Y42" s="11">
        <f>VLOOKUP(A42,'Rate Application - REM Cycle I'!$1:$65535,7,FALSE)</f>
        <v>303653479.39780694</v>
      </c>
      <c r="Z42" s="78">
        <f t="shared" si="12"/>
        <v>-6.2699769804829497E-2</v>
      </c>
      <c r="AA42" s="82">
        <f>IFERROR(VLOOKUP(A42,'GBR Revenue for ICC'!#REF!,17,FALSE),0)</f>
        <v>0</v>
      </c>
      <c r="AB42" s="82">
        <f t="shared" si="13"/>
        <v>0</v>
      </c>
      <c r="AC42" s="11">
        <f t="shared" si="14"/>
        <v>303653479.39780694</v>
      </c>
      <c r="AD42" s="11">
        <f t="shared" si="15"/>
        <v>284614476.13912892</v>
      </c>
      <c r="AE42" s="10">
        <v>1</v>
      </c>
    </row>
    <row r="43" spans="1:33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IF(C43=1,'Rate Application - REM Cycle I'!$X$65,IF(C43=3,'Rate Application - REM Cycle I'!$X$66,IF(C43=4,'Rate Application - REM Cycle I'!$X$67,IF(C43=5,'Rate Application - REM Cycle I'!$X$68,0))))</f>
        <v>14752.82215273459</v>
      </c>
      <c r="E43" s="87">
        <v>0</v>
      </c>
      <c r="F43" s="87">
        <v>0</v>
      </c>
      <c r="G43" s="87">
        <f t="shared" si="16"/>
        <v>0</v>
      </c>
      <c r="H43" s="87">
        <f t="shared" si="1"/>
        <v>14752.82215273459</v>
      </c>
      <c r="I43" s="65">
        <f>VLOOKUP(A43,'Rate Application - REM Cycle I'!$1:$65535,15,FALSE)</f>
        <v>29567.442541858047</v>
      </c>
      <c r="J43" s="19">
        <f>VLOOKUP(A43,'Rate Application - REM Cycle I'!$1:$65535,20,FALSE)</f>
        <v>0</v>
      </c>
      <c r="K43" s="11">
        <f t="shared" si="2"/>
        <v>14752.82215273459</v>
      </c>
      <c r="L43" s="11">
        <f t="shared" si="3"/>
        <v>436203221.33123052</v>
      </c>
      <c r="M43" s="36">
        <f>VLOOKUP(A43,'Variable Input'!$1:$1048576,23,FALSE)</f>
        <v>1.0181752931904677</v>
      </c>
      <c r="N43" s="22">
        <f t="shared" si="4"/>
        <v>444131342.76955211</v>
      </c>
      <c r="O43" s="19">
        <f t="shared" si="5"/>
        <v>15020.959020747368</v>
      </c>
      <c r="P43" s="18">
        <f>VLOOKUP(A43,'Rate Application - REM Cycle I'!$1:$65535,11,FALSE)</f>
        <v>0</v>
      </c>
      <c r="Q43" s="18">
        <f t="shared" si="6"/>
        <v>444131342.76955211</v>
      </c>
      <c r="R43" s="19">
        <f t="shared" si="7"/>
        <v>15020.959020747368</v>
      </c>
      <c r="S43" s="81">
        <f>VLOOKUP(A43,'Rate Application - REM Cycle I'!$1:$65535,9,FALSE)</f>
        <v>1.1115105879568932</v>
      </c>
      <c r="T43" s="19">
        <f t="shared" si="8"/>
        <v>493656689.93186933</v>
      </c>
      <c r="U43" s="22">
        <f t="shared" si="9"/>
        <v>16695.954992827305</v>
      </c>
      <c r="V43" s="88">
        <f>IFERROR(VLOOKUP(A44,'PAU Volume'!AX:AZ,3,FALSE)-VLOOKUP(A44,'PAU Volume'!#REF!,4,FALSE)+VLOOKUP(A44,'PAU Volume'!#REF!,2,FALSE),0)*0</f>
        <v>0</v>
      </c>
      <c r="W43" s="79">
        <f t="shared" si="10"/>
        <v>29567.442541858047</v>
      </c>
      <c r="X43" s="15">
        <f t="shared" si="11"/>
        <v>493656689.93186933</v>
      </c>
      <c r="Y43" s="11">
        <f>VLOOKUP(A43,'Rate Application - REM Cycle I'!$1:$65535,7,FALSE)</f>
        <v>501735159.42853135</v>
      </c>
      <c r="Z43" s="78">
        <f t="shared" si="12"/>
        <v>-1.6101063170185781E-2</v>
      </c>
      <c r="AA43" s="82">
        <f>IFERROR(VLOOKUP(A43,'GBR Revenue for ICC'!#REF!,17,FALSE),0)</f>
        <v>0</v>
      </c>
      <c r="AB43" s="82">
        <f t="shared" si="13"/>
        <v>0</v>
      </c>
      <c r="AC43" s="11">
        <f t="shared" si="14"/>
        <v>501735159.42853135</v>
      </c>
      <c r="AD43" s="11">
        <f t="shared" si="15"/>
        <v>493656689.93186933</v>
      </c>
      <c r="AE43" s="10">
        <v>1</v>
      </c>
    </row>
    <row r="44" spans="1:33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IF(C44=1,'Rate Application - REM Cycle I'!$X$65,IF(C44=3,'Rate Application - REM Cycle I'!$X$66,IF(C44=4,'Rate Application - REM Cycle I'!$X$67,IF(C44=5,'Rate Application - REM Cycle I'!$X$68,0))))</f>
        <v>14752.82215273459</v>
      </c>
      <c r="E44" s="87">
        <v>0</v>
      </c>
      <c r="F44" s="87">
        <v>0</v>
      </c>
      <c r="G44" s="87">
        <f t="shared" si="16"/>
        <v>0</v>
      </c>
      <c r="H44" s="87">
        <f t="shared" si="1"/>
        <v>14752.82215273459</v>
      </c>
      <c r="I44" s="65">
        <f>VLOOKUP(A44,'Rate Application - REM Cycle I'!$1:$65535,15,FALSE)</f>
        <v>5264.4707007620054</v>
      </c>
      <c r="J44" s="19">
        <f>VLOOKUP(A44,'Rate Application - REM Cycle I'!$1:$65535,20,FALSE)</f>
        <v>238.48799212817485</v>
      </c>
      <c r="K44" s="11">
        <f t="shared" si="2"/>
        <v>14991.310144862766</v>
      </c>
      <c r="L44" s="11">
        <f t="shared" si="3"/>
        <v>78921313.023666248</v>
      </c>
      <c r="M44" s="36">
        <f>VLOOKUP(A44,'Variable Input'!$1:$1048576,23,FALSE)</f>
        <v>0.99671861092415948</v>
      </c>
      <c r="N44" s="22">
        <f t="shared" si="4"/>
        <v>78662341.489259392</v>
      </c>
      <c r="O44" s="19">
        <f t="shared" si="5"/>
        <v>14942.117823520875</v>
      </c>
      <c r="P44" s="18">
        <f>VLOOKUP(A44,'Rate Application - REM Cycle I'!$1:$65535,11,FALSE)</f>
        <v>1538688.3210319907</v>
      </c>
      <c r="Q44" s="18">
        <f t="shared" si="6"/>
        <v>80201029.81029138</v>
      </c>
      <c r="R44" s="19">
        <f t="shared" si="7"/>
        <v>15234.395700726891</v>
      </c>
      <c r="S44" s="81">
        <f>VLOOKUP(A44,'Rate Application - REM Cycle I'!$1:$65535,9,FALSE)</f>
        <v>1.1120223070717381</v>
      </c>
      <c r="T44" s="19">
        <f t="shared" si="8"/>
        <v>89185334.199169457</v>
      </c>
      <c r="U44" s="22">
        <f t="shared" si="9"/>
        <v>16940.987853966086</v>
      </c>
      <c r="V44" s="88">
        <f>IFERROR(VLOOKUP(A45,'PAU Volume'!AX:AZ,3,FALSE)-VLOOKUP(A45,'PAU Volume'!#REF!,4,FALSE)+VLOOKUP(A45,'PAU Volume'!#REF!,2,FALSE),0)*0</f>
        <v>0</v>
      </c>
      <c r="W44" s="79">
        <f t="shared" si="10"/>
        <v>5264.4707007620054</v>
      </c>
      <c r="X44" s="15">
        <f t="shared" si="11"/>
        <v>89185334.199169457</v>
      </c>
      <c r="Y44" s="11">
        <f>VLOOKUP(A44,'Rate Application - REM Cycle I'!$1:$65535,7,FALSE)</f>
        <v>117697098.70628487</v>
      </c>
      <c r="Z44" s="78">
        <f t="shared" si="12"/>
        <v>-0.24224696122940981</v>
      </c>
      <c r="AA44" s="82">
        <f>IFERROR(VLOOKUP(A44,'GBR Revenue for ICC'!#REF!,17,FALSE),0)</f>
        <v>0</v>
      </c>
      <c r="AB44" s="82">
        <f t="shared" si="13"/>
        <v>0</v>
      </c>
      <c r="AC44" s="11">
        <f t="shared" si="14"/>
        <v>117697098.70628487</v>
      </c>
      <c r="AD44" s="11">
        <f t="shared" si="15"/>
        <v>89185334.199169457</v>
      </c>
      <c r="AE44" s="10">
        <v>1</v>
      </c>
    </row>
    <row r="45" spans="1:33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IF(C45=1,'Rate Application - REM Cycle I'!$X$65,IF(C45=3,'Rate Application - REM Cycle I'!$X$66,IF(C45=4,'Rate Application - REM Cycle I'!$X$67,IF(C45=5,'Rate Application - REM Cycle I'!$X$68,0))))</f>
        <v>14752.82215273459</v>
      </c>
      <c r="E45" s="87">
        <v>0</v>
      </c>
      <c r="F45" s="87">
        <v>0</v>
      </c>
      <c r="G45" s="87">
        <f t="shared" si="16"/>
        <v>0</v>
      </c>
      <c r="H45" s="87">
        <f t="shared" si="1"/>
        <v>14752.82215273459</v>
      </c>
      <c r="I45" s="65">
        <f>VLOOKUP(A45,'Rate Application - REM Cycle I'!$1:$65535,15,FALSE)</f>
        <v>3719.0107248960016</v>
      </c>
      <c r="J45" s="19">
        <f>VLOOKUP(A45,'Rate Application - REM Cycle I'!$1:$65535,20,FALSE)</f>
        <v>0</v>
      </c>
      <c r="K45" s="11">
        <f t="shared" si="2"/>
        <v>14752.82215273459</v>
      </c>
      <c r="L45" s="11">
        <f t="shared" si="3"/>
        <v>54865903.808503263</v>
      </c>
      <c r="M45" s="36">
        <f>VLOOKUP(A45,'Variable Input'!$1:$1048576,23,FALSE)</f>
        <v>1.0181752931904677</v>
      </c>
      <c r="N45" s="22">
        <f t="shared" si="4"/>
        <v>55863107.696382813</v>
      </c>
      <c r="O45" s="19">
        <f t="shared" si="5"/>
        <v>15020.95902074737</v>
      </c>
      <c r="P45" s="18">
        <f>VLOOKUP(A45,'Rate Application - REM Cycle I'!$1:$65535,11,FALSE)</f>
        <v>0</v>
      </c>
      <c r="Q45" s="18">
        <f t="shared" si="6"/>
        <v>55863107.696382813</v>
      </c>
      <c r="R45" s="19">
        <f t="shared" si="7"/>
        <v>15020.95902074737</v>
      </c>
      <c r="S45" s="81">
        <f>VLOOKUP(A45,'Rate Application - REM Cycle I'!$1:$65535,9,FALSE)</f>
        <v>1.1180896691644482</v>
      </c>
      <c r="T45" s="19">
        <f t="shared" si="8"/>
        <v>62459963.602746598</v>
      </c>
      <c r="U45" s="22">
        <f t="shared" si="9"/>
        <v>16794.77910204016</v>
      </c>
      <c r="V45" s="88">
        <f>IFERROR(VLOOKUP(A46,'PAU Volume'!AX:AZ,3,FALSE)-VLOOKUP(A46,'PAU Volume'!#REF!,4,FALSE)+VLOOKUP(A46,'PAU Volume'!#REF!,2,FALSE),0)*0</f>
        <v>0</v>
      </c>
      <c r="W45" s="79">
        <f t="shared" si="10"/>
        <v>3719.0107248960016</v>
      </c>
      <c r="X45" s="15">
        <f t="shared" si="11"/>
        <v>62459963.602746598</v>
      </c>
      <c r="Y45" s="11">
        <f>VLOOKUP(A45,'Rate Application - REM Cycle I'!$1:$65535,7,FALSE)</f>
        <v>66045058.94902806</v>
      </c>
      <c r="Z45" s="78">
        <f t="shared" si="12"/>
        <v>-5.428256713417956E-2</v>
      </c>
      <c r="AA45" s="82">
        <f>IFERROR(VLOOKUP(A45,'GBR Revenue for ICC'!#REF!,17,FALSE),0)</f>
        <v>0</v>
      </c>
      <c r="AB45" s="82">
        <f t="shared" si="13"/>
        <v>0</v>
      </c>
      <c r="AC45" s="11">
        <f t="shared" si="14"/>
        <v>66045058.94902806</v>
      </c>
      <c r="AD45" s="11">
        <f t="shared" si="15"/>
        <v>62459963.602746598</v>
      </c>
      <c r="AE45" s="10">
        <v>1</v>
      </c>
    </row>
    <row r="46" spans="1:33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IF(C46=1,'Rate Application - REM Cycle I'!$X$65,IF(C46=3,'Rate Application - REM Cycle I'!$X$66,IF(C46=4,'Rate Application - REM Cycle I'!$X$67,IF(C46=5,'Rate Application - REM Cycle I'!$X$68,0))))</f>
        <v>14752.82215273459</v>
      </c>
      <c r="E46" s="87">
        <v>0</v>
      </c>
      <c r="F46" s="87">
        <v>0</v>
      </c>
      <c r="G46" s="87">
        <f t="shared" si="16"/>
        <v>0</v>
      </c>
      <c r="H46" s="87">
        <f t="shared" si="1"/>
        <v>14752.82215273459</v>
      </c>
      <c r="I46" s="65">
        <f>VLOOKUP(A46,'Rate Application - REM Cycle I'!$1:$65535,15,FALSE)</f>
        <v>9011.8464937300014</v>
      </c>
      <c r="J46" s="19">
        <f>VLOOKUP(A46,'Rate Application - REM Cycle I'!$1:$65535,20,FALSE)</f>
        <v>0</v>
      </c>
      <c r="K46" s="11">
        <f t="shared" si="2"/>
        <v>14752.82215273459</v>
      </c>
      <c r="L46" s="11">
        <f t="shared" si="3"/>
        <v>132950168.58974351</v>
      </c>
      <c r="M46" s="36">
        <f>VLOOKUP(A46,'Variable Input'!$1:$1048576,23,FALSE)</f>
        <v>0.99671861092415948</v>
      </c>
      <c r="N46" s="22">
        <f t="shared" si="4"/>
        <v>132513907.35890196</v>
      </c>
      <c r="O46" s="19">
        <f t="shared" si="5"/>
        <v>14704.412403284789</v>
      </c>
      <c r="P46" s="18">
        <f>VLOOKUP(A46,'Rate Application - REM Cycle I'!$1:$65535,11,FALSE)</f>
        <v>0</v>
      </c>
      <c r="Q46" s="18">
        <f t="shared" si="6"/>
        <v>132513907.35890196</v>
      </c>
      <c r="R46" s="19">
        <f t="shared" si="7"/>
        <v>14704.412403284789</v>
      </c>
      <c r="S46" s="81">
        <f>VLOOKUP(A46,'Rate Application - REM Cycle I'!$1:$65535,9,FALSE)</f>
        <v>1.1146605541082666</v>
      </c>
      <c r="T46" s="19">
        <f t="shared" si="8"/>
        <v>147708025.40372518</v>
      </c>
      <c r="U46" s="22">
        <f t="shared" si="9"/>
        <v>16390.42847728189</v>
      </c>
      <c r="V46" s="88">
        <f>IFERROR(VLOOKUP(A47,'PAU Volume'!AX:AZ,3,FALSE)-VLOOKUP(A47,'PAU Volume'!#REF!,4,FALSE)+VLOOKUP(A47,'PAU Volume'!#REF!,2,FALSE),0)*0</f>
        <v>0</v>
      </c>
      <c r="W46" s="79">
        <f t="shared" si="10"/>
        <v>9011.8464937300014</v>
      </c>
      <c r="X46" s="15">
        <f t="shared" si="11"/>
        <v>147708025.40372518</v>
      </c>
      <c r="Y46" s="11">
        <f>VLOOKUP(A46,'Rate Application - REM Cycle I'!$1:$65535,7,FALSE)</f>
        <v>123667555.66396882</v>
      </c>
      <c r="Z46" s="78">
        <f t="shared" si="12"/>
        <v>0.1943959319862314</v>
      </c>
      <c r="AA46" s="82">
        <f>IFERROR(VLOOKUP(A46,'GBR Revenue for ICC'!#REF!,17,FALSE),0)</f>
        <v>0</v>
      </c>
      <c r="AB46" s="82">
        <f t="shared" si="13"/>
        <v>0</v>
      </c>
      <c r="AC46" s="11">
        <f t="shared" si="14"/>
        <v>123667555.66396882</v>
      </c>
      <c r="AD46" s="11">
        <f t="shared" si="15"/>
        <v>147708025.40372518</v>
      </c>
      <c r="AE46" s="10">
        <v>1</v>
      </c>
    </row>
    <row r="47" spans="1:33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IF(C47=1,'Rate Application - REM Cycle I'!$X$65,IF(C47=3,'Rate Application - REM Cycle I'!$X$66,IF(C47=4,'Rate Application - REM Cycle I'!$X$67,IF(C47=5,'Rate Application - REM Cycle I'!$X$68,0))))</f>
        <v>14752.82215273459</v>
      </c>
      <c r="E47" s="87">
        <v>0</v>
      </c>
      <c r="F47" s="87">
        <v>0</v>
      </c>
      <c r="G47" s="87">
        <f t="shared" si="16"/>
        <v>0</v>
      </c>
      <c r="H47" s="87">
        <f t="shared" si="1"/>
        <v>14752.82215273459</v>
      </c>
      <c r="I47" s="65">
        <f>VLOOKUP(A47,'Rate Application - REM Cycle I'!$1:$65535,15,FALSE)</f>
        <v>17485.311336287028</v>
      </c>
      <c r="J47" s="19">
        <f>VLOOKUP(A47,'Rate Application - REM Cycle I'!$1:$65535,20,FALSE)</f>
        <v>0</v>
      </c>
      <c r="K47" s="11">
        <f t="shared" si="2"/>
        <v>14752.82215273459</v>
      </c>
      <c r="L47" s="11">
        <f t="shared" si="3"/>
        <v>257957688.42943653</v>
      </c>
      <c r="M47" s="36">
        <f>VLOOKUP(A47,'Variable Input'!$1:$1048576,23,FALSE)</f>
        <v>1.0181752931904677</v>
      </c>
      <c r="N47" s="22">
        <f t="shared" si="4"/>
        <v>262646145.04737687</v>
      </c>
      <c r="O47" s="19">
        <f t="shared" si="5"/>
        <v>15020.959020747368</v>
      </c>
      <c r="P47" s="18">
        <f>VLOOKUP(A47,'Rate Application - REM Cycle I'!$1:$65535,11,FALSE)</f>
        <v>0</v>
      </c>
      <c r="Q47" s="18">
        <f t="shared" si="6"/>
        <v>262646145.04737687</v>
      </c>
      <c r="R47" s="19">
        <f t="shared" si="7"/>
        <v>15020.959020747368</v>
      </c>
      <c r="S47" s="81">
        <f>VLOOKUP(A47,'Rate Application - REM Cycle I'!$1:$65535,9,FALSE)</f>
        <v>1.1171440000317876</v>
      </c>
      <c r="T47" s="19">
        <f t="shared" si="8"/>
        <v>293413565.07115567</v>
      </c>
      <c r="U47" s="22">
        <f t="shared" si="9"/>
        <v>16780.574244751278</v>
      </c>
      <c r="V47" s="88">
        <f>IFERROR(VLOOKUP(A48,'PAU Volume'!AX:AZ,3,FALSE)-VLOOKUP(A48,'PAU Volume'!#REF!,4,FALSE)+VLOOKUP(A48,'PAU Volume'!#REF!,2,FALSE),0)*0</f>
        <v>0</v>
      </c>
      <c r="W47" s="79">
        <f t="shared" si="10"/>
        <v>17485.311336287028</v>
      </c>
      <c r="X47" s="15">
        <f t="shared" si="11"/>
        <v>293413565.07115567</v>
      </c>
      <c r="Y47" s="11">
        <f>VLOOKUP(A47,'Rate Application - REM Cycle I'!$1:$65535,7,FALSE)</f>
        <v>312472727.05601329</v>
      </c>
      <c r="Z47" s="78">
        <f t="shared" si="12"/>
        <v>-6.0994641562561402E-2</v>
      </c>
      <c r="AA47" s="82">
        <f>IFERROR(VLOOKUP(A47,'GBR Revenue for ICC'!#REF!,17,FALSE),0)</f>
        <v>0</v>
      </c>
      <c r="AB47" s="82">
        <f t="shared" si="13"/>
        <v>0</v>
      </c>
      <c r="AC47" s="11">
        <f t="shared" si="14"/>
        <v>312472727.05601329</v>
      </c>
      <c r="AD47" s="11">
        <f t="shared" si="15"/>
        <v>293413565.07115567</v>
      </c>
      <c r="AE47" s="10">
        <v>1</v>
      </c>
    </row>
    <row r="48" spans="1:33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IF(C48=1,'Rate Application - REM Cycle I'!$X$65,IF(C48=3,'Rate Application - REM Cycle I'!$X$66,IF(C48=4,'Rate Application - REM Cycle I'!$X$67,IF(C48=5,'Rate Application - REM Cycle I'!$X$68,0))))</f>
        <v>14752.82215273459</v>
      </c>
      <c r="E48" s="87">
        <v>0</v>
      </c>
      <c r="F48" s="87">
        <v>0</v>
      </c>
      <c r="G48" s="87">
        <f t="shared" si="16"/>
        <v>0</v>
      </c>
      <c r="H48" s="87">
        <f t="shared" si="1"/>
        <v>14752.82215273459</v>
      </c>
      <c r="I48" s="65">
        <f>VLOOKUP(A48,'Rate Application - REM Cycle I'!$1:$65535,15,FALSE)</f>
        <v>30821.946526509015</v>
      </c>
      <c r="J48" s="19">
        <f>VLOOKUP(A48,'Rate Application - REM Cycle I'!$1:$65535,20,FALSE)</f>
        <v>0</v>
      </c>
      <c r="K48" s="11">
        <f t="shared" si="2"/>
        <v>14752.82215273459</v>
      </c>
      <c r="L48" s="11">
        <f t="shared" si="3"/>
        <v>454710695.50668317</v>
      </c>
      <c r="M48" s="36">
        <f>VLOOKUP(A48,'Variable Input'!$1:$1048576,23,FALSE)</f>
        <v>0.99671861092415948</v>
      </c>
      <c r="N48" s="22">
        <f t="shared" si="4"/>
        <v>453218612.79777968</v>
      </c>
      <c r="O48" s="19">
        <f t="shared" si="5"/>
        <v>14704.412403284789</v>
      </c>
      <c r="P48" s="18">
        <f>VLOOKUP(A48,'Rate Application - REM Cycle I'!$1:$65535,11,FALSE)</f>
        <v>0</v>
      </c>
      <c r="Q48" s="18">
        <f t="shared" si="6"/>
        <v>453218612.79777968</v>
      </c>
      <c r="R48" s="19">
        <f t="shared" si="7"/>
        <v>14704.412403284789</v>
      </c>
      <c r="S48" s="81">
        <f>VLOOKUP(A48,'Rate Application - REM Cycle I'!$1:$65535,9,FALSE)</f>
        <v>1.1140199775247721</v>
      </c>
      <c r="T48" s="19">
        <f t="shared" si="8"/>
        <v>504894588.8427909</v>
      </c>
      <c r="U48" s="22">
        <f t="shared" si="9"/>
        <v>16381.0091750223</v>
      </c>
      <c r="V48" s="88">
        <f>IFERROR(VLOOKUP(A49,'PAU Volume'!AX:AZ,3,FALSE)-VLOOKUP(A49,'PAU Volume'!#REF!,4,FALSE)+VLOOKUP(A49,'PAU Volume'!#REF!,2,FALSE),0)*0</f>
        <v>0</v>
      </c>
      <c r="W48" s="79">
        <f t="shared" si="10"/>
        <v>30821.946526509015</v>
      </c>
      <c r="X48" s="15">
        <f t="shared" si="11"/>
        <v>504894588.8427909</v>
      </c>
      <c r="Y48" s="11">
        <f>VLOOKUP(A48,'Rate Application - REM Cycle I'!$1:$65535,7,FALSE)</f>
        <v>440856003.87718481</v>
      </c>
      <c r="Z48" s="78">
        <f t="shared" si="12"/>
        <v>0.14525964124886048</v>
      </c>
      <c r="AA48" s="82">
        <f>IFERROR(VLOOKUP(A48,'GBR Revenue for ICC'!#REF!,17,FALSE),0)</f>
        <v>0</v>
      </c>
      <c r="AB48" s="82">
        <f t="shared" si="13"/>
        <v>0</v>
      </c>
      <c r="AC48" s="11">
        <f t="shared" si="14"/>
        <v>440856003.87718481</v>
      </c>
      <c r="AD48" s="11">
        <f t="shared" si="15"/>
        <v>504894588.8427909</v>
      </c>
      <c r="AE48" s="10">
        <v>1</v>
      </c>
    </row>
    <row r="49" spans="1:30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87">
        <f>IF(C49=1,'Rate Application - REM Cycle I'!$X$65,IF(C49=3,'Rate Application - REM Cycle I'!$X$66,IF(C49=4,'Rate Application - REM Cycle I'!$X$67,IF(C49=5,'Rate Application - REM Cycle I'!$X$68,0))))</f>
        <v>14752.82215273459</v>
      </c>
      <c r="E49" s="87">
        <v>0</v>
      </c>
      <c r="F49" s="87">
        <v>0</v>
      </c>
      <c r="G49" s="87">
        <f t="shared" si="16"/>
        <v>0</v>
      </c>
      <c r="H49" s="87">
        <f t="shared" si="1"/>
        <v>14752.82215273459</v>
      </c>
      <c r="I49" s="65">
        <f>VLOOKUP(A49,'Rate Application - REM Cycle I'!$1:$65535,15,FALSE)</f>
        <v>9743.687453664008</v>
      </c>
      <c r="J49" s="19">
        <f>VLOOKUP(A49,'Rate Application - REM Cycle I'!$1:$65535,20,FALSE)</f>
        <v>0</v>
      </c>
      <c r="K49" s="11">
        <f t="shared" si="2"/>
        <v>14752.82215273459</v>
      </c>
      <c r="L49" s="11">
        <f t="shared" si="3"/>
        <v>143746888.11573648</v>
      </c>
      <c r="M49" s="36">
        <f>VLOOKUP(A49,'Variable Input'!$1:$1048576,23,FALSE)</f>
        <v>1.0181752931904677</v>
      </c>
      <c r="N49" s="22">
        <f t="shared" si="4"/>
        <v>146359529.95245737</v>
      </c>
      <c r="O49" s="19">
        <f t="shared" si="5"/>
        <v>15020.959020747372</v>
      </c>
      <c r="P49" s="18">
        <f>VLOOKUP(A49,'Rate Application - REM Cycle I'!$1:$65535,11,FALSE)</f>
        <v>0</v>
      </c>
      <c r="Q49" s="18">
        <f t="shared" si="6"/>
        <v>146359529.95245737</v>
      </c>
      <c r="R49" s="19">
        <f t="shared" si="7"/>
        <v>15020.959020747372</v>
      </c>
      <c r="S49" s="81">
        <f>VLOOKUP(A49,'Rate Application - REM Cycle I'!$1:$65535,9,FALSE)</f>
        <v>1.1083143930424924</v>
      </c>
      <c r="T49" s="19">
        <f t="shared" si="8"/>
        <v>162212373.60524228</v>
      </c>
      <c r="U49" s="22">
        <f t="shared" si="9"/>
        <v>16647.945079995774</v>
      </c>
      <c r="V49" s="88">
        <f>IFERROR(VLOOKUP(A50,'PAU Volume'!AX:AZ,3,FALSE)-VLOOKUP(A50,'PAU Volume'!#REF!,4,FALSE)+VLOOKUP(A50,'PAU Volume'!#REF!,2,FALSE),0)*0</f>
        <v>0</v>
      </c>
      <c r="W49" s="79">
        <f t="shared" si="10"/>
        <v>9743.687453664008</v>
      </c>
      <c r="X49" s="15">
        <f t="shared" si="11"/>
        <v>162212373.60524228</v>
      </c>
      <c r="Y49" s="11">
        <f>VLOOKUP(A49,'Rate Application - REM Cycle I'!$1:$65535,7,FALSE)</f>
        <v>145302528.81887707</v>
      </c>
      <c r="Z49" s="78">
        <f t="shared" si="12"/>
        <v>0.11637680998273425</v>
      </c>
      <c r="AA49" s="82">
        <f>IFERROR(VLOOKUP(A49,'GBR Revenue for ICC'!#REF!,17,FALSE),0)</f>
        <v>0</v>
      </c>
      <c r="AB49" s="82">
        <f t="shared" si="13"/>
        <v>0</v>
      </c>
      <c r="AC49" s="11">
        <f t="shared" si="14"/>
        <v>145302528.81887707</v>
      </c>
      <c r="AD49" s="11">
        <f t="shared" si="15"/>
        <v>162212373.60524228</v>
      </c>
    </row>
    <row r="50" spans="1:30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87">
        <f>IF(C50=1,'Rate Application - REM Cycle I'!$X$65,IF(C50=3,'Rate Application - REM Cycle I'!$X$66,IF(C50=4,'Rate Application - REM Cycle I'!$X$67,IF(C50=5,'Rate Application - REM Cycle I'!$X$68,0))))</f>
        <v>16863.368236533166</v>
      </c>
      <c r="E50" s="87">
        <v>0</v>
      </c>
      <c r="F50" s="87">
        <v>0</v>
      </c>
      <c r="G50" s="87">
        <f t="shared" si="16"/>
        <v>0</v>
      </c>
      <c r="H50" s="87">
        <f t="shared" si="1"/>
        <v>16863.368236533166</v>
      </c>
      <c r="I50" s="65">
        <f>VLOOKUP(A50,'Rate Application - REM Cycle I'!$1:$65535,15,FALSE)</f>
        <v>16622.361523679996</v>
      </c>
      <c r="J50" s="19">
        <f>VLOOKUP(A50,'Rate Application - REM Cycle I'!$1:$65535,20,FALSE)</f>
        <v>1047.5835053585402</v>
      </c>
      <c r="K50" s="11">
        <f t="shared" si="2"/>
        <v>17910.951741891706</v>
      </c>
      <c r="L50" s="11">
        <f t="shared" si="3"/>
        <v>297722315.08690989</v>
      </c>
      <c r="M50" s="36">
        <f>VLOOKUP(A50,'Variable Input'!$1:$1048576,23,FALSE)</f>
        <v>1.0181752931904677</v>
      </c>
      <c r="N50" s="22">
        <f t="shared" si="4"/>
        <v>303133505.4529593</v>
      </c>
      <c r="O50" s="19">
        <f t="shared" si="5"/>
        <v>18236.488541120907</v>
      </c>
      <c r="P50" s="18">
        <f>VLOOKUP(A50,'Rate Application - REM Cycle I'!$1:$65535,11,FALSE)</f>
        <v>10600897.780621644</v>
      </c>
      <c r="Q50" s="18">
        <f t="shared" si="6"/>
        <v>313734403.23358095</v>
      </c>
      <c r="R50" s="19">
        <f t="shared" si="7"/>
        <v>18874.237742130626</v>
      </c>
      <c r="S50" s="81">
        <f>VLOOKUP(A50,'Rate Application - REM Cycle I'!$1:$65535,9,FALSE)</f>
        <v>1.1150592197193865</v>
      </c>
      <c r="T50" s="19">
        <f t="shared" si="8"/>
        <v>349832438.86876416</v>
      </c>
      <c r="U50" s="22">
        <f t="shared" si="9"/>
        <v>21045.892809538374</v>
      </c>
      <c r="V50" s="35">
        <f>SUMIF($A$1:$A$65535,210003,V$1:V$65535)</f>
        <v>0</v>
      </c>
      <c r="W50" s="79">
        <f t="shared" si="10"/>
        <v>16622.361523679996</v>
      </c>
      <c r="X50" s="15">
        <f t="shared" si="11"/>
        <v>349832438.86876416</v>
      </c>
      <c r="Y50" s="11">
        <f>VLOOKUP(A50,'Rate Application - REM Cycle I'!$1:$65535,7,FALSE)</f>
        <v>379598110.09410959</v>
      </c>
      <c r="Z50" s="78">
        <f t="shared" si="12"/>
        <v>-7.8413644414525585E-2</v>
      </c>
      <c r="AA50" s="82">
        <f>IFERROR(VLOOKUP(A50,'GBR Revenue for ICC'!#REF!,17,FALSE),0)</f>
        <v>0</v>
      </c>
      <c r="AB50" s="82">
        <f t="shared" si="13"/>
        <v>0</v>
      </c>
      <c r="AC50" s="11">
        <f t="shared" si="14"/>
        <v>379598110.09410959</v>
      </c>
      <c r="AD50" s="11">
        <f t="shared" si="15"/>
        <v>349832438.86876416</v>
      </c>
    </row>
    <row r="51" spans="1:30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87">
        <f>IF(C51=1,'Rate Application - REM Cycle I'!$X$65,IF(C51=3,'Rate Application - REM Cycle I'!$X$66,IF(C51=4,'Rate Application - REM Cycle I'!$X$67,IF(C51=5,'Rate Application - REM Cycle I'!$X$68,0))))</f>
        <v>16863.368236533166</v>
      </c>
      <c r="E51" s="87">
        <v>0</v>
      </c>
      <c r="F51" s="87">
        <v>0</v>
      </c>
      <c r="G51" s="87">
        <f t="shared" si="16"/>
        <v>0</v>
      </c>
      <c r="H51" s="87">
        <f t="shared" si="1"/>
        <v>16863.368236533166</v>
      </c>
      <c r="I51" s="65">
        <f>VLOOKUP(A51,'Rate Application - REM Cycle I'!$1:$65535,15,FALSE)</f>
        <v>37187.68418079293</v>
      </c>
      <c r="J51" s="19">
        <f>VLOOKUP(A51,'Rate Application - REM Cycle I'!$1:$65535,20,FALSE)</f>
        <v>472.25959220144938</v>
      </c>
      <c r="K51" s="11">
        <f t="shared" si="2"/>
        <v>17335.627828734614</v>
      </c>
      <c r="L51" s="11">
        <f t="shared" si="3"/>
        <v>644671852.7707479</v>
      </c>
      <c r="M51" s="36">
        <f>VLOOKUP(A51,'Variable Input'!$1:$1048576,23,FALSE)</f>
        <v>0.99671861092415948</v>
      </c>
      <c r="N51" s="22">
        <f t="shared" si="4"/>
        <v>642556433.59556413</v>
      </c>
      <c r="O51" s="19">
        <f t="shared" si="5"/>
        <v>17278.742888954566</v>
      </c>
      <c r="P51" s="18">
        <f>VLOOKUP(A51,'Rate Application - REM Cycle I'!$1:$65535,11,FALSE)</f>
        <v>5003207.6874727393</v>
      </c>
      <c r="Q51" s="18">
        <f t="shared" si="6"/>
        <v>647559641.28303683</v>
      </c>
      <c r="R51" s="19">
        <f t="shared" si="7"/>
        <v>17413.282261267963</v>
      </c>
      <c r="S51" s="81">
        <f>VLOOKUP(A51,'Rate Application - REM Cycle I'!$1:$65535,9,FALSE)</f>
        <v>1.1102695565875482</v>
      </c>
      <c r="T51" s="19">
        <f t="shared" si="8"/>
        <v>718965755.79130912</v>
      </c>
      <c r="U51" s="22">
        <f t="shared" si="9"/>
        <v>19333.437174951803</v>
      </c>
      <c r="V51" s="35">
        <f>SUMIF($A$1:$A$65535,210008,V$1:V$65535)</f>
        <v>0</v>
      </c>
      <c r="W51" s="79">
        <f t="shared" si="10"/>
        <v>37187.68418079293</v>
      </c>
      <c r="X51" s="15">
        <f t="shared" si="11"/>
        <v>718965755.79130912</v>
      </c>
      <c r="Y51" s="11">
        <f>VLOOKUP(A51,'Rate Application - REM Cycle I'!$1:$65535,7,FALSE)</f>
        <v>630435213.30233288</v>
      </c>
      <c r="Z51" s="78">
        <f t="shared" si="12"/>
        <v>0.1404276611156241</v>
      </c>
      <c r="AA51" s="82">
        <f>IFERROR(VLOOKUP(A51,'GBR Revenue for ICC'!#REF!,17,FALSE),0)</f>
        <v>0</v>
      </c>
      <c r="AB51" s="82">
        <f t="shared" si="13"/>
        <v>0</v>
      </c>
      <c r="AC51" s="11">
        <f t="shared" si="14"/>
        <v>630435213.30233288</v>
      </c>
      <c r="AD51" s="11">
        <f t="shared" si="15"/>
        <v>718965755.79130912</v>
      </c>
    </row>
    <row r="52" spans="1:30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87">
        <f>IF(C52=1,'Rate Application - REM Cycle I'!$X$65,IF(C52=3,'Rate Application - REM Cycle I'!$X$66,IF(C52=4,'Rate Application - REM Cycle I'!$X$67,IF(C52=5,'Rate Application - REM Cycle I'!$X$68,0))))</f>
        <v>16863.368236533166</v>
      </c>
      <c r="E52" s="87">
        <v>0</v>
      </c>
      <c r="F52" s="87">
        <v>0</v>
      </c>
      <c r="G52" s="87">
        <f t="shared" si="16"/>
        <v>0</v>
      </c>
      <c r="H52" s="87">
        <f t="shared" si="1"/>
        <v>16863.368236533166</v>
      </c>
      <c r="I52" s="65">
        <f>VLOOKUP(A52,'Rate Application - REM Cycle I'!$1:$65535,15,FALSE)</f>
        <v>39233.431532673072</v>
      </c>
      <c r="J52" s="19">
        <f>VLOOKUP(A52,'Rate Application - REM Cycle I'!$1:$65535,20,FALSE)</f>
        <v>1165.0763536132847</v>
      </c>
      <c r="K52" s="11">
        <f t="shared" si="2"/>
        <v>18028.44459014645</v>
      </c>
      <c r="L52" s="11">
        <f t="shared" si="3"/>
        <v>707317746.46810102</v>
      </c>
      <c r="M52" s="36">
        <f>VLOOKUP(A52,'Variable Input'!$1:$1048576,23,FALSE)</f>
        <v>0.99671861092415948</v>
      </c>
      <c r="N52" s="22">
        <f t="shared" si="4"/>
        <v>704996761.74169242</v>
      </c>
      <c r="O52" s="19">
        <f t="shared" si="5"/>
        <v>17969.286249013949</v>
      </c>
      <c r="P52" s="18">
        <f>VLOOKUP(A52,'Rate Application - REM Cycle I'!$1:$65535,11,FALSE)</f>
        <v>20760568.355981968</v>
      </c>
      <c r="Q52" s="18">
        <f t="shared" si="6"/>
        <v>725757330.09767437</v>
      </c>
      <c r="R52" s="19">
        <f t="shared" si="7"/>
        <v>18498.441297271525</v>
      </c>
      <c r="S52" s="81">
        <f>VLOOKUP(A52,'Rate Application - REM Cycle I'!$1:$65535,9,FALSE)</f>
        <v>1.1214469245143464</v>
      </c>
      <c r="T52" s="19">
        <f t="shared" si="8"/>
        <v>813898325.78178012</v>
      </c>
      <c r="U52" s="22">
        <f t="shared" si="9"/>
        <v>20745.020101134323</v>
      </c>
      <c r="V52" s="35">
        <f>SUMIF($A$1:$A$65535,210012,V$1:V$65535)</f>
        <v>0</v>
      </c>
      <c r="W52" s="79">
        <f t="shared" si="10"/>
        <v>39233.431532673072</v>
      </c>
      <c r="X52" s="15">
        <f t="shared" si="11"/>
        <v>813898325.78178012</v>
      </c>
      <c r="Y52" s="11">
        <f>VLOOKUP(A52,'Rate Application - REM Cycle I'!$1:$65535,7,FALSE)</f>
        <v>853868775.33511937</v>
      </c>
      <c r="Z52" s="78">
        <f t="shared" si="12"/>
        <v>-4.6810998022092987E-2</v>
      </c>
      <c r="AA52" s="82">
        <f>IFERROR(VLOOKUP(A52,'GBR Revenue for ICC'!#REF!,17,FALSE),0)</f>
        <v>0</v>
      </c>
      <c r="AB52" s="82">
        <f t="shared" si="13"/>
        <v>0</v>
      </c>
      <c r="AC52" s="11">
        <f t="shared" si="14"/>
        <v>853868775.33511937</v>
      </c>
      <c r="AD52" s="11">
        <f t="shared" si="15"/>
        <v>813898325.78178012</v>
      </c>
    </row>
    <row r="53" spans="1:30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87">
        <f>IF(C53=1,'Rate Application - REM Cycle I'!$X$65,IF(C53=3,'Rate Application - REM Cycle I'!$X$66,IF(C53=4,'Rate Application - REM Cycle I'!$X$67,IF(C53=5,'Rate Application - REM Cycle I'!$X$68,0))))</f>
        <v>16863.368236533166</v>
      </c>
      <c r="E53" s="87">
        <v>0</v>
      </c>
      <c r="F53" s="87">
        <v>0</v>
      </c>
      <c r="G53" s="87">
        <f t="shared" si="16"/>
        <v>0</v>
      </c>
      <c r="H53" s="87">
        <f t="shared" si="1"/>
        <v>16863.368236533166</v>
      </c>
      <c r="I53" s="65">
        <f>VLOOKUP(A53,'Rate Application - REM Cycle I'!$1:$65535,15,FALSE)</f>
        <v>26999.26188542712</v>
      </c>
      <c r="J53" s="19">
        <f>VLOOKUP(A53,'Rate Application - REM Cycle I'!$1:$65535,20,FALSE)</f>
        <v>1182.417690332225</v>
      </c>
      <c r="K53" s="11">
        <f t="shared" si="2"/>
        <v>18045.785926865392</v>
      </c>
      <c r="L53" s="11">
        <f t="shared" si="3"/>
        <v>487222900.16779387</v>
      </c>
      <c r="M53" s="36">
        <f>VLOOKUP(A53,'Variable Input'!$1:$1048576,23,FALSE)</f>
        <v>0.99671861092415948</v>
      </c>
      <c r="N53" s="22">
        <f t="shared" si="4"/>
        <v>485624132.26568395</v>
      </c>
      <c r="O53" s="19">
        <f t="shared" si="5"/>
        <v>17986.570682060017</v>
      </c>
      <c r="P53" s="18">
        <f>VLOOKUP(A53,'Rate Application - REM Cycle I'!$1:$65535,11,FALSE)</f>
        <v>12196844.09297953</v>
      </c>
      <c r="Q53" s="18">
        <f t="shared" si="6"/>
        <v>497820976.3586635</v>
      </c>
      <c r="R53" s="19">
        <f t="shared" si="7"/>
        <v>18438.317998143604</v>
      </c>
      <c r="S53" s="81">
        <f>VLOOKUP(A53,'Rate Application - REM Cycle I'!$1:$65535,9,FALSE)</f>
        <v>1.1223202362274129</v>
      </c>
      <c r="T53" s="19">
        <f t="shared" si="8"/>
        <v>558714555.78581655</v>
      </c>
      <c r="U53" s="22">
        <f t="shared" si="9"/>
        <v>20693.697411312689</v>
      </c>
      <c r="V53" s="35">
        <f>SUMIF($A$1:$A$65535,210024,V$1:V$65535)</f>
        <v>0</v>
      </c>
      <c r="W53" s="79">
        <f t="shared" si="10"/>
        <v>26999.26188542712</v>
      </c>
      <c r="X53" s="15">
        <f t="shared" si="11"/>
        <v>558714555.78581655</v>
      </c>
      <c r="Y53" s="11">
        <f>VLOOKUP(A53,'Rate Application - REM Cycle I'!$1:$65535,7,FALSE)</f>
        <v>481596679.12083691</v>
      </c>
      <c r="Z53" s="78">
        <f t="shared" si="12"/>
        <v>0.16012958562289015</v>
      </c>
      <c r="AA53" s="82">
        <f>IFERROR(VLOOKUP(A53,'GBR Revenue for ICC'!#REF!,17,FALSE),0)</f>
        <v>0</v>
      </c>
      <c r="AB53" s="82">
        <f t="shared" si="13"/>
        <v>0</v>
      </c>
      <c r="AC53" s="11">
        <f t="shared" si="14"/>
        <v>481596679.12083691</v>
      </c>
      <c r="AD53" s="11">
        <f t="shared" si="15"/>
        <v>558714555.78581655</v>
      </c>
    </row>
    <row r="54" spans="1:30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87">
        <f>IF(C54=1,'Rate Application - REM Cycle I'!$X$65,IF(C54=3,'Rate Application - REM Cycle I'!$X$66,IF(C54=4,'Rate Application - REM Cycle I'!$X$67,IF(C54=5,'Rate Application - REM Cycle I'!$X$68,0))))</f>
        <v>16863.368236533166</v>
      </c>
      <c r="E54" s="87">
        <v>0</v>
      </c>
      <c r="F54" s="87">
        <v>0</v>
      </c>
      <c r="G54" s="87">
        <f t="shared" si="16"/>
        <v>0</v>
      </c>
      <c r="H54" s="87">
        <f t="shared" si="1"/>
        <v>16863.368236533166</v>
      </c>
      <c r="I54" s="65">
        <f>VLOOKUP(A54,'Rate Application - REM Cycle I'!$1:$65535,15,FALSE)</f>
        <v>35540.799933832066</v>
      </c>
      <c r="J54" s="19">
        <f>VLOOKUP(A54,'Rate Application - REM Cycle I'!$1:$65535,20,FALSE)</f>
        <v>1440.3814806605105</v>
      </c>
      <c r="K54" s="11">
        <f t="shared" si="2"/>
        <v>18303.749717193677</v>
      </c>
      <c r="L54" s="11">
        <f t="shared" si="3"/>
        <v>650529906.73771572</v>
      </c>
      <c r="M54" s="36">
        <f>VLOOKUP(A54,'Variable Input'!$1:$1048576,23,FALSE)</f>
        <v>0.99671861092415948</v>
      </c>
      <c r="N54" s="22">
        <f t="shared" si="4"/>
        <v>648395265.00823903</v>
      </c>
      <c r="O54" s="19">
        <f t="shared" si="5"/>
        <v>18243.687992824758</v>
      </c>
      <c r="P54" s="18">
        <f>VLOOKUP(A54,'Rate Application - REM Cycle I'!$1:$65535,11,FALSE)</f>
        <v>27476780.845164478</v>
      </c>
      <c r="Q54" s="18">
        <f t="shared" si="6"/>
        <v>675872045.85340357</v>
      </c>
      <c r="R54" s="19">
        <f t="shared" si="7"/>
        <v>19016.793294233823</v>
      </c>
      <c r="S54" s="81">
        <f>VLOOKUP(A54,'Rate Application - REM Cycle I'!$1:$65535,9,FALSE)</f>
        <v>1.1160480491569686</v>
      </c>
      <c r="T54" s="19">
        <f t="shared" si="8"/>
        <v>754305678.25442028</v>
      </c>
      <c r="U54" s="22">
        <f t="shared" si="9"/>
        <v>21223.65505725098</v>
      </c>
      <c r="V54" s="35">
        <f>SUMIF($A$1:$A$65535,210029,V$1:V$65535)</f>
        <v>0</v>
      </c>
      <c r="W54" s="79">
        <f t="shared" si="10"/>
        <v>35540.799933832066</v>
      </c>
      <c r="X54" s="15">
        <f t="shared" si="11"/>
        <v>754305678.25442028</v>
      </c>
      <c r="Y54" s="11">
        <f>VLOOKUP(A54,'Rate Application - REM Cycle I'!$1:$65535,7,FALSE)</f>
        <v>714563622.53195643</v>
      </c>
      <c r="Z54" s="78">
        <f t="shared" si="12"/>
        <v>5.5617238926386259E-2</v>
      </c>
      <c r="AA54" s="82">
        <f>IFERROR(VLOOKUP(A54,'GBR Revenue for ICC'!#REF!,17,FALSE),0)</f>
        <v>0</v>
      </c>
      <c r="AB54" s="82">
        <f t="shared" si="13"/>
        <v>0</v>
      </c>
      <c r="AC54" s="11">
        <f t="shared" si="14"/>
        <v>714563622.53195643</v>
      </c>
      <c r="AD54" s="11">
        <f t="shared" si="15"/>
        <v>754305678.25442028</v>
      </c>
    </row>
    <row r="55" spans="1:30" ht="17.7" x14ac:dyDescent="0.6">
      <c r="A55" s="26"/>
      <c r="B55" s="26"/>
      <c r="C55" s="31"/>
      <c r="D55" s="19"/>
      <c r="E55" s="19"/>
      <c r="F55" s="19"/>
      <c r="G55" s="19"/>
      <c r="H55" s="19"/>
      <c r="I55" s="31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</row>
    <row r="56" spans="1:30" ht="17.7" x14ac:dyDescent="0.6">
      <c r="A56" s="26"/>
      <c r="B56" s="26"/>
      <c r="C56" s="31"/>
      <c r="D56" s="19"/>
      <c r="E56" s="19"/>
      <c r="F56" s="85"/>
      <c r="G56" s="19"/>
      <c r="H56" s="19"/>
      <c r="I56" s="31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0" ht="17.7" x14ac:dyDescent="0.6">
      <c r="A57" s="26"/>
      <c r="B57" s="26"/>
      <c r="C57" s="31"/>
      <c r="D57" s="19"/>
      <c r="E57" s="19"/>
      <c r="F57" s="34"/>
      <c r="G57" s="19"/>
      <c r="H57" s="19"/>
      <c r="I57" s="31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0" ht="17.7" x14ac:dyDescent="0.6">
      <c r="A58" s="26"/>
      <c r="B58" s="26"/>
      <c r="C58" s="31"/>
      <c r="D58" s="19"/>
      <c r="E58" s="19"/>
      <c r="F58" s="19"/>
      <c r="G58" s="19"/>
      <c r="H58" s="19"/>
      <c r="I58" s="31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0" ht="17.7" x14ac:dyDescent="0.6">
      <c r="A59" s="26"/>
      <c r="B59" s="26"/>
      <c r="C59" s="31"/>
      <c r="D59" s="19"/>
      <c r="E59" s="19"/>
      <c r="F59" s="19"/>
      <c r="G59" s="19"/>
      <c r="H59" s="19"/>
      <c r="I59" s="31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0" ht="17.7" x14ac:dyDescent="0.6">
      <c r="A60" s="26"/>
      <c r="B60" s="26"/>
      <c r="C60" s="31"/>
      <c r="D60" s="19"/>
      <c r="E60" s="19"/>
      <c r="F60" s="19"/>
      <c r="G60" s="19"/>
      <c r="H60" s="19"/>
      <c r="I60" s="31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0" ht="21" customHeight="1" x14ac:dyDescent="0.6">
      <c r="A61" s="32" t="s">
        <v>78</v>
      </c>
      <c r="B61" s="26" t="s">
        <v>77</v>
      </c>
      <c r="C61" s="31"/>
      <c r="D61" s="65">
        <f>SUBTOTAL(1,D2:D59)</f>
        <v>13902.101652266363</v>
      </c>
      <c r="E61" s="65">
        <f>SUBTOTAL(1,E2:E59)</f>
        <v>0</v>
      </c>
      <c r="F61" s="65">
        <f>SUBTOTAL(1,F2:F59)</f>
        <v>0</v>
      </c>
      <c r="G61" s="65">
        <f>SUBTOTAL(1,G2:G59)</f>
        <v>0</v>
      </c>
      <c r="H61" s="65">
        <f>SUBTOTAL(1,H2:H59)</f>
        <v>13902.101652266363</v>
      </c>
      <c r="I61" s="65">
        <f>SUBTOTAL(9,I2:I59)</f>
        <v>1166982.8882188969</v>
      </c>
      <c r="J61" s="22"/>
      <c r="L61" s="22">
        <f>SUBTOTAL(9,L2:L59)</f>
        <v>18511631964.013309</v>
      </c>
      <c r="M61" s="36">
        <f>'Rate Application - REM Cycle I'!M61</f>
        <v>1.0003666335632411</v>
      </c>
      <c r="N61" s="22">
        <f>SUBTOTAL(9,N2:N59)</f>
        <v>18515935525.361252</v>
      </c>
      <c r="O61" s="19">
        <f>N61/I61</f>
        <v>15866.501310590018</v>
      </c>
      <c r="P61" s="22">
        <f>SUBTOTAL(9,P2:P59)</f>
        <v>393431841.98609471</v>
      </c>
      <c r="Q61" s="22">
        <f>SUBTOTAL(9,Q2:Q59)</f>
        <v>18909367367.347351</v>
      </c>
      <c r="R61" s="19">
        <f>Q61/I61</f>
        <v>16203.637224027936</v>
      </c>
      <c r="S61" s="81">
        <f>'Rate Application - REM Cycle I'!I61</f>
        <v>1.0900365956927256</v>
      </c>
      <c r="T61" s="22">
        <f>SUBTOTAL(9,T2:T59)</f>
        <v>21087327587.124672</v>
      </c>
      <c r="U61" s="22">
        <f>SUBTOTAL(9,U2:U59)</f>
        <v>836772.00210247049</v>
      </c>
      <c r="V61" s="65">
        <f>SUBTOTAL(9,V2:V59)</f>
        <v>0</v>
      </c>
      <c r="W61" s="79">
        <f>I61-V61</f>
        <v>1166982.8882188969</v>
      </c>
      <c r="X61" s="22">
        <f>SUBTOTAL(9,X2:X59)</f>
        <v>21087327587.124668</v>
      </c>
      <c r="Y61" s="22">
        <f>SUBTOTAL(9,Y2:Y59)</f>
        <v>21177755106.99963</v>
      </c>
      <c r="Z61" s="78">
        <f>X61/Y61-1</f>
        <v>-4.2699294338838234E-3</v>
      </c>
    </row>
    <row r="62" spans="1:30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87">
        <f>IF(C62=1,$F$71,IF(C62=3,$F$66,IF(C62=4,$F$67,IF(C62=5,$F$74,0))))</f>
        <v>0</v>
      </c>
      <c r="H62" s="19"/>
      <c r="I62" s="65">
        <f>SUM(I3:I54)-SUMPRODUCT((LEFT($A$3:$A$54,1)+0=9)*I3:I54)</f>
        <v>1011399.3491624917</v>
      </c>
      <c r="J62" s="22">
        <f>'Rate Application - ICC Cycle I'!U62</f>
        <v>543.38370905082365</v>
      </c>
      <c r="K62" s="11">
        <f>+H62+J62</f>
        <v>543.38370905082365</v>
      </c>
      <c r="L62" s="11">
        <f>K62*I62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N62/I62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16048622970.520992</v>
      </c>
      <c r="R62" s="19">
        <f>Q62/I62</f>
        <v>15867.741049873481</v>
      </c>
      <c r="S62" s="81">
        <f>'Rate Application - REM Cycle I'!I62</f>
        <v>1.090209793286856</v>
      </c>
      <c r="T62" s="22">
        <f>SUM(T3:T54)-SUMPRODUCT((LEFT($A$3:$A$54,1)+0=9)*T3:T54)</f>
        <v>17891610832.642582</v>
      </c>
      <c r="U62" s="22">
        <f>SUM(U3:U54)-SUMPRODUCT((LEFT($A$3:$A$54,1)+0=9)*U3:U54)</f>
        <v>733730.29954828229</v>
      </c>
      <c r="V62" s="65">
        <f>SUM(V3:V54)-SUMPRODUCT((LEFT($A$3:$A$54,1)+0=9)*V3:V54)</f>
        <v>0</v>
      </c>
      <c r="W62" s="79">
        <f>I62-V62</f>
        <v>1011399.3491624917</v>
      </c>
      <c r="X62" s="22">
        <f>SUM(X3:X54)-SUMPRODUCT((LEFT($A$3:$A$54,1)+0=9)*X3:X54)</f>
        <v>17891610832.642578</v>
      </c>
      <c r="Y62" s="22">
        <f>SUM(Y3:Y54)-SUMPRODUCT((LEFT($A$3:$A$54,1)+0=9)*Y3:Y54)</f>
        <v>18117692706.615276</v>
      </c>
      <c r="Z62" s="78">
        <f>X62/Y62-1</f>
        <v>-1.2478513552122927E-2</v>
      </c>
    </row>
    <row r="63" spans="1:30" ht="17.7" x14ac:dyDescent="0.6">
      <c r="I63" s="82"/>
      <c r="J63" s="22"/>
      <c r="K63" s="12"/>
      <c r="L63" s="12"/>
      <c r="M63" s="36"/>
      <c r="S63" s="81"/>
      <c r="T63" s="12"/>
      <c r="V63" s="83"/>
      <c r="X63" s="12"/>
      <c r="Y63" s="12"/>
    </row>
    <row r="64" spans="1:30" ht="17.7" x14ac:dyDescent="0.6">
      <c r="I64" s="8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14752.822152734607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0</v>
      </c>
      <c r="H65" s="23">
        <f>AVERAGEIF($C$1:$C$65535,1,H$1:H$65535)</f>
        <v>14752.822152734607</v>
      </c>
      <c r="I65" s="80">
        <f>SUMIF($C$1:$C$65535,1,I$1:I$65535)</f>
        <v>848536.38418973342</v>
      </c>
      <c r="J65" s="22">
        <f>'Rate Application - ICC Cycle I'!U65</f>
        <v>131.27420908993491</v>
      </c>
      <c r="K65" s="11">
        <f>+H65+J65</f>
        <v>14884.096361824542</v>
      </c>
      <c r="L65" s="11">
        <f>K65*I65</f>
        <v>12629697308.794163</v>
      </c>
      <c r="M65" s="36">
        <f>'Rate Application - REM Cycle I'!M65</f>
        <v>1.0014818635818203</v>
      </c>
      <c r="N65" s="18">
        <f>SUMIF($C$1:$C$65535,1,N$1:N$65535)</f>
        <v>12646913653.146122</v>
      </c>
      <c r="O65" s="19">
        <f>N65/I65</f>
        <v>14904.385821030701</v>
      </c>
      <c r="P65" s="18">
        <f>SUMIF($C$1:$C$65535,1,P$1:P$65535)</f>
        <v>135726645.33431077</v>
      </c>
      <c r="Q65" s="18">
        <f>SUMIF($C$1:$C$65535,1,Q$1:Q$65535)</f>
        <v>12782640298.480436</v>
      </c>
      <c r="R65" s="19">
        <f>Q65/I65</f>
        <v>15064.339651960319</v>
      </c>
      <c r="S65" s="81">
        <f>'Rate Application - REM Cycle I'!I65</f>
        <v>1.0993762674816792</v>
      </c>
      <c r="T65" s="18">
        <f>SUMIF($C$1:$C$65535,1,T$1:T$65535)</f>
        <v>14269337081.702265</v>
      </c>
      <c r="U65" s="18">
        <f>SUMIF($C$1:$C$65535,1,U$1:U$65535)</f>
        <v>687488.15653224627</v>
      </c>
      <c r="V65" s="80">
        <f>SUMIF($C$1:$C$65535,1,V$1:V$65535)</f>
        <v>0</v>
      </c>
      <c r="W65" s="79">
        <f>I65-V65</f>
        <v>848536.38418973342</v>
      </c>
      <c r="X65" s="18">
        <f>SUMIF($C$1:$C$65535,1,X$1:X$65535)</f>
        <v>14269337081.702265</v>
      </c>
      <c r="Y65" s="18">
        <f>SUMIF($C$1:$C$65535,1,Y$1:Y$65535)</f>
        <v>14273992623.000803</v>
      </c>
      <c r="Z65" s="78">
        <f>X65/Y65-1</f>
        <v>-3.2615550683667838E-4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23" t="e">
        <f>AVERAGEIF($C$1:$C$65535,3,H$1:H$65535)</f>
        <v>#DIV/0!</v>
      </c>
      <c r="I66" s="80">
        <f>SUMIF($C$1:$C$65535,3,I$1:I$65535)</f>
        <v>0</v>
      </c>
      <c r="J66" s="22" t="e">
        <f>'Rate Application - ICC Cycle I'!U66</f>
        <v>#DIV/0!</v>
      </c>
      <c r="K66" s="11" t="e">
        <f>+H66+J66</f>
        <v>#DIV/0!</v>
      </c>
      <c r="L66" s="11" t="e">
        <f>K66*I66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N66/I66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Q66/I66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I66-V66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23" t="e">
        <f>AVERAGEIF($C$1:$C$65535,4,H$1:H$65535)</f>
        <v>#DIV/0!</v>
      </c>
      <c r="I67" s="80">
        <f>SUMIF($C$1:$C$65535,4,I$1:I$65535)</f>
        <v>0</v>
      </c>
      <c r="J67" s="22" t="e">
        <f>'Rate Application - ICC Cycle I'!U67</f>
        <v>#DIV/0!</v>
      </c>
      <c r="K67" s="11" t="e">
        <f>+H67+J67</f>
        <v>#DIV/0!</v>
      </c>
      <c r="L67" s="11" t="e">
        <f>K67*I67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N67/I67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Q67/I67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I67-V67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16863.368236533166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0</v>
      </c>
      <c r="H68" s="23">
        <f>AVERAGEIF($C$1:$C$65535,5,H$1:H$65535)</f>
        <v>16863.368236533166</v>
      </c>
      <c r="I68" s="80">
        <f>SUMIF($C$1:$C$65535,5,I$1:I$65535)</f>
        <v>313101.47436853946</v>
      </c>
      <c r="J68" s="22">
        <f>'Rate Application - ICC Cycle I'!U68</f>
        <v>1922.6648445368019</v>
      </c>
      <c r="K68" s="11">
        <f>+H68+J68</f>
        <v>18786.033081069967</v>
      </c>
      <c r="L68" s="11">
        <f>K68*I68</f>
        <v>5881934655.2191629</v>
      </c>
      <c r="M68" s="36">
        <f>'Rate Application - REM Cycle I'!M68</f>
        <v>0.99790031034215976</v>
      </c>
      <c r="N68" s="18">
        <f>SUMIF($C$1:$C$65535,5,N$1:N$65535)</f>
        <v>5869021872.2151279</v>
      </c>
      <c r="O68" s="19">
        <f>N68/I68</f>
        <v>18744.791553766154</v>
      </c>
      <c r="P68" s="18">
        <f>SUMIF($C$1:$C$65535,5,P$1:P$65535)</f>
        <v>257501081.74744377</v>
      </c>
      <c r="Q68" s="18">
        <f>SUMIF($C$1:$C$65535,5,Q$1:Q$65535)</f>
        <v>6126522953.9625721</v>
      </c>
      <c r="R68" s="19">
        <f>Q68/I68</f>
        <v>19567.212087769611</v>
      </c>
      <c r="S68" s="81">
        <f>'Rate Application - REM Cycle I'!I68</f>
        <v>1.0695902147917553</v>
      </c>
      <c r="T68" s="18">
        <f>SUMIF($C$1:$C$65535,5,T$1:T$65535)</f>
        <v>6817745844.5220461</v>
      </c>
      <c r="U68" s="18">
        <f>SUMIF($C$1:$C$65535,5,U$1:U$65535)</f>
        <v>149136.66191849631</v>
      </c>
      <c r="V68" s="80">
        <f>SUMIF($C$1:$C$65535,5,V$1:V$65535)</f>
        <v>0</v>
      </c>
      <c r="W68" s="79">
        <f>I68-V68</f>
        <v>313101.47436853946</v>
      </c>
      <c r="X68" s="18">
        <f>SUMIF($C$1:$C$65535,5,X$1:X$65535)</f>
        <v>6817745844.5220461</v>
      </c>
      <c r="Y68" s="18">
        <f>SUMIF($C$1:$C$65535,5,Y$1:Y$65535)</f>
        <v>6818078919.679533</v>
      </c>
      <c r="Z68" s="78">
        <f>X68/Y68-1</f>
        <v>-4.8851760358070706E-5</v>
      </c>
    </row>
    <row r="69" spans="1:26" x14ac:dyDescent="0.5">
      <c r="I69" s="77"/>
    </row>
    <row r="70" spans="1:26" x14ac:dyDescent="0.5">
      <c r="E70" s="76"/>
      <c r="F70" s="76"/>
      <c r="G70" s="74"/>
    </row>
    <row r="71" spans="1:26" x14ac:dyDescent="0.5">
      <c r="E71" s="76"/>
      <c r="F71" s="76"/>
      <c r="G71" s="76"/>
      <c r="H71" s="75"/>
    </row>
    <row r="72" spans="1:26" x14ac:dyDescent="0.5">
      <c r="E72" s="76"/>
      <c r="F72" s="76"/>
      <c r="G72" s="76"/>
      <c r="H72" s="75"/>
    </row>
    <row r="73" spans="1:26" x14ac:dyDescent="0.5">
      <c r="E73" s="76"/>
      <c r="F73" s="76"/>
      <c r="G73" s="76"/>
      <c r="H73" s="75"/>
    </row>
    <row r="74" spans="1:26" x14ac:dyDescent="0.5">
      <c r="H74" s="75"/>
    </row>
    <row r="76" spans="1:26" x14ac:dyDescent="0.5">
      <c r="H76" s="73"/>
    </row>
  </sheetData>
  <sheetCalcPr fullCalcOnLoad="1"/>
  <autoFilter ref="A2:AG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62"/>
  <sheetViews>
    <sheetView workbookViewId="0">
      <selection activeCell="A62" sqref="A62"/>
    </sheetView>
  </sheetViews>
  <sheetFormatPr defaultRowHeight="14.4" x14ac:dyDescent="0.55000000000000004"/>
  <cols>
    <col min="1" max="1" width="51" bestFit="1" customWidth="1"/>
    <col min="2" max="2" width="37.68359375" style="2" bestFit="1" customWidth="1"/>
    <col min="3" max="3" width="44.26171875" style="2" bestFit="1" customWidth="1"/>
    <col min="4" max="4" width="49.68359375" style="93" bestFit="1" customWidth="1"/>
  </cols>
  <sheetData>
    <row r="1" spans="1:4" x14ac:dyDescent="0.55000000000000004">
      <c r="A1" s="1" t="s">
        <v>106</v>
      </c>
      <c r="B1" s="2" t="s">
        <v>51</v>
      </c>
    </row>
    <row r="3" spans="1:4" x14ac:dyDescent="0.55000000000000004">
      <c r="A3" s="1" t="s">
        <v>0</v>
      </c>
      <c r="B3" s="2" t="s">
        <v>178</v>
      </c>
      <c r="C3" s="2" t="s">
        <v>177</v>
      </c>
      <c r="D3" s="309" t="s">
        <v>176</v>
      </c>
    </row>
    <row r="4" spans="1:4" x14ac:dyDescent="0.55000000000000004">
      <c r="A4" s="318">
        <v>1</v>
      </c>
      <c r="D4" s="309"/>
    </row>
    <row r="5" spans="1:4" x14ac:dyDescent="0.55000000000000004">
      <c r="A5" s="312" t="s">
        <v>391</v>
      </c>
      <c r="B5" s="2">
        <v>457680358.38583815</v>
      </c>
      <c r="C5" s="2">
        <v>483097820.14818889</v>
      </c>
      <c r="D5" s="309">
        <v>5.5535399972141741E-2</v>
      </c>
    </row>
    <row r="6" spans="1:4" x14ac:dyDescent="0.55000000000000004">
      <c r="A6" s="312" t="s">
        <v>79</v>
      </c>
      <c r="B6" s="2">
        <v>635318079.82826042</v>
      </c>
      <c r="C6" s="2">
        <v>684088993.81464446</v>
      </c>
      <c r="D6" s="309">
        <v>7.6766135790701684E-2</v>
      </c>
    </row>
    <row r="7" spans="1:4" x14ac:dyDescent="0.55000000000000004">
      <c r="A7" s="312" t="s">
        <v>413</v>
      </c>
      <c r="B7" s="2">
        <v>535372097.11053395</v>
      </c>
      <c r="C7" s="2">
        <v>500726375.67018646</v>
      </c>
      <c r="D7" s="309">
        <v>-6.4713349140410048E-2</v>
      </c>
    </row>
    <row r="8" spans="1:4" x14ac:dyDescent="0.55000000000000004">
      <c r="A8" s="312" t="s">
        <v>384</v>
      </c>
      <c r="B8" s="2">
        <v>271172412.47944635</v>
      </c>
      <c r="C8" s="2">
        <v>238895127.72010127</v>
      </c>
      <c r="D8" s="309">
        <v>-0.11902864478071329</v>
      </c>
    </row>
    <row r="9" spans="1:4" x14ac:dyDescent="0.55000000000000004">
      <c r="A9" s="312" t="s">
        <v>416</v>
      </c>
      <c r="B9" s="2">
        <v>419698004.06819934</v>
      </c>
      <c r="C9" s="2">
        <v>387175746.98664171</v>
      </c>
      <c r="D9" s="309">
        <v>-7.7489663439697654E-2</v>
      </c>
    </row>
    <row r="10" spans="1:4" x14ac:dyDescent="0.55000000000000004">
      <c r="A10" s="312" t="s">
        <v>408</v>
      </c>
      <c r="B10" s="2">
        <v>342538188.60094124</v>
      </c>
      <c r="C10" s="2">
        <v>367572253.68699682</v>
      </c>
      <c r="D10" s="309">
        <v>7.3084011999667631E-2</v>
      </c>
    </row>
    <row r="11" spans="1:4" x14ac:dyDescent="0.55000000000000004">
      <c r="A11" s="312" t="s">
        <v>392</v>
      </c>
      <c r="B11" s="2">
        <v>451684822.75135535</v>
      </c>
      <c r="C11" s="2">
        <v>470940126.88134956</v>
      </c>
      <c r="D11" s="309">
        <v>4.2629956022662174E-2</v>
      </c>
    </row>
    <row r="12" spans="1:4" x14ac:dyDescent="0.55000000000000004">
      <c r="A12" s="312" t="s">
        <v>382</v>
      </c>
      <c r="B12" s="2">
        <v>112879486.6648809</v>
      </c>
      <c r="C12" s="2">
        <v>94237335.784603119</v>
      </c>
      <c r="D12" s="309">
        <v>-0.16515091830301287</v>
      </c>
    </row>
    <row r="13" spans="1:4" x14ac:dyDescent="0.55000000000000004">
      <c r="A13" s="318">
        <v>3</v>
      </c>
      <c r="D13" s="309"/>
    </row>
    <row r="14" spans="1:4" x14ac:dyDescent="0.55000000000000004">
      <c r="A14" s="312" t="s">
        <v>407</v>
      </c>
      <c r="B14" s="2">
        <v>600418061.67072093</v>
      </c>
      <c r="C14" s="2">
        <v>685111366.22799671</v>
      </c>
      <c r="D14" s="309">
        <v>0.14105722323144065</v>
      </c>
    </row>
    <row r="15" spans="1:4" x14ac:dyDescent="0.55000000000000004">
      <c r="A15" s="312" t="s">
        <v>380</v>
      </c>
      <c r="B15" s="2">
        <v>109187672.68500334</v>
      </c>
      <c r="C15" s="2">
        <v>121976564.67986684</v>
      </c>
      <c r="D15" s="309">
        <v>0.11712761780130898</v>
      </c>
    </row>
    <row r="16" spans="1:4" x14ac:dyDescent="0.55000000000000004">
      <c r="A16" s="312" t="s">
        <v>394</v>
      </c>
      <c r="B16" s="2">
        <v>146495336.70909449</v>
      </c>
      <c r="C16" s="2">
        <v>136979884.96566501</v>
      </c>
      <c r="D16" s="309">
        <v>-6.4953956604946073E-2</v>
      </c>
    </row>
    <row r="17" spans="1:4" x14ac:dyDescent="0.55000000000000004">
      <c r="A17" s="312" t="s">
        <v>399</v>
      </c>
      <c r="B17" s="2">
        <v>236445528.84781078</v>
      </c>
      <c r="C17" s="2">
        <v>224163060.02918395</v>
      </c>
      <c r="D17" s="309">
        <v>-5.1946293416833766E-2</v>
      </c>
    </row>
    <row r="18" spans="1:4" x14ac:dyDescent="0.55000000000000004">
      <c r="A18" s="312" t="s">
        <v>386</v>
      </c>
      <c r="B18" s="2">
        <v>260063804.41883573</v>
      </c>
      <c r="C18" s="2">
        <v>259627233.06988451</v>
      </c>
      <c r="D18" s="309">
        <v>-1.6787086150908959E-3</v>
      </c>
    </row>
    <row r="19" spans="1:4" x14ac:dyDescent="0.55000000000000004">
      <c r="A19" s="312" t="s">
        <v>381</v>
      </c>
      <c r="B19" s="2">
        <v>52381829.042422429</v>
      </c>
      <c r="C19" s="2">
        <v>58368728.09307798</v>
      </c>
      <c r="D19" s="309">
        <v>0.11429343266740344</v>
      </c>
    </row>
    <row r="20" spans="1:4" x14ac:dyDescent="0.55000000000000004">
      <c r="A20" s="312" t="s">
        <v>421</v>
      </c>
      <c r="B20" s="2">
        <v>360857545.22088104</v>
      </c>
      <c r="C20" s="2">
        <v>369253180.49436939</v>
      </c>
      <c r="D20" s="309">
        <v>2.3265788355206318E-2</v>
      </c>
    </row>
    <row r="21" spans="1:4" x14ac:dyDescent="0.55000000000000004">
      <c r="A21" s="312" t="s">
        <v>411</v>
      </c>
      <c r="B21" s="2">
        <v>60551506.467737034</v>
      </c>
      <c r="C21" s="2">
        <v>71800964.588255301</v>
      </c>
      <c r="D21" s="309">
        <v>0.18578329056952847</v>
      </c>
    </row>
    <row r="22" spans="1:4" x14ac:dyDescent="0.55000000000000004">
      <c r="A22" s="312" t="s">
        <v>388</v>
      </c>
      <c r="B22" s="2">
        <v>310083750.7349233</v>
      </c>
      <c r="C22" s="2">
        <v>341549208.02899772</v>
      </c>
      <c r="D22" s="309">
        <v>0.10147406053847963</v>
      </c>
    </row>
    <row r="23" spans="1:4" x14ac:dyDescent="0.55000000000000004">
      <c r="A23" s="312" t="s">
        <v>410</v>
      </c>
      <c r="B23" s="2">
        <v>175022384.52083069</v>
      </c>
      <c r="C23" s="2">
        <v>153470157.47321942</v>
      </c>
      <c r="D23" s="309">
        <v>-0.12313983212270874</v>
      </c>
    </row>
    <row r="24" spans="1:4" x14ac:dyDescent="0.55000000000000004">
      <c r="A24" s="312" t="s">
        <v>378</v>
      </c>
      <c r="B24" s="2">
        <v>280210093.93168741</v>
      </c>
      <c r="C24" s="2">
        <v>236186175.6628474</v>
      </c>
      <c r="D24" s="309">
        <v>-0.1571103940301759</v>
      </c>
    </row>
    <row r="25" spans="1:4" x14ac:dyDescent="0.55000000000000004">
      <c r="A25" s="312" t="s">
        <v>403</v>
      </c>
      <c r="B25" s="2">
        <v>182980923.24185652</v>
      </c>
      <c r="C25" s="2">
        <v>190277883.57237837</v>
      </c>
      <c r="D25" s="309">
        <v>3.9878257258965988E-2</v>
      </c>
    </row>
    <row r="26" spans="1:4" x14ac:dyDescent="0.55000000000000004">
      <c r="A26" s="312" t="s">
        <v>425</v>
      </c>
      <c r="B26" s="2">
        <v>368710793.99844563</v>
      </c>
      <c r="C26" s="2">
        <v>387621540.12255198</v>
      </c>
      <c r="D26" s="309">
        <v>5.1288832418033392E-2</v>
      </c>
    </row>
    <row r="27" spans="1:4" x14ac:dyDescent="0.55000000000000004">
      <c r="A27" s="312" t="s">
        <v>393</v>
      </c>
      <c r="B27" s="2">
        <v>267911196.64727661</v>
      </c>
      <c r="C27" s="2">
        <v>237320482.91618592</v>
      </c>
      <c r="D27" s="309">
        <v>-0.11418228918355156</v>
      </c>
    </row>
    <row r="28" spans="1:4" x14ac:dyDescent="0.55000000000000004">
      <c r="A28" s="312" t="s">
        <v>409</v>
      </c>
      <c r="B28" s="2">
        <v>447111194.77019799</v>
      </c>
      <c r="C28" s="2">
        <v>470544328.88426131</v>
      </c>
      <c r="D28" s="309">
        <v>5.2410081402920916E-2</v>
      </c>
    </row>
    <row r="29" spans="1:4" x14ac:dyDescent="0.55000000000000004">
      <c r="A29" s="312" t="s">
        <v>383</v>
      </c>
      <c r="B29" s="2">
        <v>465462446.66788989</v>
      </c>
      <c r="C29" s="2">
        <v>436534366.5672819</v>
      </c>
      <c r="D29" s="309">
        <v>-6.2149117093539319E-2</v>
      </c>
    </row>
    <row r="30" spans="1:4" x14ac:dyDescent="0.55000000000000004">
      <c r="A30" s="312" t="s">
        <v>397</v>
      </c>
      <c r="B30" s="2">
        <v>155992589.33780089</v>
      </c>
      <c r="C30" s="2">
        <v>156668560.49384114</v>
      </c>
      <c r="D30" s="309">
        <v>4.3333542888785992E-3</v>
      </c>
    </row>
    <row r="31" spans="1:4" x14ac:dyDescent="0.55000000000000004">
      <c r="A31" s="312" t="s">
        <v>420</v>
      </c>
      <c r="B31" s="2">
        <v>108217974.62571737</v>
      </c>
      <c r="C31" s="2">
        <v>100800648.39836632</v>
      </c>
      <c r="D31" s="309">
        <v>-6.8540612158050629E-2</v>
      </c>
    </row>
    <row r="32" spans="1:4" x14ac:dyDescent="0.55000000000000004">
      <c r="A32" s="312" t="s">
        <v>401</v>
      </c>
      <c r="B32" s="2">
        <v>51896602.087173186</v>
      </c>
      <c r="C32" s="2">
        <v>39281767.440667115</v>
      </c>
      <c r="D32" s="309">
        <v>-0.24307631211223302</v>
      </c>
    </row>
    <row r="33" spans="1:4" x14ac:dyDescent="0.55000000000000004">
      <c r="A33" s="312" t="s">
        <v>417</v>
      </c>
      <c r="B33" s="2">
        <v>46170653.566977315</v>
      </c>
      <c r="C33" s="2">
        <v>41743590.099003091</v>
      </c>
      <c r="D33" s="309">
        <v>-9.5884791008039705E-2</v>
      </c>
    </row>
    <row r="34" spans="1:4" x14ac:dyDescent="0.55000000000000004">
      <c r="A34" s="312" t="s">
        <v>396</v>
      </c>
      <c r="B34" s="2">
        <v>218006630.93565437</v>
      </c>
      <c r="C34" s="2">
        <v>195366059.20830032</v>
      </c>
      <c r="D34" s="309">
        <v>-0.10385267471078219</v>
      </c>
    </row>
    <row r="35" spans="1:4" x14ac:dyDescent="0.55000000000000004">
      <c r="A35" s="312" t="s">
        <v>377</v>
      </c>
      <c r="B35" s="2">
        <v>390481566.18922573</v>
      </c>
      <c r="C35" s="2">
        <v>401108453.44961268</v>
      </c>
      <c r="D35" s="309">
        <v>2.721482441308698E-2</v>
      </c>
    </row>
    <row r="36" spans="1:4" x14ac:dyDescent="0.55000000000000004">
      <c r="A36" s="312" t="s">
        <v>387</v>
      </c>
      <c r="B36" s="2">
        <v>322468123.03384435</v>
      </c>
      <c r="C36" s="2">
        <v>336670637.33600098</v>
      </c>
      <c r="D36" s="309">
        <v>4.4043157408975908E-2</v>
      </c>
    </row>
    <row r="37" spans="1:4" x14ac:dyDescent="0.55000000000000004">
      <c r="A37" s="312" t="s">
        <v>400</v>
      </c>
      <c r="B37" s="2">
        <v>163695078.94233933</v>
      </c>
      <c r="C37" s="2">
        <v>143809117.53340712</v>
      </c>
      <c r="D37" s="309">
        <v>-0.1214817301620712</v>
      </c>
    </row>
    <row r="38" spans="1:4" x14ac:dyDescent="0.55000000000000004">
      <c r="A38" s="312" t="s">
        <v>412</v>
      </c>
      <c r="B38" s="2">
        <v>300441387.436185</v>
      </c>
      <c r="C38" s="2">
        <v>278590799.18489569</v>
      </c>
      <c r="D38" s="309">
        <v>-7.2728289659927281E-2</v>
      </c>
    </row>
    <row r="39" spans="1:4" x14ac:dyDescent="0.55000000000000004">
      <c r="A39" s="312" t="s">
        <v>405</v>
      </c>
      <c r="B39" s="2">
        <v>321001887.90953296</v>
      </c>
      <c r="C39" s="2">
        <v>322558562.5111801</v>
      </c>
      <c r="D39" s="309">
        <v>4.849425066577373E-3</v>
      </c>
    </row>
    <row r="40" spans="1:4" x14ac:dyDescent="0.55000000000000004">
      <c r="A40" s="318">
        <v>4</v>
      </c>
      <c r="D40" s="309"/>
    </row>
    <row r="41" spans="1:4" x14ac:dyDescent="0.55000000000000004">
      <c r="A41" s="312" t="s">
        <v>402</v>
      </c>
      <c r="B41" s="2">
        <v>651137459.23030555</v>
      </c>
      <c r="C41" s="2">
        <v>686322550.35679781</v>
      </c>
      <c r="D41" s="309">
        <v>5.4036349203567147E-2</v>
      </c>
    </row>
    <row r="42" spans="1:4" x14ac:dyDescent="0.55000000000000004">
      <c r="A42" s="312" t="s">
        <v>398</v>
      </c>
      <c r="B42" s="2">
        <v>191973195.94856057</v>
      </c>
      <c r="C42" s="2">
        <v>202157733.62458983</v>
      </c>
      <c r="D42" s="309">
        <v>5.3051873339433397E-2</v>
      </c>
    </row>
    <row r="43" spans="1:4" x14ac:dyDescent="0.55000000000000004">
      <c r="A43" s="312" t="s">
        <v>406</v>
      </c>
      <c r="B43" s="2">
        <v>427752442.19632149</v>
      </c>
      <c r="C43" s="2">
        <v>455884687.24039817</v>
      </c>
      <c r="D43" s="309">
        <v>6.5767584866681217E-2</v>
      </c>
    </row>
    <row r="44" spans="1:4" x14ac:dyDescent="0.55000000000000004">
      <c r="A44" s="312" t="s">
        <v>419</v>
      </c>
      <c r="B44" s="2">
        <v>538516504.83492351</v>
      </c>
      <c r="C44" s="2">
        <v>624663952.9289695</v>
      </c>
      <c r="D44" s="309">
        <v>0.15997178790361044</v>
      </c>
    </row>
    <row r="45" spans="1:4" x14ac:dyDescent="0.55000000000000004">
      <c r="A45" s="312" t="s">
        <v>423</v>
      </c>
      <c r="B45" s="2">
        <v>347925179.07457805</v>
      </c>
      <c r="C45" s="2">
        <v>328249009.56783825</v>
      </c>
      <c r="D45" s="309">
        <v>-5.6552875992117224E-2</v>
      </c>
    </row>
    <row r="46" spans="1:4" x14ac:dyDescent="0.55000000000000004">
      <c r="A46" s="312" t="s">
        <v>415</v>
      </c>
      <c r="B46" s="2">
        <v>807990924.62363875</v>
      </c>
      <c r="C46" s="2">
        <v>699796652.97745013</v>
      </c>
      <c r="D46" s="309">
        <v>-0.13390530555350655</v>
      </c>
    </row>
    <row r="47" spans="1:4" x14ac:dyDescent="0.55000000000000004">
      <c r="A47" s="312" t="s">
        <v>395</v>
      </c>
      <c r="B47" s="2">
        <v>209879428.41413811</v>
      </c>
      <c r="C47" s="2">
        <v>176967700.85358933</v>
      </c>
      <c r="D47" s="309">
        <v>-0.15681254618059437</v>
      </c>
    </row>
    <row r="48" spans="1:4" x14ac:dyDescent="0.55000000000000004">
      <c r="A48" s="318">
        <v>5</v>
      </c>
      <c r="D48" s="309"/>
    </row>
    <row r="49" spans="1:4" x14ac:dyDescent="0.55000000000000004">
      <c r="A49" s="312" t="s">
        <v>418</v>
      </c>
      <c r="B49" s="2">
        <v>2271913453.7494617</v>
      </c>
      <c r="C49" s="2">
        <v>2286999991.619844</v>
      </c>
      <c r="D49" s="309">
        <v>6.6404544792337816E-3</v>
      </c>
    </row>
    <row r="50" spans="1:4" x14ac:dyDescent="0.55000000000000004">
      <c r="A50" s="312" t="s">
        <v>424</v>
      </c>
      <c r="B50" s="2">
        <v>1363046478.5751929</v>
      </c>
      <c r="C50" s="2">
        <v>1276790153.3144667</v>
      </c>
      <c r="D50" s="309">
        <v>-6.3282013208302956E-2</v>
      </c>
    </row>
    <row r="51" spans="1:4" x14ac:dyDescent="0.55000000000000004">
      <c r="A51" s="318" t="s">
        <v>80</v>
      </c>
      <c r="D51" s="309"/>
    </row>
    <row r="52" spans="1:4" x14ac:dyDescent="0.55000000000000004">
      <c r="A52" s="312" t="s">
        <v>414</v>
      </c>
      <c r="B52" s="2">
        <v>-1387911.6579789929</v>
      </c>
      <c r="C52" s="2">
        <v>0</v>
      </c>
      <c r="D52" s="309">
        <v>-1</v>
      </c>
    </row>
    <row r="53" spans="1:4" x14ac:dyDescent="0.55000000000000004">
      <c r="A53" s="312" t="s">
        <v>385</v>
      </c>
      <c r="B53" s="2">
        <v>88874955.839464456</v>
      </c>
      <c r="C53" s="2">
        <v>554.87021353831472</v>
      </c>
      <c r="D53" s="309">
        <v>-0.99999375673148527</v>
      </c>
    </row>
    <row r="54" spans="1:4" x14ac:dyDescent="0.55000000000000004">
      <c r="A54" s="312" t="s">
        <v>389</v>
      </c>
      <c r="B54" s="2">
        <v>13700537.261961408</v>
      </c>
      <c r="C54" s="2">
        <v>0</v>
      </c>
      <c r="D54" s="309">
        <v>-1</v>
      </c>
    </row>
    <row r="55" spans="1:4" x14ac:dyDescent="0.55000000000000004">
      <c r="B55"/>
      <c r="C55"/>
      <c r="D55"/>
    </row>
    <row r="56" spans="1:4" x14ac:dyDescent="0.55000000000000004">
      <c r="B56"/>
      <c r="C56"/>
      <c r="D56"/>
    </row>
    <row r="57" spans="1:4" x14ac:dyDescent="0.55000000000000004">
      <c r="B57"/>
      <c r="C57"/>
      <c r="D57"/>
    </row>
    <row r="58" spans="1:4" x14ac:dyDescent="0.55000000000000004">
      <c r="B58"/>
      <c r="C58"/>
      <c r="D58"/>
    </row>
    <row r="59" spans="1:4" x14ac:dyDescent="0.55000000000000004">
      <c r="B59"/>
      <c r="C59"/>
      <c r="D59"/>
    </row>
    <row r="60" spans="1:4" x14ac:dyDescent="0.55000000000000004">
      <c r="B60"/>
      <c r="C60"/>
      <c r="D60"/>
    </row>
    <row r="61" spans="1:4" x14ac:dyDescent="0.55000000000000004">
      <c r="B61"/>
      <c r="C61"/>
      <c r="D61"/>
    </row>
    <row r="62" spans="1:4" x14ac:dyDescent="0.55000000000000004">
      <c r="B62"/>
      <c r="C62"/>
      <c r="D6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I73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X5" sqref="X5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17.68359375" style="11" customWidth="1"/>
    <col min="5" max="7" width="17.68359375" style="11" hidden="1" customWidth="1"/>
    <col min="8" max="8" width="17.68359375" style="11" customWidth="1"/>
    <col min="9" max="9" width="18.15625" style="10" bestFit="1" customWidth="1"/>
    <col min="10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bestFit="1" customWidth="1"/>
    <col min="28" max="28" width="17" style="10" customWidth="1"/>
    <col min="29" max="29" width="17.68359375" style="10" bestFit="1" customWidth="1"/>
    <col min="30" max="30" width="18" style="10" customWidth="1"/>
    <col min="31" max="31" width="0" style="10" hidden="1" customWidth="1"/>
    <col min="32" max="32" width="0" style="341" hidden="1" customWidth="1"/>
    <col min="33" max="33" width="0" style="342" hidden="1" customWidth="1"/>
    <col min="34" max="34" width="0" style="341" hidden="1" customWidth="1"/>
    <col min="35" max="35" width="0" style="342" hidden="1" customWidth="1"/>
    <col min="36" max="16384" width="12.41796875" style="10"/>
  </cols>
  <sheetData>
    <row r="1" spans="1:35" ht="46.5" x14ac:dyDescent="1.5">
      <c r="A1" s="56" t="s">
        <v>499</v>
      </c>
      <c r="B1" s="55"/>
      <c r="C1" s="55"/>
      <c r="D1" s="50"/>
      <c r="E1" s="50"/>
      <c r="F1" s="50"/>
      <c r="G1" s="50"/>
      <c r="H1" s="50"/>
      <c r="I1" s="55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  <c r="AF1" s="339"/>
      <c r="AG1" s="340"/>
      <c r="AH1" s="339"/>
      <c r="AI1" s="340"/>
    </row>
    <row r="2" spans="1:35" ht="104.4" x14ac:dyDescent="0.55000000000000004">
      <c r="A2" s="48" t="s">
        <v>106</v>
      </c>
      <c r="B2" s="47" t="s">
        <v>105</v>
      </c>
      <c r="C2" s="47" t="s">
        <v>104</v>
      </c>
      <c r="D2" s="40" t="s">
        <v>175</v>
      </c>
      <c r="E2" s="287" t="s">
        <v>174</v>
      </c>
      <c r="F2" s="40" t="s">
        <v>173</v>
      </c>
      <c r="G2" s="40" t="s">
        <v>172</v>
      </c>
      <c r="H2" s="40" t="s">
        <v>171</v>
      </c>
      <c r="I2" s="41" t="s">
        <v>92</v>
      </c>
      <c r="J2" s="40" t="s">
        <v>170</v>
      </c>
      <c r="K2" s="40" t="s">
        <v>169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</row>
    <row r="3" spans="1:35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IF(C3=1,'Rate Application - ICC Cycle I'!$Y$65,IF(C3=3,'Rate Application - ICC Cycle I'!$Y$66,IF(C3=4,'Rate Application - ICC Cycle I'!$Y$67,IF(C3=5,'Rate Application - ICC Cycle I'!$Y$68,0))))</f>
        <v>10459.948799491758</v>
      </c>
      <c r="E3" s="87">
        <v>0</v>
      </c>
      <c r="F3" s="87">
        <f>IF(C3=1,E3*(I3/$I$65),IF(C3=3,E3*(I3/$I$66),IF(C3=4,E3*(I3/$I$67),E3*(I3/$I$68))))</f>
        <v>0</v>
      </c>
      <c r="G3" s="87">
        <v>0</v>
      </c>
      <c r="H3" s="87">
        <f t="shared" ref="H3:H54" si="0">D3+E3</f>
        <v>10459.948799491758</v>
      </c>
      <c r="I3" s="65">
        <f>VLOOKUP(A3,'Rate Application - REM Cycle I'!$1:$65535,15,FALSE)</f>
        <v>29234.020255178955</v>
      </c>
      <c r="J3" s="19">
        <f>VLOOKUP(A3,'Rate Application - REM Cycle I'!$1:$65535,20,FALSE)</f>
        <v>81.226447456567413</v>
      </c>
      <c r="K3" s="11">
        <f t="shared" ref="K3:K54" si="1">+H3+J3</f>
        <v>10541.175246948325</v>
      </c>
      <c r="L3" s="11">
        <f>(K3*I3)+VLOOKUP(A3,'Rate Application - ICC Cycle I'!$1:$1048576,21,FALSE)</f>
        <v>396195032.09108704</v>
      </c>
      <c r="M3" s="36">
        <f>VLOOKUP(A3,'Variable Input'!$1:$1048576,23,FALSE)</f>
        <v>0.99671861092415948</v>
      </c>
      <c r="N3" s="22">
        <f t="shared" ref="N3:N54" si="2">L3*M3</f>
        <v>394894962.04088104</v>
      </c>
      <c r="O3" s="19">
        <f t="shared" ref="O3:O54" si="3">IFERROR(N3/I3,0)</f>
        <v>13508.062134250024</v>
      </c>
      <c r="P3" s="18">
        <f>VLOOKUP(A3,'Rate Application - REM Cycle I'!$1:$65535,11,FALSE)</f>
        <v>6625379.0220225165</v>
      </c>
      <c r="Q3" s="18">
        <f t="shared" ref="Q3:Q54" si="4">N3+P3</f>
        <v>401520341.06290358</v>
      </c>
      <c r="R3" s="19">
        <f t="shared" ref="R3:R54" si="5">IFERROR(Q3/I3,0)</f>
        <v>13734.69463173722</v>
      </c>
      <c r="S3" s="81">
        <f>VLOOKUP(A3,'Rate Application - REM Cycle I'!$1:$65535,9,FALSE)</f>
        <v>1.1196537153887776</v>
      </c>
      <c r="T3" s="19">
        <f t="shared" ref="T3:T54" si="6">Q3*S3</f>
        <v>449563741.67524916</v>
      </c>
      <c r="U3" s="22">
        <f t="shared" ref="U3:U54" si="7">IFERROR(T3/I3,0)</f>
        <v>15378.101874154878</v>
      </c>
      <c r="V3" s="88">
        <f>IFERROR(VLOOKUP(A4,'PAU Volume'!AX:AZ,3,FALSE)-VLOOKUP(A4,'PAU Volume'!#REF!,4,FALSE)+VLOOKUP(A4,'PAU Volume'!#REF!,2,FALSE),0)*0</f>
        <v>0</v>
      </c>
      <c r="W3" s="79">
        <f t="shared" ref="W3:W54" si="8">I3+V3</f>
        <v>29234.020255178955</v>
      </c>
      <c r="X3" s="15">
        <f t="shared" ref="X3:X54" si="9">W3*U3</f>
        <v>449563741.67524916</v>
      </c>
      <c r="Y3" s="11">
        <f>VLOOKUP(A3,'Rate Application - REM Cycle I'!$1:$65535,7,FALSE)</f>
        <v>409229772.57070911</v>
      </c>
      <c r="Z3" s="78">
        <f t="shared" ref="Z3:Z54" si="10">IFERROR(X3/Y3-1," ")</f>
        <v>9.8560690858754407E-2</v>
      </c>
      <c r="AA3" s="82">
        <f>IFERROR(VLOOKUP(A3,'GBR Revenue for ICC'!#REF!,17,FALSE),0)</f>
        <v>0</v>
      </c>
      <c r="AB3" s="82">
        <f t="shared" ref="AB3:AB54" si="11">IFERROR(AA3*(1+Z3),0)</f>
        <v>0</v>
      </c>
      <c r="AC3" s="11">
        <f t="shared" ref="AC3:AC54" si="12">Y3+AA3</f>
        <v>409229772.57070911</v>
      </c>
      <c r="AD3" s="11">
        <f t="shared" ref="AD3:AD54" si="13">X3+AB3</f>
        <v>449563741.67524916</v>
      </c>
      <c r="AE3" s="10">
        <v>1</v>
      </c>
      <c r="AF3" s="343">
        <f>VLOOKUP(A3,[1]icc_by_hosp_year!$A:$IV,9,FALSE)</f>
        <v>-2.01151472760598E-2</v>
      </c>
      <c r="AG3" s="344">
        <f t="shared" ref="AG3:AG55" si="14">AF3-Z3</f>
        <v>-0.11867583813481421</v>
      </c>
      <c r="AH3" s="343">
        <f>VLOOKUP(A3,'[2]Rate Application - ICC Cycle II'!$A:$IV,26,FALSE)</f>
        <v>-6.9814479414345709E-2</v>
      </c>
      <c r="AI3" s="344">
        <f t="shared" ref="AI3:AI55" si="15">AH3-Z3</f>
        <v>-0.16837517027310012</v>
      </c>
    </row>
    <row r="4" spans="1:35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IF(C4=1,'Rate Application - ICC Cycle I'!$Y$65,IF(C4=3,'Rate Application - ICC Cycle I'!$Y$66,IF(C4=4,'Rate Application - ICC Cycle I'!$Y$67,IF(C4=5,'Rate Application - ICC Cycle I'!$Y$68,0))))</f>
        <v>12635.590589674488</v>
      </c>
      <c r="E4" s="87">
        <v>0</v>
      </c>
      <c r="F4" s="87">
        <f>IF(C4=1,E4*(I4/$I$65),IF(C4=3,E4*(I4/$I$66),IF(C4=4,E4*(I4/$I$67),E4*(I4/$I$68))))</f>
        <v>0</v>
      </c>
      <c r="G4" s="87">
        <v>0</v>
      </c>
      <c r="H4" s="87">
        <f t="shared" si="0"/>
        <v>12635.590589674488</v>
      </c>
      <c r="I4" s="65">
        <f>VLOOKUP(A4,'Rate Application - REM Cycle I'!$1:$65535,15,FALSE)</f>
        <v>53406.112545307114</v>
      </c>
      <c r="J4" s="19">
        <f>VLOOKUP(A4,'Rate Application - REM Cycle I'!$1:$65535,20,FALSE)</f>
        <v>2904.7925350190649</v>
      </c>
      <c r="K4" s="11">
        <f t="shared" si="1"/>
        <v>15540.383124693553</v>
      </c>
      <c r="L4" s="11">
        <f>(K4*I4)+VLOOKUP(A4,'Rate Application - ICC Cycle I'!$1:$1048576,21,FALSE)</f>
        <v>1020458262.4602015</v>
      </c>
      <c r="M4" s="36">
        <f>VLOOKUP(A4,'Variable Input'!$1:$1048576,23,FALSE)</f>
        <v>0.99671861092415948</v>
      </c>
      <c r="N4" s="22">
        <f t="shared" si="2"/>
        <v>1017109741.8654134</v>
      </c>
      <c r="O4" s="19">
        <f t="shared" si="3"/>
        <v>19044.818905374315</v>
      </c>
      <c r="P4" s="18">
        <f>VLOOKUP(A4,'Rate Application - REM Cycle I'!$1:$65535,11,FALSE)</f>
        <v>59584704.514455065</v>
      </c>
      <c r="Q4" s="18">
        <f t="shared" si="4"/>
        <v>1076694446.3798685</v>
      </c>
      <c r="R4" s="19">
        <f t="shared" si="5"/>
        <v>20160.509632047342</v>
      </c>
      <c r="S4" s="81">
        <f>VLOOKUP(A4,'Rate Application - REM Cycle I'!$1:$65535,9,FALSE)</f>
        <v>1.1149630516096494</v>
      </c>
      <c r="T4" s="19">
        <f t="shared" si="6"/>
        <v>1200474525.5868602</v>
      </c>
      <c r="U4" s="22">
        <f t="shared" si="7"/>
        <v>22478.223341353234</v>
      </c>
      <c r="V4" s="88">
        <f>IFERROR(VLOOKUP(A5,'PAU Volume'!AX:AZ,3,FALSE)-VLOOKUP(A5,'PAU Volume'!#REF!,4,FALSE)+VLOOKUP(A5,'PAU Volume'!#REF!,2,FALSE),0)*0</f>
        <v>0</v>
      </c>
      <c r="W4" s="79">
        <f t="shared" si="8"/>
        <v>53406.112545307114</v>
      </c>
      <c r="X4" s="15">
        <f t="shared" si="9"/>
        <v>1200474525.5868602</v>
      </c>
      <c r="Y4" s="11">
        <f>VLOOKUP(A4,'Rate Application - REM Cycle I'!$1:$65535,7,FALSE)</f>
        <v>1331249266.2329757</v>
      </c>
      <c r="Z4" s="78">
        <f t="shared" si="10"/>
        <v>-9.8234601109803976E-2</v>
      </c>
      <c r="AA4" s="82">
        <f>IFERROR(VLOOKUP(A4,'GBR Revenue for ICC'!#REF!,17,FALSE),0)</f>
        <v>0</v>
      </c>
      <c r="AB4" s="82">
        <f t="shared" si="11"/>
        <v>0</v>
      </c>
      <c r="AC4" s="11">
        <f t="shared" si="12"/>
        <v>1331249266.2329757</v>
      </c>
      <c r="AD4" s="11">
        <f t="shared" si="13"/>
        <v>1200474525.5868602</v>
      </c>
      <c r="AE4" s="10">
        <v>1</v>
      </c>
      <c r="AF4" s="343" t="e">
        <f>VLOOKUP(A4,[1]icc_by_hosp_year!$A:$IV,9,FALSE)</f>
        <v>#N/A</v>
      </c>
      <c r="AG4" s="344" t="e">
        <f t="shared" si="14"/>
        <v>#N/A</v>
      </c>
      <c r="AH4" s="343">
        <f>VLOOKUP(A4,'[2]Rate Application - ICC Cycle II'!$A:$IV,26,FALSE)</f>
        <v>-0.10382550635255627</v>
      </c>
      <c r="AI4" s="344">
        <f t="shared" si="15"/>
        <v>-5.5909052427522976E-3</v>
      </c>
    </row>
    <row r="5" spans="1:35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IF(C5=1,'Rate Application - ICC Cycle I'!$Y$65,IF(C5=3,'Rate Application - ICC Cycle I'!$Y$66,IF(C5=4,'Rate Application - ICC Cycle I'!$Y$67,IF(C5=5,'Rate Application - ICC Cycle I'!$Y$68,0))))</f>
        <v>10459.948799491758</v>
      </c>
      <c r="E5" s="87">
        <v>0</v>
      </c>
      <c r="F5" s="87">
        <f t="shared" ref="F5:F54" si="16">IF(C5=1,E5*(I5/$I$65),IF(C5=3,E5*(I5/$I$66),IF(C5=4,E5*(I5/$I$67),E5*(I5/$I$68))))</f>
        <v>0</v>
      </c>
      <c r="G5" s="87">
        <v>0</v>
      </c>
      <c r="H5" s="87">
        <f t="shared" si="0"/>
        <v>10459.948799491758</v>
      </c>
      <c r="I5" s="65">
        <f>VLOOKUP(A5,'Rate Application - REM Cycle I'!$1:$65535,15,FALSE)</f>
        <v>16622.361523679996</v>
      </c>
      <c r="J5" s="19">
        <f>VLOOKUP(A5,'Rate Application - REM Cycle I'!$1:$65535,20,FALSE)</f>
        <v>380.94476637289404</v>
      </c>
      <c r="K5" s="11">
        <f t="shared" si="1"/>
        <v>10840.893565864651</v>
      </c>
      <c r="L5" s="11">
        <f>(K5*I5)+VLOOKUP(A5,'Rate Application - ICC Cycle I'!$1:$1048576,21,FALSE)</f>
        <v>250425333.91191521</v>
      </c>
      <c r="M5" s="36">
        <f>VLOOKUP(A5,'Variable Input'!$1:$1048576,23,FALSE)</f>
        <v>1.0181752931904677</v>
      </c>
      <c r="N5" s="22">
        <f t="shared" si="2"/>
        <v>254976887.77808505</v>
      </c>
      <c r="O5" s="19">
        <f t="shared" si="3"/>
        <v>15339.390098984934</v>
      </c>
      <c r="P5" s="18">
        <f>VLOOKUP(A5,'Rate Application - REM Cycle I'!$1:$65535,11,FALSE)</f>
        <v>10600897.780621644</v>
      </c>
      <c r="Q5" s="18">
        <f t="shared" si="4"/>
        <v>265577785.5587067</v>
      </c>
      <c r="R5" s="19">
        <f t="shared" si="5"/>
        <v>15977.139299994655</v>
      </c>
      <c r="S5" s="81">
        <f>VLOOKUP(A5,'Rate Application - REM Cycle I'!$1:$65535,9,FALSE)</f>
        <v>1.1150592197193865</v>
      </c>
      <c r="T5" s="19">
        <f t="shared" si="6"/>
        <v>296134958.33989406</v>
      </c>
      <c r="U5" s="22">
        <f t="shared" si="7"/>
        <v>17815.456481199984</v>
      </c>
      <c r="V5" s="88">
        <f>IFERROR(VLOOKUP(A6,'PAU Volume'!AX:AZ,3,FALSE)-VLOOKUP(A6,'PAU Volume'!#REF!,4,FALSE)+VLOOKUP(A6,'PAU Volume'!#REF!,2,FALSE),0)*0</f>
        <v>0</v>
      </c>
      <c r="W5" s="79">
        <f t="shared" si="8"/>
        <v>16622.361523679996</v>
      </c>
      <c r="X5" s="15">
        <f t="shared" si="9"/>
        <v>296134958.33989406</v>
      </c>
      <c r="Y5" s="11">
        <f>VLOOKUP(A5,'Rate Application - REM Cycle I'!$1:$65535,7,FALSE)</f>
        <v>379598110.09410959</v>
      </c>
      <c r="Z5" s="78">
        <f t="shared" si="10"/>
        <v>-0.21987241120226719</v>
      </c>
      <c r="AA5" s="82">
        <f>IFERROR(VLOOKUP(A5,'GBR Revenue for ICC'!#REF!,17,FALSE),0)</f>
        <v>0</v>
      </c>
      <c r="AB5" s="82">
        <f t="shared" si="11"/>
        <v>0</v>
      </c>
      <c r="AC5" s="11">
        <f t="shared" si="12"/>
        <v>379598110.09410959</v>
      </c>
      <c r="AD5" s="11">
        <f t="shared" si="13"/>
        <v>296134958.33989406</v>
      </c>
      <c r="AE5" s="10">
        <v>1</v>
      </c>
      <c r="AF5" s="343">
        <f>VLOOKUP(A5,[1]icc_by_hosp_year!$A:$IV,9,FALSE)</f>
        <v>-0.16148016603100099</v>
      </c>
      <c r="AG5" s="345">
        <f t="shared" si="14"/>
        <v>5.8392245171266205E-2</v>
      </c>
      <c r="AH5" s="343">
        <f>VLOOKUP(A5,'[2]Rate Application - ICC Cycle II'!$A:$IV,26,FALSE)</f>
        <v>-0.13547416498421527</v>
      </c>
      <c r="AI5" s="344">
        <f t="shared" si="15"/>
        <v>8.439824621805192E-2</v>
      </c>
    </row>
    <row r="6" spans="1:35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87">
        <f>IF(C6=1,'Rate Application - ICC Cycle I'!$Y$65,IF(C6=3,'Rate Application - ICC Cycle I'!$Y$66,IF(C6=4,'Rate Application - ICC Cycle I'!$Y$67,IF(C6=5,'Rate Application - ICC Cycle I'!$Y$68,0))))</f>
        <v>10459.948799491758</v>
      </c>
      <c r="E6" s="87">
        <v>0</v>
      </c>
      <c r="F6" s="87">
        <f t="shared" si="16"/>
        <v>0</v>
      </c>
      <c r="G6" s="87">
        <v>0</v>
      </c>
      <c r="H6" s="87">
        <f t="shared" si="0"/>
        <v>10459.948799491758</v>
      </c>
      <c r="I6" s="65">
        <f>VLOOKUP(A6,'Rate Application - REM Cycle I'!$1:$65535,15,FALSE)</f>
        <v>35389.172988776867</v>
      </c>
      <c r="J6" s="19">
        <f>VLOOKUP(A6,'Rate Application - REM Cycle I'!$1:$65535,20,FALSE)</f>
        <v>70.826647410772608</v>
      </c>
      <c r="K6" s="11">
        <f t="shared" si="1"/>
        <v>10530.775446902531</v>
      </c>
      <c r="L6" s="11">
        <f>(K6*I6)+VLOOKUP(A6,'Rate Application - ICC Cycle I'!$1:$1048576,21,FALSE)</f>
        <v>500241802.91358995</v>
      </c>
      <c r="M6" s="36">
        <f>VLOOKUP(A6,'Variable Input'!$1:$1048576,23,FALSE)</f>
        <v>1.0181752931904677</v>
      </c>
      <c r="N6" s="22">
        <f t="shared" si="2"/>
        <v>509333844.34767264</v>
      </c>
      <c r="O6" s="19">
        <f t="shared" si="3"/>
        <v>14392.363577108741</v>
      </c>
      <c r="P6" s="18">
        <f>VLOOKUP(A6,'Rate Application - REM Cycle I'!$1:$65535,11,FALSE)</f>
        <v>1942313.1270902995</v>
      </c>
      <c r="Q6" s="18">
        <f t="shared" si="4"/>
        <v>511276157.47476292</v>
      </c>
      <c r="R6" s="19">
        <f t="shared" si="5"/>
        <v>14447.247965837074</v>
      </c>
      <c r="S6" s="81">
        <f>VLOOKUP(A6,'Rate Application - REM Cycle I'!$1:$65535,9,FALSE)</f>
        <v>1.1099846191041804</v>
      </c>
      <c r="T6" s="19">
        <f t="shared" si="6"/>
        <v>567508670.91167367</v>
      </c>
      <c r="U6" s="22">
        <f t="shared" si="7"/>
        <v>16036.22303046331</v>
      </c>
      <c r="V6" s="88">
        <f>IFERROR(VLOOKUP(A7,'PAU Volume'!AX:AZ,3,FALSE)-VLOOKUP(A7,'PAU Volume'!#REF!,4,FALSE)+VLOOKUP(A7,'PAU Volume'!#REF!,2,FALSE),0)*0</f>
        <v>0</v>
      </c>
      <c r="W6" s="79">
        <f t="shared" si="8"/>
        <v>35389.172988776867</v>
      </c>
      <c r="X6" s="15">
        <f t="shared" si="9"/>
        <v>567508670.91167367</v>
      </c>
      <c r="Y6" s="11">
        <f>VLOOKUP(A6,'Rate Application - REM Cycle I'!$1:$65535,7,FALSE)</f>
        <v>562162526.23688054</v>
      </c>
      <c r="Z6" s="78">
        <f t="shared" si="10"/>
        <v>9.5099627336960868E-3</v>
      </c>
      <c r="AA6" s="82">
        <f>IFERROR(VLOOKUP(A6,'GBR Revenue for ICC'!#REF!,17,FALSE),0)</f>
        <v>0</v>
      </c>
      <c r="AB6" s="82">
        <f t="shared" si="11"/>
        <v>0</v>
      </c>
      <c r="AC6" s="11">
        <f t="shared" si="12"/>
        <v>562162526.23688054</v>
      </c>
      <c r="AD6" s="11">
        <f t="shared" si="13"/>
        <v>567508670.91167367</v>
      </c>
      <c r="AF6" s="343">
        <f>VLOOKUP(A6,[1]icc_by_hosp_year!$A:$IV,9,FALSE)</f>
        <v>2.1162219068259699E-2</v>
      </c>
      <c r="AG6" s="344">
        <f t="shared" si="14"/>
        <v>1.1652256334563613E-2</v>
      </c>
      <c r="AH6" s="343">
        <f>VLOOKUP(A6,'[2]Rate Application - ICC Cycle II'!$A:$IV,26,FALSE)</f>
        <v>-0.99206349713943087</v>
      </c>
      <c r="AI6" s="344">
        <f t="shared" si="15"/>
        <v>-1.001573459873127</v>
      </c>
    </row>
    <row r="7" spans="1:35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IF(C7=1,'Rate Application - ICC Cycle I'!$Y$65,IF(C7=3,'Rate Application - ICC Cycle I'!$Y$66,IF(C7=4,'Rate Application - ICC Cycle I'!$Y$67,IF(C7=5,'Rate Application - ICC Cycle I'!$Y$68,0))))</f>
        <v>10459.948799491758</v>
      </c>
      <c r="E7" s="87">
        <v>0</v>
      </c>
      <c r="F7" s="87">
        <f t="shared" si="16"/>
        <v>0</v>
      </c>
      <c r="G7" s="87">
        <v>0</v>
      </c>
      <c r="H7" s="87">
        <f t="shared" si="0"/>
        <v>10459.948799491758</v>
      </c>
      <c r="I7" s="65">
        <f>VLOOKUP(A7,'Rate Application - REM Cycle I'!$1:$65535,15,FALSE)</f>
        <v>24661.79924888902</v>
      </c>
      <c r="J7" s="19">
        <f>VLOOKUP(A7,'Rate Application - REM Cycle I'!$1:$65535,20,FALSE)</f>
        <v>0</v>
      </c>
      <c r="K7" s="11">
        <f t="shared" si="1"/>
        <v>10459.948799491758</v>
      </c>
      <c r="L7" s="11">
        <f>(K7*I7)+VLOOKUP(A7,'Rate Application - ICC Cycle I'!$1:$1048576,21,FALSE)</f>
        <v>314426438.5794037</v>
      </c>
      <c r="M7" s="36">
        <f>VLOOKUP(A7,'Variable Input'!$1:$1048576,23,FALSE)</f>
        <v>0.99671861092415948</v>
      </c>
      <c r="N7" s="22">
        <f t="shared" si="2"/>
        <v>313394683.09869379</v>
      </c>
      <c r="O7" s="19">
        <f t="shared" si="3"/>
        <v>12707.69743666662</v>
      </c>
      <c r="P7" s="18">
        <f>VLOOKUP(A7,'Rate Application - REM Cycle I'!$1:$65535,11,FALSE)</f>
        <v>424862.32800000021</v>
      </c>
      <c r="Q7" s="18">
        <f t="shared" si="4"/>
        <v>313819545.4266938</v>
      </c>
      <c r="R7" s="19">
        <f t="shared" si="5"/>
        <v>12724.924984572281</v>
      </c>
      <c r="S7" s="81">
        <f>VLOOKUP(A7,'Rate Application - REM Cycle I'!$1:$65535,9,FALSE)</f>
        <v>1.1133096880777904</v>
      </c>
      <c r="T7" s="19">
        <f t="shared" si="6"/>
        <v>349378340.23170644</v>
      </c>
      <c r="U7" s="22">
        <f t="shared" si="7"/>
        <v>14166.782265387448</v>
      </c>
      <c r="V7" s="88">
        <f>IFERROR(VLOOKUP(A8,'PAU Volume'!AX:AZ,3,FALSE)-VLOOKUP(A8,'PAU Volume'!#REF!,4,FALSE)+VLOOKUP(A8,'PAU Volume'!#REF!,2,FALSE),0)*0</f>
        <v>0</v>
      </c>
      <c r="W7" s="79">
        <f t="shared" si="8"/>
        <v>24661.79924888902</v>
      </c>
      <c r="X7" s="15">
        <f t="shared" si="9"/>
        <v>349378340.23170644</v>
      </c>
      <c r="Y7" s="11">
        <f>VLOOKUP(A7,'Rate Application - REM Cycle I'!$1:$65535,7,FALSE)</f>
        <v>403201661.03720772</v>
      </c>
      <c r="Z7" s="78">
        <f t="shared" si="10"/>
        <v>-0.1334898290524017</v>
      </c>
      <c r="AA7" s="82">
        <f>IFERROR(VLOOKUP(A7,'GBR Revenue for ICC'!#REF!,17,FALSE),0)</f>
        <v>0</v>
      </c>
      <c r="AB7" s="82">
        <f t="shared" si="11"/>
        <v>0</v>
      </c>
      <c r="AC7" s="11">
        <f t="shared" si="12"/>
        <v>403201661.03720772</v>
      </c>
      <c r="AD7" s="11">
        <f t="shared" si="13"/>
        <v>349378340.23170644</v>
      </c>
      <c r="AE7" s="10">
        <v>1</v>
      </c>
      <c r="AF7" s="343">
        <f>VLOOKUP(A7,[1]icc_by_hosp_year!$A:$IV,9,FALSE)</f>
        <v>-0.120872183450958</v>
      </c>
      <c r="AG7" s="344">
        <f t="shared" si="14"/>
        <v>1.2617645601443697E-2</v>
      </c>
      <c r="AH7" s="343">
        <f>VLOOKUP(A7,'[2]Rate Application - ICC Cycle II'!$A:$IV,26,FALSE)</f>
        <v>-9.5554970999838451E-2</v>
      </c>
      <c r="AI7" s="344">
        <f t="shared" si="15"/>
        <v>3.7934858052563247E-2</v>
      </c>
    </row>
    <row r="8" spans="1:35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IF(C8=1,'Rate Application - ICC Cycle I'!$Y$65,IF(C8=3,'Rate Application - ICC Cycle I'!$Y$66,IF(C8=4,'Rate Application - ICC Cycle I'!$Y$67,IF(C8=5,'Rate Application - ICC Cycle I'!$Y$68,0))))</f>
        <v>10459.948799491758</v>
      </c>
      <c r="E8" s="87">
        <v>0</v>
      </c>
      <c r="F8" s="87">
        <f t="shared" si="16"/>
        <v>0</v>
      </c>
      <c r="G8" s="87">
        <v>0</v>
      </c>
      <c r="H8" s="87">
        <f t="shared" si="0"/>
        <v>10459.948799491758</v>
      </c>
      <c r="I8" s="65">
        <f>VLOOKUP(A8,'Rate Application - REM Cycle I'!$1:$65535,15,FALSE)</f>
        <v>6404.5558703010038</v>
      </c>
      <c r="J8" s="19">
        <f>VLOOKUP(A8,'Rate Application - REM Cycle I'!$1:$65535,20,FALSE)</f>
        <v>0</v>
      </c>
      <c r="K8" s="11">
        <f t="shared" si="1"/>
        <v>10459.948799491758</v>
      </c>
      <c r="L8" s="11">
        <f>(K8*I8)+VLOOKUP(A8,'Rate Application - ICC Cycle I'!$1:$1048576,21,FALSE)</f>
        <v>89538720.050422341</v>
      </c>
      <c r="M8" s="36">
        <f>VLOOKUP(A8,'Variable Input'!$1:$1048576,23,FALSE)</f>
        <v>0.99671861092415948</v>
      </c>
      <c r="N8" s="22">
        <f t="shared" si="2"/>
        <v>89244908.672584146</v>
      </c>
      <c r="O8" s="19">
        <f t="shared" si="3"/>
        <v>13934.597570836677</v>
      </c>
      <c r="P8" s="18">
        <f>VLOOKUP(A8,'Rate Application - REM Cycle I'!$1:$65535,11,FALSE)</f>
        <v>0</v>
      </c>
      <c r="Q8" s="18">
        <f t="shared" si="4"/>
        <v>89244908.672584146</v>
      </c>
      <c r="R8" s="19">
        <f t="shared" si="5"/>
        <v>13934.597570836677</v>
      </c>
      <c r="S8" s="81">
        <f>VLOOKUP(A8,'Rate Application - REM Cycle I'!$1:$65535,9,FALSE)</f>
        <v>1.1180012832443968</v>
      </c>
      <c r="T8" s="19">
        <f t="shared" si="6"/>
        <v>99775922.41897808</v>
      </c>
      <c r="U8" s="22">
        <f t="shared" si="7"/>
        <v>15578.897965689661</v>
      </c>
      <c r="V8" s="88">
        <f>IFERROR(VLOOKUP(A9,'PAU Volume'!AX:AZ,3,FALSE)-VLOOKUP(A9,'PAU Volume'!#REF!,4,FALSE)+VLOOKUP(A9,'PAU Volume'!#REF!,2,FALSE),0)*0</f>
        <v>0</v>
      </c>
      <c r="W8" s="79">
        <f t="shared" si="8"/>
        <v>6404.5558703010038</v>
      </c>
      <c r="X8" s="15">
        <f t="shared" si="9"/>
        <v>99775922.41897808</v>
      </c>
      <c r="Y8" s="11">
        <f>VLOOKUP(A8,'Rate Application - REM Cycle I'!$1:$65535,7,FALSE)</f>
        <v>115237915.49091636</v>
      </c>
      <c r="Z8" s="78">
        <f t="shared" si="10"/>
        <v>-0.13417452932977658</v>
      </c>
      <c r="AA8" s="82">
        <f>IFERROR(VLOOKUP(A8,'GBR Revenue for ICC'!#REF!,17,FALSE),0)</f>
        <v>0</v>
      </c>
      <c r="AB8" s="82">
        <f t="shared" si="11"/>
        <v>0</v>
      </c>
      <c r="AC8" s="11">
        <f t="shared" si="12"/>
        <v>115237915.49091636</v>
      </c>
      <c r="AD8" s="11">
        <f t="shared" si="13"/>
        <v>99775922.41897808</v>
      </c>
      <c r="AE8" s="10">
        <v>1</v>
      </c>
      <c r="AF8" s="343">
        <f>VLOOKUP(A8,[1]icc_by_hosp_year!$A:$IV,9,FALSE)</f>
        <v>-0.12422177694521</v>
      </c>
      <c r="AG8" s="344">
        <f t="shared" si="14"/>
        <v>9.9527523845665822E-3</v>
      </c>
      <c r="AH8" s="343">
        <f>VLOOKUP(A8,'[2]Rate Application - ICC Cycle II'!$A:$IV,26,FALSE)</f>
        <v>-0.17686321135698713</v>
      </c>
      <c r="AI8" s="344">
        <f t="shared" si="15"/>
        <v>-4.2688682027210545E-2</v>
      </c>
    </row>
    <row r="9" spans="1:35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IF(C9=1,'Rate Application - ICC Cycle I'!$Y$65,IF(C9=3,'Rate Application - ICC Cycle I'!$Y$66,IF(C9=4,'Rate Application - ICC Cycle I'!$Y$67,IF(C9=5,'Rate Application - ICC Cycle I'!$Y$68,0))))</f>
        <v>10459.948799491758</v>
      </c>
      <c r="E9" s="87">
        <v>0</v>
      </c>
      <c r="F9" s="87">
        <f t="shared" si="16"/>
        <v>0</v>
      </c>
      <c r="G9" s="87">
        <v>0</v>
      </c>
      <c r="H9" s="87">
        <f t="shared" si="0"/>
        <v>10459.948799491758</v>
      </c>
      <c r="I9" s="65">
        <f>VLOOKUP(A9,'Rate Application - REM Cycle I'!$1:$65535,15,FALSE)</f>
        <v>37187.68418079293</v>
      </c>
      <c r="J9" s="19">
        <f>VLOOKUP(A9,'Rate Application - REM Cycle I'!$1:$65535,20,FALSE)</f>
        <v>171.73315453928049</v>
      </c>
      <c r="K9" s="11">
        <f t="shared" si="1"/>
        <v>10631.681954031039</v>
      </c>
      <c r="L9" s="11">
        <f>(K9*I9)+VLOOKUP(A9,'Rate Application - ICC Cycle I'!$1:$1048576,21,FALSE)</f>
        <v>503258811.28481632</v>
      </c>
      <c r="M9" s="36">
        <f>VLOOKUP(A9,'Variable Input'!$1:$1048576,23,FALSE)</f>
        <v>0.99671861092415948</v>
      </c>
      <c r="N9" s="22">
        <f t="shared" si="2"/>
        <v>501607423.31914586</v>
      </c>
      <c r="O9" s="19">
        <f t="shared" si="3"/>
        <v>13488.536174517183</v>
      </c>
      <c r="P9" s="18">
        <f>VLOOKUP(A9,'Rate Application - REM Cycle I'!$1:$65535,11,FALSE)</f>
        <v>5003207.6874727393</v>
      </c>
      <c r="Q9" s="18">
        <f t="shared" si="4"/>
        <v>506610631.00661862</v>
      </c>
      <c r="R9" s="19">
        <f t="shared" si="5"/>
        <v>13623.075546830582</v>
      </c>
      <c r="S9" s="81">
        <f>VLOOKUP(A9,'Rate Application - REM Cycle I'!$1:$65535,9,FALSE)</f>
        <v>1.1102695565875482</v>
      </c>
      <c r="T9" s="19">
        <f t="shared" si="6"/>
        <v>562474360.65025651</v>
      </c>
      <c r="U9" s="22">
        <f t="shared" si="7"/>
        <v>15125.286046738262</v>
      </c>
      <c r="V9" s="88">
        <f>IFERROR(VLOOKUP(A10,'PAU Volume'!AX:AZ,3,FALSE)-VLOOKUP(A10,'PAU Volume'!#REF!,4,FALSE)+VLOOKUP(A10,'PAU Volume'!#REF!,2,FALSE),0)*0</f>
        <v>0</v>
      </c>
      <c r="W9" s="79">
        <f t="shared" si="8"/>
        <v>37187.68418079293</v>
      </c>
      <c r="X9" s="15">
        <f t="shared" si="9"/>
        <v>562474360.65025651</v>
      </c>
      <c r="Y9" s="11">
        <f>VLOOKUP(A9,'Rate Application - REM Cycle I'!$1:$65535,7,FALSE)</f>
        <v>630435213.30233288</v>
      </c>
      <c r="Z9" s="78">
        <f t="shared" si="10"/>
        <v>-0.107799899526686</v>
      </c>
      <c r="AA9" s="82">
        <f>IFERROR(VLOOKUP(A9,'GBR Revenue for ICC'!#REF!,17,FALSE),0)</f>
        <v>0</v>
      </c>
      <c r="AB9" s="82">
        <f t="shared" si="11"/>
        <v>0</v>
      </c>
      <c r="AC9" s="11">
        <f t="shared" si="12"/>
        <v>630435213.30233288</v>
      </c>
      <c r="AD9" s="11">
        <f t="shared" si="13"/>
        <v>562474360.65025651</v>
      </c>
      <c r="AE9" s="10">
        <v>1</v>
      </c>
      <c r="AF9" s="343">
        <f>VLOOKUP(A9,[1]icc_by_hosp_year!$A:$IV,9,FALSE)</f>
        <v>-8.6383544097598006E-2</v>
      </c>
      <c r="AG9" s="344">
        <f t="shared" si="14"/>
        <v>2.1416355429087999E-2</v>
      </c>
      <c r="AH9" s="343">
        <f>VLOOKUP(A9,'[2]Rate Application - ICC Cycle II'!$A:$IV,26,FALSE)</f>
        <v>4.8554235909497478E-2</v>
      </c>
      <c r="AI9" s="344">
        <f t="shared" si="15"/>
        <v>0.15635413543618348</v>
      </c>
    </row>
    <row r="10" spans="1:35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IF(C10=1,'Rate Application - ICC Cycle I'!$Y$65,IF(C10=3,'Rate Application - ICC Cycle I'!$Y$66,IF(C10=4,'Rate Application - ICC Cycle I'!$Y$67,IF(C10=5,'Rate Application - ICC Cycle I'!$Y$68,0))))</f>
        <v>12635.590589674488</v>
      </c>
      <c r="E10" s="87">
        <v>0</v>
      </c>
      <c r="F10" s="87">
        <f t="shared" si="16"/>
        <v>0</v>
      </c>
      <c r="G10" s="87">
        <v>0</v>
      </c>
      <c r="H10" s="87">
        <f t="shared" si="0"/>
        <v>12635.590589674488</v>
      </c>
      <c r="I10" s="65">
        <f>VLOOKUP(A10,'Rate Application - REM Cycle I'!$1:$65535,15,FALSE)</f>
        <v>104111.82276682714</v>
      </c>
      <c r="J10" s="19">
        <f>VLOOKUP(A10,'Rate Application - REM Cycle I'!$1:$65535,20,FALSE)</f>
        <v>2718.743197387912</v>
      </c>
      <c r="K10" s="11">
        <f t="shared" si="1"/>
        <v>15354.3337870624</v>
      </c>
      <c r="L10" s="11">
        <f>(K10*I10)+VLOOKUP(A10,'Rate Application - ICC Cycle I'!$1:$1048576,21,FALSE)</f>
        <v>1887564658.2058704</v>
      </c>
      <c r="M10" s="36">
        <f>VLOOKUP(A10,'Variable Input'!$1:$1048576,23,FALSE)</f>
        <v>0.99671861092415948</v>
      </c>
      <c r="N10" s="22">
        <f t="shared" si="2"/>
        <v>1881370824.156491</v>
      </c>
      <c r="O10" s="19">
        <f t="shared" si="3"/>
        <v>18070.674147835081</v>
      </c>
      <c r="P10" s="18">
        <f>VLOOKUP(A10,'Rate Application - REM Cycle I'!$1:$65535,11,FALSE)</f>
        <v>121878078.47076836</v>
      </c>
      <c r="Q10" s="18">
        <f t="shared" si="4"/>
        <v>2003248902.6272595</v>
      </c>
      <c r="R10" s="19">
        <f t="shared" si="5"/>
        <v>19241.32004790477</v>
      </c>
      <c r="S10" s="81">
        <f>VLOOKUP(A10,'Rate Application - REM Cycle I'!$1:$65535,9,FALSE)</f>
        <v>1.106052155233989</v>
      </c>
      <c r="T10" s="19">
        <f t="shared" si="6"/>
        <v>2215697766.221004</v>
      </c>
      <c r="U10" s="22">
        <f t="shared" si="7"/>
        <v>21281.903508532036</v>
      </c>
      <c r="V10" s="88">
        <f>IFERROR(VLOOKUP(A11,'PAU Volume'!AX:AZ,3,FALSE)-VLOOKUP(A11,'PAU Volume'!#REF!,4,FALSE)+VLOOKUP(A11,'PAU Volume'!#REF!,2,FALSE),0)*0</f>
        <v>0</v>
      </c>
      <c r="W10" s="79">
        <f t="shared" si="8"/>
        <v>104111.82276682714</v>
      </c>
      <c r="X10" s="15">
        <f t="shared" si="9"/>
        <v>2215697766.221004</v>
      </c>
      <c r="Y10" s="11">
        <f>VLOOKUP(A10,'Rate Application - REM Cycle I'!$1:$65535,7,FALSE)</f>
        <v>2426767253.0622015</v>
      </c>
      <c r="Z10" s="78">
        <f t="shared" si="10"/>
        <v>-8.6975578962037114E-2</v>
      </c>
      <c r="AA10" s="82">
        <f>IFERROR(VLOOKUP(A10,'GBR Revenue for ICC'!#REF!,17,FALSE),0)</f>
        <v>0</v>
      </c>
      <c r="AB10" s="82">
        <f t="shared" si="11"/>
        <v>0</v>
      </c>
      <c r="AC10" s="11">
        <f t="shared" si="12"/>
        <v>2426767253.0622015</v>
      </c>
      <c r="AD10" s="11">
        <f t="shared" si="13"/>
        <v>2215697766.221004</v>
      </c>
      <c r="AE10" s="10">
        <v>1</v>
      </c>
      <c r="AF10" s="343" t="e">
        <f>VLOOKUP(A10,[1]icc_by_hosp_year!$A:$IV,9,FALSE)</f>
        <v>#N/A</v>
      </c>
      <c r="AG10" s="344" t="e">
        <f t="shared" si="14"/>
        <v>#N/A</v>
      </c>
      <c r="AH10" s="343">
        <f>VLOOKUP(A10,'[2]Rate Application - ICC Cycle II'!$A:$IV,26,FALSE)</f>
        <v>-3.6987251623275985E-2</v>
      </c>
      <c r="AI10" s="344">
        <f t="shared" si="15"/>
        <v>4.9988327338761129E-2</v>
      </c>
    </row>
    <row r="11" spans="1:35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IF(C11=1,'Rate Application - ICC Cycle I'!$Y$65,IF(C11=3,'Rate Application - ICC Cycle I'!$Y$66,IF(C11=4,'Rate Application - ICC Cycle I'!$Y$67,IF(C11=5,'Rate Application - ICC Cycle I'!$Y$68,0))))</f>
        <v>0</v>
      </c>
      <c r="E11" s="87">
        <v>0</v>
      </c>
      <c r="F11" s="87">
        <f t="shared" si="16"/>
        <v>0</v>
      </c>
      <c r="G11" s="87">
        <v>0</v>
      </c>
      <c r="H11" s="87">
        <f t="shared" si="0"/>
        <v>0</v>
      </c>
      <c r="I11" s="65">
        <f>VLOOKUP(A11,'Rate Application - REM Cycle I'!$1:$65535,15,FALSE)</f>
        <v>1185.4899110060007</v>
      </c>
      <c r="J11" s="19">
        <f>VLOOKUP(A11,'Rate Application - REM Cycle I'!$1:$65535,20,FALSE)</f>
        <v>0</v>
      </c>
      <c r="K11" s="11">
        <f t="shared" si="1"/>
        <v>0</v>
      </c>
      <c r="L11" s="11">
        <f>(K11*I11)+VLOOKUP(A11,'Rate Application - ICC Cycle I'!$1:$1048576,21,FALSE)</f>
        <v>0</v>
      </c>
      <c r="M11" s="36">
        <f>VLOOKUP(A11,'Variable Input'!$1:$1048576,23,FALSE)</f>
        <v>0.99671861092415948</v>
      </c>
      <c r="N11" s="22">
        <f t="shared" si="2"/>
        <v>0</v>
      </c>
      <c r="O11" s="19">
        <f t="shared" si="3"/>
        <v>0</v>
      </c>
      <c r="P11" s="18">
        <f>VLOOKUP(A11,'Rate Application - REM Cycle I'!$1:$65535,11,FALSE)</f>
        <v>62612.30027663122</v>
      </c>
      <c r="Q11" s="18">
        <f t="shared" si="4"/>
        <v>62612.30027663122</v>
      </c>
      <c r="R11" s="19">
        <f t="shared" si="5"/>
        <v>52.815548825294293</v>
      </c>
      <c r="S11" s="81">
        <f>VLOOKUP(A11,'Rate Application - REM Cycle I'!$1:$65535,9,FALSE)</f>
        <v>1.1237799950517624</v>
      </c>
      <c r="T11" s="19">
        <f t="shared" si="6"/>
        <v>70362.450495052093</v>
      </c>
      <c r="U11" s="22">
        <f t="shared" si="7"/>
        <v>59.35305719754534</v>
      </c>
      <c r="V11" s="88">
        <f>IFERROR(VLOOKUP(A12,'PAU Volume'!AX:AZ,3,FALSE)-VLOOKUP(A12,'PAU Volume'!#REF!,4,FALSE)+VLOOKUP(A12,'PAU Volume'!#REF!,2,FALSE),0)*0</f>
        <v>0</v>
      </c>
      <c r="W11" s="79">
        <f t="shared" si="8"/>
        <v>1185.4899110060007</v>
      </c>
      <c r="X11" s="15">
        <f t="shared" si="9"/>
        <v>70362.450495052093</v>
      </c>
      <c r="Y11" s="11">
        <f>VLOOKUP(A11,'Rate Application - REM Cycle I'!$1:$65535,7,FALSE)</f>
        <v>13980115.965862775</v>
      </c>
      <c r="Z11" s="78">
        <f t="shared" si="10"/>
        <v>-0.99496696231512916</v>
      </c>
      <c r="AA11" s="82">
        <f>IFERROR(VLOOKUP(A11,'GBR Revenue for ICC'!#REF!,17,FALSE),0)</f>
        <v>0</v>
      </c>
      <c r="AB11" s="82">
        <f t="shared" si="11"/>
        <v>0</v>
      </c>
      <c r="AC11" s="11">
        <f t="shared" si="12"/>
        <v>13980115.965862775</v>
      </c>
      <c r="AD11" s="11">
        <f t="shared" si="13"/>
        <v>70362.450495052093</v>
      </c>
      <c r="AE11" s="10">
        <v>1</v>
      </c>
      <c r="AF11" s="343">
        <f>VLOOKUP(A11,[1]icc_by_hosp_year!$A:$IV,9,FALSE)</f>
        <v>-4.1352631878794802E-2</v>
      </c>
      <c r="AG11" s="344">
        <f t="shared" si="14"/>
        <v>0.95361433043633437</v>
      </c>
      <c r="AH11" s="343">
        <f>VLOOKUP(A11,'[2]Rate Application - ICC Cycle II'!$A:$IV,26,FALSE)</f>
        <v>-0.20072122972868134</v>
      </c>
      <c r="AI11" s="344">
        <f t="shared" si="15"/>
        <v>0.79424573258644782</v>
      </c>
    </row>
    <row r="12" spans="1:35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IF(C12=1,'Rate Application - ICC Cycle I'!$Y$65,IF(C12=3,'Rate Application - ICC Cycle I'!$Y$66,IF(C12=4,'Rate Application - ICC Cycle I'!$Y$67,IF(C12=5,'Rate Application - ICC Cycle I'!$Y$68,0))))</f>
        <v>10459.948799491758</v>
      </c>
      <c r="E12" s="87">
        <v>0</v>
      </c>
      <c r="F12" s="87">
        <f t="shared" si="16"/>
        <v>0</v>
      </c>
      <c r="G12" s="87">
        <v>0</v>
      </c>
      <c r="H12" s="87">
        <f t="shared" si="0"/>
        <v>10459.948799491758</v>
      </c>
      <c r="I12" s="65">
        <f>VLOOKUP(A12,'Rate Application - REM Cycle I'!$1:$65535,15,FALSE)</f>
        <v>24239.679898120015</v>
      </c>
      <c r="J12" s="19">
        <f>VLOOKUP(A12,'Rate Application - REM Cycle I'!$1:$65535,20,FALSE)</f>
        <v>352.12016602018389</v>
      </c>
      <c r="K12" s="11">
        <f t="shared" si="1"/>
        <v>10812.068965511942</v>
      </c>
      <c r="L12" s="11">
        <f>(K12*I12)+VLOOKUP(A12,'Rate Application - ICC Cycle I'!$1:$1048576,21,FALSE)</f>
        <v>349561383.51365292</v>
      </c>
      <c r="M12" s="36">
        <f>VLOOKUP(A12,'Variable Input'!$1:$1048576,23,FALSE)</f>
        <v>0.99671861092415948</v>
      </c>
      <c r="N12" s="22">
        <f t="shared" si="2"/>
        <v>348414336.60845554</v>
      </c>
      <c r="O12" s="19">
        <f t="shared" si="3"/>
        <v>14373.718550444963</v>
      </c>
      <c r="P12" s="18">
        <f>VLOOKUP(A12,'Rate Application - REM Cycle I'!$1:$65535,11,FALSE)</f>
        <v>5944161.5154257026</v>
      </c>
      <c r="Q12" s="18">
        <f t="shared" si="4"/>
        <v>354358498.12388122</v>
      </c>
      <c r="R12" s="19">
        <f t="shared" si="5"/>
        <v>14618.942973391519</v>
      </c>
      <c r="S12" s="81">
        <f>VLOOKUP(A12,'Rate Application - REM Cycle I'!$1:$65535,9,FALSE)</f>
        <v>1.1208321340194023</v>
      </c>
      <c r="T12" s="19">
        <f t="shared" si="6"/>
        <v>397176391.66010016</v>
      </c>
      <c r="U12" s="22">
        <f t="shared" si="7"/>
        <v>16385.381049974363</v>
      </c>
      <c r="V12" s="88">
        <f>IFERROR(VLOOKUP(A13,'PAU Volume'!AX:AZ,3,FALSE)-VLOOKUP(A13,'PAU Volume'!#REF!,4,FALSE)+VLOOKUP(A13,'PAU Volume'!#REF!,2,FALSE),0)*0</f>
        <v>0</v>
      </c>
      <c r="W12" s="79">
        <f t="shared" si="8"/>
        <v>24239.679898120015</v>
      </c>
      <c r="X12" s="15">
        <f t="shared" si="9"/>
        <v>397176391.66010022</v>
      </c>
      <c r="Y12" s="11">
        <f>VLOOKUP(A12,'Rate Application - REM Cycle I'!$1:$65535,7,FALSE)</f>
        <v>463292938.08589423</v>
      </c>
      <c r="Z12" s="78">
        <f t="shared" si="10"/>
        <v>-0.14271002424288204</v>
      </c>
      <c r="AA12" s="82">
        <f>IFERROR(VLOOKUP(A12,'GBR Revenue for ICC'!#REF!,17,FALSE),0)</f>
        <v>0</v>
      </c>
      <c r="AB12" s="82">
        <f t="shared" si="11"/>
        <v>0</v>
      </c>
      <c r="AC12" s="11">
        <f t="shared" si="12"/>
        <v>463292938.08589423</v>
      </c>
      <c r="AD12" s="11">
        <f t="shared" si="13"/>
        <v>397176391.66010022</v>
      </c>
      <c r="AE12" s="10">
        <v>1</v>
      </c>
      <c r="AF12" s="343">
        <f>VLOOKUP(A12,[1]icc_by_hosp_year!$A:$IV,9,FALSE)</f>
        <v>-0.10289119219473</v>
      </c>
      <c r="AG12" s="345">
        <f t="shared" si="14"/>
        <v>3.9818832048152036E-2</v>
      </c>
      <c r="AH12" s="343">
        <f>VLOOKUP(A12,'[2]Rate Application - ICC Cycle II'!$A:$IV,26,FALSE)</f>
        <v>-0.17154097399511115</v>
      </c>
      <c r="AI12" s="344">
        <f t="shared" si="15"/>
        <v>-2.8830949752229107E-2</v>
      </c>
    </row>
    <row r="13" spans="1:35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IF(C13=1,'Rate Application - ICC Cycle I'!$Y$65,IF(C13=3,'Rate Application - ICC Cycle I'!$Y$66,IF(C13=4,'Rate Application - ICC Cycle I'!$Y$67,IF(C13=5,'Rate Application - ICC Cycle I'!$Y$68,0))))</f>
        <v>10459.948799491758</v>
      </c>
      <c r="E13" s="87">
        <v>0</v>
      </c>
      <c r="F13" s="87">
        <f t="shared" si="16"/>
        <v>0</v>
      </c>
      <c r="G13" s="87">
        <v>0</v>
      </c>
      <c r="H13" s="87">
        <f t="shared" si="0"/>
        <v>10459.948799491758</v>
      </c>
      <c r="I13" s="65">
        <f>VLOOKUP(A13,'Rate Application - REM Cycle I'!$1:$65535,15,FALSE)</f>
        <v>39233.431532673072</v>
      </c>
      <c r="J13" s="19">
        <f>VLOOKUP(A13,'Rate Application - REM Cycle I'!$1:$65535,20,FALSE)</f>
        <v>423.6700340006721</v>
      </c>
      <c r="K13" s="11">
        <f t="shared" si="1"/>
        <v>10883.61883349243</v>
      </c>
      <c r="L13" s="11">
        <f>(K13*I13)+VLOOKUP(A13,'Rate Application - ICC Cycle I'!$1:$1048576,21,FALSE)</f>
        <v>575983077.66334546</v>
      </c>
      <c r="M13" s="36">
        <f>VLOOKUP(A13,'Variable Input'!$1:$1048576,23,FALSE)</f>
        <v>0.99671861092415948</v>
      </c>
      <c r="N13" s="22">
        <f t="shared" si="2"/>
        <v>574093053.08443201</v>
      </c>
      <c r="O13" s="19">
        <f t="shared" si="3"/>
        <v>14632.751473863178</v>
      </c>
      <c r="P13" s="18">
        <f>VLOOKUP(A13,'Rate Application - REM Cycle I'!$1:$65535,11,FALSE)</f>
        <v>20760568.355981968</v>
      </c>
      <c r="Q13" s="18">
        <f t="shared" si="4"/>
        <v>594853621.44041395</v>
      </c>
      <c r="R13" s="19">
        <f t="shared" si="5"/>
        <v>15161.906522120755</v>
      </c>
      <c r="S13" s="81">
        <f>VLOOKUP(A13,'Rate Application - REM Cycle I'!$1:$65535,9,FALSE)</f>
        <v>1.1214469245143464</v>
      </c>
      <c r="T13" s="19">
        <f t="shared" si="6"/>
        <v>667096764.30057347</v>
      </c>
      <c r="U13" s="22">
        <f t="shared" si="7"/>
        <v>17003.273439006331</v>
      </c>
      <c r="V13" s="88">
        <f>IFERROR(VLOOKUP(A14,'PAU Volume'!AX:AZ,3,FALSE)-VLOOKUP(A14,'PAU Volume'!#REF!,4,FALSE)+VLOOKUP(A14,'PAU Volume'!#REF!,2,FALSE),0)*0</f>
        <v>0</v>
      </c>
      <c r="W13" s="79">
        <f t="shared" si="8"/>
        <v>39233.431532673072</v>
      </c>
      <c r="X13" s="15">
        <f t="shared" si="9"/>
        <v>667096764.30057347</v>
      </c>
      <c r="Y13" s="11">
        <f>VLOOKUP(A13,'Rate Application - REM Cycle I'!$1:$65535,7,FALSE)</f>
        <v>853868775.33511937</v>
      </c>
      <c r="Z13" s="78">
        <f t="shared" si="10"/>
        <v>-0.21873619978812686</v>
      </c>
      <c r="AA13" s="82">
        <f>IFERROR(VLOOKUP(A13,'GBR Revenue for ICC'!#REF!,17,FALSE),0)</f>
        <v>0</v>
      </c>
      <c r="AB13" s="82">
        <f t="shared" si="11"/>
        <v>0</v>
      </c>
      <c r="AC13" s="11">
        <f t="shared" si="12"/>
        <v>853868775.33511937</v>
      </c>
      <c r="AD13" s="11">
        <f t="shared" si="13"/>
        <v>667096764.30057347</v>
      </c>
      <c r="AE13" s="10">
        <v>1</v>
      </c>
      <c r="AF13" s="343">
        <f>VLOOKUP(A13,[1]icc_by_hosp_year!$A:$IV,9,FALSE)</f>
        <v>-0.27876931786785097</v>
      </c>
      <c r="AG13" s="344">
        <f t="shared" si="14"/>
        <v>-6.0033118079724113E-2</v>
      </c>
      <c r="AH13" s="343">
        <f>VLOOKUP(A13,'[2]Rate Application - ICC Cycle II'!$A:$IV,26,FALSE)</f>
        <v>-0.1537576459807044</v>
      </c>
      <c r="AI13" s="344">
        <f t="shared" si="15"/>
        <v>6.4978553807422457E-2</v>
      </c>
    </row>
    <row r="14" spans="1:35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IF(C14=1,'Rate Application - ICC Cycle I'!$Y$65,IF(C14=3,'Rate Application - ICC Cycle I'!$Y$66,IF(C14=4,'Rate Application - ICC Cycle I'!$Y$67,IF(C14=5,'Rate Application - ICC Cycle I'!$Y$68,0))))</f>
        <v>0</v>
      </c>
      <c r="E14" s="87">
        <v>0</v>
      </c>
      <c r="F14" s="87">
        <f t="shared" si="16"/>
        <v>0</v>
      </c>
      <c r="G14" s="87">
        <v>0</v>
      </c>
      <c r="H14" s="87">
        <f t="shared" si="0"/>
        <v>0</v>
      </c>
      <c r="I14" s="65">
        <f>VLOOKUP(A14,'Rate Application - REM Cycle I'!$1:$65535,15,FALSE)</f>
        <v>1608.5265612699982</v>
      </c>
      <c r="J14" s="19">
        <f>VLOOKUP(A14,'Rate Application - REM Cycle I'!$1:$65535,20,FALSE)</f>
        <v>0</v>
      </c>
      <c r="K14" s="11">
        <f t="shared" si="1"/>
        <v>0</v>
      </c>
      <c r="L14" s="11">
        <f>(K14*I14)+VLOOKUP(A14,'Rate Application - ICC Cycle I'!$1:$1048576,21,FALSE)</f>
        <v>12656764.264227461</v>
      </c>
      <c r="M14" s="36">
        <f>VLOOKUP(A14,'Variable Input'!$1:$1048576,23,FALSE)</f>
        <v>0.99671861092415948</v>
      </c>
      <c r="N14" s="22">
        <f t="shared" si="2"/>
        <v>12615232.496235337</v>
      </c>
      <c r="O14" s="19">
        <f t="shared" si="3"/>
        <v>7842.7256347418288</v>
      </c>
      <c r="P14" s="18">
        <f>VLOOKUP(A14,'Rate Application - REM Cycle I'!$1:$65535,11,FALSE)</f>
        <v>0</v>
      </c>
      <c r="Q14" s="18">
        <f t="shared" si="4"/>
        <v>12615232.496235337</v>
      </c>
      <c r="R14" s="19">
        <f t="shared" si="5"/>
        <v>7842.7256347418288</v>
      </c>
      <c r="S14" s="81">
        <f>VLOOKUP(A14,'Rate Application - REM Cycle I'!$1:$65535,9,FALSE)</f>
        <v>1.1357641348932981</v>
      </c>
      <c r="T14" s="19">
        <f t="shared" si="6"/>
        <v>14327928.622564549</v>
      </c>
      <c r="U14" s="22">
        <f t="shared" si="7"/>
        <v>8907.486495748044</v>
      </c>
      <c r="V14" s="88">
        <f>IFERROR(VLOOKUP(A15,'PAU Volume'!AX:AZ,3,FALSE)-VLOOKUP(A15,'PAU Volume'!#REF!,4,FALSE)+VLOOKUP(A15,'PAU Volume'!#REF!,2,FALSE),0)*0</f>
        <v>0</v>
      </c>
      <c r="W14" s="79">
        <f t="shared" si="8"/>
        <v>1608.5265612699982</v>
      </c>
      <c r="X14" s="15">
        <f t="shared" si="9"/>
        <v>14327928.622564547</v>
      </c>
      <c r="Y14" s="11">
        <f>VLOOKUP(A14,'Rate Application - REM Cycle I'!$1:$65535,7,FALSE)</f>
        <v>24727459.158067033</v>
      </c>
      <c r="Z14" s="78">
        <f t="shared" si="10"/>
        <v>-0.42056607874771335</v>
      </c>
      <c r="AA14" s="82">
        <f>IFERROR(VLOOKUP(A14,'GBR Revenue for ICC'!#REF!,17,FALSE),0)</f>
        <v>0</v>
      </c>
      <c r="AB14" s="82">
        <f t="shared" si="11"/>
        <v>0</v>
      </c>
      <c r="AC14" s="11">
        <f t="shared" si="12"/>
        <v>24727459.158067033</v>
      </c>
      <c r="AD14" s="11">
        <f t="shared" si="13"/>
        <v>14327928.622564547</v>
      </c>
      <c r="AE14" s="10">
        <v>1</v>
      </c>
      <c r="AF14" s="343" t="e">
        <f>VLOOKUP(A14,[1]icc_by_hosp_year!$A:$IV,9,FALSE)</f>
        <v>#N/A</v>
      </c>
      <c r="AG14" s="344" t="e">
        <f t="shared" si="14"/>
        <v>#N/A</v>
      </c>
      <c r="AH14" s="343">
        <f>VLOOKUP(A14,'[2]Rate Application - ICC Cycle II'!$A:$IV,26,FALSE)</f>
        <v>-1</v>
      </c>
      <c r="AI14" s="344">
        <f t="shared" si="15"/>
        <v>-0.57943392125228665</v>
      </c>
    </row>
    <row r="15" spans="1:35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IF(C15=1,'Rate Application - ICC Cycle I'!$Y$65,IF(C15=3,'Rate Application - ICC Cycle I'!$Y$66,IF(C15=4,'Rate Application - ICC Cycle I'!$Y$67,IF(C15=5,'Rate Application - ICC Cycle I'!$Y$68,0))))</f>
        <v>10459.948799491758</v>
      </c>
      <c r="E15" s="87">
        <v>0</v>
      </c>
      <c r="F15" s="87">
        <f t="shared" si="16"/>
        <v>0</v>
      </c>
      <c r="G15" s="87">
        <v>0</v>
      </c>
      <c r="H15" s="87">
        <f t="shared" si="0"/>
        <v>10459.948799491758</v>
      </c>
      <c r="I15" s="65">
        <f>VLOOKUP(A15,'Rate Application - REM Cycle I'!$1:$65535,15,FALSE)</f>
        <v>36896.780287905021</v>
      </c>
      <c r="J15" s="19">
        <f>VLOOKUP(A15,'Rate Application - REM Cycle I'!$1:$65535,20,FALSE)</f>
        <v>278.88145154984312</v>
      </c>
      <c r="K15" s="11">
        <f t="shared" si="1"/>
        <v>10738.830251041602</v>
      </c>
      <c r="L15" s="11">
        <f>(K15*I15)+VLOOKUP(A15,'Rate Application - ICC Cycle I'!$1:$1048576,21,FALSE)</f>
        <v>533864030.38478202</v>
      </c>
      <c r="M15" s="36">
        <f>VLOOKUP(A15,'Variable Input'!$1:$1048576,23,FALSE)</f>
        <v>0.99671861092415948</v>
      </c>
      <c r="N15" s="22">
        <f t="shared" si="2"/>
        <v>532112214.78749317</v>
      </c>
      <c r="O15" s="19">
        <f t="shared" si="3"/>
        <v>14421.643586118615</v>
      </c>
      <c r="P15" s="18">
        <f>VLOOKUP(A15,'Rate Application - REM Cycle I'!$1:$65535,11,FALSE)</f>
        <v>10719878.177063769</v>
      </c>
      <c r="Q15" s="18">
        <f t="shared" si="4"/>
        <v>542832092.96455693</v>
      </c>
      <c r="R15" s="19">
        <f t="shared" si="5"/>
        <v>14712.180540655479</v>
      </c>
      <c r="S15" s="81">
        <f>VLOOKUP(A15,'Rate Application - REM Cycle I'!$1:$65535,9,FALSE)</f>
        <v>1.1215228084765592</v>
      </c>
      <c r="T15" s="19">
        <f t="shared" si="6"/>
        <v>608798573.43281853</v>
      </c>
      <c r="U15" s="22">
        <f t="shared" si="7"/>
        <v>16500.046038770117</v>
      </c>
      <c r="V15" s="88">
        <f>IFERROR(VLOOKUP(A16,'PAU Volume'!AX:AZ,3,FALSE)-VLOOKUP(A16,'PAU Volume'!#REF!,4,FALSE)+VLOOKUP(A16,'PAU Volume'!#REF!,2,FALSE),0)*0</f>
        <v>0</v>
      </c>
      <c r="W15" s="79">
        <f t="shared" si="8"/>
        <v>36896.780287905021</v>
      </c>
      <c r="X15" s="15">
        <f t="shared" si="9"/>
        <v>608798573.43281853</v>
      </c>
      <c r="Y15" s="11">
        <f>VLOOKUP(A15,'Rate Application - REM Cycle I'!$1:$65535,7,FALSE)</f>
        <v>604791227.6741339</v>
      </c>
      <c r="Z15" s="78">
        <f t="shared" si="10"/>
        <v>6.6259984856191778E-3</v>
      </c>
      <c r="AA15" s="82">
        <f>IFERROR(VLOOKUP(A15,'GBR Revenue for ICC'!#REF!,17,FALSE),0)</f>
        <v>0</v>
      </c>
      <c r="AB15" s="82">
        <f t="shared" si="11"/>
        <v>0</v>
      </c>
      <c r="AC15" s="11">
        <f t="shared" si="12"/>
        <v>604791227.6741339</v>
      </c>
      <c r="AD15" s="11">
        <f t="shared" si="13"/>
        <v>608798573.43281853</v>
      </c>
      <c r="AE15" s="10">
        <v>1</v>
      </c>
      <c r="AF15" s="343">
        <f>VLOOKUP(A15,[1]icc_by_hosp_year!$A:$IV,9,FALSE)</f>
        <v>-9.1086549735309899E-2</v>
      </c>
      <c r="AG15" s="344">
        <f t="shared" si="14"/>
        <v>-9.7712548220929077E-2</v>
      </c>
      <c r="AH15" s="343">
        <f>VLOOKUP(A15,'[2]Rate Application - ICC Cycle II'!$A:$IV,26,FALSE)</f>
        <v>-0.15188614388524868</v>
      </c>
      <c r="AI15" s="344">
        <f t="shared" si="15"/>
        <v>-0.15851214237086786</v>
      </c>
    </row>
    <row r="16" spans="1:35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IF(C16=1,'Rate Application - ICC Cycle I'!$Y$65,IF(C16=3,'Rate Application - ICC Cycle I'!$Y$66,IF(C16=4,'Rate Application - ICC Cycle I'!$Y$67,IF(C16=5,'Rate Application - ICC Cycle I'!$Y$68,0))))</f>
        <v>10459.948799491758</v>
      </c>
      <c r="E16" s="87">
        <v>0</v>
      </c>
      <c r="F16" s="87">
        <f t="shared" si="16"/>
        <v>0</v>
      </c>
      <c r="G16" s="87">
        <v>0</v>
      </c>
      <c r="H16" s="87">
        <f t="shared" si="0"/>
        <v>10459.948799491758</v>
      </c>
      <c r="I16" s="65">
        <f>VLOOKUP(A16,'Rate Application - REM Cycle I'!$1:$65535,15,FALSE)</f>
        <v>19503.503490301038</v>
      </c>
      <c r="J16" s="19">
        <f>VLOOKUP(A16,'Rate Application - REM Cycle I'!$1:$65535,20,FALSE)</f>
        <v>0</v>
      </c>
      <c r="K16" s="11">
        <f t="shared" si="1"/>
        <v>10459.948799491758</v>
      </c>
      <c r="L16" s="11">
        <f>(K16*I16)+VLOOKUP(A16,'Rate Application - ICC Cycle I'!$1:$1048576,21,FALSE)</f>
        <v>272650748.03591496</v>
      </c>
      <c r="M16" s="36">
        <f>VLOOKUP(A16,'Variable Input'!$1:$1048576,23,FALSE)</f>
        <v>1.0181752931904677</v>
      </c>
      <c r="N16" s="22">
        <f t="shared" si="2"/>
        <v>277606255.32006806</v>
      </c>
      <c r="O16" s="19">
        <f t="shared" si="3"/>
        <v>14233.660914210608</v>
      </c>
      <c r="P16" s="18">
        <f>VLOOKUP(A16,'Rate Application - REM Cycle I'!$1:$65535,11,FALSE)</f>
        <v>0</v>
      </c>
      <c r="Q16" s="18">
        <f t="shared" si="4"/>
        <v>277606255.32006806</v>
      </c>
      <c r="R16" s="19">
        <f t="shared" si="5"/>
        <v>14233.660914210608</v>
      </c>
      <c r="S16" s="81">
        <f>VLOOKUP(A16,'Rate Application - REM Cycle I'!$1:$65535,9,FALSE)</f>
        <v>1.1206186736274211</v>
      </c>
      <c r="T16" s="19">
        <f t="shared" si="6"/>
        <v>311090753.62744987</v>
      </c>
      <c r="U16" s="22">
        <f t="shared" si="7"/>
        <v>15950.506214545157</v>
      </c>
      <c r="V16" s="88">
        <f>IFERROR(VLOOKUP(A17,'PAU Volume'!AX:AZ,3,FALSE)-VLOOKUP(A17,'PAU Volume'!#REF!,4,FALSE)+VLOOKUP(A17,'PAU Volume'!#REF!,2,FALSE),0)*0</f>
        <v>0</v>
      </c>
      <c r="W16" s="79">
        <f t="shared" si="8"/>
        <v>19503.503490301038</v>
      </c>
      <c r="X16" s="15">
        <f t="shared" si="9"/>
        <v>311090753.62744987</v>
      </c>
      <c r="Y16" s="11">
        <f>VLOOKUP(A16,'Rate Application - REM Cycle I'!$1:$65535,7,FALSE)</f>
        <v>348939116.84586889</v>
      </c>
      <c r="Z16" s="78">
        <f t="shared" si="10"/>
        <v>-0.10846695423699704</v>
      </c>
      <c r="AA16" s="82">
        <f>IFERROR(VLOOKUP(A16,'GBR Revenue for ICC'!#REF!,17,FALSE),0)</f>
        <v>0</v>
      </c>
      <c r="AB16" s="82">
        <f t="shared" si="11"/>
        <v>0</v>
      </c>
      <c r="AC16" s="11">
        <f t="shared" si="12"/>
        <v>348939116.84586889</v>
      </c>
      <c r="AD16" s="11">
        <f t="shared" si="13"/>
        <v>311090753.62744987</v>
      </c>
      <c r="AE16" s="10">
        <v>1</v>
      </c>
      <c r="AF16" s="343">
        <f>VLOOKUP(A16,[1]icc_by_hosp_year!$A:$IV,9,FALSE)</f>
        <v>-7.28769927352102E-2</v>
      </c>
      <c r="AG16" s="344">
        <f t="shared" si="14"/>
        <v>3.5589961501786838E-2</v>
      </c>
      <c r="AH16" s="343">
        <f>VLOOKUP(A16,'[2]Rate Application - ICC Cycle II'!$A:$IV,26,FALSE)</f>
        <v>-0.18056388951403857</v>
      </c>
      <c r="AI16" s="344">
        <f t="shared" si="15"/>
        <v>-7.2096935277041529E-2</v>
      </c>
    </row>
    <row r="17" spans="1:35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IF(C17=1,'Rate Application - ICC Cycle I'!$Y$65,IF(C17=3,'Rate Application - ICC Cycle I'!$Y$66,IF(C17=4,'Rate Application - ICC Cycle I'!$Y$67,IF(C17=5,'Rate Application - ICC Cycle I'!$Y$68,0))))</f>
        <v>10459.948799491758</v>
      </c>
      <c r="E17" s="87">
        <v>0</v>
      </c>
      <c r="F17" s="87">
        <f t="shared" si="16"/>
        <v>0</v>
      </c>
      <c r="G17" s="87">
        <v>0</v>
      </c>
      <c r="H17" s="87">
        <f t="shared" si="0"/>
        <v>10459.948799491758</v>
      </c>
      <c r="I17" s="65">
        <f>VLOOKUP(A17,'Rate Application - REM Cycle I'!$1:$65535,15,FALSE)</f>
        <v>5661.7590092090077</v>
      </c>
      <c r="J17" s="19">
        <f>VLOOKUP(A17,'Rate Application - REM Cycle I'!$1:$65535,20,FALSE)</f>
        <v>0</v>
      </c>
      <c r="K17" s="11">
        <f t="shared" si="1"/>
        <v>10459.948799491758</v>
      </c>
      <c r="L17" s="11">
        <f>(K17*I17)+VLOOKUP(A17,'Rate Application - ICC Cycle I'!$1:$1048576,21,FALSE)</f>
        <v>74709295.074624464</v>
      </c>
      <c r="M17" s="36">
        <f>VLOOKUP(A17,'Variable Input'!$1:$1048576,23,FALSE)</f>
        <v>0.99671861092415948</v>
      </c>
      <c r="N17" s="22">
        <f t="shared" si="2"/>
        <v>74464144.809902847</v>
      </c>
      <c r="O17" s="19">
        <f t="shared" si="3"/>
        <v>13152.121926910851</v>
      </c>
      <c r="P17" s="18">
        <f>VLOOKUP(A17,'Rate Application - REM Cycle I'!$1:$65535,11,FALSE)</f>
        <v>0</v>
      </c>
      <c r="Q17" s="18">
        <f t="shared" si="4"/>
        <v>74464144.809902847</v>
      </c>
      <c r="R17" s="19">
        <f t="shared" si="5"/>
        <v>13152.121926910851</v>
      </c>
      <c r="S17" s="81">
        <f>VLOOKUP(A17,'Rate Application - REM Cycle I'!$1:$65535,9,FALSE)</f>
        <v>1.1207568789217148</v>
      </c>
      <c r="T17" s="19">
        <f t="shared" si="6"/>
        <v>83456202.528721318</v>
      </c>
      <c r="U17" s="22">
        <f t="shared" si="7"/>
        <v>14740.331122002455</v>
      </c>
      <c r="V17" s="88">
        <f>IFERROR(VLOOKUP(A18,'PAU Volume'!AX:AZ,3,FALSE)-VLOOKUP(A18,'PAU Volume'!#REF!,4,FALSE)+VLOOKUP(A18,'PAU Volume'!#REF!,2,FALSE),0)*0</f>
        <v>0</v>
      </c>
      <c r="W17" s="79">
        <f t="shared" si="8"/>
        <v>5661.7590092090077</v>
      </c>
      <c r="X17" s="15">
        <f t="shared" si="9"/>
        <v>83456202.528721318</v>
      </c>
      <c r="Y17" s="11">
        <f>VLOOKUP(A17,'Rate Application - REM Cycle I'!$1:$65535,7,FALSE)</f>
        <v>73641018.606041223</v>
      </c>
      <c r="Z17" s="78">
        <f t="shared" si="10"/>
        <v>0.13328419552679693</v>
      </c>
      <c r="AA17" s="82">
        <f>IFERROR(VLOOKUP(A17,'GBR Revenue for ICC'!#REF!,17,FALSE),0)</f>
        <v>0</v>
      </c>
      <c r="AB17" s="82">
        <f t="shared" si="11"/>
        <v>0</v>
      </c>
      <c r="AC17" s="11">
        <f t="shared" si="12"/>
        <v>73641018.606041223</v>
      </c>
      <c r="AD17" s="11">
        <f t="shared" si="13"/>
        <v>83456202.528721318</v>
      </c>
      <c r="AE17" s="10">
        <v>1</v>
      </c>
      <c r="AF17" s="343">
        <f>VLOOKUP(A17,[1]icc_by_hosp_year!$A:$IV,9,FALSE)</f>
        <v>0.120519342801177</v>
      </c>
      <c r="AG17" s="344">
        <f t="shared" si="14"/>
        <v>-1.2764852725619932E-2</v>
      </c>
      <c r="AH17" s="343">
        <f>VLOOKUP(A17,'[2]Rate Application - ICC Cycle II'!$A:$IV,26,FALSE)</f>
        <v>9.6537371986713305E-2</v>
      </c>
      <c r="AI17" s="344">
        <f t="shared" si="15"/>
        <v>-3.6746823540083629E-2</v>
      </c>
    </row>
    <row r="18" spans="1:35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IF(C18=1,'Rate Application - ICC Cycle I'!$Y$65,IF(C18=3,'Rate Application - ICC Cycle I'!$Y$66,IF(C18=4,'Rate Application - ICC Cycle I'!$Y$67,IF(C18=5,'Rate Application - ICC Cycle I'!$Y$68,0))))</f>
        <v>10459.948799491758</v>
      </c>
      <c r="E18" s="87">
        <v>0</v>
      </c>
      <c r="F18" s="87">
        <f t="shared" si="16"/>
        <v>0</v>
      </c>
      <c r="G18" s="87">
        <v>0</v>
      </c>
      <c r="H18" s="87">
        <f t="shared" si="0"/>
        <v>10459.948799491758</v>
      </c>
      <c r="I18" s="65">
        <f>VLOOKUP(A18,'Rate Application - REM Cycle I'!$1:$65535,15,FALSE)</f>
        <v>11828.629976083985</v>
      </c>
      <c r="J18" s="19">
        <f>VLOOKUP(A18,'Rate Application - REM Cycle I'!$1:$65535,20,FALSE)</f>
        <v>0</v>
      </c>
      <c r="K18" s="11">
        <f t="shared" si="1"/>
        <v>10459.948799491758</v>
      </c>
      <c r="L18" s="11">
        <f>(K18*I18)+VLOOKUP(A18,'Rate Application - ICC Cycle I'!$1:$1048576,21,FALSE)</f>
        <v>154167280.41120508</v>
      </c>
      <c r="M18" s="36">
        <f>VLOOKUP(A18,'Variable Input'!$1:$1048576,23,FALSE)</f>
        <v>1.0181752931904677</v>
      </c>
      <c r="N18" s="22">
        <f t="shared" si="2"/>
        <v>156969315.93305579</v>
      </c>
      <c r="O18" s="19">
        <f t="shared" si="3"/>
        <v>13270.28711274494</v>
      </c>
      <c r="P18" s="18">
        <f>VLOOKUP(A18,'Rate Application - REM Cycle I'!$1:$65535,11,FALSE)</f>
        <v>0</v>
      </c>
      <c r="Q18" s="18">
        <f t="shared" si="4"/>
        <v>156969315.93305579</v>
      </c>
      <c r="R18" s="19">
        <f t="shared" si="5"/>
        <v>13270.28711274494</v>
      </c>
      <c r="S18" s="81">
        <f>VLOOKUP(A18,'Rate Application - REM Cycle I'!$1:$65535,9,FALSE)</f>
        <v>1.1159266108518389</v>
      </c>
      <c r="T18" s="19">
        <f t="shared" si="6"/>
        <v>175166236.7369065</v>
      </c>
      <c r="U18" s="22">
        <f t="shared" si="7"/>
        <v>14808.666522756295</v>
      </c>
      <c r="V18" s="88">
        <f>IFERROR(VLOOKUP(A19,'PAU Volume'!AX:AZ,3,FALSE)-VLOOKUP(A19,'PAU Volume'!#REF!,4,FALSE)+VLOOKUP(A19,'PAU Volume'!#REF!,2,FALSE),0)*0</f>
        <v>0</v>
      </c>
      <c r="W18" s="79">
        <f t="shared" si="8"/>
        <v>11828.629976083985</v>
      </c>
      <c r="X18" s="15">
        <f t="shared" si="9"/>
        <v>175166236.7369065</v>
      </c>
      <c r="Y18" s="11">
        <f>VLOOKUP(A18,'Rate Application - REM Cycle I'!$1:$65535,7,FALSE)</f>
        <v>196654013.68149054</v>
      </c>
      <c r="Z18" s="78">
        <f t="shared" si="10"/>
        <v>-0.1092669126976813</v>
      </c>
      <c r="AA18" s="82">
        <f>IFERROR(VLOOKUP(A18,'GBR Revenue for ICC'!#REF!,17,FALSE),0)</f>
        <v>0</v>
      </c>
      <c r="AB18" s="82">
        <f t="shared" si="11"/>
        <v>0</v>
      </c>
      <c r="AC18" s="11">
        <f t="shared" si="12"/>
        <v>196654013.68149054</v>
      </c>
      <c r="AD18" s="11">
        <f t="shared" si="13"/>
        <v>175166236.7369065</v>
      </c>
      <c r="AE18" s="10">
        <v>1</v>
      </c>
      <c r="AF18" s="343">
        <f>VLOOKUP(A18,[1]icc_by_hosp_year!$A:$IV,9,FALSE)</f>
        <v>-0.210377050673768</v>
      </c>
      <c r="AG18" s="344">
        <f t="shared" si="14"/>
        <v>-0.1011101379760867</v>
      </c>
      <c r="AH18" s="343">
        <f>VLOOKUP(A18,'[2]Rate Application - ICC Cycle II'!$A:$IV,26,FALSE)</f>
        <v>-0.22511290122081185</v>
      </c>
      <c r="AI18" s="344">
        <f t="shared" si="15"/>
        <v>-0.11584598852313055</v>
      </c>
    </row>
    <row r="19" spans="1:35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IF(C19=1,'Rate Application - ICC Cycle I'!$Y$65,IF(C19=3,'Rate Application - ICC Cycle I'!$Y$66,IF(C19=4,'Rate Application - ICC Cycle I'!$Y$67,IF(C19=5,'Rate Application - ICC Cycle I'!$Y$68,0))))</f>
        <v>10459.948799491758</v>
      </c>
      <c r="E19" s="87">
        <v>0</v>
      </c>
      <c r="F19" s="87">
        <f t="shared" si="16"/>
        <v>0</v>
      </c>
      <c r="G19" s="87">
        <v>0</v>
      </c>
      <c r="H19" s="87">
        <f t="shared" si="0"/>
        <v>10459.948799491758</v>
      </c>
      <c r="I19" s="65">
        <f>VLOOKUP(A19,'Rate Application - REM Cycle I'!$1:$65535,15,FALSE)</f>
        <v>35575.296562612995</v>
      </c>
      <c r="J19" s="19">
        <f>VLOOKUP(A19,'Rate Application - REM Cycle I'!$1:$65535,20,FALSE)</f>
        <v>37.082155310001518</v>
      </c>
      <c r="K19" s="11">
        <f t="shared" si="1"/>
        <v>10497.030954801759</v>
      </c>
      <c r="L19" s="11">
        <f>(K19*I19)+VLOOKUP(A19,'Rate Application - ICC Cycle I'!$1:$1048576,21,FALSE)</f>
        <v>483333429.74282843</v>
      </c>
      <c r="M19" s="36">
        <f>VLOOKUP(A19,'Variable Input'!$1:$1048576,23,FALSE)</f>
        <v>0.99671861092415948</v>
      </c>
      <c r="N19" s="22">
        <f t="shared" si="2"/>
        <v>481747424.70648175</v>
      </c>
      <c r="O19" s="19">
        <f t="shared" si="3"/>
        <v>13541.627793842839</v>
      </c>
      <c r="P19" s="18">
        <f>VLOOKUP(A19,'Rate Application - REM Cycle I'!$1:$65535,11,FALSE)</f>
        <v>3385733.4707238162</v>
      </c>
      <c r="Q19" s="18">
        <f t="shared" si="4"/>
        <v>485133158.17720556</v>
      </c>
      <c r="R19" s="19">
        <f t="shared" si="5"/>
        <v>13636.798707309854</v>
      </c>
      <c r="S19" s="81">
        <f>VLOOKUP(A19,'Rate Application - REM Cycle I'!$1:$65535,9,FALSE)</f>
        <v>1.1235285459397526</v>
      </c>
      <c r="T19" s="19">
        <f t="shared" si="6"/>
        <v>545060951.79399574</v>
      </c>
      <c r="U19" s="22">
        <f t="shared" si="7"/>
        <v>15321.332622896936</v>
      </c>
      <c r="V19" s="88">
        <f>IFERROR(VLOOKUP(A20,'PAU Volume'!AX:AZ,3,FALSE)-VLOOKUP(A20,'PAU Volume'!#REF!,4,FALSE)+VLOOKUP(A20,'PAU Volume'!#REF!,2,FALSE),0)*0</f>
        <v>0</v>
      </c>
      <c r="W19" s="79">
        <f t="shared" si="8"/>
        <v>35575.296562612995</v>
      </c>
      <c r="X19" s="15">
        <f t="shared" si="9"/>
        <v>545060951.79399574</v>
      </c>
      <c r="Y19" s="11">
        <f>VLOOKUP(A19,'Rate Application - REM Cycle I'!$1:$65535,7,FALSE)</f>
        <v>514736173.59971368</v>
      </c>
      <c r="Z19" s="78">
        <f t="shared" si="10"/>
        <v>5.8913244783655339E-2</v>
      </c>
      <c r="AA19" s="82">
        <f>IFERROR(VLOOKUP(A19,'GBR Revenue for ICC'!#REF!,17,FALSE),0)</f>
        <v>0</v>
      </c>
      <c r="AB19" s="82">
        <f t="shared" si="11"/>
        <v>0</v>
      </c>
      <c r="AC19" s="11">
        <f t="shared" si="12"/>
        <v>514736173.59971368</v>
      </c>
      <c r="AD19" s="11">
        <f t="shared" si="13"/>
        <v>545060951.79399574</v>
      </c>
      <c r="AE19" s="10">
        <v>1</v>
      </c>
      <c r="AF19" s="343">
        <f>VLOOKUP(A19,[1]icc_by_hosp_year!$A:$IV,9,FALSE)</f>
        <v>-2.3305925260897399E-2</v>
      </c>
      <c r="AG19" s="345">
        <f t="shared" si="14"/>
        <v>-8.2219170044552731E-2</v>
      </c>
      <c r="AH19" s="343">
        <f>VLOOKUP(A19,'[2]Rate Application - ICC Cycle II'!$A:$IV,26,FALSE)</f>
        <v>-6.0746899021115852E-2</v>
      </c>
      <c r="AI19" s="344">
        <f t="shared" si="15"/>
        <v>-0.11966014380477119</v>
      </c>
    </row>
    <row r="20" spans="1:35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IF(C20=1,'Rate Application - ICC Cycle I'!$Y$65,IF(C20=3,'Rate Application - ICC Cycle I'!$Y$66,IF(C20=4,'Rate Application - ICC Cycle I'!$Y$67,IF(C20=5,'Rate Application - ICC Cycle I'!$Y$68,0))))</f>
        <v>10459.948799491758</v>
      </c>
      <c r="E20" s="87">
        <v>0</v>
      </c>
      <c r="F20" s="87">
        <f t="shared" si="16"/>
        <v>0</v>
      </c>
      <c r="G20" s="87">
        <v>0</v>
      </c>
      <c r="H20" s="87">
        <f t="shared" si="0"/>
        <v>10459.948799491758</v>
      </c>
      <c r="I20" s="65">
        <f>VLOOKUP(A20,'Rate Application - REM Cycle I'!$1:$65535,15,FALSE)</f>
        <v>24909.085237375984</v>
      </c>
      <c r="J20" s="19">
        <f>VLOOKUP(A20,'Rate Application - REM Cycle I'!$1:$65535,20,FALSE)</f>
        <v>21.184377664013301</v>
      </c>
      <c r="K20" s="11">
        <f t="shared" si="1"/>
        <v>10481.133177155771</v>
      </c>
      <c r="L20" s="11">
        <f>(K20*I20)+VLOOKUP(A20,'Rate Application - ICC Cycle I'!$1:$1048576,21,FALSE)</f>
        <v>301704641.55729753</v>
      </c>
      <c r="M20" s="36">
        <f>VLOOKUP(A20,'Variable Input'!$1:$1048576,23,FALSE)</f>
        <v>1.0181752931904677</v>
      </c>
      <c r="N20" s="22">
        <f t="shared" si="2"/>
        <v>307188211.87452638</v>
      </c>
      <c r="O20" s="19">
        <f t="shared" si="3"/>
        <v>12332.376277455251</v>
      </c>
      <c r="P20" s="18">
        <f>VLOOKUP(A20,'Rate Application - REM Cycle I'!$1:$65535,11,FALSE)</f>
        <v>4332162.9357895656</v>
      </c>
      <c r="Q20" s="18">
        <f t="shared" si="4"/>
        <v>311520374.81031597</v>
      </c>
      <c r="R20" s="19">
        <f t="shared" si="5"/>
        <v>12506.295267032965</v>
      </c>
      <c r="S20" s="81">
        <f>VLOOKUP(A20,'Rate Application - REM Cycle I'!$1:$65535,9,FALSE)</f>
        <v>1.106961162419857</v>
      </c>
      <c r="T20" s="19">
        <f t="shared" si="6"/>
        <v>344840956.21749687</v>
      </c>
      <c r="U20" s="22">
        <f t="shared" si="7"/>
        <v>13843.983146360766</v>
      </c>
      <c r="V20" s="88">
        <f>IFERROR(VLOOKUP(A21,'PAU Volume'!AX:AZ,3,FALSE)-VLOOKUP(A21,'PAU Volume'!#REF!,4,FALSE)+VLOOKUP(A21,'PAU Volume'!#REF!,2,FALSE),0)*0</f>
        <v>0</v>
      </c>
      <c r="W20" s="79">
        <f t="shared" si="8"/>
        <v>24909.085237375984</v>
      </c>
      <c r="X20" s="15">
        <f t="shared" si="9"/>
        <v>344840956.21749687</v>
      </c>
      <c r="Y20" s="11">
        <f>VLOOKUP(A20,'Rate Application - REM Cycle I'!$1:$65535,7,FALSE)</f>
        <v>398364615.39914006</v>
      </c>
      <c r="Z20" s="78">
        <f t="shared" si="10"/>
        <v>-0.13435846737546042</v>
      </c>
      <c r="AA20" s="82">
        <f>IFERROR(VLOOKUP(A20,'GBR Revenue for ICC'!#REF!,17,FALSE),0)</f>
        <v>0</v>
      </c>
      <c r="AB20" s="82">
        <f t="shared" si="11"/>
        <v>0</v>
      </c>
      <c r="AC20" s="11">
        <f t="shared" si="12"/>
        <v>398364615.39914006</v>
      </c>
      <c r="AD20" s="11">
        <f t="shared" si="13"/>
        <v>344840956.21749687</v>
      </c>
      <c r="AE20" s="10">
        <v>1</v>
      </c>
      <c r="AF20" s="343">
        <f>VLOOKUP(A20,[1]icc_by_hosp_year!$A:$IV,9,FALSE)</f>
        <v>-7.3115410572539202E-2</v>
      </c>
      <c r="AG20" s="344">
        <f t="shared" si="14"/>
        <v>6.124305680292122E-2</v>
      </c>
      <c r="AH20" s="343">
        <f>VLOOKUP(A20,'[2]Rate Application - ICC Cycle II'!$A:$IV,26,FALSE)</f>
        <v>-2.9045354375847321E-2</v>
      </c>
      <c r="AI20" s="344">
        <f t="shared" si="15"/>
        <v>0.1053131129996131</v>
      </c>
    </row>
    <row r="21" spans="1:35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IF(C21=1,'Rate Application - ICC Cycle I'!$Y$65,IF(C21=3,'Rate Application - ICC Cycle I'!$Y$66,IF(C21=4,'Rate Application - ICC Cycle I'!$Y$67,IF(C21=5,'Rate Application - ICC Cycle I'!$Y$68,0))))</f>
        <v>10459.948799491758</v>
      </c>
      <c r="E21" s="87">
        <v>0</v>
      </c>
      <c r="F21" s="87">
        <f t="shared" si="16"/>
        <v>0</v>
      </c>
      <c r="G21" s="87">
        <v>0</v>
      </c>
      <c r="H21" s="87">
        <f t="shared" si="0"/>
        <v>10459.948799491758</v>
      </c>
      <c r="I21" s="65">
        <f>VLOOKUP(A21,'Rate Application - REM Cycle I'!$1:$65535,15,FALSE)</f>
        <v>47800.030712699874</v>
      </c>
      <c r="J21" s="19">
        <f>VLOOKUP(A21,'Rate Application - REM Cycle I'!$1:$65535,20,FALSE)</f>
        <v>152.06768021239117</v>
      </c>
      <c r="K21" s="11">
        <f t="shared" si="1"/>
        <v>10612.016479704149</v>
      </c>
      <c r="L21" s="11">
        <f>(K21*I21)+VLOOKUP(A21,'Rate Application - ICC Cycle I'!$1:$1048576,21,FALSE)</f>
        <v>591075381.37085366</v>
      </c>
      <c r="M21" s="36">
        <f>VLOOKUP(A21,'Variable Input'!$1:$1048576,23,FALSE)</f>
        <v>0.99671861092415948</v>
      </c>
      <c r="N21" s="22">
        <f t="shared" si="2"/>
        <v>589135833.07142508</v>
      </c>
      <c r="O21" s="19">
        <f t="shared" si="3"/>
        <v>12325.0095091445</v>
      </c>
      <c r="P21" s="18">
        <f>VLOOKUP(A21,'Rate Application - REM Cycle I'!$1:$65535,11,FALSE)</f>
        <v>6692185.3853537869</v>
      </c>
      <c r="Q21" s="18">
        <f t="shared" si="4"/>
        <v>595828018.45677888</v>
      </c>
      <c r="R21" s="19">
        <f t="shared" si="5"/>
        <v>12465.013297543233</v>
      </c>
      <c r="S21" s="81">
        <f>VLOOKUP(A21,'Rate Application - REM Cycle I'!$1:$65535,9,FALSE)</f>
        <v>1.1086069567461017</v>
      </c>
      <c r="T21" s="19">
        <f t="shared" si="6"/>
        <v>660539086.28542972</v>
      </c>
      <c r="U21" s="22">
        <f t="shared" si="7"/>
        <v>13818.800457589094</v>
      </c>
      <c r="V21" s="88">
        <f>IFERROR(VLOOKUP(A22,'PAU Volume'!AX:AZ,3,FALSE)-VLOOKUP(A22,'PAU Volume'!#REF!,4,FALSE)+VLOOKUP(A22,'PAU Volume'!#REF!,2,FALSE),0)*0</f>
        <v>0</v>
      </c>
      <c r="W21" s="79">
        <f t="shared" si="8"/>
        <v>47800.030712699874</v>
      </c>
      <c r="X21" s="15">
        <f t="shared" si="9"/>
        <v>660539086.28542972</v>
      </c>
      <c r="Y21" s="11">
        <f>VLOOKUP(A21,'Rate Application - REM Cycle I'!$1:$65535,7,FALSE)</f>
        <v>712352222.34826219</v>
      </c>
      <c r="Z21" s="78">
        <f t="shared" si="10"/>
        <v>-7.2735276787697756E-2</v>
      </c>
      <c r="AA21" s="82">
        <f>IFERROR(VLOOKUP(A21,'GBR Revenue for ICC'!#REF!,17,FALSE),0)</f>
        <v>0</v>
      </c>
      <c r="AB21" s="82">
        <f t="shared" si="11"/>
        <v>0</v>
      </c>
      <c r="AC21" s="11">
        <f t="shared" si="12"/>
        <v>712352222.34826219</v>
      </c>
      <c r="AD21" s="11">
        <f t="shared" si="13"/>
        <v>660539086.28542972</v>
      </c>
      <c r="AE21" s="10">
        <v>1</v>
      </c>
      <c r="AF21" s="343">
        <f>VLOOKUP(A21,[1]icc_by_hosp_year!$A:$IV,9,FALSE)</f>
        <v>-2.04203907014016E-2</v>
      </c>
      <c r="AG21" s="345">
        <f t="shared" si="14"/>
        <v>5.2314886086296156E-2</v>
      </c>
      <c r="AH21" s="343">
        <f>VLOOKUP(A21,'[2]Rate Application - ICC Cycle II'!$A:$IV,26,FALSE)</f>
        <v>-5.7548572877931248E-3</v>
      </c>
      <c r="AI21" s="344">
        <f t="shared" si="15"/>
        <v>6.6980419499904631E-2</v>
      </c>
    </row>
    <row r="22" spans="1:35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IF(C22=1,'Rate Application - ICC Cycle I'!$Y$65,IF(C22=3,'Rate Application - ICC Cycle I'!$Y$66,IF(C22=4,'Rate Application - ICC Cycle I'!$Y$67,IF(C22=5,'Rate Application - ICC Cycle I'!$Y$68,0))))</f>
        <v>10459.948799491758</v>
      </c>
      <c r="E22" s="87">
        <v>0</v>
      </c>
      <c r="F22" s="87">
        <f t="shared" si="16"/>
        <v>0</v>
      </c>
      <c r="G22" s="87">
        <v>0</v>
      </c>
      <c r="H22" s="87">
        <f t="shared" si="0"/>
        <v>10459.948799491758</v>
      </c>
      <c r="I22" s="65">
        <f>VLOOKUP(A22,'Rate Application - REM Cycle I'!$1:$65535,15,FALSE)</f>
        <v>26999.26188542712</v>
      </c>
      <c r="J22" s="19">
        <f>VLOOKUP(A22,'Rate Application - REM Cycle I'!$1:$65535,20,FALSE)</f>
        <v>429.97606252364841</v>
      </c>
      <c r="K22" s="11">
        <f t="shared" si="1"/>
        <v>10889.924862015407</v>
      </c>
      <c r="L22" s="11">
        <f>(K22*I22)+VLOOKUP(A22,'Rate Application - ICC Cycle I'!$1:$1048576,21,FALSE)</f>
        <v>382543280.98693895</v>
      </c>
      <c r="M22" s="36">
        <f>VLOOKUP(A22,'Variable Input'!$1:$1048576,23,FALSE)</f>
        <v>0.99671861092415948</v>
      </c>
      <c r="N22" s="22">
        <f t="shared" si="2"/>
        <v>381288007.64367223</v>
      </c>
      <c r="O22" s="19">
        <f t="shared" si="3"/>
        <v>14122.164126622765</v>
      </c>
      <c r="P22" s="18">
        <f>VLOOKUP(A22,'Rate Application - REM Cycle I'!$1:$65535,11,FALSE)</f>
        <v>12196844.09297953</v>
      </c>
      <c r="Q22" s="18">
        <f t="shared" si="4"/>
        <v>393484851.73665178</v>
      </c>
      <c r="R22" s="19">
        <f t="shared" si="5"/>
        <v>14573.911442706352</v>
      </c>
      <c r="S22" s="81">
        <f>VLOOKUP(A22,'Rate Application - REM Cycle I'!$1:$65535,9,FALSE)</f>
        <v>1.1223202362274129</v>
      </c>
      <c r="T22" s="19">
        <f t="shared" si="6"/>
        <v>441616011.75298756</v>
      </c>
      <c r="U22" s="22">
        <f t="shared" si="7"/>
        <v>16356.595733135589</v>
      </c>
      <c r="V22" s="88">
        <f>IFERROR(VLOOKUP(A23,'PAU Volume'!AX:AZ,3,FALSE)-VLOOKUP(A23,'PAU Volume'!#REF!,4,FALSE)+VLOOKUP(A23,'PAU Volume'!#REF!,2,FALSE),0)*0</f>
        <v>0</v>
      </c>
      <c r="W22" s="79">
        <f t="shared" si="8"/>
        <v>26999.26188542712</v>
      </c>
      <c r="X22" s="15">
        <f t="shared" si="9"/>
        <v>441616011.75298756</v>
      </c>
      <c r="Y22" s="11">
        <f>VLOOKUP(A22,'Rate Application - REM Cycle I'!$1:$65535,7,FALSE)</f>
        <v>481596679.12083691</v>
      </c>
      <c r="Z22" s="78">
        <f t="shared" si="10"/>
        <v>-8.3016908340885487E-2</v>
      </c>
      <c r="AA22" s="82">
        <f>IFERROR(VLOOKUP(A22,'GBR Revenue for ICC'!#REF!,17,FALSE),0)</f>
        <v>0</v>
      </c>
      <c r="AB22" s="82">
        <f t="shared" si="11"/>
        <v>0</v>
      </c>
      <c r="AC22" s="11">
        <f t="shared" si="12"/>
        <v>481596679.12083691</v>
      </c>
      <c r="AD22" s="11">
        <f t="shared" si="13"/>
        <v>441616011.75298756</v>
      </c>
      <c r="AE22" s="10">
        <v>1</v>
      </c>
      <c r="AF22" s="343">
        <f>VLOOKUP(A22,[1]icc_by_hosp_year!$A:$IV,9,FALSE)</f>
        <v>-0.14305228691390101</v>
      </c>
      <c r="AG22" s="344">
        <f t="shared" si="14"/>
        <v>-6.0035378573015524E-2</v>
      </c>
      <c r="AH22" s="343">
        <f>VLOOKUP(A22,'[2]Rate Application - ICC Cycle II'!$A:$IV,26,FALSE)</f>
        <v>-3.455247904038905E-2</v>
      </c>
      <c r="AI22" s="344">
        <f t="shared" si="15"/>
        <v>4.8464429300496437E-2</v>
      </c>
    </row>
    <row r="23" spans="1:35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IF(C23=1,'Rate Application - ICC Cycle I'!$Y$65,IF(C23=3,'Rate Application - ICC Cycle I'!$Y$66,IF(C23=4,'Rate Application - ICC Cycle I'!$Y$67,IF(C23=5,'Rate Application - ICC Cycle I'!$Y$68,0))))</f>
        <v>10459.948799491758</v>
      </c>
      <c r="E23" s="87">
        <v>0</v>
      </c>
      <c r="F23" s="87">
        <f t="shared" si="16"/>
        <v>0</v>
      </c>
      <c r="G23" s="87">
        <v>0</v>
      </c>
      <c r="H23" s="87">
        <f t="shared" si="0"/>
        <v>10459.948799491758</v>
      </c>
      <c r="I23" s="65">
        <f>VLOOKUP(A23,'Rate Application - REM Cycle I'!$1:$65535,15,FALSE)</f>
        <v>22692.781590576982</v>
      </c>
      <c r="J23" s="19">
        <f>VLOOKUP(A23,'Rate Application - REM Cycle I'!$1:$65535,20,FALSE)</f>
        <v>0</v>
      </c>
      <c r="K23" s="11">
        <f t="shared" si="1"/>
        <v>10459.948799491758</v>
      </c>
      <c r="L23" s="11">
        <f>(K23*I23)+VLOOKUP(A23,'Rate Application - ICC Cycle I'!$1:$1048576,21,FALSE)</f>
        <v>295287989.45050704</v>
      </c>
      <c r="M23" s="36">
        <f>VLOOKUP(A23,'Variable Input'!$1:$1048576,23,FALSE)</f>
        <v>0.99671861092415948</v>
      </c>
      <c r="N23" s="22">
        <f t="shared" si="2"/>
        <v>294319034.66769725</v>
      </c>
      <c r="O23" s="19">
        <f t="shared" si="3"/>
        <v>12969.720503100914</v>
      </c>
      <c r="P23" s="18">
        <f>VLOOKUP(A23,'Rate Application - REM Cycle I'!$1:$65535,11,FALSE)</f>
        <v>1887638.9011087576</v>
      </c>
      <c r="Q23" s="18">
        <f t="shared" si="4"/>
        <v>296206673.56880599</v>
      </c>
      <c r="R23" s="19">
        <f t="shared" si="5"/>
        <v>13052.902853117123</v>
      </c>
      <c r="S23" s="81">
        <f>VLOOKUP(A23,'Rate Application - REM Cycle I'!$1:$65535,9,FALSE)</f>
        <v>1.1268001645719641</v>
      </c>
      <c r="T23" s="19">
        <f t="shared" si="6"/>
        <v>333765728.52464461</v>
      </c>
      <c r="U23" s="22">
        <f t="shared" si="7"/>
        <v>14708.013083034231</v>
      </c>
      <c r="V23" s="88">
        <f>IFERROR(VLOOKUP(A24,'PAU Volume'!AX:AZ,3,FALSE)-VLOOKUP(A24,'PAU Volume'!#REF!,4,FALSE)+VLOOKUP(A24,'PAU Volume'!#REF!,2,FALSE),0)*0</f>
        <v>0</v>
      </c>
      <c r="W23" s="79">
        <f t="shared" si="8"/>
        <v>22692.781590576982</v>
      </c>
      <c r="X23" s="15">
        <f t="shared" si="9"/>
        <v>333765728.52464461</v>
      </c>
      <c r="Y23" s="11">
        <f>VLOOKUP(A23,'Rate Application - REM Cycle I'!$1:$65535,7,FALSE)</f>
        <v>346927138.42145127</v>
      </c>
      <c r="Z23" s="78">
        <f t="shared" si="10"/>
        <v>-3.7937101019805519E-2</v>
      </c>
      <c r="AA23" s="82">
        <f>IFERROR(VLOOKUP(A23,'GBR Revenue for ICC'!#REF!,17,FALSE),0)</f>
        <v>0</v>
      </c>
      <c r="AB23" s="82">
        <f t="shared" si="11"/>
        <v>0</v>
      </c>
      <c r="AC23" s="11">
        <f t="shared" si="12"/>
        <v>346927138.42145127</v>
      </c>
      <c r="AD23" s="11">
        <f t="shared" si="13"/>
        <v>333765728.52464461</v>
      </c>
      <c r="AE23" s="10">
        <v>1</v>
      </c>
      <c r="AF23" s="343">
        <f>VLOOKUP(A23,[1]icc_by_hosp_year!$A:$IV,9,FALSE)</f>
        <v>-9.83545761131496E-2</v>
      </c>
      <c r="AG23" s="344">
        <f t="shared" si="14"/>
        <v>-6.0417475093344081E-2</v>
      </c>
      <c r="AH23" s="343">
        <f>VLOOKUP(A23,'[2]Rate Application - ICC Cycle II'!$A:$IV,26,FALSE)</f>
        <v>-0.11131027631716495</v>
      </c>
      <c r="AI23" s="344">
        <f t="shared" si="15"/>
        <v>-7.3373175297359428E-2</v>
      </c>
    </row>
    <row r="24" spans="1:35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IF(C24=1,'Rate Application - ICC Cycle I'!$Y$65,IF(C24=3,'Rate Application - ICC Cycle I'!$Y$66,IF(C24=4,'Rate Application - ICC Cycle I'!$Y$67,IF(C24=5,'Rate Application - ICC Cycle I'!$Y$68,0))))</f>
        <v>10459.948799491758</v>
      </c>
      <c r="E24" s="87">
        <v>0</v>
      </c>
      <c r="F24" s="87">
        <f t="shared" si="16"/>
        <v>0</v>
      </c>
      <c r="G24" s="87">
        <v>0</v>
      </c>
      <c r="H24" s="87">
        <f t="shared" si="0"/>
        <v>10459.948799491758</v>
      </c>
      <c r="I24" s="65">
        <f>VLOOKUP(A24,'Rate Application - REM Cycle I'!$1:$65535,15,FALSE)</f>
        <v>14672.575577466996</v>
      </c>
      <c r="J24" s="19">
        <f>VLOOKUP(A24,'Rate Application - REM Cycle I'!$1:$65535,20,FALSE)</f>
        <v>0</v>
      </c>
      <c r="K24" s="11">
        <f t="shared" si="1"/>
        <v>10459.948799491758</v>
      </c>
      <c r="L24" s="11">
        <f>(K24*I24)+VLOOKUP(A24,'Rate Application - ICC Cycle I'!$1:$1048576,21,FALSE)</f>
        <v>193754411.15885913</v>
      </c>
      <c r="M24" s="36">
        <f>VLOOKUP(A24,'Variable Input'!$1:$1048576,23,FALSE)</f>
        <v>0.99671861092415948</v>
      </c>
      <c r="N24" s="22">
        <f t="shared" si="2"/>
        <v>193118627.55068654</v>
      </c>
      <c r="O24" s="19">
        <f t="shared" si="3"/>
        <v>13161.876490673059</v>
      </c>
      <c r="P24" s="18">
        <f>VLOOKUP(A24,'Rate Application - REM Cycle I'!$1:$65535,11,FALSE)</f>
        <v>0</v>
      </c>
      <c r="Q24" s="18">
        <f t="shared" si="4"/>
        <v>193118627.55068654</v>
      </c>
      <c r="R24" s="19">
        <f t="shared" si="5"/>
        <v>13161.876490673059</v>
      </c>
      <c r="S24" s="81">
        <f>VLOOKUP(A24,'Rate Application - REM Cycle I'!$1:$65535,9,FALSE)</f>
        <v>1.1136722213908725</v>
      </c>
      <c r="T24" s="19">
        <f t="shared" si="6"/>
        <v>215070850.93632963</v>
      </c>
      <c r="U24" s="22">
        <f t="shared" si="7"/>
        <v>14658.016229040168</v>
      </c>
      <c r="V24" s="88">
        <f>IFERROR(VLOOKUP(A25,'PAU Volume'!AX:AZ,3,FALSE)-VLOOKUP(A25,'PAU Volume'!#REF!,4,FALSE)+VLOOKUP(A25,'PAU Volume'!#REF!,2,FALSE),0)*0</f>
        <v>0</v>
      </c>
      <c r="W24" s="79">
        <f t="shared" si="8"/>
        <v>14672.575577466996</v>
      </c>
      <c r="X24" s="15">
        <f t="shared" si="9"/>
        <v>215070850.93632963</v>
      </c>
      <c r="Y24" s="11">
        <f>VLOOKUP(A24,'Rate Application - REM Cycle I'!$1:$65535,7,FALSE)</f>
        <v>208234246.15730399</v>
      </c>
      <c r="Z24" s="78">
        <f t="shared" si="10"/>
        <v>3.2831318119792563E-2</v>
      </c>
      <c r="AA24" s="82">
        <f>IFERROR(VLOOKUP(A24,'GBR Revenue for ICC'!#REF!,17,FALSE),0)</f>
        <v>0</v>
      </c>
      <c r="AB24" s="82">
        <f t="shared" si="11"/>
        <v>0</v>
      </c>
      <c r="AC24" s="11">
        <f t="shared" si="12"/>
        <v>208234246.15730399</v>
      </c>
      <c r="AD24" s="11">
        <f t="shared" si="13"/>
        <v>215070850.93632963</v>
      </c>
      <c r="AE24" s="10">
        <v>1</v>
      </c>
      <c r="AF24" s="343">
        <f>VLOOKUP(A24,[1]icc_by_hosp_year!$A:$IV,9,FALSE)</f>
        <v>-3.85784483599457E-2</v>
      </c>
      <c r="AG24" s="344">
        <f t="shared" si="14"/>
        <v>-7.1409766479738263E-2</v>
      </c>
      <c r="AH24" s="343">
        <f>VLOOKUP(A24,'[2]Rate Application - ICC Cycle II'!$A:$IV,26,FALSE)</f>
        <v>-8.1052743219462431E-2</v>
      </c>
      <c r="AI24" s="344">
        <f t="shared" si="15"/>
        <v>-0.11388406133925499</v>
      </c>
    </row>
    <row r="25" spans="1:35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IF(C25=1,'Rate Application - ICC Cycle I'!$Y$65,IF(C25=3,'Rate Application - ICC Cycle I'!$Y$66,IF(C25=4,'Rate Application - ICC Cycle I'!$Y$67,IF(C25=5,'Rate Application - ICC Cycle I'!$Y$68,0))))</f>
        <v>10459.948799491758</v>
      </c>
      <c r="E25" s="87">
        <v>0</v>
      </c>
      <c r="F25" s="87">
        <f t="shared" si="16"/>
        <v>0</v>
      </c>
      <c r="G25" s="87">
        <v>0</v>
      </c>
      <c r="H25" s="87">
        <f t="shared" si="0"/>
        <v>10459.948799491758</v>
      </c>
      <c r="I25" s="65">
        <f>VLOOKUP(A25,'Rate Application - REM Cycle I'!$1:$65535,15,FALSE)</f>
        <v>35540.799933832066</v>
      </c>
      <c r="J25" s="19">
        <f>VLOOKUP(A25,'Rate Application - REM Cycle I'!$1:$65535,20,FALSE)</f>
        <v>523.78238472766361</v>
      </c>
      <c r="K25" s="11">
        <f t="shared" si="1"/>
        <v>10983.731184219421</v>
      </c>
      <c r="L25" s="11">
        <f>(K25*I25)+VLOOKUP(A25,'Rate Application - ICC Cycle I'!$1:$1048576,21,FALSE)</f>
        <v>509108230.86261141</v>
      </c>
      <c r="M25" s="36">
        <f>VLOOKUP(A25,'Variable Input'!$1:$1048576,23,FALSE)</f>
        <v>0.99671861092415948</v>
      </c>
      <c r="N25" s="22">
        <f t="shared" si="2"/>
        <v>507437648.67543834</v>
      </c>
      <c r="O25" s="19">
        <f t="shared" si="3"/>
        <v>14277.609103344839</v>
      </c>
      <c r="P25" s="18">
        <f>VLOOKUP(A25,'Rate Application - REM Cycle I'!$1:$65535,11,FALSE)</f>
        <v>27476780.845164478</v>
      </c>
      <c r="Q25" s="18">
        <f t="shared" si="4"/>
        <v>534914429.52060282</v>
      </c>
      <c r="R25" s="19">
        <f t="shared" si="5"/>
        <v>15050.714404753902</v>
      </c>
      <c r="S25" s="81">
        <f>VLOOKUP(A25,'Rate Application - REM Cycle I'!$1:$65535,9,FALSE)</f>
        <v>1.1160480491569686</v>
      </c>
      <c r="T25" s="19">
        <f t="shared" si="6"/>
        <v>596990205.53238153</v>
      </c>
      <c r="U25" s="22">
        <f t="shared" si="7"/>
        <v>16797.320449844279</v>
      </c>
      <c r="V25" s="88">
        <f>IFERROR(VLOOKUP(A26,'PAU Volume'!AX:AZ,3,FALSE)-VLOOKUP(A26,'PAU Volume'!#REF!,4,FALSE)+VLOOKUP(A26,'PAU Volume'!#REF!,2,FALSE),0)*0</f>
        <v>0</v>
      </c>
      <c r="W25" s="79">
        <f t="shared" si="8"/>
        <v>35540.799933832066</v>
      </c>
      <c r="X25" s="15">
        <f t="shared" si="9"/>
        <v>596990205.53238153</v>
      </c>
      <c r="Y25" s="11">
        <f>VLOOKUP(A25,'Rate Application - REM Cycle I'!$1:$65535,7,FALSE)</f>
        <v>714563622.53195643</v>
      </c>
      <c r="Z25" s="78">
        <f t="shared" si="10"/>
        <v>-0.16453876644737375</v>
      </c>
      <c r="AA25" s="82">
        <f>IFERROR(VLOOKUP(A25,'GBR Revenue for ICC'!#REF!,17,FALSE),0)</f>
        <v>0</v>
      </c>
      <c r="AB25" s="82">
        <f t="shared" si="11"/>
        <v>0</v>
      </c>
      <c r="AC25" s="11">
        <f t="shared" si="12"/>
        <v>714563622.53195643</v>
      </c>
      <c r="AD25" s="11">
        <f t="shared" si="13"/>
        <v>596990205.53238153</v>
      </c>
      <c r="AE25" s="10">
        <v>1</v>
      </c>
      <c r="AF25" s="343">
        <f>VLOOKUP(A25,[1]icc_by_hosp_year!$A:$IV,9,FALSE)</f>
        <v>-0.12616918478747599</v>
      </c>
      <c r="AG25" s="344">
        <f t="shared" si="14"/>
        <v>3.8369581659897761E-2</v>
      </c>
      <c r="AH25" s="343">
        <f>VLOOKUP(A25,'[2]Rate Application - ICC Cycle II'!$A:$IV,26,FALSE)</f>
        <v>-4.2721684564173024E-2</v>
      </c>
      <c r="AI25" s="344">
        <f t="shared" si="15"/>
        <v>0.12181708188320073</v>
      </c>
    </row>
    <row r="26" spans="1:35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IF(C26=1,'Rate Application - ICC Cycle I'!$Y$65,IF(C26=3,'Rate Application - ICC Cycle I'!$Y$66,IF(C26=4,'Rate Application - ICC Cycle I'!$Y$67,IF(C26=5,'Rate Application - ICC Cycle I'!$Y$68,0))))</f>
        <v>10459.948799491758</v>
      </c>
      <c r="E26" s="87">
        <v>0</v>
      </c>
      <c r="F26" s="87">
        <f t="shared" si="16"/>
        <v>0</v>
      </c>
      <c r="G26" s="87">
        <v>0</v>
      </c>
      <c r="H26" s="87">
        <f t="shared" si="0"/>
        <v>10459.948799491758</v>
      </c>
      <c r="I26" s="65">
        <f>VLOOKUP(A26,'Rate Application - REM Cycle I'!$1:$65535,15,FALSE)</f>
        <v>2175.2241478610003</v>
      </c>
      <c r="J26" s="19">
        <f>VLOOKUP(A26,'Rate Application - REM Cycle I'!$1:$65535,20,FALSE)</f>
        <v>0</v>
      </c>
      <c r="K26" s="11">
        <f t="shared" si="1"/>
        <v>10459.948799491758</v>
      </c>
      <c r="L26" s="11">
        <f>(K26*I26)+VLOOKUP(A26,'Rate Application - ICC Cycle I'!$1:$1048576,21,FALSE)</f>
        <v>29425187.338822104</v>
      </c>
      <c r="M26" s="36">
        <f>VLOOKUP(A26,'Variable Input'!$1:$1048576,23,FALSE)</f>
        <v>0.99671861092415948</v>
      </c>
      <c r="N26" s="22">
        <f t="shared" si="2"/>
        <v>29328631.850533932</v>
      </c>
      <c r="O26" s="19">
        <f t="shared" si="3"/>
        <v>13483.038922390664</v>
      </c>
      <c r="P26" s="18">
        <f>VLOOKUP(A26,'Rate Application - REM Cycle I'!$1:$65535,11,FALSE)</f>
        <v>208535.14400062207</v>
      </c>
      <c r="Q26" s="18">
        <f t="shared" si="4"/>
        <v>29537166.994534556</v>
      </c>
      <c r="R26" s="19">
        <f t="shared" si="5"/>
        <v>13578.907269662224</v>
      </c>
      <c r="S26" s="81">
        <f>VLOOKUP(A26,'Rate Application - REM Cycle I'!$1:$65535,9,FALSE)</f>
        <v>1.1237498376689119</v>
      </c>
      <c r="T26" s="19">
        <f t="shared" si="6"/>
        <v>33192386.615307748</v>
      </c>
      <c r="U26" s="22">
        <f t="shared" si="7"/>
        <v>15259.294840004131</v>
      </c>
      <c r="V26" s="88">
        <f>IFERROR(VLOOKUP(A27,'PAU Volume'!AX:AZ,3,FALSE)-VLOOKUP(A27,'PAU Volume'!#REF!,4,FALSE)+VLOOKUP(A27,'PAU Volume'!#REF!,2,FALSE),0)*0</f>
        <v>0</v>
      </c>
      <c r="W26" s="79">
        <f t="shared" si="8"/>
        <v>2175.2241478610003</v>
      </c>
      <c r="X26" s="15">
        <f t="shared" si="9"/>
        <v>33192386.615307745</v>
      </c>
      <c r="Y26" s="11">
        <f>VLOOKUP(A26,'Rate Application - REM Cycle I'!$1:$65535,7,FALSE)</f>
        <v>53886862.099348657</v>
      </c>
      <c r="Z26" s="78">
        <f t="shared" si="10"/>
        <v>-0.38403563833216869</v>
      </c>
      <c r="AA26" s="82">
        <f>IFERROR(VLOOKUP(A26,'GBR Revenue for ICC'!#REF!,17,FALSE),0)</f>
        <v>0</v>
      </c>
      <c r="AB26" s="82">
        <f t="shared" si="11"/>
        <v>0</v>
      </c>
      <c r="AC26" s="11">
        <f t="shared" si="12"/>
        <v>53886862.099348657</v>
      </c>
      <c r="AD26" s="11">
        <f t="shared" si="13"/>
        <v>33192386.615307745</v>
      </c>
      <c r="AE26" s="10">
        <v>1</v>
      </c>
      <c r="AF26" s="343">
        <f>VLOOKUP(A26,[1]icc_by_hosp_year!$A:$IV,9,FALSE)</f>
        <v>-0.26824643938849402</v>
      </c>
      <c r="AG26" s="344">
        <f t="shared" si="14"/>
        <v>0.11578919894367468</v>
      </c>
      <c r="AH26" s="343">
        <f>VLOOKUP(A26,'[2]Rate Application - ICC Cycle II'!$A:$IV,26,FALSE)</f>
        <v>-0.33110155758988102</v>
      </c>
      <c r="AI26" s="344">
        <f t="shared" si="15"/>
        <v>5.293408074228767E-2</v>
      </c>
    </row>
    <row r="27" spans="1:35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IF(C27=1,'Rate Application - ICC Cycle I'!$Y$65,IF(C27=3,'Rate Application - ICC Cycle I'!$Y$66,IF(C27=4,'Rate Application - ICC Cycle I'!$Y$67,IF(C27=5,'Rate Application - ICC Cycle I'!$Y$68,0))))</f>
        <v>10459.948799491758</v>
      </c>
      <c r="E27" s="87">
        <v>0</v>
      </c>
      <c r="F27" s="87">
        <f t="shared" si="16"/>
        <v>0</v>
      </c>
      <c r="G27" s="87">
        <v>0</v>
      </c>
      <c r="H27" s="87">
        <f t="shared" si="0"/>
        <v>10459.948799491758</v>
      </c>
      <c r="I27" s="65">
        <f>VLOOKUP(A27,'Rate Application - REM Cycle I'!$1:$65535,15,FALSE)</f>
        <v>10926.435215269013</v>
      </c>
      <c r="J27" s="19">
        <f>VLOOKUP(A27,'Rate Application - REM Cycle I'!$1:$65535,20,FALSE)</f>
        <v>0</v>
      </c>
      <c r="K27" s="11">
        <f t="shared" si="1"/>
        <v>10459.948799491758</v>
      </c>
      <c r="L27" s="11">
        <f>(K27*I27)+VLOOKUP(A27,'Rate Application - ICC Cycle I'!$1:$1048576,21,FALSE)</f>
        <v>146278307.84160134</v>
      </c>
      <c r="M27" s="36">
        <f>VLOOKUP(A27,'Variable Input'!$1:$1048576,23,FALSE)</f>
        <v>0.99671861092415948</v>
      </c>
      <c r="N27" s="22">
        <f t="shared" si="2"/>
        <v>145798311.80021748</v>
      </c>
      <c r="O27" s="19">
        <f t="shared" si="3"/>
        <v>13343.630280850739</v>
      </c>
      <c r="P27" s="18">
        <f>VLOOKUP(A27,'Rate Application - REM Cycle I'!$1:$65535,11,FALSE)</f>
        <v>0</v>
      </c>
      <c r="Q27" s="18">
        <f t="shared" si="4"/>
        <v>145798311.80021748</v>
      </c>
      <c r="R27" s="19">
        <f t="shared" si="5"/>
        <v>13343.630280850739</v>
      </c>
      <c r="S27" s="81">
        <f>VLOOKUP(A27,'Rate Application - REM Cycle I'!$1:$65535,9,FALSE)</f>
        <v>1.1182795268578634</v>
      </c>
      <c r="T27" s="19">
        <f t="shared" si="6"/>
        <v>163043267.13662243</v>
      </c>
      <c r="U27" s="22">
        <f t="shared" si="7"/>
        <v>14921.908557036022</v>
      </c>
      <c r="V27" s="88">
        <f>IFERROR(VLOOKUP(A28,'PAU Volume'!AX:AZ,3,FALSE)-VLOOKUP(A28,'PAU Volume'!#REF!,4,FALSE)+VLOOKUP(A28,'PAU Volume'!#REF!,2,FALSE),0)*0</f>
        <v>0</v>
      </c>
      <c r="W27" s="79">
        <f t="shared" si="8"/>
        <v>10926.435215269013</v>
      </c>
      <c r="X27" s="15">
        <f t="shared" si="9"/>
        <v>163043267.13662243</v>
      </c>
      <c r="Y27" s="11">
        <f>VLOOKUP(A27,'Rate Application - REM Cycle I'!$1:$65535,7,FALSE)</f>
        <v>188376183.84885556</v>
      </c>
      <c r="Z27" s="78">
        <f t="shared" si="10"/>
        <v>-0.13448046453982265</v>
      </c>
      <c r="AA27" s="82">
        <f>IFERROR(VLOOKUP(A27,'GBR Revenue for ICC'!#REF!,17,FALSE),0)</f>
        <v>0</v>
      </c>
      <c r="AB27" s="82">
        <f t="shared" si="11"/>
        <v>0</v>
      </c>
      <c r="AC27" s="11">
        <f t="shared" si="12"/>
        <v>188376183.84885556</v>
      </c>
      <c r="AD27" s="11">
        <f t="shared" si="13"/>
        <v>163043267.13662243</v>
      </c>
      <c r="AE27" s="10">
        <v>1</v>
      </c>
      <c r="AF27" s="343">
        <f>VLOOKUP(A27,[1]icc_by_hosp_year!$A:$IV,9,FALSE)</f>
        <v>-0.147408261482669</v>
      </c>
      <c r="AG27" s="344">
        <f t="shared" si="14"/>
        <v>-1.2927796942846348E-2</v>
      </c>
      <c r="AH27" s="343">
        <f>VLOOKUP(A27,'[2]Rate Application - ICC Cycle II'!$A:$IV,26,FALSE)</f>
        <v>-0.22364762561036999</v>
      </c>
      <c r="AI27" s="344">
        <f t="shared" si="15"/>
        <v>-8.9167161070547341E-2</v>
      </c>
    </row>
    <row r="28" spans="1:35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IF(C28=1,'Rate Application - ICC Cycle I'!$Y$65,IF(C28=3,'Rate Application - ICC Cycle I'!$Y$66,IF(C28=4,'Rate Application - ICC Cycle I'!$Y$67,IF(C28=5,'Rate Application - ICC Cycle I'!$Y$68,0))))</f>
        <v>10459.948799491758</v>
      </c>
      <c r="E28" s="87">
        <v>0</v>
      </c>
      <c r="F28" s="87">
        <f t="shared" si="16"/>
        <v>0</v>
      </c>
      <c r="G28" s="87">
        <v>0</v>
      </c>
      <c r="H28" s="87">
        <f t="shared" si="0"/>
        <v>10459.948799491758</v>
      </c>
      <c r="I28" s="65">
        <f>VLOOKUP(A28,'Rate Application - REM Cycle I'!$1:$65535,15,FALSE)</f>
        <v>16462.876928917998</v>
      </c>
      <c r="J28" s="19">
        <f>VLOOKUP(A28,'Rate Application - REM Cycle I'!$1:$65535,20,FALSE)</f>
        <v>0</v>
      </c>
      <c r="K28" s="11">
        <f t="shared" si="1"/>
        <v>10459.948799491758</v>
      </c>
      <c r="L28" s="11">
        <f>(K28*I28)+VLOOKUP(A28,'Rate Application - ICC Cycle I'!$1:$1048576,21,FALSE)</f>
        <v>208173787.97385389</v>
      </c>
      <c r="M28" s="36">
        <f>VLOOKUP(A28,'Variable Input'!$1:$1048576,23,FALSE)</f>
        <v>0.99671861092415948</v>
      </c>
      <c r="N28" s="22">
        <f t="shared" si="2"/>
        <v>207490688.78012013</v>
      </c>
      <c r="O28" s="19">
        <f t="shared" si="3"/>
        <v>12603.549772983524</v>
      </c>
      <c r="P28" s="18">
        <f>VLOOKUP(A28,'Rate Application - REM Cycle I'!$1:$65535,11,FALSE)</f>
        <v>0</v>
      </c>
      <c r="Q28" s="18">
        <f t="shared" si="4"/>
        <v>207490688.78012013</v>
      </c>
      <c r="R28" s="19">
        <f t="shared" si="5"/>
        <v>12603.549772983524</v>
      </c>
      <c r="S28" s="81">
        <f>VLOOKUP(A28,'Rate Application - REM Cycle I'!$1:$65535,9,FALSE)</f>
        <v>1.1165021686409196</v>
      </c>
      <c r="T28" s="19">
        <f t="shared" si="6"/>
        <v>231663803.99580225</v>
      </c>
      <c r="U28" s="22">
        <f t="shared" si="7"/>
        <v>14071.890654109875</v>
      </c>
      <c r="V28" s="88">
        <f>IFERROR(VLOOKUP(A29,'PAU Volume'!AX:AZ,3,FALSE)-VLOOKUP(A29,'PAU Volume'!#REF!,4,FALSE)+VLOOKUP(A29,'PAU Volume'!#REF!,2,FALSE),0)*0</f>
        <v>0</v>
      </c>
      <c r="W28" s="79">
        <f t="shared" si="8"/>
        <v>16462.876928917998</v>
      </c>
      <c r="X28" s="15">
        <f t="shared" si="9"/>
        <v>231663803.99580225</v>
      </c>
      <c r="Y28" s="11">
        <f>VLOOKUP(A28,'Rate Application - REM Cycle I'!$1:$65535,7,FALSE)</f>
        <v>270127753.60721987</v>
      </c>
      <c r="Z28" s="78">
        <f t="shared" si="10"/>
        <v>-0.1423916983641238</v>
      </c>
      <c r="AA28" s="82">
        <f>IFERROR(VLOOKUP(A28,'GBR Revenue for ICC'!#REF!,17,FALSE),0)</f>
        <v>0</v>
      </c>
      <c r="AB28" s="82">
        <f t="shared" si="11"/>
        <v>0</v>
      </c>
      <c r="AC28" s="11">
        <f t="shared" si="12"/>
        <v>270127753.60721987</v>
      </c>
      <c r="AD28" s="11">
        <f t="shared" si="13"/>
        <v>231663803.99580225</v>
      </c>
      <c r="AE28" s="10">
        <v>1</v>
      </c>
      <c r="AF28" s="343">
        <f>VLOOKUP(A28,[1]icc_by_hosp_year!$A:$IV,9,FALSE)</f>
        <v>-0.15090431531885801</v>
      </c>
      <c r="AG28" s="344">
        <f t="shared" si="14"/>
        <v>-8.512616954734209E-3</v>
      </c>
      <c r="AH28" s="343">
        <f>VLOOKUP(A28,'[2]Rate Application - ICC Cycle II'!$A:$IV,26,FALSE)</f>
        <v>-0.16219870271962122</v>
      </c>
      <c r="AI28" s="344">
        <f t="shared" si="15"/>
        <v>-1.9807004355497426E-2</v>
      </c>
    </row>
    <row r="29" spans="1:35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IF(C29=1,'Rate Application - ICC Cycle I'!$Y$65,IF(C29=3,'Rate Application - ICC Cycle I'!$Y$66,IF(C29=4,'Rate Application - ICC Cycle I'!$Y$67,IF(C29=5,'Rate Application - ICC Cycle I'!$Y$68,0))))</f>
        <v>10459.948799491758</v>
      </c>
      <c r="E29" s="87">
        <v>0</v>
      </c>
      <c r="F29" s="87">
        <f t="shared" si="16"/>
        <v>0</v>
      </c>
      <c r="G29" s="87">
        <v>0</v>
      </c>
      <c r="H29" s="87">
        <f t="shared" si="0"/>
        <v>10459.948799491758</v>
      </c>
      <c r="I29" s="65">
        <f>VLOOKUP(A29,'Rate Application - REM Cycle I'!$1:$65535,15,FALSE)</f>
        <v>11637.098158323013</v>
      </c>
      <c r="J29" s="19">
        <f>VLOOKUP(A29,'Rate Application - REM Cycle I'!$1:$65535,20,FALSE)</f>
        <v>219.3949496707223</v>
      </c>
      <c r="K29" s="11">
        <f t="shared" si="1"/>
        <v>10679.343749162481</v>
      </c>
      <c r="L29" s="11">
        <f>(K29*I29)+VLOOKUP(A29,'Rate Application - ICC Cycle I'!$1:$1048576,21,FALSE)</f>
        <v>182199590.13661605</v>
      </c>
      <c r="M29" s="36">
        <f>VLOOKUP(A29,'Variable Input'!$1:$1048576,23,FALSE)</f>
        <v>0.99671861092415948</v>
      </c>
      <c r="N29" s="22">
        <f t="shared" si="2"/>
        <v>181601722.39191914</v>
      </c>
      <c r="O29" s="19">
        <f t="shared" si="3"/>
        <v>15605.412957871726</v>
      </c>
      <c r="P29" s="18">
        <f>VLOOKUP(A29,'Rate Application - REM Cycle I'!$1:$65535,11,FALSE)</f>
        <v>2578337.9692581748</v>
      </c>
      <c r="Q29" s="18">
        <f t="shared" si="4"/>
        <v>184180060.36117733</v>
      </c>
      <c r="R29" s="19">
        <f t="shared" si="5"/>
        <v>15826.974891455153</v>
      </c>
      <c r="S29" s="81">
        <f>VLOOKUP(A29,'Rate Application - REM Cycle I'!$1:$65535,9,FALSE)</f>
        <v>1.1252449607173489</v>
      </c>
      <c r="T29" s="19">
        <f t="shared" si="6"/>
        <v>207247684.78603193</v>
      </c>
      <c r="U29" s="22">
        <f t="shared" si="7"/>
        <v>17809.223740009922</v>
      </c>
      <c r="V29" s="88">
        <f>IFERROR(VLOOKUP(A30,'PAU Volume'!AX:AZ,3,FALSE)-VLOOKUP(A30,'PAU Volume'!#REF!,4,FALSE)+VLOOKUP(A30,'PAU Volume'!#REF!,2,FALSE),0)*0</f>
        <v>0</v>
      </c>
      <c r="W29" s="79">
        <f t="shared" si="8"/>
        <v>11637.098158323013</v>
      </c>
      <c r="X29" s="15">
        <f t="shared" si="9"/>
        <v>207247684.78603196</v>
      </c>
      <c r="Y29" s="11">
        <f>VLOOKUP(A29,'Rate Application - REM Cycle I'!$1:$65535,7,FALSE)</f>
        <v>207708721.24780929</v>
      </c>
      <c r="Z29" s="78">
        <f t="shared" si="10"/>
        <v>-2.2196297729226711E-3</v>
      </c>
      <c r="AA29" s="82">
        <f>IFERROR(VLOOKUP(A29,'GBR Revenue for ICC'!#REF!,17,FALSE),0)</f>
        <v>0</v>
      </c>
      <c r="AB29" s="82">
        <f t="shared" si="11"/>
        <v>0</v>
      </c>
      <c r="AC29" s="11">
        <f t="shared" si="12"/>
        <v>207708721.24780929</v>
      </c>
      <c r="AD29" s="11">
        <f t="shared" si="13"/>
        <v>207247684.78603196</v>
      </c>
      <c r="AE29" s="10">
        <v>1</v>
      </c>
      <c r="AF29" s="343">
        <f>VLOOKUP(A29,[1]icc_by_hosp_year!$A:$IV,9,FALSE)</f>
        <v>-7.5196732312444697E-2</v>
      </c>
      <c r="AG29" s="344">
        <f t="shared" si="14"/>
        <v>-7.2977102539522026E-2</v>
      </c>
      <c r="AH29" s="343">
        <f>VLOOKUP(A29,'[2]Rate Application - ICC Cycle II'!$A:$IV,26,FALSE)</f>
        <v>-4.5652462707706398E-2</v>
      </c>
      <c r="AI29" s="344">
        <f t="shared" si="15"/>
        <v>-4.3432832934783727E-2</v>
      </c>
    </row>
    <row r="30" spans="1:35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IF(C30=1,'Rate Application - ICC Cycle I'!$Y$65,IF(C30=3,'Rate Application - ICC Cycle I'!$Y$66,IF(C30=4,'Rate Application - ICC Cycle I'!$Y$67,IF(C30=5,'Rate Application - ICC Cycle I'!$Y$68,0))))</f>
        <v>10459.948799491758</v>
      </c>
      <c r="E30" s="87">
        <v>0</v>
      </c>
      <c r="F30" s="87">
        <f t="shared" si="16"/>
        <v>0</v>
      </c>
      <c r="G30" s="87">
        <v>0</v>
      </c>
      <c r="H30" s="87">
        <f t="shared" si="0"/>
        <v>10459.948799491758</v>
      </c>
      <c r="I30" s="65">
        <f>VLOOKUP(A30,'Rate Application - REM Cycle I'!$1:$65535,15,FALSE)</f>
        <v>12134.106723412984</v>
      </c>
      <c r="J30" s="19">
        <f>VLOOKUP(A30,'Rate Application - REM Cycle I'!$1:$65535,20,FALSE)</f>
        <v>0</v>
      </c>
      <c r="K30" s="11">
        <f t="shared" si="1"/>
        <v>10459.948799491758</v>
      </c>
      <c r="L30" s="11">
        <f>(K30*I30)+VLOOKUP(A30,'Rate Application - ICC Cycle I'!$1:$1048576,21,FALSE)</f>
        <v>160699666.21003652</v>
      </c>
      <c r="M30" s="36">
        <f>VLOOKUP(A30,'Variable Input'!$1:$1048576,23,FALSE)</f>
        <v>0.99671861092415948</v>
      </c>
      <c r="N30" s="22">
        <f t="shared" si="2"/>
        <v>160172348.08084369</v>
      </c>
      <c r="O30" s="19">
        <f t="shared" si="3"/>
        <v>13200.176307316317</v>
      </c>
      <c r="P30" s="18">
        <f>VLOOKUP(A30,'Rate Application - REM Cycle I'!$1:$65535,11,FALSE)</f>
        <v>0</v>
      </c>
      <c r="Q30" s="18">
        <f t="shared" si="4"/>
        <v>160172348.08084369</v>
      </c>
      <c r="R30" s="19">
        <f t="shared" si="5"/>
        <v>13200.176307316317</v>
      </c>
      <c r="S30" s="81">
        <f>VLOOKUP(A30,'Rate Application - REM Cycle I'!$1:$65535,9,FALSE)</f>
        <v>1.1148847928711076</v>
      </c>
      <c r="T30" s="19">
        <f t="shared" si="6"/>
        <v>178573715.11379036</v>
      </c>
      <c r="U30" s="22">
        <f t="shared" si="7"/>
        <v>14716.675828244453</v>
      </c>
      <c r="V30" s="88">
        <f>IFERROR(VLOOKUP(A31,'PAU Volume'!AX:AZ,3,FALSE)-VLOOKUP(A31,'PAU Volume'!#REF!,4,FALSE)+VLOOKUP(A31,'PAU Volume'!#REF!,2,FALSE),0)*0</f>
        <v>0</v>
      </c>
      <c r="W30" s="79">
        <f t="shared" si="8"/>
        <v>12134.106723412984</v>
      </c>
      <c r="X30" s="15">
        <f t="shared" si="9"/>
        <v>178573715.11379036</v>
      </c>
      <c r="Y30" s="11">
        <f>VLOOKUP(A30,'Rate Application - REM Cycle I'!$1:$65535,7,FALSE)</f>
        <v>178746811.03130147</v>
      </c>
      <c r="Z30" s="78">
        <f t="shared" si="10"/>
        <v>-9.6838604567217601E-4</v>
      </c>
      <c r="AA30" s="82">
        <f>IFERROR(VLOOKUP(A30,'GBR Revenue for ICC'!#REF!,17,FALSE),0)</f>
        <v>0</v>
      </c>
      <c r="AB30" s="82">
        <f t="shared" si="11"/>
        <v>0</v>
      </c>
      <c r="AC30" s="11">
        <f t="shared" si="12"/>
        <v>178746811.03130147</v>
      </c>
      <c r="AD30" s="11">
        <f t="shared" si="13"/>
        <v>178573715.11379036</v>
      </c>
      <c r="AE30" s="10">
        <v>1</v>
      </c>
      <c r="AF30" s="343">
        <f>VLOOKUP(A30,[1]icc_by_hosp_year!$A:$IV,9,FALSE)</f>
        <v>-7.4006795896712801E-2</v>
      </c>
      <c r="AG30" s="344">
        <f t="shared" si="14"/>
        <v>-7.3038409851040625E-2</v>
      </c>
      <c r="AH30" s="343">
        <f>VLOOKUP(A30,'[2]Rate Application - ICC Cycle II'!$A:$IV,26,FALSE)</f>
        <v>-0.11246400780632992</v>
      </c>
      <c r="AI30" s="344">
        <f t="shared" si="15"/>
        <v>-0.11149562176065775</v>
      </c>
    </row>
    <row r="31" spans="1:35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IF(C31=1,'Rate Application - ICC Cycle I'!$Y$65,IF(C31=3,'Rate Application - ICC Cycle I'!$Y$66,IF(C31=4,'Rate Application - ICC Cycle I'!$Y$67,IF(C31=5,'Rate Application - ICC Cycle I'!$Y$68,0))))</f>
        <v>10459.948799491758</v>
      </c>
      <c r="E31" s="87">
        <v>0</v>
      </c>
      <c r="F31" s="87">
        <f t="shared" si="16"/>
        <v>0</v>
      </c>
      <c r="G31" s="87">
        <v>0</v>
      </c>
      <c r="H31" s="87">
        <f t="shared" si="0"/>
        <v>10459.948799491758</v>
      </c>
      <c r="I31" s="65">
        <f>VLOOKUP(A31,'Rate Application - REM Cycle I'!$1:$65535,15,FALSE)</f>
        <v>14334.792159748988</v>
      </c>
      <c r="J31" s="19">
        <f>VLOOKUP(A31,'Rate Application - REM Cycle I'!$1:$65535,20,FALSE)</f>
        <v>0</v>
      </c>
      <c r="K31" s="11">
        <f t="shared" si="1"/>
        <v>10459.948799491758</v>
      </c>
      <c r="L31" s="11">
        <f>(K31*I31)+VLOOKUP(A31,'Rate Application - ICC Cycle I'!$1:$1048576,21,FALSE)</f>
        <v>191403062.01935175</v>
      </c>
      <c r="M31" s="36">
        <f>VLOOKUP(A31,'Variable Input'!$1:$1048576,23,FALSE)</f>
        <v>0.99671861092415948</v>
      </c>
      <c r="N31" s="22">
        <f t="shared" si="2"/>
        <v>190774994.10255903</v>
      </c>
      <c r="O31" s="19">
        <f t="shared" si="3"/>
        <v>13308.528786224106</v>
      </c>
      <c r="P31" s="18">
        <f>VLOOKUP(A31,'Rate Application - REM Cycle I'!$1:$65535,11,FALSE)</f>
        <v>832816.30724702065</v>
      </c>
      <c r="Q31" s="18">
        <f t="shared" si="4"/>
        <v>191607810.40980604</v>
      </c>
      <c r="R31" s="19">
        <f t="shared" si="5"/>
        <v>13366.626336433834</v>
      </c>
      <c r="S31" s="81">
        <f>VLOOKUP(A31,'Rate Application - REM Cycle I'!$1:$65535,9,FALSE)</f>
        <v>1.1240965147015685</v>
      </c>
      <c r="T31" s="19">
        <f t="shared" si="6"/>
        <v>215385671.87126189</v>
      </c>
      <c r="U31" s="22">
        <f t="shared" si="7"/>
        <v>15025.378078103467</v>
      </c>
      <c r="V31" s="88">
        <f>IFERROR(VLOOKUP(A32,'PAU Volume'!AX:AZ,3,FALSE)-VLOOKUP(A32,'PAU Volume'!#REF!,4,FALSE)+VLOOKUP(A32,'PAU Volume'!#REF!,2,FALSE),0)*0</f>
        <v>0</v>
      </c>
      <c r="W31" s="79">
        <f t="shared" si="8"/>
        <v>14334.792159748988</v>
      </c>
      <c r="X31" s="15">
        <f t="shared" si="9"/>
        <v>215385671.87126189</v>
      </c>
      <c r="Y31" s="11">
        <f>VLOOKUP(A31,'Rate Application - REM Cycle I'!$1:$65535,7,FALSE)</f>
        <v>263996559.9878093</v>
      </c>
      <c r="Z31" s="78">
        <f t="shared" si="10"/>
        <v>-0.18413455129412348</v>
      </c>
      <c r="AA31" s="82">
        <f>IFERROR(VLOOKUP(A31,'GBR Revenue for ICC'!#REF!,17,FALSE),0)</f>
        <v>0</v>
      </c>
      <c r="AB31" s="82">
        <f t="shared" si="11"/>
        <v>0</v>
      </c>
      <c r="AC31" s="11">
        <f t="shared" si="12"/>
        <v>263996559.9878093</v>
      </c>
      <c r="AD31" s="11">
        <f t="shared" si="13"/>
        <v>215385671.87126189</v>
      </c>
      <c r="AE31" s="10">
        <v>1</v>
      </c>
      <c r="AF31" s="343">
        <f>VLOOKUP(A31,[1]icc_by_hosp_year!$A:$IV,9,FALSE)</f>
        <v>-0.154935101200387</v>
      </c>
      <c r="AG31" s="344">
        <f t="shared" si="14"/>
        <v>2.9199450093736479E-2</v>
      </c>
      <c r="AH31" s="343">
        <f>VLOOKUP(A31,'[2]Rate Application - ICC Cycle II'!$A:$IV,26,FALSE)</f>
        <v>-0.20737631201178663</v>
      </c>
      <c r="AI31" s="344">
        <f t="shared" si="15"/>
        <v>-2.3241760717663151E-2</v>
      </c>
    </row>
    <row r="32" spans="1:35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IF(C32=1,'Rate Application - ICC Cycle I'!$Y$65,IF(C32=3,'Rate Application - ICC Cycle I'!$Y$66,IF(C32=4,'Rate Application - ICC Cycle I'!$Y$67,IF(C32=5,'Rate Application - ICC Cycle I'!$Y$68,0))))</f>
        <v>10459.948799491758</v>
      </c>
      <c r="E32" s="87">
        <v>0</v>
      </c>
      <c r="F32" s="87">
        <f t="shared" si="16"/>
        <v>0</v>
      </c>
      <c r="G32" s="87">
        <v>0</v>
      </c>
      <c r="H32" s="87">
        <f t="shared" si="0"/>
        <v>10459.948799491758</v>
      </c>
      <c r="I32" s="65">
        <f>VLOOKUP(A32,'Rate Application - REM Cycle I'!$1:$65535,15,FALSE)</f>
        <v>10658.398211444006</v>
      </c>
      <c r="J32" s="19">
        <f>VLOOKUP(A32,'Rate Application - REM Cycle I'!$1:$65535,20,FALSE)</f>
        <v>458.6754750324082</v>
      </c>
      <c r="K32" s="11">
        <f t="shared" si="1"/>
        <v>10918.624274524167</v>
      </c>
      <c r="L32" s="11">
        <f>(K32*I32)+VLOOKUP(A32,'Rate Application - ICC Cycle I'!$1:$1048576,21,FALSE)</f>
        <v>176076308.72746125</v>
      </c>
      <c r="M32" s="36">
        <f>VLOOKUP(A32,'Variable Input'!$1:$1048576,23,FALSE)</f>
        <v>0.99671861092415948</v>
      </c>
      <c r="N32" s="22">
        <f t="shared" si="2"/>
        <v>175498533.85148862</v>
      </c>
      <c r="O32" s="19">
        <f t="shared" si="3"/>
        <v>16465.751266738604</v>
      </c>
      <c r="P32" s="18">
        <f>VLOOKUP(A32,'Rate Application - REM Cycle I'!$1:$65535,11,FALSE)</f>
        <v>2754406.3071728726</v>
      </c>
      <c r="Q32" s="18">
        <f t="shared" si="4"/>
        <v>178252940.15866148</v>
      </c>
      <c r="R32" s="19">
        <f t="shared" si="5"/>
        <v>16724.17718145208</v>
      </c>
      <c r="S32" s="81">
        <f>VLOOKUP(A32,'Rate Application - REM Cycle I'!$1:$65535,9,FALSE)</f>
        <v>1.1259331913445376</v>
      </c>
      <c r="T32" s="19">
        <f t="shared" si="6"/>
        <v>200700901.77938861</v>
      </c>
      <c r="U32" s="22">
        <f t="shared" si="7"/>
        <v>18830.306186523831</v>
      </c>
      <c r="V32" s="88">
        <f>IFERROR(VLOOKUP(A33,'PAU Volume'!AX:AZ,3,FALSE)-VLOOKUP(A33,'PAU Volume'!#REF!,4,FALSE)+VLOOKUP(A33,'PAU Volume'!#REF!,2,FALSE),0)*0</f>
        <v>0</v>
      </c>
      <c r="W32" s="79">
        <f t="shared" si="8"/>
        <v>10658.398211444006</v>
      </c>
      <c r="X32" s="15">
        <f t="shared" si="9"/>
        <v>200700901.77938861</v>
      </c>
      <c r="Y32" s="11">
        <f>VLOOKUP(A32,'Rate Application - REM Cycle I'!$1:$65535,7,FALSE)</f>
        <v>245342788.39216566</v>
      </c>
      <c r="Z32" s="78">
        <f t="shared" si="10"/>
        <v>-0.18195719917155129</v>
      </c>
      <c r="AA32" s="82">
        <f>IFERROR(VLOOKUP(A32,'GBR Revenue for ICC'!#REF!,17,FALSE),0)</f>
        <v>0</v>
      </c>
      <c r="AB32" s="82">
        <f t="shared" si="11"/>
        <v>0</v>
      </c>
      <c r="AC32" s="11">
        <f t="shared" si="12"/>
        <v>245342788.39216566</v>
      </c>
      <c r="AD32" s="11">
        <f t="shared" si="13"/>
        <v>200700901.77938861</v>
      </c>
      <c r="AE32" s="10">
        <v>1</v>
      </c>
      <c r="AF32" s="343">
        <f>VLOOKUP(A32,[1]icc_by_hosp_year!$A:$IV,9,FALSE)</f>
        <v>-0.215065587485329</v>
      </c>
      <c r="AG32" s="344">
        <f t="shared" si="14"/>
        <v>-3.3108388313777715E-2</v>
      </c>
      <c r="AH32" s="343">
        <f>VLOOKUP(A32,'[2]Rate Application - ICC Cycle II'!$A:$IV,26,FALSE)</f>
        <v>-0.23519685732744644</v>
      </c>
      <c r="AI32" s="344">
        <f t="shared" si="15"/>
        <v>-5.3239658155895153E-2</v>
      </c>
    </row>
    <row r="33" spans="1:35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IF(C33=1,'Rate Application - ICC Cycle I'!$Y$65,IF(C33=3,'Rate Application - ICC Cycle I'!$Y$66,IF(C33=4,'Rate Application - ICC Cycle I'!$Y$67,IF(C33=5,'Rate Application - ICC Cycle I'!$Y$68,0))))</f>
        <v>10459.948799491758</v>
      </c>
      <c r="E33" s="87">
        <v>0</v>
      </c>
      <c r="F33" s="87">
        <f t="shared" si="16"/>
        <v>0</v>
      </c>
      <c r="G33" s="87">
        <v>0</v>
      </c>
      <c r="H33" s="87">
        <f t="shared" si="0"/>
        <v>10459.948799491758</v>
      </c>
      <c r="I33" s="65">
        <f>VLOOKUP(A33,'Rate Application - REM Cycle I'!$1:$65535,15,FALSE)</f>
        <v>10412.594138032973</v>
      </c>
      <c r="J33" s="19">
        <f>VLOOKUP(A33,'Rate Application - REM Cycle I'!$1:$65535,20,FALSE)</f>
        <v>0</v>
      </c>
      <c r="K33" s="11">
        <f t="shared" si="1"/>
        <v>10459.948799491758</v>
      </c>
      <c r="L33" s="11">
        <f>(K33*I33)+VLOOKUP(A33,'Rate Application - ICC Cycle I'!$1:$1048576,21,FALSE)</f>
        <v>132293780.49443211</v>
      </c>
      <c r="M33" s="36">
        <f>VLOOKUP(A33,'Variable Input'!$1:$1048576,23,FALSE)</f>
        <v>0.99671861092415948</v>
      </c>
      <c r="N33" s="22">
        <f t="shared" si="2"/>
        <v>131859673.12831603</v>
      </c>
      <c r="O33" s="19">
        <f t="shared" si="3"/>
        <v>12663.479569100486</v>
      </c>
      <c r="P33" s="18">
        <f>VLOOKUP(A33,'Rate Application - REM Cycle I'!$1:$65535,11,FALSE)</f>
        <v>0</v>
      </c>
      <c r="Q33" s="18">
        <f t="shared" si="4"/>
        <v>131859673.12831603</v>
      </c>
      <c r="R33" s="19">
        <f t="shared" si="5"/>
        <v>12663.479569100486</v>
      </c>
      <c r="S33" s="81">
        <f>VLOOKUP(A33,'Rate Application - REM Cycle I'!$1:$65535,9,FALSE)</f>
        <v>1.1205505604288228</v>
      </c>
      <c r="T33" s="19">
        <f t="shared" si="6"/>
        <v>147755430.62189591</v>
      </c>
      <c r="U33" s="22">
        <f t="shared" si="7"/>
        <v>14190.069128134495</v>
      </c>
      <c r="V33" s="88">
        <f>IFERROR(VLOOKUP(A34,'PAU Volume'!AX:AZ,3,FALSE)-VLOOKUP(A34,'PAU Volume'!#REF!,4,FALSE)+VLOOKUP(A34,'PAU Volume'!#REF!,2,FALSE),0)*0</f>
        <v>0</v>
      </c>
      <c r="W33" s="79">
        <f t="shared" si="8"/>
        <v>10412.594138032973</v>
      </c>
      <c r="X33" s="15">
        <f t="shared" si="9"/>
        <v>147755430.62189591</v>
      </c>
      <c r="Y33" s="11">
        <f>VLOOKUP(A33,'Rate Application - REM Cycle I'!$1:$65535,7,FALSE)</f>
        <v>167288474.26448706</v>
      </c>
      <c r="Z33" s="78">
        <f t="shared" si="10"/>
        <v>-0.11676263848105239</v>
      </c>
      <c r="AA33" s="82">
        <f>IFERROR(VLOOKUP(A33,'GBR Revenue for ICC'!#REF!,17,FALSE),0)</f>
        <v>0</v>
      </c>
      <c r="AB33" s="82">
        <f t="shared" si="11"/>
        <v>0</v>
      </c>
      <c r="AC33" s="11">
        <f t="shared" si="12"/>
        <v>167288474.26448706</v>
      </c>
      <c r="AD33" s="11">
        <f t="shared" si="13"/>
        <v>147755430.62189591</v>
      </c>
      <c r="AE33" s="10">
        <v>1</v>
      </c>
      <c r="AF33" s="343">
        <f>VLOOKUP(A33,[1]icc_by_hosp_year!$A:$IV,9,FALSE)</f>
        <v>-0.153786322384623</v>
      </c>
      <c r="AG33" s="344">
        <f t="shared" si="14"/>
        <v>-3.7023683903570609E-2</v>
      </c>
      <c r="AH33" s="343">
        <f>VLOOKUP(A33,'[2]Rate Application - ICC Cycle II'!$A:$IV,26,FALSE)</f>
        <v>-0.17369366024988919</v>
      </c>
      <c r="AI33" s="344">
        <f t="shared" si="15"/>
        <v>-5.6931021768836798E-2</v>
      </c>
    </row>
    <row r="34" spans="1:35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IF(C34=1,'Rate Application - ICC Cycle I'!$Y$65,IF(C34=3,'Rate Application - ICC Cycle I'!$Y$66,IF(C34=4,'Rate Application - ICC Cycle I'!$Y$67,IF(C34=5,'Rate Application - ICC Cycle I'!$Y$68,0))))</f>
        <v>10459.948799491758</v>
      </c>
      <c r="E34" s="87">
        <v>0</v>
      </c>
      <c r="F34" s="87">
        <f t="shared" si="16"/>
        <v>0</v>
      </c>
      <c r="G34" s="87">
        <v>0</v>
      </c>
      <c r="H34" s="87">
        <f t="shared" si="0"/>
        <v>10459.948799491758</v>
      </c>
      <c r="I34" s="65">
        <f>VLOOKUP(A34,'Rate Application - REM Cycle I'!$1:$65535,15,FALSE)</f>
        <v>15965.725843327995</v>
      </c>
      <c r="J34" s="19">
        <f>VLOOKUP(A34,'Rate Application - REM Cycle I'!$1:$65535,20,FALSE)</f>
        <v>0</v>
      </c>
      <c r="K34" s="11">
        <f t="shared" si="1"/>
        <v>10459.948799491758</v>
      </c>
      <c r="L34" s="11">
        <f>(K34*I34)+VLOOKUP(A34,'Rate Application - ICC Cycle I'!$1:$1048576,21,FALSE)</f>
        <v>224200050.85993889</v>
      </c>
      <c r="M34" s="36">
        <f>VLOOKUP(A34,'Variable Input'!$1:$1048576,23,FALSE)</f>
        <v>0.99671861092415948</v>
      </c>
      <c r="N34" s="22">
        <f t="shared" si="2"/>
        <v>223464363.26224419</v>
      </c>
      <c r="O34" s="19">
        <f t="shared" si="3"/>
        <v>13996.505104440896</v>
      </c>
      <c r="P34" s="18">
        <f>VLOOKUP(A34,'Rate Application - REM Cycle I'!$1:$65535,11,FALSE)</f>
        <v>0</v>
      </c>
      <c r="Q34" s="18">
        <f t="shared" si="4"/>
        <v>223464363.26224419</v>
      </c>
      <c r="R34" s="19">
        <f t="shared" si="5"/>
        <v>13996.505104440896</v>
      </c>
      <c r="S34" s="81">
        <f>VLOOKUP(A34,'Rate Application - REM Cycle I'!$1:$65535,9,FALSE)</f>
        <v>1.120710322524318</v>
      </c>
      <c r="T34" s="19">
        <f t="shared" si="6"/>
        <v>250438818.62432104</v>
      </c>
      <c r="U34" s="22">
        <f t="shared" si="7"/>
        <v>15686.027749811219</v>
      </c>
      <c r="V34" s="88">
        <f>IFERROR(VLOOKUP(A35,'PAU Volume'!AX:AZ,3,FALSE)-VLOOKUP(A35,'PAU Volume'!#REF!,4,FALSE)+VLOOKUP(A35,'PAU Volume'!#REF!,2,FALSE),0)*0</f>
        <v>0</v>
      </c>
      <c r="W34" s="79">
        <f t="shared" si="8"/>
        <v>15965.725843327995</v>
      </c>
      <c r="X34" s="15">
        <f t="shared" si="9"/>
        <v>250438818.62432104</v>
      </c>
      <c r="Y34" s="11">
        <f>VLOOKUP(A34,'Rate Application - REM Cycle I'!$1:$65535,7,FALSE)</f>
        <v>293088731.67995536</v>
      </c>
      <c r="Z34" s="78">
        <f t="shared" si="10"/>
        <v>-0.14551877450616835</v>
      </c>
      <c r="AA34" s="82">
        <f>IFERROR(VLOOKUP(A34,'GBR Revenue for ICC'!#REF!,17,FALSE),0)</f>
        <v>0</v>
      </c>
      <c r="AB34" s="82">
        <f t="shared" si="11"/>
        <v>0</v>
      </c>
      <c r="AC34" s="11">
        <f t="shared" si="12"/>
        <v>293088731.67995536</v>
      </c>
      <c r="AD34" s="11">
        <f t="shared" si="13"/>
        <v>250438818.62432104</v>
      </c>
      <c r="AE34" s="10">
        <v>1</v>
      </c>
      <c r="AF34" s="343">
        <f>VLOOKUP(A34,[1]icc_by_hosp_year!$A:$IV,9,FALSE)</f>
        <v>-0.13841941233885799</v>
      </c>
      <c r="AG34" s="344">
        <f t="shared" si="14"/>
        <v>7.099362167310358E-3</v>
      </c>
      <c r="AH34" s="343">
        <f>VLOOKUP(A34,'[2]Rate Application - ICC Cycle II'!$A:$IV,26,FALSE)</f>
        <v>-0.21719706159826779</v>
      </c>
      <c r="AI34" s="344">
        <f t="shared" si="15"/>
        <v>-7.1678287092099446E-2</v>
      </c>
    </row>
    <row r="35" spans="1:35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IF(C35=1,'Rate Application - ICC Cycle I'!$Y$65,IF(C35=3,'Rate Application - ICC Cycle I'!$Y$66,IF(C35=4,'Rate Application - ICC Cycle I'!$Y$67,IF(C35=5,'Rate Application - ICC Cycle I'!$Y$68,0))))</f>
        <v>10459.948799491758</v>
      </c>
      <c r="E35" s="87">
        <v>0</v>
      </c>
      <c r="F35" s="87">
        <f t="shared" si="16"/>
        <v>0</v>
      </c>
      <c r="G35" s="87">
        <v>0</v>
      </c>
      <c r="H35" s="87">
        <f t="shared" si="0"/>
        <v>10459.948799491758</v>
      </c>
      <c r="I35" s="65">
        <f>VLOOKUP(A35,'Rate Application - REM Cycle I'!$1:$65535,15,FALSE)</f>
        <v>30943.516611114035</v>
      </c>
      <c r="J35" s="19">
        <f>VLOOKUP(A35,'Rate Application - REM Cycle I'!$1:$65535,20,FALSE)</f>
        <v>21.316398664597084</v>
      </c>
      <c r="K35" s="11">
        <f t="shared" si="1"/>
        <v>10481.265198156356</v>
      </c>
      <c r="L35" s="11">
        <f>(K35*I35)+VLOOKUP(A35,'Rate Application - ICC Cycle I'!$1:$1048576,21,FALSE)</f>
        <v>411280859.06326109</v>
      </c>
      <c r="M35" s="36">
        <f>VLOOKUP(A35,'Variable Input'!$1:$1048576,23,FALSE)</f>
        <v>0.99671861092415948</v>
      </c>
      <c r="N35" s="22">
        <f t="shared" si="2"/>
        <v>409931286.5452286</v>
      </c>
      <c r="O35" s="19">
        <f t="shared" si="3"/>
        <v>13247.727842219228</v>
      </c>
      <c r="P35" s="18">
        <f>VLOOKUP(A35,'Rate Application - REM Cycle I'!$1:$65535,11,FALSE)</f>
        <v>751420.3248961916</v>
      </c>
      <c r="Q35" s="18">
        <f t="shared" si="4"/>
        <v>410682706.87012482</v>
      </c>
      <c r="R35" s="19">
        <f t="shared" si="5"/>
        <v>13272.011453365943</v>
      </c>
      <c r="S35" s="81">
        <f>VLOOKUP(A35,'Rate Application - REM Cycle I'!$1:$65535,9,FALSE)</f>
        <v>1.1174861425645124</v>
      </c>
      <c r="T35" s="19">
        <f t="shared" si="6"/>
        <v>458932233.91824818</v>
      </c>
      <c r="U35" s="22">
        <f t="shared" si="7"/>
        <v>14831.288883093937</v>
      </c>
      <c r="V35" s="88">
        <f>IFERROR(VLOOKUP(A36,'PAU Volume'!AX:AZ,3,FALSE)-VLOOKUP(A36,'PAU Volume'!#REF!,4,FALSE)+VLOOKUP(A36,'PAU Volume'!#REF!,2,FALSE),0)*0</f>
        <v>0</v>
      </c>
      <c r="W35" s="79">
        <f t="shared" si="8"/>
        <v>30943.516611114035</v>
      </c>
      <c r="X35" s="15">
        <f t="shared" si="9"/>
        <v>458932233.91824818</v>
      </c>
      <c r="Y35" s="11">
        <f>VLOOKUP(A35,'Rate Application - REM Cycle I'!$1:$65535,7,FALSE)</f>
        <v>494588494.72270107</v>
      </c>
      <c r="Z35" s="78">
        <f t="shared" si="10"/>
        <v>-7.2092782555413404E-2</v>
      </c>
      <c r="AA35" s="82">
        <f>IFERROR(VLOOKUP(A35,'GBR Revenue for ICC'!#REF!,17,FALSE),0)</f>
        <v>0</v>
      </c>
      <c r="AB35" s="82">
        <f t="shared" si="11"/>
        <v>0</v>
      </c>
      <c r="AC35" s="11">
        <f t="shared" si="12"/>
        <v>494588494.72270107</v>
      </c>
      <c r="AD35" s="11">
        <f t="shared" si="13"/>
        <v>458932233.91824818</v>
      </c>
      <c r="AE35" s="10">
        <v>1</v>
      </c>
      <c r="AF35" s="343">
        <f>VLOOKUP(A35,[1]icc_by_hosp_year!$A:$IV,9,FALSE)</f>
        <v>-3.4451788785008902E-2</v>
      </c>
      <c r="AG35" s="344">
        <f t="shared" si="14"/>
        <v>3.7640993770404502E-2</v>
      </c>
      <c r="AH35" s="343">
        <f>VLOOKUP(A35,'[2]Rate Application - ICC Cycle II'!$A:$IV,26,FALSE)</f>
        <v>-5.8343570822353197E-2</v>
      </c>
      <c r="AI35" s="344">
        <f t="shared" si="15"/>
        <v>1.3749211733060207E-2</v>
      </c>
    </row>
    <row r="36" spans="1:35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IF(C36=1,'Rate Application - ICC Cycle I'!$Y$65,IF(C36=3,'Rate Application - ICC Cycle I'!$Y$66,IF(C36=4,'Rate Application - ICC Cycle I'!$Y$67,IF(C36=5,'Rate Application - ICC Cycle I'!$Y$68,0))))</f>
        <v>10459.948799491758</v>
      </c>
      <c r="E36" s="87">
        <v>0</v>
      </c>
      <c r="F36" s="87">
        <f t="shared" si="16"/>
        <v>0</v>
      </c>
      <c r="G36" s="87">
        <v>0</v>
      </c>
      <c r="H36" s="87">
        <f t="shared" si="0"/>
        <v>10459.948799491758</v>
      </c>
      <c r="I36" s="65">
        <f>VLOOKUP(A36,'Rate Application - REM Cycle I'!$1:$65535,15,FALSE)</f>
        <v>30637.922123716067</v>
      </c>
      <c r="J36" s="19">
        <f>VLOOKUP(A36,'Rate Application - REM Cycle I'!$1:$65535,20,FALSE)</f>
        <v>249.73659338390533</v>
      </c>
      <c r="K36" s="11">
        <f t="shared" si="1"/>
        <v>10709.685392875663</v>
      </c>
      <c r="L36" s="11">
        <f>(K36*I36)+VLOOKUP(A36,'Rate Application - ICC Cycle I'!$1:$1048576,21,FALSE)</f>
        <v>389817744.67240113</v>
      </c>
      <c r="M36" s="36">
        <f>VLOOKUP(A36,'Variable Input'!$1:$1048576,23,FALSE)</f>
        <v>0.99671861092415948</v>
      </c>
      <c r="N36" s="22">
        <f t="shared" si="2"/>
        <v>388538600.9834643</v>
      </c>
      <c r="O36" s="19">
        <f t="shared" si="3"/>
        <v>12681.623754200551</v>
      </c>
      <c r="P36" s="18">
        <f>VLOOKUP(A36,'Rate Application - REM Cycle I'!$1:$65535,11,FALSE)</f>
        <v>7270460.1939369692</v>
      </c>
      <c r="Q36" s="18">
        <f t="shared" si="4"/>
        <v>395809061.17740124</v>
      </c>
      <c r="R36" s="19">
        <f t="shared" si="5"/>
        <v>12918.926406925459</v>
      </c>
      <c r="S36" s="81">
        <f>VLOOKUP(A36,'Rate Application - REM Cycle I'!$1:$65535,9,FALSE)</f>
        <v>1.1074866213835981</v>
      </c>
      <c r="T36" s="19">
        <f t="shared" si="6"/>
        <v>438353239.87637401</v>
      </c>
      <c r="U36" s="22">
        <f t="shared" si="7"/>
        <v>14307.538158309224</v>
      </c>
      <c r="V36" s="88">
        <f>IFERROR(VLOOKUP(A37,'PAU Volume'!AX:AZ,3,FALSE)-VLOOKUP(A37,'PAU Volume'!#REF!,4,FALSE)+VLOOKUP(A37,'PAU Volume'!#REF!,2,FALSE),0)*0</f>
        <v>0</v>
      </c>
      <c r="W36" s="79">
        <f t="shared" si="8"/>
        <v>30637.922123716067</v>
      </c>
      <c r="X36" s="15">
        <f t="shared" si="9"/>
        <v>438353239.87637401</v>
      </c>
      <c r="Y36" s="11">
        <f>VLOOKUP(A36,'Rate Application - REM Cycle I'!$1:$65535,7,FALSE)</f>
        <v>487480078.48555809</v>
      </c>
      <c r="Z36" s="78">
        <f t="shared" si="10"/>
        <v>-0.10077712049650356</v>
      </c>
      <c r="AA36" s="82">
        <f>IFERROR(VLOOKUP(A36,'GBR Revenue for ICC'!#REF!,17,FALSE),0)</f>
        <v>0</v>
      </c>
      <c r="AB36" s="82">
        <f t="shared" si="11"/>
        <v>0</v>
      </c>
      <c r="AC36" s="11">
        <f t="shared" si="12"/>
        <v>487480078.48555809</v>
      </c>
      <c r="AD36" s="11">
        <f t="shared" si="13"/>
        <v>438353239.87637401</v>
      </c>
      <c r="AE36" s="10">
        <v>1</v>
      </c>
      <c r="AF36" s="343">
        <f>VLOOKUP(A36,[1]icc_by_hosp_year!$A:$IV,9,FALSE)</f>
        <v>-8.3242845063463203E-2</v>
      </c>
      <c r="AG36" s="344">
        <f t="shared" si="14"/>
        <v>1.7534275433040356E-2</v>
      </c>
      <c r="AH36" s="343">
        <f>VLOOKUP(A36,'[2]Rate Application - ICC Cycle II'!$A:$IV,26,FALSE)</f>
        <v>-4.2909195405071987E-2</v>
      </c>
      <c r="AI36" s="344">
        <f t="shared" si="15"/>
        <v>5.7867925091431571E-2</v>
      </c>
    </row>
    <row r="37" spans="1:35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IF(C37=1,'Rate Application - ICC Cycle I'!$Y$65,IF(C37=3,'Rate Application - ICC Cycle I'!$Y$66,IF(C37=4,'Rate Application - ICC Cycle I'!$Y$67,IF(C37=5,'Rate Application - ICC Cycle I'!$Y$68,0))))</f>
        <v>0</v>
      </c>
      <c r="E37" s="87">
        <v>0</v>
      </c>
      <c r="F37" s="87">
        <f t="shared" si="16"/>
        <v>0</v>
      </c>
      <c r="G37" s="87">
        <v>0</v>
      </c>
      <c r="H37" s="87">
        <f t="shared" si="0"/>
        <v>0</v>
      </c>
      <c r="I37" s="65">
        <f>VLOOKUP(A37,'Rate Application - REM Cycle I'!$1:$65535,15,FALSE)</f>
        <v>566.52872944799947</v>
      </c>
      <c r="J37" s="19">
        <f>VLOOKUP(A37,'Rate Application - REM Cycle I'!$1:$65535,20,FALSE)</f>
        <v>0</v>
      </c>
      <c r="K37" s="11">
        <f t="shared" si="1"/>
        <v>0</v>
      </c>
      <c r="L37" s="11">
        <f>(K37*I37)+VLOOKUP(A37,'Rate Application - ICC Cycle I'!$1:$1048576,21,FALSE)</f>
        <v>2670061.7726552766</v>
      </c>
      <c r="M37" s="36">
        <f>VLOOKUP(A37,'Variable Input'!$1:$1048576,23,FALSE)</f>
        <v>0.99671861092415948</v>
      </c>
      <c r="N37" s="22">
        <f t="shared" si="2"/>
        <v>2661300.2611226663</v>
      </c>
      <c r="O37" s="19">
        <f t="shared" si="3"/>
        <v>4697.5556980415085</v>
      </c>
      <c r="P37" s="18">
        <f>VLOOKUP(A37,'Rate Application - REM Cycle I'!$1:$65535,11,FALSE)</f>
        <v>0</v>
      </c>
      <c r="Q37" s="18">
        <f t="shared" si="4"/>
        <v>2661300.2611226663</v>
      </c>
      <c r="R37" s="19">
        <f t="shared" si="5"/>
        <v>4697.5556980415085</v>
      </c>
      <c r="S37" s="81">
        <f>VLOOKUP(A37,'Rate Application - REM Cycle I'!$1:$65535,9,FALSE)</f>
        <v>1.1235285459397526</v>
      </c>
      <c r="T37" s="19">
        <f t="shared" si="6"/>
        <v>2990046.8126882333</v>
      </c>
      <c r="U37" s="22">
        <f t="shared" si="7"/>
        <v>5277.8379228915765</v>
      </c>
      <c r="V37" s="88">
        <f>IFERROR(VLOOKUP(A38,'PAU Volume'!AX:AZ,3,FALSE)-VLOOKUP(A38,'PAU Volume'!#REF!,4,FALSE)+VLOOKUP(A38,'PAU Volume'!#REF!,2,FALSE),0)*0</f>
        <v>0</v>
      </c>
      <c r="W37" s="79">
        <f t="shared" si="8"/>
        <v>566.52872944799947</v>
      </c>
      <c r="X37" s="15">
        <f t="shared" si="9"/>
        <v>2990046.8126882333</v>
      </c>
      <c r="Y37" s="11">
        <f>VLOOKUP(A37,'Rate Application - REM Cycle I'!$1:$65535,7,FALSE)</f>
        <v>6750663.1586297443</v>
      </c>
      <c r="Z37" s="78">
        <f t="shared" si="10"/>
        <v>-0.55707361744662198</v>
      </c>
      <c r="AA37" s="82">
        <f>IFERROR(VLOOKUP(A37,'GBR Revenue for ICC'!#REF!,17,FALSE),0)</f>
        <v>0</v>
      </c>
      <c r="AB37" s="82">
        <f t="shared" si="11"/>
        <v>0</v>
      </c>
      <c r="AC37" s="11">
        <f t="shared" si="12"/>
        <v>6750663.1586297443</v>
      </c>
      <c r="AD37" s="11">
        <f t="shared" si="13"/>
        <v>2990046.8126882333</v>
      </c>
      <c r="AE37" s="10">
        <v>1</v>
      </c>
      <c r="AF37" s="343" t="e">
        <f>VLOOKUP(A37,[1]icc_by_hosp_year!$A:$IV,9,FALSE)</f>
        <v>#N/A</v>
      </c>
      <c r="AG37" s="344" t="e">
        <f t="shared" si="14"/>
        <v>#N/A</v>
      </c>
      <c r="AH37" s="343">
        <f>VLOOKUP(A37,'[2]Rate Application - ICC Cycle II'!$A:$IV,26,FALSE)</f>
        <v>-1</v>
      </c>
      <c r="AI37" s="344">
        <f t="shared" si="15"/>
        <v>-0.44292638255337802</v>
      </c>
    </row>
    <row r="38" spans="1:35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IF(C38=1,'Rate Application - ICC Cycle I'!$Y$65,IF(C38=3,'Rate Application - ICC Cycle I'!$Y$66,IF(C38=4,'Rate Application - ICC Cycle I'!$Y$67,IF(C38=5,'Rate Application - ICC Cycle I'!$Y$68,0))))</f>
        <v>10459.948799491758</v>
      </c>
      <c r="E38" s="87">
        <v>0</v>
      </c>
      <c r="F38" s="87">
        <f t="shared" si="16"/>
        <v>0</v>
      </c>
      <c r="G38" s="87">
        <v>0</v>
      </c>
      <c r="H38" s="87">
        <f t="shared" si="0"/>
        <v>10459.948799491758</v>
      </c>
      <c r="I38" s="65">
        <f>VLOOKUP(A38,'Rate Application - REM Cycle I'!$1:$65535,15,FALSE)</f>
        <v>24559.146065829038</v>
      </c>
      <c r="J38" s="19">
        <f>VLOOKUP(A38,'Rate Application - REM Cycle I'!$1:$65535,20,FALSE)</f>
        <v>0</v>
      </c>
      <c r="K38" s="11">
        <f t="shared" si="1"/>
        <v>10459.948799491758</v>
      </c>
      <c r="L38" s="11">
        <f>(K38*I38)+VLOOKUP(A38,'Rate Application - ICC Cycle I'!$1:$1048576,21,FALSE)</f>
        <v>310953140.55856681</v>
      </c>
      <c r="M38" s="36">
        <f>VLOOKUP(A38,'Variable Input'!$1:$1048576,23,FALSE)</f>
        <v>0.99671861092415948</v>
      </c>
      <c r="N38" s="22">
        <f t="shared" si="2"/>
        <v>309932782.32003963</v>
      </c>
      <c r="O38" s="19">
        <f t="shared" si="3"/>
        <v>12619.851744408659</v>
      </c>
      <c r="P38" s="18">
        <f>VLOOKUP(A38,'Rate Application - REM Cycle I'!$1:$65535,11,FALSE)</f>
        <v>0</v>
      </c>
      <c r="Q38" s="18">
        <f t="shared" si="4"/>
        <v>309932782.32003963</v>
      </c>
      <c r="R38" s="19">
        <f t="shared" si="5"/>
        <v>12619.851744408659</v>
      </c>
      <c r="S38" s="81">
        <f>VLOOKUP(A38,'Rate Application - REM Cycle I'!$1:$65535,9,FALSE)</f>
        <v>1.1035189993630976</v>
      </c>
      <c r="T38" s="19">
        <f t="shared" si="6"/>
        <v>342016713.81563085</v>
      </c>
      <c r="U38" s="22">
        <f t="shared" si="7"/>
        <v>13926.246169100483</v>
      </c>
      <c r="V38" s="88">
        <f>IFERROR(VLOOKUP(A39,'PAU Volume'!AX:AZ,3,FALSE)-VLOOKUP(A39,'PAU Volume'!#REF!,4,FALSE)+VLOOKUP(A39,'PAU Volume'!#REF!,2,FALSE),0)*0</f>
        <v>0</v>
      </c>
      <c r="W38" s="79">
        <f t="shared" si="8"/>
        <v>24559.146065829038</v>
      </c>
      <c r="X38" s="15">
        <f t="shared" si="9"/>
        <v>342016713.81563085</v>
      </c>
      <c r="Y38" s="11">
        <f>VLOOKUP(A38,'Rate Application - REM Cycle I'!$1:$65535,7,FALSE)</f>
        <v>347364244.13401937</v>
      </c>
      <c r="Z38" s="78">
        <f t="shared" si="10"/>
        <v>-1.539459057370729E-2</v>
      </c>
      <c r="AA38" s="82">
        <f>IFERROR(VLOOKUP(A38,'GBR Revenue for ICC'!#REF!,17,FALSE),0)</f>
        <v>0</v>
      </c>
      <c r="AB38" s="82">
        <f t="shared" si="11"/>
        <v>0</v>
      </c>
      <c r="AC38" s="11">
        <f t="shared" si="12"/>
        <v>347364244.13401937</v>
      </c>
      <c r="AD38" s="11">
        <f t="shared" si="13"/>
        <v>342016713.81563085</v>
      </c>
      <c r="AE38" s="10">
        <v>1</v>
      </c>
      <c r="AF38" s="343">
        <f>VLOOKUP(A38,[1]icc_by_hosp_year!$A:$IV,9,FALSE)</f>
        <v>-6.9996293275344E-3</v>
      </c>
      <c r="AG38" s="344">
        <f t="shared" si="14"/>
        <v>8.3949612461728905E-3</v>
      </c>
      <c r="AH38" s="343">
        <f>VLOOKUP(A38,'[2]Rate Application - ICC Cycle II'!$A:$IV,26,FALSE)</f>
        <v>-2.3066663382345309E-2</v>
      </c>
      <c r="AI38" s="344">
        <f t="shared" si="15"/>
        <v>-7.6720728086380197E-3</v>
      </c>
    </row>
    <row r="39" spans="1:35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IF(C39=1,'Rate Application - ICC Cycle I'!$Y$65,IF(C39=3,'Rate Application - ICC Cycle I'!$Y$66,IF(C39=4,'Rate Application - ICC Cycle I'!$Y$67,IF(C39=5,'Rate Application - ICC Cycle I'!$Y$68,0))))</f>
        <v>10459.948799491758</v>
      </c>
      <c r="E39" s="87">
        <v>0</v>
      </c>
      <c r="F39" s="87">
        <f t="shared" si="16"/>
        <v>0</v>
      </c>
      <c r="G39" s="87">
        <v>0</v>
      </c>
      <c r="H39" s="87">
        <f t="shared" si="0"/>
        <v>10459.948799491758</v>
      </c>
      <c r="I39" s="65">
        <f>VLOOKUP(A39,'Rate Application - REM Cycle I'!$1:$65535,15,FALSE)</f>
        <v>24233.031990069048</v>
      </c>
      <c r="J39" s="19">
        <f>VLOOKUP(A39,'Rate Application - REM Cycle I'!$1:$65535,20,FALSE)</f>
        <v>0</v>
      </c>
      <c r="K39" s="11">
        <f t="shared" si="1"/>
        <v>10459.948799491758</v>
      </c>
      <c r="L39" s="11">
        <f>(K39*I39)+VLOOKUP(A39,'Rate Application - ICC Cycle I'!$1:$1048576,21,FALSE)</f>
        <v>305068787.00752306</v>
      </c>
      <c r="M39" s="36">
        <f>VLOOKUP(A39,'Variable Input'!$1:$1048576,23,FALSE)</f>
        <v>0.99671861092415948</v>
      </c>
      <c r="N39" s="22">
        <f t="shared" si="2"/>
        <v>304067737.62245667</v>
      </c>
      <c r="O39" s="19">
        <f t="shared" si="3"/>
        <v>12547.655520244714</v>
      </c>
      <c r="P39" s="18">
        <f>VLOOKUP(A39,'Rate Application - REM Cycle I'!$1:$65535,11,FALSE)</f>
        <v>0</v>
      </c>
      <c r="Q39" s="18">
        <f t="shared" si="4"/>
        <v>304067737.62245667</v>
      </c>
      <c r="R39" s="19">
        <f t="shared" si="5"/>
        <v>12547.655520244714</v>
      </c>
      <c r="S39" s="81">
        <f>VLOOKUP(A39,'Rate Application - REM Cycle I'!$1:$65535,9,FALSE)</f>
        <v>1.1147926720978587</v>
      </c>
      <c r="T39" s="19">
        <f t="shared" si="6"/>
        <v>338972485.72288907</v>
      </c>
      <c r="U39" s="22">
        <f t="shared" si="7"/>
        <v>13988.034425977054</v>
      </c>
      <c r="V39" s="88">
        <f>IFERROR(VLOOKUP(A40,'PAU Volume'!AX:AZ,3,FALSE)-VLOOKUP(A40,'PAU Volume'!#REF!,4,FALSE)+VLOOKUP(A40,'PAU Volume'!#REF!,2,FALSE),0)*0</f>
        <v>0</v>
      </c>
      <c r="W39" s="79">
        <f t="shared" si="8"/>
        <v>24233.031990069048</v>
      </c>
      <c r="X39" s="15">
        <f t="shared" si="9"/>
        <v>338972485.72288907</v>
      </c>
      <c r="Y39" s="11">
        <f>VLOOKUP(A39,'Rate Application - REM Cycle I'!$1:$65535,7,FALSE)</f>
        <v>360755199.70698422</v>
      </c>
      <c r="Z39" s="78">
        <f t="shared" si="10"/>
        <v>-6.0380873239769484E-2</v>
      </c>
      <c r="AA39" s="82">
        <f>IFERROR(VLOOKUP(A39,'GBR Revenue for ICC'!#REF!,17,FALSE),0)</f>
        <v>0</v>
      </c>
      <c r="AB39" s="82">
        <f t="shared" si="11"/>
        <v>0</v>
      </c>
      <c r="AC39" s="11">
        <f t="shared" si="12"/>
        <v>360755199.70698422</v>
      </c>
      <c r="AD39" s="11">
        <f t="shared" si="13"/>
        <v>338972485.72288907</v>
      </c>
      <c r="AE39" s="10">
        <v>1</v>
      </c>
      <c r="AF39" s="343">
        <f>VLOOKUP(A39,[1]icc_by_hosp_year!$A:$IV,9,FALSE)</f>
        <v>-8.5336044313662901E-2</v>
      </c>
      <c r="AG39" s="344">
        <f t="shared" si="14"/>
        <v>-2.4955171073893417E-2</v>
      </c>
      <c r="AH39" s="343">
        <f>VLOOKUP(A39,'[2]Rate Application - ICC Cycle II'!$A:$IV,26,FALSE)</f>
        <v>-7.7372193558096214E-2</v>
      </c>
      <c r="AI39" s="344">
        <f t="shared" si="15"/>
        <v>-1.699132031832673E-2</v>
      </c>
    </row>
    <row r="40" spans="1:35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IF(C40=1,'Rate Application - ICC Cycle I'!$Y$65,IF(C40=3,'Rate Application - ICC Cycle I'!$Y$66,IF(C40=4,'Rate Application - ICC Cycle I'!$Y$67,IF(C40=5,'Rate Application - ICC Cycle I'!$Y$68,0))))</f>
        <v>10459.948799491758</v>
      </c>
      <c r="E40" s="87">
        <v>0</v>
      </c>
      <c r="F40" s="87">
        <f t="shared" si="16"/>
        <v>0</v>
      </c>
      <c r="G40" s="87">
        <v>0</v>
      </c>
      <c r="H40" s="87">
        <f t="shared" si="0"/>
        <v>10459.948799491758</v>
      </c>
      <c r="I40" s="65">
        <f>VLOOKUP(A40,'Rate Application - REM Cycle I'!$1:$65535,15,FALSE)</f>
        <v>15907.038226505023</v>
      </c>
      <c r="J40" s="19">
        <f>VLOOKUP(A40,'Rate Application - REM Cycle I'!$1:$65535,20,FALSE)</f>
        <v>0</v>
      </c>
      <c r="K40" s="11">
        <f t="shared" si="1"/>
        <v>10459.948799491758</v>
      </c>
      <c r="L40" s="11">
        <f>(K40*I40)+VLOOKUP(A40,'Rate Application - ICC Cycle I'!$1:$1048576,21,FALSE)</f>
        <v>220953571.25096759</v>
      </c>
      <c r="M40" s="36">
        <f>VLOOKUP(A40,'Variable Input'!$1:$1048576,23,FALSE)</f>
        <v>1.0181752931904677</v>
      </c>
      <c r="N40" s="22">
        <f t="shared" si="2"/>
        <v>224969467.18993482</v>
      </c>
      <c r="O40" s="19">
        <f t="shared" si="3"/>
        <v>14142.762718397229</v>
      </c>
      <c r="P40" s="18">
        <f>VLOOKUP(A40,'Rate Application - REM Cycle I'!$1:$65535,11,FALSE)</f>
        <v>0</v>
      </c>
      <c r="Q40" s="18">
        <f t="shared" si="4"/>
        <v>224969467.18993482</v>
      </c>
      <c r="R40" s="19">
        <f t="shared" si="5"/>
        <v>14142.762718397229</v>
      </c>
      <c r="S40" s="81">
        <f>VLOOKUP(A40,'Rate Application - REM Cycle I'!$1:$65535,9,FALSE)</f>
        <v>1.1175427593245362</v>
      </c>
      <c r="T40" s="19">
        <f t="shared" si="6"/>
        <v>251412999.12721047</v>
      </c>
      <c r="U40" s="22">
        <f t="shared" si="7"/>
        <v>15805.142072789818</v>
      </c>
      <c r="V40" s="88">
        <f>IFERROR(VLOOKUP(A41,'PAU Volume'!AX:AZ,3,FALSE)-VLOOKUP(A41,'PAU Volume'!#REF!,4,FALSE)+VLOOKUP(A41,'PAU Volume'!#REF!,2,FALSE),0)*0</f>
        <v>0</v>
      </c>
      <c r="W40" s="79">
        <f t="shared" si="8"/>
        <v>15907.038226505023</v>
      </c>
      <c r="X40" s="15">
        <f t="shared" si="9"/>
        <v>251412999.12721047</v>
      </c>
      <c r="Y40" s="11">
        <f>VLOOKUP(A40,'Rate Application - REM Cycle I'!$1:$65535,7,FALSE)</f>
        <v>285985121.35552841</v>
      </c>
      <c r="Z40" s="78">
        <f t="shared" si="10"/>
        <v>-0.12088783522880864</v>
      </c>
      <c r="AA40" s="82">
        <f>IFERROR(VLOOKUP(A40,'GBR Revenue for ICC'!#REF!,17,FALSE),0)</f>
        <v>0</v>
      </c>
      <c r="AB40" s="82">
        <f t="shared" si="11"/>
        <v>0</v>
      </c>
      <c r="AC40" s="11">
        <f t="shared" si="12"/>
        <v>285985121.35552841</v>
      </c>
      <c r="AD40" s="11">
        <f t="shared" si="13"/>
        <v>251412999.12721047</v>
      </c>
      <c r="AE40" s="10">
        <v>1</v>
      </c>
      <c r="AF40" s="343">
        <f>VLOOKUP(A40,[1]icc_by_hosp_year!$A:$IV,9,FALSE)</f>
        <v>-6.5155656185196906E-2</v>
      </c>
      <c r="AG40" s="344">
        <f t="shared" si="14"/>
        <v>5.5732179043611732E-2</v>
      </c>
      <c r="AH40" s="343">
        <f>VLOOKUP(A40,'[2]Rate Application - ICC Cycle II'!$A:$IV,26,FALSE)</f>
        <v>-0.12119964076464884</v>
      </c>
      <c r="AI40" s="344">
        <f t="shared" si="15"/>
        <v>-3.1180553584020387E-4</v>
      </c>
    </row>
    <row r="41" spans="1:35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IF(C41=1,'Rate Application - ICC Cycle I'!$Y$65,IF(C41=3,'Rate Application - ICC Cycle I'!$Y$66,IF(C41=4,'Rate Application - ICC Cycle I'!$Y$67,IF(C41=5,'Rate Application - ICC Cycle I'!$Y$68,0))))</f>
        <v>0</v>
      </c>
      <c r="E41" s="87">
        <v>0</v>
      </c>
      <c r="F41" s="87">
        <f t="shared" si="16"/>
        <v>0</v>
      </c>
      <c r="G41" s="87">
        <v>0</v>
      </c>
      <c r="H41" s="87">
        <f t="shared" si="0"/>
        <v>0</v>
      </c>
      <c r="I41" s="65">
        <f>VLOOKUP(A41,'Rate Application - REM Cycle I'!$1:$65535,15,FALSE)</f>
        <v>1984.4844588999965</v>
      </c>
      <c r="J41" s="19">
        <f>VLOOKUP(A41,'Rate Application - REM Cycle I'!$1:$65535,20,FALSE)</f>
        <v>0</v>
      </c>
      <c r="K41" s="11">
        <f t="shared" si="1"/>
        <v>0</v>
      </c>
      <c r="L41" s="11">
        <f>(K41*I41)+VLOOKUP(A41,'Rate Application - ICC Cycle I'!$1:$1048576,21,FALSE)</f>
        <v>7270029.2575966893</v>
      </c>
      <c r="M41" s="36">
        <f>VLOOKUP(A41,'Variable Input'!$1:$1048576,23,FALSE)</f>
        <v>1.0181752931904677</v>
      </c>
      <c r="N41" s="22">
        <f t="shared" si="2"/>
        <v>7402164.1708567878</v>
      </c>
      <c r="O41" s="19">
        <f t="shared" si="3"/>
        <v>3730.0187147647512</v>
      </c>
      <c r="P41" s="18">
        <f>VLOOKUP(A41,'Rate Application - REM Cycle I'!$1:$65535,11,FALSE)</f>
        <v>141502.60406345228</v>
      </c>
      <c r="Q41" s="18">
        <f t="shared" si="4"/>
        <v>7543666.77492024</v>
      </c>
      <c r="R41" s="19">
        <f t="shared" si="5"/>
        <v>3801.3231804806919</v>
      </c>
      <c r="S41" s="81">
        <f>VLOOKUP(A41,'Rate Application - REM Cycle I'!$1:$65535,9,FALSE)</f>
        <v>1.2317684965243516</v>
      </c>
      <c r="T41" s="19">
        <f t="shared" si="6"/>
        <v>9292051.081624208</v>
      </c>
      <c r="U41" s="22">
        <f t="shared" si="7"/>
        <v>4682.3501388238683</v>
      </c>
      <c r="V41" s="88">
        <f>IFERROR(VLOOKUP(A42,'PAU Volume'!AX:AZ,3,FALSE)-VLOOKUP(A42,'PAU Volume'!#REF!,4,FALSE)+VLOOKUP(A42,'PAU Volume'!#REF!,2,FALSE),0)*0</f>
        <v>0</v>
      </c>
      <c r="W41" s="79">
        <f t="shared" si="8"/>
        <v>1984.4844588999965</v>
      </c>
      <c r="X41" s="15">
        <f t="shared" si="9"/>
        <v>9292051.081624208</v>
      </c>
      <c r="Y41" s="11">
        <f>VLOOKUP(A41,'Rate Application - REM Cycle I'!$1:$65535,7,FALSE)</f>
        <v>40225326.036725186</v>
      </c>
      <c r="Z41" s="78">
        <f t="shared" si="10"/>
        <v>-0.76899998092891308</v>
      </c>
      <c r="AA41" s="82">
        <f>IFERROR(VLOOKUP(A41,'GBR Revenue for ICC'!#REF!,17,FALSE),0)</f>
        <v>0</v>
      </c>
      <c r="AB41" s="82">
        <f t="shared" si="11"/>
        <v>0</v>
      </c>
      <c r="AC41" s="11">
        <f t="shared" si="12"/>
        <v>40225326.036725186</v>
      </c>
      <c r="AD41" s="11">
        <f t="shared" si="13"/>
        <v>9292051.081624208</v>
      </c>
      <c r="AE41" s="10">
        <v>1</v>
      </c>
      <c r="AF41" s="343" t="e">
        <f>VLOOKUP(A41,[1]icc_by_hosp_year!$A:$IV,9,FALSE)</f>
        <v>#N/A</v>
      </c>
      <c r="AG41" s="344" t="e">
        <f t="shared" si="14"/>
        <v>#N/A</v>
      </c>
      <c r="AH41" s="343">
        <f>VLOOKUP(A41,'[2]Rate Application - ICC Cycle II'!$A:$IV,26,FALSE)</f>
        <v>-0.99998262604025034</v>
      </c>
      <c r="AI41" s="344">
        <f t="shared" si="15"/>
        <v>-0.23098264511133726</v>
      </c>
    </row>
    <row r="42" spans="1:35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IF(C42=1,'Rate Application - ICC Cycle I'!$Y$65,IF(C42=3,'Rate Application - ICC Cycle I'!$Y$66,IF(C42=4,'Rate Application - ICC Cycle I'!$Y$67,IF(C42=5,'Rate Application - ICC Cycle I'!$Y$68,0))))</f>
        <v>10459.948799491758</v>
      </c>
      <c r="E42" s="87">
        <v>0</v>
      </c>
      <c r="F42" s="87">
        <f t="shared" si="16"/>
        <v>0</v>
      </c>
      <c r="G42" s="87">
        <v>0</v>
      </c>
      <c r="H42" s="87">
        <f t="shared" si="0"/>
        <v>10459.948799491758</v>
      </c>
      <c r="I42" s="65">
        <f>VLOOKUP(A42,'Rate Application - REM Cycle I'!$1:$65535,15,FALSE)</f>
        <v>16881.552106553001</v>
      </c>
      <c r="J42" s="19">
        <f>VLOOKUP(A42,'Rate Application - REM Cycle I'!$1:$65535,20,FALSE)</f>
        <v>118.19803973248145</v>
      </c>
      <c r="K42" s="11">
        <f t="shared" si="1"/>
        <v>10578.146839224239</v>
      </c>
      <c r="L42" s="11">
        <f>(K42*I42)+VLOOKUP(A42,'Rate Application - ICC Cycle I'!$1:$1048576,21,FALSE)</f>
        <v>250958794.28513008</v>
      </c>
      <c r="M42" s="36">
        <f>VLOOKUP(A42,'Variable Input'!$1:$1048576,23,FALSE)</f>
        <v>0.99671861092415948</v>
      </c>
      <c r="N42" s="22">
        <f t="shared" si="2"/>
        <v>250135300.83907676</v>
      </c>
      <c r="O42" s="19">
        <f t="shared" si="3"/>
        <v>14817.07957066225</v>
      </c>
      <c r="P42" s="18">
        <f>VLOOKUP(A42,'Rate Application - REM Cycle I'!$1:$65535,11,FALSE)</f>
        <v>1799367.1419683334</v>
      </c>
      <c r="Q42" s="18">
        <f t="shared" si="4"/>
        <v>251934667.9810451</v>
      </c>
      <c r="R42" s="19">
        <f t="shared" si="5"/>
        <v>14923.667349476136</v>
      </c>
      <c r="S42" s="81">
        <f>VLOOKUP(A42,'Rate Application - REM Cycle I'!$1:$65535,9,FALSE)</f>
        <v>1.1293262174048309</v>
      </c>
      <c r="T42" s="19">
        <f t="shared" si="6"/>
        <v>284516425.62417561</v>
      </c>
      <c r="U42" s="22">
        <f t="shared" si="7"/>
        <v>16853.688797591862</v>
      </c>
      <c r="V42" s="88">
        <f>IFERROR(VLOOKUP(A43,'PAU Volume'!AX:AZ,3,FALSE)-VLOOKUP(A43,'PAU Volume'!#REF!,4,FALSE)+VLOOKUP(A43,'PAU Volume'!#REF!,2,FALSE),0)*0</f>
        <v>0</v>
      </c>
      <c r="W42" s="79">
        <f t="shared" si="8"/>
        <v>16881.552106553001</v>
      </c>
      <c r="X42" s="15">
        <f t="shared" si="9"/>
        <v>284516425.62417561</v>
      </c>
      <c r="Y42" s="11">
        <f>VLOOKUP(A42,'Rate Application - REM Cycle I'!$1:$65535,7,FALSE)</f>
        <v>303653479.39780694</v>
      </c>
      <c r="Z42" s="78">
        <f t="shared" si="10"/>
        <v>-6.3022672460671836E-2</v>
      </c>
      <c r="AA42" s="82">
        <f>IFERROR(VLOOKUP(A42,'GBR Revenue for ICC'!#REF!,17,FALSE),0)</f>
        <v>0</v>
      </c>
      <c r="AB42" s="82">
        <f t="shared" si="11"/>
        <v>0</v>
      </c>
      <c r="AC42" s="11">
        <f t="shared" si="12"/>
        <v>303653479.39780694</v>
      </c>
      <c r="AD42" s="11">
        <f t="shared" si="13"/>
        <v>284516425.62417561</v>
      </c>
      <c r="AE42" s="10">
        <v>1</v>
      </c>
      <c r="AF42" s="343">
        <f>VLOOKUP(A42,[1]icc_by_hosp_year!$A:$IV,9,FALSE)</f>
        <v>-0.117527741916664</v>
      </c>
      <c r="AG42" s="344">
        <f t="shared" si="14"/>
        <v>-5.4505069455992164E-2</v>
      </c>
      <c r="AH42" s="343">
        <f>VLOOKUP(A42,'[2]Rate Application - ICC Cycle II'!$A:$IV,26,FALSE)</f>
        <v>-0.20061610255157913</v>
      </c>
      <c r="AI42" s="344">
        <f t="shared" si="15"/>
        <v>-0.1375934300909073</v>
      </c>
    </row>
    <row r="43" spans="1:35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IF(C43=1,'Rate Application - ICC Cycle I'!$Y$65,IF(C43=3,'Rate Application - ICC Cycle I'!$Y$66,IF(C43=4,'Rate Application - ICC Cycle I'!$Y$67,IF(C43=5,'Rate Application - ICC Cycle I'!$Y$68,0))))</f>
        <v>10459.948799491758</v>
      </c>
      <c r="E43" s="87">
        <v>0</v>
      </c>
      <c r="F43" s="87">
        <f t="shared" si="16"/>
        <v>0</v>
      </c>
      <c r="G43" s="87">
        <v>0</v>
      </c>
      <c r="H43" s="87">
        <f t="shared" si="0"/>
        <v>10459.948799491758</v>
      </c>
      <c r="I43" s="65">
        <f>VLOOKUP(A43,'Rate Application - REM Cycle I'!$1:$65535,15,FALSE)</f>
        <v>29567.442541858047</v>
      </c>
      <c r="J43" s="19">
        <f>VLOOKUP(A43,'Rate Application - REM Cycle I'!$1:$65535,20,FALSE)</f>
        <v>0</v>
      </c>
      <c r="K43" s="11">
        <f t="shared" si="1"/>
        <v>10459.948799491758</v>
      </c>
      <c r="L43" s="11">
        <f>(K43*I43)+VLOOKUP(A43,'Rate Application - ICC Cycle I'!$1:$1048576,21,FALSE)</f>
        <v>386507308.2119801</v>
      </c>
      <c r="M43" s="36">
        <f>VLOOKUP(A43,'Variable Input'!$1:$1048576,23,FALSE)</f>
        <v>1.0181752931904677</v>
      </c>
      <c r="N43" s="22">
        <f t="shared" si="2"/>
        <v>393532191.85899132</v>
      </c>
      <c r="O43" s="19">
        <f t="shared" si="3"/>
        <v>13309.645949319951</v>
      </c>
      <c r="P43" s="18">
        <f>VLOOKUP(A43,'Rate Application - REM Cycle I'!$1:$65535,11,FALSE)</f>
        <v>0</v>
      </c>
      <c r="Q43" s="18">
        <f t="shared" si="4"/>
        <v>393532191.85899132</v>
      </c>
      <c r="R43" s="19">
        <f t="shared" si="5"/>
        <v>13309.645949319951</v>
      </c>
      <c r="S43" s="81">
        <f>VLOOKUP(A43,'Rate Application - REM Cycle I'!$1:$65535,9,FALSE)</f>
        <v>1.1115105879568932</v>
      </c>
      <c r="T43" s="19">
        <f t="shared" si="6"/>
        <v>437415197.95315236</v>
      </c>
      <c r="U43" s="22">
        <f t="shared" si="7"/>
        <v>14793.812394626701</v>
      </c>
      <c r="V43" s="88">
        <f>IFERROR(VLOOKUP(A44,'PAU Volume'!AX:AZ,3,FALSE)-VLOOKUP(A44,'PAU Volume'!#REF!,4,FALSE)+VLOOKUP(A44,'PAU Volume'!#REF!,2,FALSE),0)*0</f>
        <v>0</v>
      </c>
      <c r="W43" s="79">
        <f t="shared" si="8"/>
        <v>29567.442541858047</v>
      </c>
      <c r="X43" s="15">
        <f t="shared" si="9"/>
        <v>437415197.95315236</v>
      </c>
      <c r="Y43" s="11">
        <f>VLOOKUP(A43,'Rate Application - REM Cycle I'!$1:$65535,7,FALSE)</f>
        <v>501735159.42853135</v>
      </c>
      <c r="Z43" s="78">
        <f t="shared" si="10"/>
        <v>-0.12819504526778314</v>
      </c>
      <c r="AA43" s="82">
        <f>IFERROR(VLOOKUP(A43,'GBR Revenue for ICC'!#REF!,17,FALSE),0)</f>
        <v>0</v>
      </c>
      <c r="AB43" s="82">
        <f t="shared" si="11"/>
        <v>0</v>
      </c>
      <c r="AC43" s="11">
        <f t="shared" si="12"/>
        <v>501735159.42853135</v>
      </c>
      <c r="AD43" s="11">
        <f t="shared" si="13"/>
        <v>437415197.95315236</v>
      </c>
      <c r="AE43" s="10">
        <v>1</v>
      </c>
      <c r="AF43" s="343">
        <f>VLOOKUP(A43,[1]icc_by_hosp_year!$A:$IV,9,FALSE)</f>
        <v>-0.11713344104797301</v>
      </c>
      <c r="AG43" s="344">
        <f t="shared" si="14"/>
        <v>1.1061604219810131E-2</v>
      </c>
      <c r="AH43" s="343">
        <f>VLOOKUP(A43,'[2]Rate Application - ICC Cycle II'!$A:$IV,26,FALSE)</f>
        <v>-0.17121500512201782</v>
      </c>
      <c r="AI43" s="344">
        <f t="shared" si="15"/>
        <v>-4.3019959854234679E-2</v>
      </c>
    </row>
    <row r="44" spans="1:35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IF(C44=1,'Rate Application - ICC Cycle I'!$Y$65,IF(C44=3,'Rate Application - ICC Cycle I'!$Y$66,IF(C44=4,'Rate Application - ICC Cycle I'!$Y$67,IF(C44=5,'Rate Application - ICC Cycle I'!$Y$68,0))))</f>
        <v>10459.948799491758</v>
      </c>
      <c r="E44" s="87">
        <v>0</v>
      </c>
      <c r="F44" s="87">
        <f t="shared" si="16"/>
        <v>0</v>
      </c>
      <c r="G44" s="87">
        <v>0</v>
      </c>
      <c r="H44" s="87">
        <f t="shared" si="0"/>
        <v>10459.948799491758</v>
      </c>
      <c r="I44" s="65">
        <f>VLOOKUP(A44,'Rate Application - REM Cycle I'!$1:$65535,15,FALSE)</f>
        <v>5264.4707007620054</v>
      </c>
      <c r="J44" s="19">
        <f>VLOOKUP(A44,'Rate Application - REM Cycle I'!$1:$65535,20,FALSE)</f>
        <v>238.48799212817485</v>
      </c>
      <c r="K44" s="11">
        <f t="shared" si="1"/>
        <v>10698.436791619934</v>
      </c>
      <c r="L44" s="11">
        <f>(K44*I44)+VLOOKUP(A44,'Rate Application - ICC Cycle I'!$1:$1048576,21,FALSE)</f>
        <v>74715575.806221917</v>
      </c>
      <c r="M44" s="36">
        <f>VLOOKUP(A44,'Variable Input'!$1:$1048576,23,FALSE)</f>
        <v>0.99671861092415948</v>
      </c>
      <c r="N44" s="22">
        <f t="shared" si="2"/>
        <v>74470404.931976244</v>
      </c>
      <c r="O44" s="19">
        <f t="shared" si="3"/>
        <v>14145.848493600131</v>
      </c>
      <c r="P44" s="18">
        <f>VLOOKUP(A44,'Rate Application - REM Cycle I'!$1:$65535,11,FALSE)</f>
        <v>1538688.3210319907</v>
      </c>
      <c r="Q44" s="18">
        <f t="shared" si="4"/>
        <v>76009093.253008232</v>
      </c>
      <c r="R44" s="19">
        <f t="shared" si="5"/>
        <v>14438.126370806147</v>
      </c>
      <c r="S44" s="81">
        <f>VLOOKUP(A44,'Rate Application - REM Cycle I'!$1:$65535,9,FALSE)</f>
        <v>1.1120223070717381</v>
      </c>
      <c r="T44" s="19">
        <f t="shared" si="6"/>
        <v>84523807.237641096</v>
      </c>
      <c r="U44" s="22">
        <f t="shared" si="7"/>
        <v>16055.518596657153</v>
      </c>
      <c r="V44" s="88">
        <f>IFERROR(VLOOKUP(A45,'PAU Volume'!AX:AZ,3,FALSE)-VLOOKUP(A45,'PAU Volume'!#REF!,4,FALSE)+VLOOKUP(A45,'PAU Volume'!#REF!,2,FALSE),0)*0</f>
        <v>0</v>
      </c>
      <c r="W44" s="79">
        <f t="shared" si="8"/>
        <v>5264.4707007620054</v>
      </c>
      <c r="X44" s="15">
        <f t="shared" si="9"/>
        <v>84523807.237641096</v>
      </c>
      <c r="Y44" s="11">
        <f>VLOOKUP(A44,'Rate Application - REM Cycle I'!$1:$65535,7,FALSE)</f>
        <v>117697098.70628487</v>
      </c>
      <c r="Z44" s="78">
        <f t="shared" si="10"/>
        <v>-0.28185309436920181</v>
      </c>
      <c r="AA44" s="82">
        <f>IFERROR(VLOOKUP(A44,'GBR Revenue for ICC'!#REF!,17,FALSE),0)</f>
        <v>0</v>
      </c>
      <c r="AB44" s="82">
        <f t="shared" si="11"/>
        <v>0</v>
      </c>
      <c r="AC44" s="11">
        <f t="shared" si="12"/>
        <v>117697098.70628487</v>
      </c>
      <c r="AD44" s="11">
        <f t="shared" si="13"/>
        <v>84523807.237641096</v>
      </c>
      <c r="AE44" s="10">
        <v>1</v>
      </c>
      <c r="AF44" s="343">
        <f>VLOOKUP(A44,[1]icc_by_hosp_year!$A:$IV,9,FALSE)</f>
        <v>-0.19608837346937999</v>
      </c>
      <c r="AG44" s="345">
        <f t="shared" si="14"/>
        <v>8.5764720899821817E-2</v>
      </c>
      <c r="AH44" s="343">
        <f>VLOOKUP(A44,'[2]Rate Application - ICC Cycle II'!$A:$IV,26,FALSE)</f>
        <v>-0.23416036534814499</v>
      </c>
      <c r="AI44" s="344">
        <f t="shared" si="15"/>
        <v>4.7692729021056812E-2</v>
      </c>
    </row>
    <row r="45" spans="1:35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IF(C45=1,'Rate Application - ICC Cycle I'!$Y$65,IF(C45=3,'Rate Application - ICC Cycle I'!$Y$66,IF(C45=4,'Rate Application - ICC Cycle I'!$Y$67,IF(C45=5,'Rate Application - ICC Cycle I'!$Y$68,0))))</f>
        <v>10459.948799491758</v>
      </c>
      <c r="E45" s="87">
        <v>0</v>
      </c>
      <c r="F45" s="87">
        <f t="shared" si="16"/>
        <v>0</v>
      </c>
      <c r="G45" s="87">
        <v>0</v>
      </c>
      <c r="H45" s="87">
        <f t="shared" si="0"/>
        <v>10459.948799491758</v>
      </c>
      <c r="I45" s="65">
        <f>VLOOKUP(A45,'Rate Application - REM Cycle I'!$1:$65535,15,FALSE)</f>
        <v>3719.0107248960016</v>
      </c>
      <c r="J45" s="19">
        <f>VLOOKUP(A45,'Rate Application - REM Cycle I'!$1:$65535,20,FALSE)</f>
        <v>0</v>
      </c>
      <c r="K45" s="11">
        <f t="shared" si="1"/>
        <v>10459.948799491758</v>
      </c>
      <c r="L45" s="11">
        <f>(K45*I45)+VLOOKUP(A45,'Rate Application - ICC Cycle I'!$1:$1048576,21,FALSE)</f>
        <v>49674223.520342819</v>
      </c>
      <c r="M45" s="36">
        <f>VLOOKUP(A45,'Variable Input'!$1:$1048576,23,FALSE)</f>
        <v>1.0181752931904677</v>
      </c>
      <c r="N45" s="22">
        <f t="shared" si="2"/>
        <v>50577067.096833877</v>
      </c>
      <c r="O45" s="19">
        <f t="shared" si="3"/>
        <v>13599.602377658703</v>
      </c>
      <c r="P45" s="18">
        <f>VLOOKUP(A45,'Rate Application - REM Cycle I'!$1:$65535,11,FALSE)</f>
        <v>0</v>
      </c>
      <c r="Q45" s="18">
        <f t="shared" si="4"/>
        <v>50577067.096833877</v>
      </c>
      <c r="R45" s="19">
        <f t="shared" si="5"/>
        <v>13599.602377658703</v>
      </c>
      <c r="S45" s="81">
        <f>VLOOKUP(A45,'Rate Application - REM Cycle I'!$1:$65535,9,FALSE)</f>
        <v>1.1180896691644482</v>
      </c>
      <c r="T45" s="19">
        <f t="shared" si="6"/>
        <v>56549696.217607088</v>
      </c>
      <c r="U45" s="22">
        <f t="shared" si="7"/>
        <v>15205.574923204462</v>
      </c>
      <c r="V45" s="88">
        <f>IFERROR(VLOOKUP(A46,'PAU Volume'!AX:AZ,3,FALSE)-VLOOKUP(A46,'PAU Volume'!#REF!,4,FALSE)+VLOOKUP(A46,'PAU Volume'!#REF!,2,FALSE),0)*0</f>
        <v>0</v>
      </c>
      <c r="W45" s="79">
        <f t="shared" si="8"/>
        <v>3719.0107248960016</v>
      </c>
      <c r="X45" s="15">
        <f t="shared" si="9"/>
        <v>56549696.217607088</v>
      </c>
      <c r="Y45" s="11">
        <f>VLOOKUP(A45,'Rate Application - REM Cycle I'!$1:$65535,7,FALSE)</f>
        <v>66045058.94902806</v>
      </c>
      <c r="Z45" s="78">
        <f t="shared" si="10"/>
        <v>-0.14377097821578533</v>
      </c>
      <c r="AA45" s="82">
        <f>IFERROR(VLOOKUP(A45,'GBR Revenue for ICC'!#REF!,17,FALSE),0)</f>
        <v>0</v>
      </c>
      <c r="AB45" s="82">
        <f t="shared" si="11"/>
        <v>0</v>
      </c>
      <c r="AC45" s="11">
        <f t="shared" si="12"/>
        <v>66045058.94902806</v>
      </c>
      <c r="AD45" s="11">
        <f t="shared" si="13"/>
        <v>56549696.217607088</v>
      </c>
      <c r="AE45" s="10">
        <v>1</v>
      </c>
      <c r="AF45" s="343">
        <f>VLOOKUP(A45,[1]icc_by_hosp_year!$A:$IV,9,FALSE)</f>
        <v>7.1465583235375899E-2</v>
      </c>
      <c r="AG45" s="344">
        <f t="shared" si="14"/>
        <v>0.21523656145116121</v>
      </c>
      <c r="AH45" s="343">
        <f>VLOOKUP(A45,'[2]Rate Application - ICC Cycle II'!$A:$IV,26,FALSE)</f>
        <v>-1.5291563170674927E-2</v>
      </c>
      <c r="AI45" s="344">
        <f t="shared" si="15"/>
        <v>0.1284794150451104</v>
      </c>
    </row>
    <row r="46" spans="1:35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IF(C46=1,'Rate Application - ICC Cycle I'!$Y$65,IF(C46=3,'Rate Application - ICC Cycle I'!$Y$66,IF(C46=4,'Rate Application - ICC Cycle I'!$Y$67,IF(C46=5,'Rate Application - ICC Cycle I'!$Y$68,0))))</f>
        <v>10459.948799491758</v>
      </c>
      <c r="E46" s="87">
        <v>0</v>
      </c>
      <c r="F46" s="87">
        <f t="shared" si="16"/>
        <v>0</v>
      </c>
      <c r="G46" s="87">
        <v>0</v>
      </c>
      <c r="H46" s="87">
        <f t="shared" si="0"/>
        <v>10459.948799491758</v>
      </c>
      <c r="I46" s="65">
        <f>VLOOKUP(A46,'Rate Application - REM Cycle I'!$1:$65535,15,FALSE)</f>
        <v>9011.8464937300014</v>
      </c>
      <c r="J46" s="19">
        <f>VLOOKUP(A46,'Rate Application - REM Cycle I'!$1:$65535,20,FALSE)</f>
        <v>0</v>
      </c>
      <c r="K46" s="11">
        <f t="shared" si="1"/>
        <v>10459.948799491758</v>
      </c>
      <c r="L46" s="11">
        <f>(K46*I46)+VLOOKUP(A46,'Rate Application - ICC Cycle I'!$1:$1048576,21,FALSE)</f>
        <v>113577253.89512195</v>
      </c>
      <c r="M46" s="36">
        <f>VLOOKUP(A46,'Variable Input'!$1:$1048576,23,FALSE)</f>
        <v>0.99671861092415948</v>
      </c>
      <c r="N46" s="22">
        <f t="shared" si="2"/>
        <v>113204562.73492652</v>
      </c>
      <c r="O46" s="19">
        <f t="shared" si="3"/>
        <v>12561.750004695339</v>
      </c>
      <c r="P46" s="18">
        <f>VLOOKUP(A46,'Rate Application - REM Cycle I'!$1:$65535,11,FALSE)</f>
        <v>0</v>
      </c>
      <c r="Q46" s="18">
        <f t="shared" si="4"/>
        <v>113204562.73492652</v>
      </c>
      <c r="R46" s="19">
        <f t="shared" si="5"/>
        <v>12561.750004695339</v>
      </c>
      <c r="S46" s="81">
        <f>VLOOKUP(A46,'Rate Application - REM Cycle I'!$1:$65535,9,FALSE)</f>
        <v>1.1146605541082666</v>
      </c>
      <c r="T46" s="19">
        <f t="shared" si="6"/>
        <v>126184660.62569723</v>
      </c>
      <c r="U46" s="22">
        <f t="shared" si="7"/>
        <v>14002.087220803227</v>
      </c>
      <c r="V46" s="88">
        <f>IFERROR(VLOOKUP(A47,'PAU Volume'!AX:AZ,3,FALSE)-VLOOKUP(A47,'PAU Volume'!#REF!,4,FALSE)+VLOOKUP(A47,'PAU Volume'!#REF!,2,FALSE),0)*0</f>
        <v>0</v>
      </c>
      <c r="W46" s="79">
        <f t="shared" si="8"/>
        <v>9011.8464937300014</v>
      </c>
      <c r="X46" s="15">
        <f t="shared" si="9"/>
        <v>126184660.62569723</v>
      </c>
      <c r="Y46" s="11">
        <f>VLOOKUP(A46,'Rate Application - REM Cycle I'!$1:$65535,7,FALSE)</f>
        <v>123667555.66396882</v>
      </c>
      <c r="Z46" s="78">
        <f t="shared" si="10"/>
        <v>2.0353802161077184E-2</v>
      </c>
      <c r="AA46" s="82">
        <f>IFERROR(VLOOKUP(A46,'GBR Revenue for ICC'!#REF!,17,FALSE),0)</f>
        <v>0</v>
      </c>
      <c r="AB46" s="82">
        <f t="shared" si="11"/>
        <v>0</v>
      </c>
      <c r="AC46" s="11">
        <f t="shared" si="12"/>
        <v>123667555.66396882</v>
      </c>
      <c r="AD46" s="11">
        <f t="shared" si="13"/>
        <v>126184660.62569723</v>
      </c>
      <c r="AE46" s="10">
        <v>1</v>
      </c>
      <c r="AF46" s="343">
        <f>VLOOKUP(A46,[1]icc_by_hosp_year!$A:$IV,9,FALSE)</f>
        <v>2.3636505518021E-4</v>
      </c>
      <c r="AG46" s="344">
        <f t="shared" si="14"/>
        <v>-2.0117437105896974E-2</v>
      </c>
      <c r="AH46" s="343">
        <f>VLOOKUP(A46,'[2]Rate Application - ICC Cycle II'!$A:$IV,26,FALSE)</f>
        <v>-3.1454612281767158E-4</v>
      </c>
      <c r="AI46" s="344">
        <f t="shared" si="15"/>
        <v>-2.0668348283894855E-2</v>
      </c>
    </row>
    <row r="47" spans="1:35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IF(C47=1,'Rate Application - ICC Cycle I'!$Y$65,IF(C47=3,'Rate Application - ICC Cycle I'!$Y$66,IF(C47=4,'Rate Application - ICC Cycle I'!$Y$67,IF(C47=5,'Rate Application - ICC Cycle I'!$Y$68,0))))</f>
        <v>10459.948799491758</v>
      </c>
      <c r="E47" s="87">
        <v>0</v>
      </c>
      <c r="F47" s="87">
        <f t="shared" si="16"/>
        <v>0</v>
      </c>
      <c r="G47" s="87">
        <v>0</v>
      </c>
      <c r="H47" s="87">
        <f t="shared" si="0"/>
        <v>10459.948799491758</v>
      </c>
      <c r="I47" s="65">
        <f>VLOOKUP(A47,'Rate Application - REM Cycle I'!$1:$65535,15,FALSE)</f>
        <v>17485.311336287028</v>
      </c>
      <c r="J47" s="19">
        <f>VLOOKUP(A47,'Rate Application - REM Cycle I'!$1:$65535,20,FALSE)</f>
        <v>0</v>
      </c>
      <c r="K47" s="11">
        <f t="shared" si="1"/>
        <v>10459.948799491758</v>
      </c>
      <c r="L47" s="11">
        <f>(K47*I47)+VLOOKUP(A47,'Rate Application - ICC Cycle I'!$1:$1048576,21,FALSE)</f>
        <v>240562254.28798819</v>
      </c>
      <c r="M47" s="36">
        <f>VLOOKUP(A47,'Variable Input'!$1:$1048576,23,FALSE)</f>
        <v>1.0181752931904677</v>
      </c>
      <c r="N47" s="22">
        <f t="shared" si="2"/>
        <v>244934543.79023221</v>
      </c>
      <c r="O47" s="19">
        <f t="shared" si="3"/>
        <v>14008.017305469586</v>
      </c>
      <c r="P47" s="18">
        <f>VLOOKUP(A47,'Rate Application - REM Cycle I'!$1:$65535,11,FALSE)</f>
        <v>0</v>
      </c>
      <c r="Q47" s="18">
        <f t="shared" si="4"/>
        <v>244934543.79023221</v>
      </c>
      <c r="R47" s="19">
        <f t="shared" si="5"/>
        <v>14008.017305469586</v>
      </c>
      <c r="S47" s="81">
        <f>VLOOKUP(A47,'Rate Application - REM Cycle I'!$1:$65535,9,FALSE)</f>
        <v>1.1171440000317876</v>
      </c>
      <c r="T47" s="19">
        <f t="shared" si="6"/>
        <v>273627155.99578106</v>
      </c>
      <c r="U47" s="22">
        <f t="shared" si="7"/>
        <v>15648.972485146796</v>
      </c>
      <c r="V47" s="88">
        <f>IFERROR(VLOOKUP(A48,'PAU Volume'!AX:AZ,3,FALSE)-VLOOKUP(A48,'PAU Volume'!#REF!,4,FALSE)+VLOOKUP(A48,'PAU Volume'!#REF!,2,FALSE),0)*0</f>
        <v>0</v>
      </c>
      <c r="W47" s="79">
        <f t="shared" si="8"/>
        <v>17485.311336287028</v>
      </c>
      <c r="X47" s="15">
        <f t="shared" si="9"/>
        <v>273627155.99578106</v>
      </c>
      <c r="Y47" s="11">
        <f>VLOOKUP(A47,'Rate Application - REM Cycle I'!$1:$65535,7,FALSE)</f>
        <v>312472727.05601329</v>
      </c>
      <c r="Z47" s="78">
        <f t="shared" si="10"/>
        <v>-0.12431667693439641</v>
      </c>
      <c r="AA47" s="82">
        <f>IFERROR(VLOOKUP(A47,'GBR Revenue for ICC'!#REF!,17,FALSE),0)</f>
        <v>0</v>
      </c>
      <c r="AB47" s="82">
        <f t="shared" si="11"/>
        <v>0</v>
      </c>
      <c r="AC47" s="11">
        <f t="shared" si="12"/>
        <v>312472727.05601329</v>
      </c>
      <c r="AD47" s="11">
        <f t="shared" si="13"/>
        <v>273627155.99578106</v>
      </c>
      <c r="AE47" s="10">
        <v>1</v>
      </c>
      <c r="AF47" s="343">
        <f>VLOOKUP(A47,[1]icc_by_hosp_year!$A:$IV,9,FALSE)</f>
        <v>-0.193938043479773</v>
      </c>
      <c r="AG47" s="344">
        <f t="shared" si="14"/>
        <v>-6.9621366545376595E-2</v>
      </c>
      <c r="AH47" s="343">
        <f>VLOOKUP(A47,'[2]Rate Application - ICC Cycle II'!$A:$IV,26,FALSE)</f>
        <v>-0.25513291025383678</v>
      </c>
      <c r="AI47" s="344">
        <f t="shared" si="15"/>
        <v>-0.13081623331944037</v>
      </c>
    </row>
    <row r="48" spans="1:35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IF(C48=1,'Rate Application - ICC Cycle I'!$Y$65,IF(C48=3,'Rate Application - ICC Cycle I'!$Y$66,IF(C48=4,'Rate Application - ICC Cycle I'!$Y$67,IF(C48=5,'Rate Application - ICC Cycle I'!$Y$68,0))))</f>
        <v>10459.948799491758</v>
      </c>
      <c r="E48" s="87">
        <v>0</v>
      </c>
      <c r="F48" s="87">
        <f t="shared" si="16"/>
        <v>0</v>
      </c>
      <c r="G48" s="87">
        <v>0</v>
      </c>
      <c r="H48" s="87">
        <f t="shared" si="0"/>
        <v>10459.948799491758</v>
      </c>
      <c r="I48" s="65">
        <f>VLOOKUP(A48,'Rate Application - REM Cycle I'!$1:$65535,15,FALSE)</f>
        <v>30821.946526509015</v>
      </c>
      <c r="J48" s="19">
        <f>VLOOKUP(A48,'Rate Application - REM Cycle I'!$1:$65535,20,FALSE)</f>
        <v>0</v>
      </c>
      <c r="K48" s="11">
        <f t="shared" si="1"/>
        <v>10459.948799491758</v>
      </c>
      <c r="L48" s="11">
        <f>(K48*I48)+VLOOKUP(A48,'Rate Application - ICC Cycle I'!$1:$1048576,21,FALSE)</f>
        <v>377154833.57952988</v>
      </c>
      <c r="M48" s="36">
        <f>VLOOKUP(A48,'Variable Input'!$1:$1048576,23,FALSE)</f>
        <v>0.99671861092415948</v>
      </c>
      <c r="N48" s="22">
        <f t="shared" si="2"/>
        <v>375917241.82872158</v>
      </c>
      <c r="O48" s="19">
        <f t="shared" si="3"/>
        <v>12196.414704224038</v>
      </c>
      <c r="P48" s="18">
        <f>VLOOKUP(A48,'Rate Application - REM Cycle I'!$1:$65535,11,FALSE)</f>
        <v>0</v>
      </c>
      <c r="Q48" s="18">
        <f t="shared" si="4"/>
        <v>375917241.82872158</v>
      </c>
      <c r="R48" s="19">
        <f t="shared" si="5"/>
        <v>12196.414704224038</v>
      </c>
      <c r="S48" s="81">
        <f>VLOOKUP(A48,'Rate Application - REM Cycle I'!$1:$65535,9,FALSE)</f>
        <v>1.1140199775247721</v>
      </c>
      <c r="T48" s="19">
        <f t="shared" si="6"/>
        <v>418779317.29320675</v>
      </c>
      <c r="U48" s="22">
        <f t="shared" si="7"/>
        <v>13587.049634682464</v>
      </c>
      <c r="V48" s="88">
        <f>IFERROR(VLOOKUP(A49,'PAU Volume'!AX:AZ,3,FALSE)-VLOOKUP(A49,'PAU Volume'!#REF!,4,FALSE)+VLOOKUP(A49,'PAU Volume'!#REF!,2,FALSE),0)*0</f>
        <v>0</v>
      </c>
      <c r="W48" s="79">
        <f t="shared" si="8"/>
        <v>30821.946526509015</v>
      </c>
      <c r="X48" s="15">
        <f t="shared" si="9"/>
        <v>418779317.29320675</v>
      </c>
      <c r="Y48" s="11">
        <f>VLOOKUP(A48,'Rate Application - REM Cycle I'!$1:$65535,7,FALSE)</f>
        <v>440856003.87718481</v>
      </c>
      <c r="Z48" s="78">
        <f t="shared" si="10"/>
        <v>-5.0076864984985536E-2</v>
      </c>
      <c r="AA48" s="82">
        <f>IFERROR(VLOOKUP(A48,'GBR Revenue for ICC'!#REF!,17,FALSE),0)</f>
        <v>0</v>
      </c>
      <c r="AB48" s="82">
        <f t="shared" si="11"/>
        <v>0</v>
      </c>
      <c r="AC48" s="11">
        <f t="shared" si="12"/>
        <v>440856003.87718481</v>
      </c>
      <c r="AD48" s="11">
        <f t="shared" si="13"/>
        <v>418779317.29320675</v>
      </c>
      <c r="AE48" s="10">
        <v>1</v>
      </c>
      <c r="AF48" s="343">
        <f>VLOOKUP(A48,[1]icc_by_hosp_year!$A:$IV,9,FALSE)</f>
        <v>-0.108102920543591</v>
      </c>
      <c r="AG48" s="344">
        <f t="shared" si="14"/>
        <v>-5.802605555860546E-2</v>
      </c>
      <c r="AH48" s="343">
        <f>VLOOKUP(A48,'[2]Rate Application - ICC Cycle II'!$A:$IV,26,FALSE)</f>
        <v>-9.2243502131779009E-2</v>
      </c>
      <c r="AI48" s="344">
        <f t="shared" si="15"/>
        <v>-4.2166637146793473E-2</v>
      </c>
    </row>
    <row r="49" spans="1:35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87">
        <f>IF(C49=1,'Rate Application - ICC Cycle I'!$Y$65,IF(C49=3,'Rate Application - ICC Cycle I'!$Y$66,IF(C49=4,'Rate Application - ICC Cycle I'!$Y$67,IF(C49=5,'Rate Application - ICC Cycle I'!$Y$68,0))))</f>
        <v>10459.948799491758</v>
      </c>
      <c r="E49" s="87">
        <v>0</v>
      </c>
      <c r="F49" s="87">
        <f t="shared" si="16"/>
        <v>0</v>
      </c>
      <c r="G49" s="87">
        <v>0</v>
      </c>
      <c r="H49" s="87">
        <f t="shared" si="0"/>
        <v>10459.948799491758</v>
      </c>
      <c r="I49" s="65">
        <f>VLOOKUP(A49,'Rate Application - REM Cycle I'!$1:$65535,15,FALSE)</f>
        <v>9743.687453664008</v>
      </c>
      <c r="J49" s="19">
        <f>VLOOKUP(A49,'Rate Application - REM Cycle I'!$1:$65535,20,FALSE)</f>
        <v>0</v>
      </c>
      <c r="K49" s="11">
        <f t="shared" si="1"/>
        <v>10459.948799491758</v>
      </c>
      <c r="L49" s="11">
        <f>(K49*I49)+VLOOKUP(A49,'Rate Application - ICC Cycle I'!$1:$1048576,21,FALSE)</f>
        <v>135865020.20584857</v>
      </c>
      <c r="M49" s="36">
        <f>VLOOKUP(A49,'Variable Input'!$1:$1048576,23,FALSE)</f>
        <v>1.0181752931904677</v>
      </c>
      <c r="N49" s="22">
        <f t="shared" si="2"/>
        <v>138334406.7824187</v>
      </c>
      <c r="O49" s="19">
        <f t="shared" si="3"/>
        <v>14197.336217963308</v>
      </c>
      <c r="P49" s="18">
        <f>VLOOKUP(A49,'Rate Application - REM Cycle I'!$1:$65535,11,FALSE)</f>
        <v>0</v>
      </c>
      <c r="Q49" s="18">
        <f t="shared" si="4"/>
        <v>138334406.7824187</v>
      </c>
      <c r="R49" s="19">
        <f t="shared" si="5"/>
        <v>14197.336217963308</v>
      </c>
      <c r="S49" s="81">
        <f>VLOOKUP(A49,'Rate Application - REM Cycle I'!$1:$65535,9,FALSE)</f>
        <v>1.1083143930424924</v>
      </c>
      <c r="T49" s="19">
        <f t="shared" si="6"/>
        <v>153318014.08994961</v>
      </c>
      <c r="U49" s="22">
        <f t="shared" si="7"/>
        <v>15735.112073232196</v>
      </c>
      <c r="V49" s="88">
        <f>IFERROR(VLOOKUP(A50,'PAU Volume'!AX:AZ,3,FALSE)-VLOOKUP(A50,'PAU Volume'!#REF!,4,FALSE)+VLOOKUP(A50,'PAU Volume'!#REF!,2,FALSE),0)*0</f>
        <v>0</v>
      </c>
      <c r="W49" s="79">
        <f t="shared" si="8"/>
        <v>9743.687453664008</v>
      </c>
      <c r="X49" s="15">
        <f t="shared" si="9"/>
        <v>153318014.08994961</v>
      </c>
      <c r="Y49" s="11">
        <f>VLOOKUP(A49,'Rate Application - REM Cycle I'!$1:$65535,7,FALSE)</f>
        <v>145302528.81887707</v>
      </c>
      <c r="Z49" s="78">
        <f t="shared" si="10"/>
        <v>5.5164114046934554E-2</v>
      </c>
      <c r="AA49" s="82">
        <f>IFERROR(VLOOKUP(A49,'GBR Revenue for ICC'!#REF!,17,FALSE),0)</f>
        <v>0</v>
      </c>
      <c r="AB49" s="82">
        <f t="shared" si="11"/>
        <v>0</v>
      </c>
      <c r="AC49" s="11">
        <f t="shared" si="12"/>
        <v>145302528.81887707</v>
      </c>
      <c r="AD49" s="11">
        <f t="shared" si="13"/>
        <v>153318014.08994961</v>
      </c>
      <c r="AF49" s="343" t="e">
        <f>VLOOKUP(A49,[1]icc_by_hosp_year!$A:$IV,9,FALSE)</f>
        <v>#N/A</v>
      </c>
      <c r="AG49" s="344" t="e">
        <f t="shared" si="14"/>
        <v>#N/A</v>
      </c>
      <c r="AH49" s="343">
        <f>VLOOKUP(A49,'[2]Rate Application - ICC Cycle II'!$A:$IV,26,FALSE)</f>
        <v>-1</v>
      </c>
      <c r="AI49" s="344">
        <f t="shared" si="15"/>
        <v>-1.0551641140469346</v>
      </c>
    </row>
    <row r="50" spans="1:35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87">
        <f>IF(C50=1,'Rate Application - ICC Cycle I'!$Y$65,IF(C50=3,'Rate Application - ICC Cycle I'!$Y$66,IF(C50=4,'Rate Application - ICC Cycle I'!$Y$67,IF(C50=5,'Rate Application - ICC Cycle I'!$Y$68,0))))</f>
        <v>12635.590589674488</v>
      </c>
      <c r="E50" s="87">
        <v>0</v>
      </c>
      <c r="F50" s="87">
        <f t="shared" si="16"/>
        <v>0</v>
      </c>
      <c r="G50" s="87">
        <v>0</v>
      </c>
      <c r="H50" s="87">
        <f t="shared" si="0"/>
        <v>12635.590589674488</v>
      </c>
      <c r="I50" s="65">
        <f>VLOOKUP(A50,'Rate Application - REM Cycle I'!$1:$65535,15,FALSE)</f>
        <v>16622.361523679996</v>
      </c>
      <c r="J50" s="19">
        <f>VLOOKUP(A50,'Rate Application - REM Cycle I'!$1:$65535,20,FALSE)</f>
        <v>1047.5835053585402</v>
      </c>
      <c r="K50" s="11">
        <f t="shared" si="1"/>
        <v>13683.174095033028</v>
      </c>
      <c r="L50" s="11">
        <f>(K50*I50)+VLOOKUP(A50,'Rate Application - ICC Cycle I'!$1:$1048576,21,FALSE)</f>
        <v>297670748.41946846</v>
      </c>
      <c r="M50" s="36">
        <f>VLOOKUP(A50,'Variable Input'!$1:$1048576,23,FALSE)</f>
        <v>1.0181752931904677</v>
      </c>
      <c r="N50" s="22">
        <f t="shared" si="2"/>
        <v>303081001.54621828</v>
      </c>
      <c r="O50" s="19">
        <f t="shared" si="3"/>
        <v>18233.329910100507</v>
      </c>
      <c r="P50" s="18">
        <f>VLOOKUP(A50,'Rate Application - REM Cycle I'!$1:$65535,11,FALSE)</f>
        <v>10600897.780621644</v>
      </c>
      <c r="Q50" s="18">
        <f t="shared" si="4"/>
        <v>313681899.32683992</v>
      </c>
      <c r="R50" s="19">
        <f t="shared" si="5"/>
        <v>18871.079111110226</v>
      </c>
      <c r="S50" s="81">
        <f>VLOOKUP(A50,'Rate Application - REM Cycle I'!$1:$65535,9,FALSE)</f>
        <v>1.1150592197193865</v>
      </c>
      <c r="T50" s="19">
        <f t="shared" si="6"/>
        <v>349773893.90348125</v>
      </c>
      <c r="U50" s="22">
        <f t="shared" si="7"/>
        <v>21042.370748897381</v>
      </c>
      <c r="V50" s="35">
        <f>SUMIF($A$1:$A$65535,210003,V$1:V$65535)</f>
        <v>0</v>
      </c>
      <c r="W50" s="79">
        <f t="shared" si="8"/>
        <v>16622.361523679996</v>
      </c>
      <c r="X50" s="15">
        <f t="shared" si="9"/>
        <v>349773893.90348125</v>
      </c>
      <c r="Y50" s="11">
        <f>VLOOKUP(A50,'Rate Application - REM Cycle I'!$1:$65535,7,FALSE)</f>
        <v>379598110.09410959</v>
      </c>
      <c r="Z50" s="78">
        <f t="shared" si="10"/>
        <v>-7.8567873225802831E-2</v>
      </c>
      <c r="AA50" s="82">
        <f>IFERROR(VLOOKUP(A50,'GBR Revenue for ICC'!#REF!,17,FALSE),0)</f>
        <v>0</v>
      </c>
      <c r="AB50" s="82">
        <f t="shared" si="11"/>
        <v>0</v>
      </c>
      <c r="AC50" s="11">
        <f t="shared" si="12"/>
        <v>379598110.09410959</v>
      </c>
      <c r="AD50" s="11">
        <f t="shared" si="13"/>
        <v>349773893.90348125</v>
      </c>
      <c r="AF50" s="343" t="e">
        <f>VLOOKUP(A50,[1]icc_by_hosp_year!$A:$IV,9,FALSE)</f>
        <v>#N/A</v>
      </c>
      <c r="AG50" s="344" t="e">
        <f t="shared" si="14"/>
        <v>#N/A</v>
      </c>
      <c r="AH50" s="343">
        <f>VLOOKUP(A50,'[2]Rate Application - ICC Cycle II'!$A:$IV,26,FALSE)</f>
        <v>-7.9167527065937549E-2</v>
      </c>
      <c r="AI50" s="344">
        <f t="shared" si="15"/>
        <v>-5.9965384013471734E-4</v>
      </c>
    </row>
    <row r="51" spans="1:35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87">
        <f>IF(C51=1,'Rate Application - ICC Cycle I'!$Y$65,IF(C51=3,'Rate Application - ICC Cycle I'!$Y$66,IF(C51=4,'Rate Application - ICC Cycle I'!$Y$67,IF(C51=5,'Rate Application - ICC Cycle I'!$Y$68,0))))</f>
        <v>12635.590589674488</v>
      </c>
      <c r="E51" s="87">
        <v>0</v>
      </c>
      <c r="F51" s="87">
        <f t="shared" si="16"/>
        <v>0</v>
      </c>
      <c r="G51" s="87">
        <v>0</v>
      </c>
      <c r="H51" s="87">
        <f t="shared" si="0"/>
        <v>12635.590589674488</v>
      </c>
      <c r="I51" s="65">
        <f>VLOOKUP(A51,'Rate Application - REM Cycle I'!$1:$65535,15,FALSE)</f>
        <v>37187.68418079293</v>
      </c>
      <c r="J51" s="19">
        <f>VLOOKUP(A51,'Rate Application - REM Cycle I'!$1:$65535,20,FALSE)</f>
        <v>472.25959220144938</v>
      </c>
      <c r="K51" s="11">
        <f t="shared" si="1"/>
        <v>13107.850181875938</v>
      </c>
      <c r="L51" s="11">
        <f>(K51*I51)+VLOOKUP(A51,'Rate Application - ICC Cycle I'!$1:$1048576,21,FALSE)</f>
        <v>595341773.32042611</v>
      </c>
      <c r="M51" s="36">
        <f>VLOOKUP(A51,'Variable Input'!$1:$1048576,23,FALSE)</f>
        <v>0.99671861092415948</v>
      </c>
      <c r="N51" s="22">
        <f t="shared" si="2"/>
        <v>593388225.32906091</v>
      </c>
      <c r="O51" s="19">
        <f t="shared" si="3"/>
        <v>15956.579130989287</v>
      </c>
      <c r="P51" s="18">
        <f>VLOOKUP(A51,'Rate Application - REM Cycle I'!$1:$65535,11,FALSE)</f>
        <v>5003207.6874727393</v>
      </c>
      <c r="Q51" s="18">
        <f t="shared" si="4"/>
        <v>598391433.01653361</v>
      </c>
      <c r="R51" s="19">
        <f t="shared" si="5"/>
        <v>16091.118503302683</v>
      </c>
      <c r="S51" s="81">
        <f>VLOOKUP(A51,'Rate Application - REM Cycle I'!$1:$65535,9,FALSE)</f>
        <v>1.1102695565875482</v>
      </c>
      <c r="T51" s="19">
        <f t="shared" si="6"/>
        <v>664375791.00105429</v>
      </c>
      <c r="U51" s="22">
        <f t="shared" si="7"/>
        <v>17865.479005659563</v>
      </c>
      <c r="V51" s="35">
        <f>SUMIF($A$1:$A$65535,210008,V$1:V$65535)</f>
        <v>0</v>
      </c>
      <c r="W51" s="79">
        <f t="shared" si="8"/>
        <v>37187.68418079293</v>
      </c>
      <c r="X51" s="15">
        <f t="shared" si="9"/>
        <v>664375791.00105429</v>
      </c>
      <c r="Y51" s="11">
        <f>VLOOKUP(A51,'Rate Application - REM Cycle I'!$1:$65535,7,FALSE)</f>
        <v>630435213.30233288</v>
      </c>
      <c r="Z51" s="78">
        <f t="shared" si="10"/>
        <v>5.3836741639056829E-2</v>
      </c>
      <c r="AA51" s="82">
        <f>IFERROR(VLOOKUP(A51,'GBR Revenue for ICC'!#REF!,17,FALSE),0)</f>
        <v>0</v>
      </c>
      <c r="AB51" s="82">
        <f t="shared" si="11"/>
        <v>0</v>
      </c>
      <c r="AC51" s="11">
        <f t="shared" si="12"/>
        <v>630435213.30233288</v>
      </c>
      <c r="AD51" s="11">
        <f t="shared" si="13"/>
        <v>664375791.00105429</v>
      </c>
      <c r="AF51" s="343" t="e">
        <f>VLOOKUP(A51,[1]icc_by_hosp_year!$A:$IV,9,FALSE)</f>
        <v>#N/A</v>
      </c>
      <c r="AG51" s="344" t="e">
        <f t="shared" si="14"/>
        <v>#N/A</v>
      </c>
      <c r="AH51" s="343">
        <f>VLOOKUP(A51,'[2]Rate Application - ICC Cycle II'!$A:$IV,26,FALSE)</f>
        <v>0.11947269212207501</v>
      </c>
      <c r="AI51" s="344">
        <f t="shared" si="15"/>
        <v>6.5635950483018179E-2</v>
      </c>
    </row>
    <row r="52" spans="1:35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87">
        <f>IF(C52=1,'Rate Application - ICC Cycle I'!$Y$65,IF(C52=3,'Rate Application - ICC Cycle I'!$Y$66,IF(C52=4,'Rate Application - ICC Cycle I'!$Y$67,IF(C52=5,'Rate Application - ICC Cycle I'!$Y$68,0))))</f>
        <v>12635.590589674488</v>
      </c>
      <c r="E52" s="87">
        <v>0</v>
      </c>
      <c r="F52" s="87">
        <f t="shared" si="16"/>
        <v>0</v>
      </c>
      <c r="G52" s="87">
        <v>0</v>
      </c>
      <c r="H52" s="87">
        <f t="shared" si="0"/>
        <v>12635.590589674488</v>
      </c>
      <c r="I52" s="65">
        <f>VLOOKUP(A52,'Rate Application - REM Cycle I'!$1:$65535,15,FALSE)</f>
        <v>39233.431532673072</v>
      </c>
      <c r="J52" s="19">
        <f>VLOOKUP(A52,'Rate Application - REM Cycle I'!$1:$65535,20,FALSE)</f>
        <v>1165.0763536132847</v>
      </c>
      <c r="K52" s="11">
        <f t="shared" si="1"/>
        <v>13800.666943287773</v>
      </c>
      <c r="L52" s="11">
        <f>(K52*I52)+VLOOKUP(A52,'Rate Application - ICC Cycle I'!$1:$1048576,21,FALSE)</f>
        <v>690428884.95651448</v>
      </c>
      <c r="M52" s="36">
        <f>VLOOKUP(A52,'Variable Input'!$1:$1048576,23,FALSE)</f>
        <v>0.99671861092415948</v>
      </c>
      <c r="N52" s="22">
        <f t="shared" si="2"/>
        <v>688163319.1557734</v>
      </c>
      <c r="O52" s="19">
        <f t="shared" si="3"/>
        <v>17540.227613857336</v>
      </c>
      <c r="P52" s="18">
        <f>VLOOKUP(A52,'Rate Application - REM Cycle I'!$1:$65535,11,FALSE)</f>
        <v>20760568.355981968</v>
      </c>
      <c r="Q52" s="18">
        <f t="shared" si="4"/>
        <v>708923887.51175535</v>
      </c>
      <c r="R52" s="19">
        <f t="shared" si="5"/>
        <v>18069.382662114913</v>
      </c>
      <c r="S52" s="81">
        <f>VLOOKUP(A52,'Rate Application - REM Cycle I'!$1:$65535,9,FALSE)</f>
        <v>1.1214469245143464</v>
      </c>
      <c r="T52" s="19">
        <f t="shared" si="6"/>
        <v>795020513.36481249</v>
      </c>
      <c r="U52" s="22">
        <f t="shared" si="7"/>
        <v>20263.853614301624</v>
      </c>
      <c r="V52" s="35">
        <f>SUMIF($A$1:$A$65535,210012,V$1:V$65535)</f>
        <v>0</v>
      </c>
      <c r="W52" s="79">
        <f t="shared" si="8"/>
        <v>39233.431532673072</v>
      </c>
      <c r="X52" s="15">
        <f t="shared" si="9"/>
        <v>795020513.36481261</v>
      </c>
      <c r="Y52" s="11">
        <f>VLOOKUP(A52,'Rate Application - REM Cycle I'!$1:$65535,7,FALSE)</f>
        <v>853868775.33511937</v>
      </c>
      <c r="Z52" s="78">
        <f t="shared" si="10"/>
        <v>-6.8919561963383003E-2</v>
      </c>
      <c r="AA52" s="82">
        <f>IFERROR(VLOOKUP(A52,'GBR Revenue for ICC'!#REF!,17,FALSE),0)</f>
        <v>0</v>
      </c>
      <c r="AB52" s="82">
        <f t="shared" si="11"/>
        <v>0</v>
      </c>
      <c r="AC52" s="11">
        <f t="shared" si="12"/>
        <v>853868775.33511937</v>
      </c>
      <c r="AD52" s="11">
        <f t="shared" si="13"/>
        <v>795020513.36481261</v>
      </c>
      <c r="AF52" s="343" t="e">
        <f>VLOOKUP(A52,[1]icc_by_hosp_year!$A:$IV,9,FALSE)</f>
        <v>#N/A</v>
      </c>
      <c r="AG52" s="344" t="e">
        <f t="shared" si="14"/>
        <v>#N/A</v>
      </c>
      <c r="AH52" s="343">
        <f>VLOOKUP(A52,'[2]Rate Application - ICC Cycle II'!$A:$IV,26,FALSE)</f>
        <v>-9.8683772977861572E-2</v>
      </c>
      <c r="AI52" s="344">
        <f t="shared" si="15"/>
        <v>-2.976421101447857E-2</v>
      </c>
    </row>
    <row r="53" spans="1:35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87">
        <f>IF(C53=1,'Rate Application - ICC Cycle I'!$Y$65,IF(C53=3,'Rate Application - ICC Cycle I'!$Y$66,IF(C53=4,'Rate Application - ICC Cycle I'!$Y$67,IF(C53=5,'Rate Application - ICC Cycle I'!$Y$68,0))))</f>
        <v>12635.590589674488</v>
      </c>
      <c r="E53" s="87">
        <v>0</v>
      </c>
      <c r="F53" s="87">
        <f t="shared" si="16"/>
        <v>0</v>
      </c>
      <c r="G53" s="87">
        <v>0</v>
      </c>
      <c r="H53" s="87">
        <f t="shared" si="0"/>
        <v>12635.590589674488</v>
      </c>
      <c r="I53" s="65">
        <f>VLOOKUP(A53,'Rate Application - REM Cycle I'!$1:$65535,15,FALSE)</f>
        <v>26999.26188542712</v>
      </c>
      <c r="J53" s="19">
        <f>VLOOKUP(A53,'Rate Application - REM Cycle I'!$1:$65535,20,FALSE)</f>
        <v>1182.417690332225</v>
      </c>
      <c r="K53" s="11">
        <f t="shared" si="1"/>
        <v>13818.008280006714</v>
      </c>
      <c r="L53" s="11">
        <f>(K53*I53)+VLOOKUP(A53,'Rate Application - ICC Cycle I'!$1:$1048576,21,FALSE)</f>
        <v>461599372.01166284</v>
      </c>
      <c r="M53" s="36">
        <f>VLOOKUP(A53,'Variable Input'!$1:$1048576,23,FALSE)</f>
        <v>0.99671861092415948</v>
      </c>
      <c r="N53" s="22">
        <f t="shared" si="2"/>
        <v>460084684.87492895</v>
      </c>
      <c r="O53" s="19">
        <f t="shared" si="3"/>
        <v>17040.63936367313</v>
      </c>
      <c r="P53" s="18">
        <f>VLOOKUP(A53,'Rate Application - REM Cycle I'!$1:$65535,11,FALSE)</f>
        <v>12196844.09297953</v>
      </c>
      <c r="Q53" s="18">
        <f t="shared" si="4"/>
        <v>472281528.9679085</v>
      </c>
      <c r="R53" s="19">
        <f t="shared" si="5"/>
        <v>17492.386679756713</v>
      </c>
      <c r="S53" s="81">
        <f>VLOOKUP(A53,'Rate Application - REM Cycle I'!$1:$65535,9,FALSE)</f>
        <v>1.1223202362274129</v>
      </c>
      <c r="T53" s="19">
        <f t="shared" si="6"/>
        <v>530051117.15710682</v>
      </c>
      <c r="U53" s="22">
        <f t="shared" si="7"/>
        <v>19632.059550605805</v>
      </c>
      <c r="V53" s="35">
        <f>SUMIF($A$1:$A$65535,210024,V$1:V$65535)</f>
        <v>0</v>
      </c>
      <c r="W53" s="79">
        <f t="shared" si="8"/>
        <v>26999.26188542712</v>
      </c>
      <c r="X53" s="15">
        <f t="shared" si="9"/>
        <v>530051117.15710682</v>
      </c>
      <c r="Y53" s="11">
        <f>VLOOKUP(A53,'Rate Application - REM Cycle I'!$1:$65535,7,FALSE)</f>
        <v>481596679.12083691</v>
      </c>
      <c r="Z53" s="78">
        <f t="shared" si="10"/>
        <v>0.10061206843187609</v>
      </c>
      <c r="AA53" s="82">
        <f>IFERROR(VLOOKUP(A53,'GBR Revenue for ICC'!#REF!,17,FALSE),0)</f>
        <v>0</v>
      </c>
      <c r="AB53" s="82">
        <f t="shared" si="11"/>
        <v>0</v>
      </c>
      <c r="AC53" s="11">
        <f t="shared" si="12"/>
        <v>481596679.12083691</v>
      </c>
      <c r="AD53" s="11">
        <f t="shared" si="13"/>
        <v>530051117.15710682</v>
      </c>
      <c r="AF53" s="343" t="e">
        <f>VLOOKUP(A53,[1]icc_by_hosp_year!$A:$IV,9,FALSE)</f>
        <v>#N/A</v>
      </c>
      <c r="AG53" s="344" t="e">
        <f t="shared" si="14"/>
        <v>#N/A</v>
      </c>
      <c r="AH53" s="343">
        <f>VLOOKUP(A53,'[2]Rate Application - ICC Cycle II'!$A:$IV,26,FALSE)</f>
        <v>2.9302308038512637E-2</v>
      </c>
      <c r="AI53" s="344">
        <f t="shared" si="15"/>
        <v>-7.1309760393363453E-2</v>
      </c>
    </row>
    <row r="54" spans="1:35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87">
        <f>IF(C54=1,'Rate Application - ICC Cycle I'!$Y$65,IF(C54=3,'Rate Application - ICC Cycle I'!$Y$66,IF(C54=4,'Rate Application - ICC Cycle I'!$Y$67,IF(C54=5,'Rate Application - ICC Cycle I'!$Y$68,0))))</f>
        <v>12635.590589674488</v>
      </c>
      <c r="E54" s="87">
        <v>0</v>
      </c>
      <c r="F54" s="87">
        <f t="shared" si="16"/>
        <v>0</v>
      </c>
      <c r="G54" s="87">
        <v>0</v>
      </c>
      <c r="H54" s="87">
        <f t="shared" si="0"/>
        <v>12635.590589674488</v>
      </c>
      <c r="I54" s="65">
        <f>VLOOKUP(A54,'Rate Application - REM Cycle I'!$1:$65535,15,FALSE)</f>
        <v>35540.799933832066</v>
      </c>
      <c r="J54" s="19">
        <f>VLOOKUP(A54,'Rate Application - REM Cycle I'!$1:$65535,20,FALSE)</f>
        <v>1440.3814806605105</v>
      </c>
      <c r="K54" s="11">
        <f t="shared" si="1"/>
        <v>14075.972070334999</v>
      </c>
      <c r="L54" s="11">
        <f>(K54*I54)+VLOOKUP(A54,'Rate Application - ICC Cycle I'!$1:$1048576,21,FALSE)</f>
        <v>619008945.54326081</v>
      </c>
      <c r="M54" s="36">
        <f>VLOOKUP(A54,'Variable Input'!$1:$1048576,23,FALSE)</f>
        <v>0.99671861092415948</v>
      </c>
      <c r="N54" s="22">
        <f t="shared" si="2"/>
        <v>616977736.35150754</v>
      </c>
      <c r="O54" s="19">
        <f t="shared" si="3"/>
        <v>17359.703143996849</v>
      </c>
      <c r="P54" s="18">
        <f>VLOOKUP(A54,'Rate Application - REM Cycle I'!$1:$65535,11,FALSE)</f>
        <v>27476780.845164478</v>
      </c>
      <c r="Q54" s="18">
        <f t="shared" si="4"/>
        <v>644454517.19667196</v>
      </c>
      <c r="R54" s="19">
        <f t="shared" si="5"/>
        <v>18132.808445405914</v>
      </c>
      <c r="S54" s="81">
        <f>VLOOKUP(A54,'Rate Application - REM Cycle I'!$1:$65535,9,FALSE)</f>
        <v>1.1160480491569686</v>
      </c>
      <c r="T54" s="19">
        <f t="shared" si="6"/>
        <v>719242206.68774188</v>
      </c>
      <c r="U54" s="22">
        <f t="shared" si="7"/>
        <v>20237.085491232276</v>
      </c>
      <c r="V54" s="35">
        <f>SUMIF($A$1:$A$65535,210029,V$1:V$65535)</f>
        <v>0</v>
      </c>
      <c r="W54" s="79">
        <f t="shared" si="8"/>
        <v>35540.799933832066</v>
      </c>
      <c r="X54" s="15">
        <f t="shared" si="9"/>
        <v>719242206.68774188</v>
      </c>
      <c r="Y54" s="11">
        <f>VLOOKUP(A54,'Rate Application - REM Cycle I'!$1:$65535,7,FALSE)</f>
        <v>714563622.53195643</v>
      </c>
      <c r="Z54" s="78">
        <f t="shared" si="10"/>
        <v>6.547470383683196E-3</v>
      </c>
      <c r="AA54" s="82">
        <f>IFERROR(VLOOKUP(A54,'GBR Revenue for ICC'!#REF!,17,FALSE),0)</f>
        <v>0</v>
      </c>
      <c r="AB54" s="82">
        <f t="shared" si="11"/>
        <v>0</v>
      </c>
      <c r="AC54" s="11">
        <f t="shared" si="12"/>
        <v>714563622.53195643</v>
      </c>
      <c r="AD54" s="11">
        <f t="shared" si="13"/>
        <v>719242206.68774188</v>
      </c>
      <c r="AF54" s="343" t="e">
        <f>VLOOKUP(A54,[1]icc_by_hosp_year!$A:$IV,9,FALSE)</f>
        <v>#N/A</v>
      </c>
      <c r="AG54" s="344" t="e">
        <f t="shared" si="14"/>
        <v>#N/A</v>
      </c>
      <c r="AH54" s="343">
        <f>VLOOKUP(A54,'[2]Rate Application - ICC Cycle II'!$A:$IV,26,FALSE)</f>
        <v>1.8865832466672616E-2</v>
      </c>
      <c r="AI54" s="344">
        <f t="shared" si="15"/>
        <v>1.231836208298942E-2</v>
      </c>
    </row>
    <row r="55" spans="1:35" ht="17.7" x14ac:dyDescent="0.6">
      <c r="A55" s="26"/>
      <c r="B55" s="26"/>
      <c r="C55" s="31"/>
      <c r="D55" s="19"/>
      <c r="E55" s="19"/>
      <c r="F55" s="19"/>
      <c r="G55" s="19"/>
      <c r="H55" s="19"/>
      <c r="I55" s="31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  <c r="AF55" s="343" t="e">
        <f>VLOOKUP(A55,[1]icc_by_hosp_year!$A:$IV,9,FALSE)</f>
        <v>#N/A</v>
      </c>
      <c r="AG55" s="344" t="e">
        <f t="shared" si="14"/>
        <v>#N/A</v>
      </c>
      <c r="AH55" s="343" t="e">
        <f>VLOOKUP(A55,'[2]Rate Application - ICC Cycle II'!$A:$IV,26,FALSE)</f>
        <v>#N/A</v>
      </c>
      <c r="AI55" s="344" t="e">
        <f t="shared" si="15"/>
        <v>#N/A</v>
      </c>
    </row>
    <row r="56" spans="1:35" ht="17.7" x14ac:dyDescent="0.6">
      <c r="A56" s="26"/>
      <c r="B56" s="26"/>
      <c r="C56" s="31"/>
      <c r="D56" s="19"/>
      <c r="E56" s="19"/>
      <c r="F56" s="85"/>
      <c r="G56" s="19"/>
      <c r="H56" s="19"/>
      <c r="I56" s="31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5" ht="17.7" x14ac:dyDescent="0.6">
      <c r="A57" s="26"/>
      <c r="B57" s="26"/>
      <c r="C57" s="31"/>
      <c r="D57" s="19"/>
      <c r="E57" s="19"/>
      <c r="F57" s="34"/>
      <c r="G57" s="19"/>
      <c r="H57" s="19"/>
      <c r="I57" s="31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5" ht="17.7" x14ac:dyDescent="0.6">
      <c r="A58" s="26"/>
      <c r="B58" s="26"/>
      <c r="C58" s="31"/>
      <c r="D58" s="19"/>
      <c r="E58" s="19"/>
      <c r="F58" s="19"/>
      <c r="G58" s="19"/>
      <c r="H58" s="19"/>
      <c r="I58" s="31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5" ht="17.7" x14ac:dyDescent="0.6">
      <c r="A59" s="26"/>
      <c r="B59" s="26"/>
      <c r="C59" s="31"/>
      <c r="D59" s="19"/>
      <c r="E59" s="19"/>
      <c r="F59" s="19"/>
      <c r="G59" s="19"/>
      <c r="H59" s="19"/>
      <c r="I59" s="31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5" ht="17.7" x14ac:dyDescent="0.6">
      <c r="A60" s="26"/>
      <c r="B60" s="26"/>
      <c r="C60" s="31"/>
      <c r="D60" s="19"/>
      <c r="E60" s="19"/>
      <c r="F60" s="19"/>
      <c r="G60" s="19"/>
      <c r="H60" s="19"/>
      <c r="I60" s="31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5" ht="21" customHeight="1" x14ac:dyDescent="0.6">
      <c r="A61" s="32" t="s">
        <v>78</v>
      </c>
      <c r="B61" s="26" t="s">
        <v>77</v>
      </c>
      <c r="C61" s="31"/>
      <c r="D61" s="65">
        <f>SUBTOTAL(1,D2:D59)</f>
        <v>9948.2122097477513</v>
      </c>
      <c r="E61" s="65">
        <f>SUBTOTAL(1,E2:E59)</f>
        <v>0</v>
      </c>
      <c r="F61" s="65">
        <f>SUBTOTAL(1,F2:F59)</f>
        <v>0</v>
      </c>
      <c r="G61" s="65">
        <f>SUBTOTAL(1,G2:G59)</f>
        <v>0</v>
      </c>
      <c r="H61" s="65">
        <f>SUBTOTAL(1,H2:H59)</f>
        <v>9948.2122097477513</v>
      </c>
      <c r="I61" s="65">
        <f>SUBTOTAL(9,I2:I59)</f>
        <v>1166982.8882188969</v>
      </c>
      <c r="J61" s="22"/>
      <c r="L61" s="22">
        <f>SUBTOTAL(9,L2:L59)</f>
        <v>17084337927.203537</v>
      </c>
      <c r="M61" s="36">
        <f>'Rate Application - REM Cycle I'!M61</f>
        <v>1.0003666335632411</v>
      </c>
      <c r="N61" s="22">
        <f>SUBTOTAL(9,N2:N59)</f>
        <v>17088735909.970552</v>
      </c>
      <c r="O61" s="19">
        <f>N61/I61</f>
        <v>14643.518840325216</v>
      </c>
      <c r="P61" s="22">
        <f>SUBTOTAL(9,P2:P59)</f>
        <v>393431841.98609471</v>
      </c>
      <c r="Q61" s="22">
        <f>SUBTOTAL(9,Q2:Q59)</f>
        <v>17482167751.956642</v>
      </c>
      <c r="R61" s="19">
        <f>Q61/I61</f>
        <v>14980.654753763127</v>
      </c>
      <c r="S61" s="81">
        <f>'Rate Application - REM Cycle I'!I61</f>
        <v>1.0900365956927256</v>
      </c>
      <c r="T61" s="22">
        <f>SUBTOTAL(9,T2:T59)</f>
        <v>19499424538.489002</v>
      </c>
      <c r="U61" s="22">
        <f>SUBTOTAL(9,U2:U59)</f>
        <v>791971.85724502534</v>
      </c>
      <c r="V61" s="65">
        <f>SUBTOTAL(9,V2:V59)</f>
        <v>0</v>
      </c>
      <c r="W61" s="79">
        <f>I61-V61</f>
        <v>1166982.8882188969</v>
      </c>
      <c r="X61" s="22">
        <f>SUBTOTAL(9,X2:X59)</f>
        <v>19499424538.489002</v>
      </c>
      <c r="Y61" s="22">
        <f>SUBTOTAL(9,Y2:Y59)</f>
        <v>21177755106.99963</v>
      </c>
      <c r="Z61" s="78">
        <f>X61/Y61-1</f>
        <v>-7.9249691954172641E-2</v>
      </c>
    </row>
    <row r="62" spans="1:35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87">
        <f>IF(C62=1,$F$71,IF(C62=3,$F$66,IF(C62=4,$F$67,IF(C62=5,$F$74,0))))</f>
        <v>0</v>
      </c>
      <c r="H62" s="19"/>
      <c r="I62" s="65">
        <f>SUM(I3:I54)-SUMPRODUCT((LEFT($A$3:$A$54,1)+0=9)*I3:I54)</f>
        <v>1011399.3491624917</v>
      </c>
      <c r="J62" s="22">
        <f>'Rate Application - ICC Cycle I'!U62</f>
        <v>543.38370905082365</v>
      </c>
      <c r="K62" s="11">
        <f>+H62+J62</f>
        <v>543.38370905082365</v>
      </c>
      <c r="L62" s="11">
        <f>K62*I62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N62/I62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14744434485.936934</v>
      </c>
      <c r="R62" s="19">
        <f>Q62/I62</f>
        <v>14578.251902323587</v>
      </c>
      <c r="S62" s="81">
        <f>'Rate Application - REM Cycle I'!I62</f>
        <v>1.090209793286856</v>
      </c>
      <c r="T62" s="22">
        <f>SUM(T3:T54)-SUMPRODUCT((LEFT($A$3:$A$54,1)+0=9)*T3:T54)</f>
        <v>16440961016.374805</v>
      </c>
      <c r="U62" s="22">
        <f>SUM(U3:U54)-SUMPRODUCT((LEFT($A$3:$A$54,1)+0=9)*U3:U54)</f>
        <v>692931.00883432874</v>
      </c>
      <c r="V62" s="65">
        <f>SUM(V3:V54)-SUMPRODUCT((LEFT($A$3:$A$54,1)+0=9)*V3:V54)</f>
        <v>0</v>
      </c>
      <c r="W62" s="79">
        <f>I62-V62</f>
        <v>1011399.3491624917</v>
      </c>
      <c r="X62" s="22">
        <f>SUM(X3:X54)-SUMPRODUCT((LEFT($A$3:$A$54,1)+0=9)*X3:X54)</f>
        <v>16440961016.374805</v>
      </c>
      <c r="Y62" s="22">
        <f>SUM(Y3:Y54)-SUMPRODUCT((LEFT($A$3:$A$54,1)+0=9)*Y3:Y54)</f>
        <v>18117692706.615276</v>
      </c>
      <c r="Z62" s="78">
        <f>X62/Y62-1</f>
        <v>-9.254664583356409E-2</v>
      </c>
    </row>
    <row r="63" spans="1:35" ht="17.7" x14ac:dyDescent="0.6">
      <c r="I63" s="82"/>
      <c r="J63" s="22"/>
      <c r="K63" s="12"/>
      <c r="L63" s="12"/>
      <c r="M63" s="36"/>
      <c r="S63" s="81"/>
      <c r="T63" s="12"/>
      <c r="V63" s="83"/>
      <c r="X63" s="12"/>
      <c r="Y63" s="12"/>
    </row>
    <row r="64" spans="1:35" ht="17.7" x14ac:dyDescent="0.6">
      <c r="I64" s="8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10459.948799491747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0</v>
      </c>
      <c r="H65" s="23">
        <f>AVERAGEIF($C$1:$C$65535,1,H$1:H$65535)</f>
        <v>10459.948799491747</v>
      </c>
      <c r="I65" s="80">
        <f>SUMIF($C$1:$C$65535,1,I$1:I$65535)</f>
        <v>848536.38418973342</v>
      </c>
      <c r="J65" s="22">
        <f>'Rate Application - ICC Cycle I'!U65</f>
        <v>131.27420908993491</v>
      </c>
      <c r="K65" s="11">
        <f>+H65+J65</f>
        <v>10591.223008581683</v>
      </c>
      <c r="L65" s="11">
        <f>K65*I65</f>
        <v>8987038075.8490105</v>
      </c>
      <c r="M65" s="36">
        <f>'Rate Application - REM Cycle I'!M65</f>
        <v>1.0014818635818203</v>
      </c>
      <c r="N65" s="18">
        <f>SUMIF($C$1:$C$65535,1,N$1:N$65535)</f>
        <v>11505881679.762943</v>
      </c>
      <c r="O65" s="19">
        <f>N65/I65</f>
        <v>13559.679813553192</v>
      </c>
      <c r="P65" s="18">
        <f>SUMIF($C$1:$C$65535,1,P$1:P$65535)</f>
        <v>135726645.33431077</v>
      </c>
      <c r="Q65" s="18">
        <f>SUMIF($C$1:$C$65535,1,Q$1:Q$65535)</f>
        <v>11641608325.097254</v>
      </c>
      <c r="R65" s="19">
        <f>Q65/I65</f>
        <v>13719.633644482805</v>
      </c>
      <c r="S65" s="81">
        <f>'Rate Application - REM Cycle I'!I65</f>
        <v>1.0993762674816792</v>
      </c>
      <c r="T65" s="18">
        <f>SUMIF($C$1:$C$65535,1,T$1:T$65535)</f>
        <v>12998108335.599579</v>
      </c>
      <c r="U65" s="18">
        <f>SUMIF($C$1:$C$65535,1,U$1:U$65535)</f>
        <v>630243.85436978226</v>
      </c>
      <c r="V65" s="80">
        <f>SUMIF($C$1:$C$65535,1,V$1:V$65535)</f>
        <v>0</v>
      </c>
      <c r="W65" s="79">
        <f>I65-V65</f>
        <v>848536.38418973342</v>
      </c>
      <c r="X65" s="18">
        <f>SUMIF($C$1:$C$65535,1,X$1:X$65535)</f>
        <v>12998108335.599579</v>
      </c>
      <c r="Y65" s="18">
        <f>SUMIF($C$1:$C$65535,1,Y$1:Y$65535)</f>
        <v>14273992623.000803</v>
      </c>
      <c r="Z65" s="78">
        <f>X65/Y65-1</f>
        <v>-8.9385242174308766E-2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23" t="e">
        <f>AVERAGEIF($C$1:$C$65535,3,H$1:H$65535)</f>
        <v>#DIV/0!</v>
      </c>
      <c r="I66" s="80">
        <f>SUMIF($C$1:$C$65535,3,I$1:I$65535)</f>
        <v>0</v>
      </c>
      <c r="J66" s="22" t="e">
        <f>'Rate Application - ICC Cycle I'!U66</f>
        <v>#DIV/0!</v>
      </c>
      <c r="K66" s="11" t="e">
        <f>+H66+J66</f>
        <v>#DIV/0!</v>
      </c>
      <c r="L66" s="11" t="e">
        <f>K66*I66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N66/I66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Q66/I66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I66-V66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23" t="e">
        <f>AVERAGEIF($C$1:$C$65535,4,H$1:H$65535)</f>
        <v>#DIV/0!</v>
      </c>
      <c r="I67" s="80">
        <f>SUMIF($C$1:$C$65535,4,I$1:I$65535)</f>
        <v>0</v>
      </c>
      <c r="J67" s="22" t="e">
        <f>'Rate Application - ICC Cycle I'!U67</f>
        <v>#DIV/0!</v>
      </c>
      <c r="K67" s="11" t="e">
        <f>+H67+J67</f>
        <v>#DIV/0!</v>
      </c>
      <c r="L67" s="11" t="e">
        <f>K67*I67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N67/I67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Q67/I67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I67-V67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12635.59058967449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0</v>
      </c>
      <c r="H68" s="23">
        <f>AVERAGEIF($C$1:$C$65535,5,H$1:H$65535)</f>
        <v>12635.59058967449</v>
      </c>
      <c r="I68" s="80">
        <f>SUMIF($C$1:$C$65535,5,I$1:I$65535)</f>
        <v>313101.47436853946</v>
      </c>
      <c r="J68" s="22">
        <f>'Rate Application - ICC Cycle I'!U68</f>
        <v>1922.6648445368019</v>
      </c>
      <c r="K68" s="11">
        <f>+H68+J68</f>
        <v>14558.255434211293</v>
      </c>
      <c r="L68" s="11">
        <f>K68*I68</f>
        <v>4558211240.6853571</v>
      </c>
      <c r="M68" s="36">
        <f>'Rate Application - REM Cycle I'!M68</f>
        <v>0.99790031034215976</v>
      </c>
      <c r="N68" s="18">
        <f>SUMIF($C$1:$C$65535,5,N$1:N$65535)</f>
        <v>5560175533.2793941</v>
      </c>
      <c r="O68" s="19">
        <f>N68/I68</f>
        <v>17758.381829702692</v>
      </c>
      <c r="P68" s="18">
        <f>SUMIF($C$1:$C$65535,5,P$1:P$65535)</f>
        <v>257501081.74744377</v>
      </c>
      <c r="Q68" s="18">
        <f>SUMIF($C$1:$C$65535,5,Q$1:Q$65535)</f>
        <v>5817676615.0268364</v>
      </c>
      <c r="R68" s="19">
        <f>Q68/I68</f>
        <v>18580.802363706141</v>
      </c>
      <c r="S68" s="81">
        <f>'Rate Application - REM Cycle I'!I68</f>
        <v>1.0695902147917553</v>
      </c>
      <c r="T68" s="18">
        <f>SUMIF($C$1:$C$65535,5,T$1:T$65535)</f>
        <v>6474635813.9220619</v>
      </c>
      <c r="U68" s="18">
        <f>SUMIF($C$1:$C$65535,5,U$1:U$65535)</f>
        <v>142800.97526058191</v>
      </c>
      <c r="V68" s="80">
        <f>SUMIF($C$1:$C$65535,5,V$1:V$65535)</f>
        <v>0</v>
      </c>
      <c r="W68" s="79">
        <f>I68-V68</f>
        <v>313101.47436853946</v>
      </c>
      <c r="X68" s="18">
        <f>SUMIF($C$1:$C$65535,5,X$1:X$65535)</f>
        <v>6474635813.9220619</v>
      </c>
      <c r="Y68" s="18">
        <f>SUMIF($C$1:$C$65535,5,Y$1:Y$65535)</f>
        <v>6818078919.679533</v>
      </c>
      <c r="Z68" s="78">
        <f>X68/Y68-1</f>
        <v>-5.0372415720528751E-2</v>
      </c>
    </row>
    <row r="69" spans="1:26" x14ac:dyDescent="0.5">
      <c r="I69" s="77"/>
    </row>
    <row r="70" spans="1:26" x14ac:dyDescent="0.5">
      <c r="E70" s="76"/>
      <c r="F70" s="76"/>
      <c r="G70" s="74"/>
    </row>
    <row r="71" spans="1:26" x14ac:dyDescent="0.5">
      <c r="E71" s="76"/>
      <c r="F71" s="76"/>
      <c r="G71" s="76"/>
      <c r="H71" s="76"/>
    </row>
    <row r="72" spans="1:26" x14ac:dyDescent="0.5">
      <c r="E72" s="76"/>
      <c r="F72" s="76"/>
      <c r="G72" s="76"/>
      <c r="H72" s="76"/>
      <c r="Z72" s="336"/>
    </row>
    <row r="73" spans="1:26" x14ac:dyDescent="0.5">
      <c r="E73" s="76"/>
      <c r="F73" s="76"/>
      <c r="G73" s="76"/>
      <c r="H73" s="76"/>
    </row>
  </sheetData>
  <sheetCalcPr fullCalcOnLoad="1"/>
  <autoFilter ref="A2:AI2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21"/>
  <sheetViews>
    <sheetView zoomScale="110" zoomScaleNormal="110" zoomScaleSheetLayoutView="84" workbookViewId="0">
      <selection activeCell="F23" sqref="F23"/>
    </sheetView>
  </sheetViews>
  <sheetFormatPr defaultRowHeight="14.4" x14ac:dyDescent="0.55000000000000004"/>
  <cols>
    <col min="1" max="1" width="32.41796875" bestFit="1" customWidth="1"/>
    <col min="2" max="2" width="47.26171875" bestFit="1" customWidth="1"/>
    <col min="3" max="3" width="7" hidden="1" customWidth="1"/>
    <col min="4" max="4" width="8.578125" customWidth="1"/>
    <col min="5" max="5" width="14.83984375" customWidth="1"/>
    <col min="6" max="6" width="14.41796875" customWidth="1"/>
    <col min="7" max="7" width="14.83984375" customWidth="1"/>
    <col min="9" max="9" width="11.41796875" customWidth="1"/>
    <col min="10" max="10" width="13" customWidth="1"/>
    <col min="12" max="12" width="11.83984375" customWidth="1"/>
    <col min="13" max="13" width="12" customWidth="1"/>
    <col min="14" max="14" width="12.15625" bestFit="1" customWidth="1"/>
    <col min="15" max="15" width="12.41796875" customWidth="1"/>
    <col min="16" max="16" width="11.26171875" customWidth="1"/>
    <col min="17" max="17" width="16.578125" bestFit="1" customWidth="1"/>
    <col min="18" max="18" width="11.83984375" customWidth="1"/>
    <col min="20" max="20" width="11.26171875" customWidth="1"/>
    <col min="21" max="21" width="0" hidden="1" customWidth="1"/>
    <col min="22" max="22" width="11.578125" hidden="1" customWidth="1"/>
    <col min="24" max="24" width="12.15625" customWidth="1"/>
    <col min="26" max="26" width="22.26171875" bestFit="1" customWidth="1"/>
    <col min="27" max="27" width="21.15625" bestFit="1" customWidth="1"/>
    <col min="30" max="30" width="0" hidden="1" customWidth="1"/>
  </cols>
  <sheetData>
    <row r="1" spans="1:30" x14ac:dyDescent="0.55000000000000004">
      <c r="A1" s="449" t="s">
        <v>419</v>
      </c>
      <c r="B1" s="449"/>
      <c r="C1">
        <f>VLOOKUP(A1,vlookup!J:L,3,FALSE)</f>
        <v>210008</v>
      </c>
      <c r="E1" s="303"/>
      <c r="F1" s="127"/>
      <c r="G1" s="127"/>
      <c r="H1" s="304"/>
      <c r="I1" s="127"/>
      <c r="J1" s="127"/>
      <c r="K1" s="440" t="s">
        <v>444</v>
      </c>
      <c r="L1" s="440"/>
      <c r="M1" s="440"/>
      <c r="N1" s="441" t="s">
        <v>445</v>
      </c>
      <c r="O1" s="441"/>
      <c r="P1" s="441"/>
      <c r="Q1" s="442" t="s">
        <v>445</v>
      </c>
      <c r="R1" s="442"/>
      <c r="S1" s="439" t="s">
        <v>446</v>
      </c>
      <c r="T1" s="439"/>
      <c r="U1" s="440" t="s">
        <v>444</v>
      </c>
      <c r="V1" s="440"/>
      <c r="W1" s="441" t="s">
        <v>445</v>
      </c>
      <c r="X1" s="441"/>
      <c r="Z1" t="s">
        <v>29</v>
      </c>
      <c r="AA1" s="93">
        <v>-0.14626627308768347</v>
      </c>
      <c r="AB1" s="93">
        <v>-0.17425094583498221</v>
      </c>
    </row>
    <row r="2" spans="1:30" ht="15" customHeight="1" x14ac:dyDescent="0.55000000000000004">
      <c r="A2" s="305"/>
      <c r="B2" s="305"/>
      <c r="C2" s="305"/>
      <c r="D2" s="305"/>
      <c r="E2" s="445" t="s">
        <v>462</v>
      </c>
      <c r="F2" s="445"/>
      <c r="G2" s="445"/>
      <c r="H2" s="445" t="s">
        <v>447</v>
      </c>
      <c r="I2" s="445"/>
      <c r="J2" s="445"/>
      <c r="K2" s="445" t="s">
        <v>448</v>
      </c>
      <c r="L2" s="445"/>
      <c r="M2" s="445"/>
      <c r="N2" s="438" t="s">
        <v>449</v>
      </c>
      <c r="O2" s="438"/>
      <c r="P2" s="438"/>
      <c r="Q2" s="446" t="s">
        <v>461</v>
      </c>
      <c r="R2" s="446"/>
      <c r="S2" s="438" t="s">
        <v>450</v>
      </c>
      <c r="T2" s="438"/>
      <c r="U2" s="438" t="s">
        <v>451</v>
      </c>
      <c r="V2" s="438"/>
      <c r="W2" s="438" t="s">
        <v>452</v>
      </c>
      <c r="X2" s="443"/>
      <c r="Z2" t="s">
        <v>318</v>
      </c>
      <c r="AA2" s="93">
        <v>-5.46853001402684E-2</v>
      </c>
      <c r="AB2" s="93">
        <v>-2.7353687466547622E-2</v>
      </c>
    </row>
    <row r="3" spans="1:30" ht="43.2" x14ac:dyDescent="0.55000000000000004">
      <c r="A3" s="305"/>
      <c r="B3" s="305"/>
      <c r="C3" s="305"/>
      <c r="D3" s="305" t="s">
        <v>464</v>
      </c>
      <c r="E3" s="306" t="s">
        <v>453</v>
      </c>
      <c r="F3" s="306" t="s">
        <v>454</v>
      </c>
      <c r="G3" s="306" t="s">
        <v>455</v>
      </c>
      <c r="H3" s="306" t="s">
        <v>453</v>
      </c>
      <c r="I3" s="306" t="s">
        <v>454</v>
      </c>
      <c r="J3" s="306" t="s">
        <v>455</v>
      </c>
      <c r="K3" s="306" t="s">
        <v>453</v>
      </c>
      <c r="L3" s="306" t="s">
        <v>454</v>
      </c>
      <c r="M3" s="306" t="s">
        <v>455</v>
      </c>
      <c r="N3" s="306" t="s">
        <v>453</v>
      </c>
      <c r="O3" s="306" t="s">
        <v>454</v>
      </c>
      <c r="P3" s="306" t="s">
        <v>455</v>
      </c>
      <c r="Q3" s="306" t="s">
        <v>456</v>
      </c>
      <c r="R3" s="306" t="s">
        <v>454</v>
      </c>
      <c r="S3" s="306" t="s">
        <v>456</v>
      </c>
      <c r="T3" s="306" t="s">
        <v>454</v>
      </c>
      <c r="U3" s="306" t="s">
        <v>456</v>
      </c>
      <c r="V3" s="306" t="s">
        <v>455</v>
      </c>
      <c r="W3" s="306" t="s">
        <v>456</v>
      </c>
      <c r="X3" s="306" t="s">
        <v>455</v>
      </c>
      <c r="Z3" s="306" t="s">
        <v>647</v>
      </c>
      <c r="AA3" s="309">
        <f>W4-AA1</f>
        <v>3.613020419550439E-2</v>
      </c>
      <c r="AB3" s="309">
        <f>Z4-AB1</f>
        <v>5.8458104738952008E-2</v>
      </c>
      <c r="AD3" s="306" t="s">
        <v>646</v>
      </c>
    </row>
    <row r="4" spans="1:30" x14ac:dyDescent="0.55000000000000004">
      <c r="A4" s="448" t="s">
        <v>457</v>
      </c>
      <c r="B4" t="str">
        <f>$A$1</f>
        <v>MERCY MEDICAL CENTER</v>
      </c>
      <c r="C4">
        <f>$C$1</f>
        <v>210008</v>
      </c>
      <c r="E4" s="303">
        <f>VLOOKUP($C4,'Rate Application - ICC Cycle I'!$1:$1048576,8,FALSE)</f>
        <v>16952.79572229847</v>
      </c>
      <c r="F4" s="127"/>
      <c r="G4" s="127"/>
      <c r="H4" s="303">
        <f>VLOOKUP($C4,'Rate Application - ICC Cycle I'!$1:$1048576,29,FALSE)</f>
        <v>15292.103857179725</v>
      </c>
      <c r="I4" s="127"/>
      <c r="J4" s="127"/>
      <c r="K4" s="303">
        <f>VLOOKUP($C4,'Rate Application - REM Cycle I'!$1:$1048576,24,FALSE)</f>
        <v>15012.634228189643</v>
      </c>
      <c r="L4" s="127"/>
      <c r="M4" s="127"/>
      <c r="N4" s="303">
        <f>VLOOKUP($C4,'Rate Application - ICC Cycle I'!$1:$1048576,25,FALSE)</f>
        <v>10610.693279258765</v>
      </c>
      <c r="O4" s="127"/>
      <c r="P4" s="246"/>
      <c r="Q4" s="300">
        <f>VLOOKUP(C4,PROFIT!$1:$1048576,7,FALSE)</f>
        <v>9.7959763824346249E-2</v>
      </c>
      <c r="R4" s="127"/>
      <c r="S4" s="300">
        <f>-PROFIT!H58</f>
        <v>-3.4214885864381206E-3</v>
      </c>
      <c r="T4" s="127"/>
      <c r="U4" s="93">
        <f>VLOOKUP($C4,'Rate Application - REM Cycle II'!$1:$1048576,26,FALSE)</f>
        <v>-2.0254690601029801E-2</v>
      </c>
      <c r="V4" s="93"/>
      <c r="W4" s="300">
        <f>VLOOKUP(C4,'Rate Application - ICC Cycle II'!$1:$1048576,26,FALSE)</f>
        <v>-0.11013606889217908</v>
      </c>
      <c r="X4" s="94"/>
      <c r="Z4" s="300">
        <f>(1-O5)-Q4+S4</f>
        <v>-0.11579284109603021</v>
      </c>
      <c r="AB4" s="309"/>
      <c r="AD4" s="93">
        <f>VLOOKUP(C1,'GBR Revenue for ICC'!1:1048576,12,FALSE)</f>
        <v>5.1886649364488245E-2</v>
      </c>
    </row>
    <row r="5" spans="1:30" x14ac:dyDescent="0.55000000000000004">
      <c r="A5" s="448"/>
      <c r="B5" t="s">
        <v>458</v>
      </c>
      <c r="C5">
        <f>VLOOKUP(C4,'Variable Input'!1:1048576,3,FALSE)</f>
        <v>1</v>
      </c>
      <c r="D5">
        <f>COUNTIF('Rate Application - ICC Cycle II'!C:C,'Hospital Summary'!C5)</f>
        <v>41</v>
      </c>
      <c r="E5" s="303">
        <f>VLOOKUP($C5,'Rate Application - ICC Cycle I'!$1:$1048576,8,FALSE)</f>
        <v>16821.89814009098</v>
      </c>
      <c r="F5" s="127">
        <f>E4/E5</f>
        <v>1.0077813800272353</v>
      </c>
      <c r="G5" s="315">
        <f>COUNTIFS('Rate Application - REM Cycle I'!$C$3:$C$54,$C$5,'Rate Application - REM Cycle I'!$H$3:$H$54,"&lt;"&amp;VLOOKUP($C$4,'Rate Application - REM Cycle I'!$1:$1048576,8,FALSE))+1</f>
        <v>22</v>
      </c>
      <c r="H5" s="303">
        <f>VLOOKUP($C5,'Rate Application - ICC Cycle I'!$1:$1048576,29,FALSE)</f>
        <v>15321.073257013144</v>
      </c>
      <c r="I5" s="127">
        <f>H4/H5</f>
        <v>0.99810917947147348</v>
      </c>
      <c r="J5" s="315">
        <f>COUNTIFS('Rate Application - ICC Cycle I'!$C$3:$C$54,$C$5,'Rate Application - ICC Cycle I'!$AC$3:$AC$54,"&lt;"&amp;VLOOKUP($C$4,'Rate Application - ICC Cycle I'!$1:$1048576,29,FALSE))+1</f>
        <v>21</v>
      </c>
      <c r="K5" s="303">
        <f>VLOOKUP($C5,'Rate Application - REM Cycle I'!$1:$1048576,24,FALSE)</f>
        <v>14752.82215273459</v>
      </c>
      <c r="L5" s="127">
        <f>K4/K5</f>
        <v>1.0176110084406389</v>
      </c>
      <c r="M5" s="315">
        <f>COUNTIFS('Rate Application - REM Cycle I'!$C$3:$C$54,$C$5,'Rate Application - REM Cycle I'!$X$3:$X$54,"&lt;"&amp;VLOOKUP($C$4,'Rate Application - REM Cycle I'!$1:$1048576,24,FALSE))+1</f>
        <v>23</v>
      </c>
      <c r="N5" s="303">
        <f>VLOOKUP($C5,'Rate Application - ICC Cycle I'!$1:$1048576,25,FALSE)</f>
        <v>10459.948799491758</v>
      </c>
      <c r="O5" s="307">
        <f>N4/N5</f>
        <v>1.0144115886852458</v>
      </c>
      <c r="P5" s="315">
        <f>COUNTIFS('Rate Application - ICC Cycle I'!$C$3:$C$54,$C$5,'Rate Application - ICC Cycle I'!$Y$3:$Y$54,"&lt;"&amp;VLOOKUP($C$4,'Rate Application - ICC Cycle I'!$1:$1048576,25,FALSE))+1</f>
        <v>20</v>
      </c>
      <c r="Q5" s="94">
        <f>SUMIF(PROFIT!C:C,1,PROFIT!E:E)/SUMIF(PROFIT!C:C,1,PROFIT!F:F)</f>
        <v>9.0575178111910667E-2</v>
      </c>
      <c r="R5" s="127">
        <f>Q4/Q5-1</f>
        <v>8.15299055035974E-2</v>
      </c>
      <c r="S5" s="94">
        <f>S4</f>
        <v>-3.4214885864381206E-3</v>
      </c>
      <c r="T5" s="127">
        <f>S4/S5-1</f>
        <v>0</v>
      </c>
      <c r="U5" s="93">
        <f>VLOOKUP($C5,'Rate Application - REM Cycle II'!$1:$1048576,26,FALSE)</f>
        <v>-7.3519579423714232E-3</v>
      </c>
      <c r="V5" s="317">
        <f>COUNTIFS('Rate Application - REM Cycle II'!$C$3:$C$54,$C$5,'Rate Application - REM Cycle II'!$Z$3:$Z$54,"&gt;"&amp;VLOOKUP($C$4,'Rate Application - REM Cycle II'!$1:$1048576,26,FALSE))+1</f>
        <v>21</v>
      </c>
      <c r="W5" s="94">
        <f>VLOOKUP(C5,'Rate Application - ICC Cycle II'!$1:$1048576,26,FALSE)</f>
        <v>-9.17634224552768E-2</v>
      </c>
      <c r="X5" s="315">
        <f>COUNTIFS('Rate Application - ICC Cycle II'!$C$3:$C$54,$C$5,'Rate Application - ICC Cycle II'!$Z$3:$Z$54,"&gt;"&amp;VLOOKUP($C$4,'Rate Application - ICC Cycle II'!$1:$1048576,26,FALSE))+1</f>
        <v>20</v>
      </c>
      <c r="AA5" s="309"/>
    </row>
    <row r="6" spans="1:30" x14ac:dyDescent="0.55000000000000004">
      <c r="A6" s="448"/>
      <c r="B6" t="s">
        <v>210</v>
      </c>
      <c r="C6">
        <v>99</v>
      </c>
      <c r="D6">
        <v>43</v>
      </c>
      <c r="E6" s="303">
        <f>VLOOKUP($C6,'Rate Application - ICC Cycle I'!$1:$1048576,8,FALSE)</f>
        <v>17913.490572856284</v>
      </c>
      <c r="F6" s="127">
        <f>E4/E6</f>
        <v>0.94637031534135929</v>
      </c>
      <c r="G6" s="315">
        <f>COUNTIFS('Rate Application - REM Cycle I'!$AA$3:$AA$54,1,'Rate Application - REM Cycle I'!$H$3:$H$54,"&lt;"&amp;VLOOKUP($C$4,'Rate Application - REM Cycle I'!$1:$1048576,8,FALSE))+1</f>
        <v>23</v>
      </c>
      <c r="H6" s="303">
        <f>VLOOKUP($C6,'Rate Application - ICC Cycle I'!$1:$1048576,29,FALSE)</f>
        <v>16529.250807076929</v>
      </c>
      <c r="I6" s="127">
        <f>H4/H6</f>
        <v>0.92515408203694727</v>
      </c>
      <c r="J6" s="315">
        <f>COUNTIFS('Rate Application - ICC Cycle I'!$AB$3:$AB$54,1,'Rate Application - ICC Cycle I'!$AC$3:$AC$54,"&lt;"&amp;VLOOKUP($C$4,'Rate Application - ICC Cycle I'!$1:$1048576,29,FALSE))+1</f>
        <v>22</v>
      </c>
      <c r="K6" s="303">
        <f>VLOOKUP($C6,'Rate Application - REM Cycle I'!$1:$1048576,24,FALSE)</f>
        <v>15196.275691760138</v>
      </c>
      <c r="L6" s="127">
        <f>K4/K6</f>
        <v>0.98791536378416256</v>
      </c>
      <c r="M6" s="315">
        <f>COUNTIFS('Rate Application - REM Cycle I'!$AA$3:$AA$54,1,'Rate Application - REM Cycle I'!$X$3:$X$54,"&lt;"&amp;VLOOKUP($C$4,'Rate Application - REM Cycle I'!$1:$1048576,24,FALSE))+1</f>
        <v>24</v>
      </c>
      <c r="N6" s="303">
        <f>VLOOKUP($C6,'Rate Application - ICC Cycle I'!$1:$1048576,25,FALSE)</f>
        <v>10984.416733340633</v>
      </c>
      <c r="O6" s="127">
        <f>N4/N6</f>
        <v>0.96597694141123414</v>
      </c>
      <c r="P6" s="315">
        <f>COUNTIFS('Rate Application - ICC Cycle I'!$AB$3:$AB$54,1,'Rate Application - ICC Cycle I'!$Y$3:$Y$54,"&lt;"&amp;VLOOKUP($C$4,'Rate Application - ICC Cycle I'!$1:$1048576,25,FALSE))+1</f>
        <v>22</v>
      </c>
      <c r="Q6" s="94">
        <f>VLOOKUP(C6,PROFIT!$1:$1048576,7,FALSE)</f>
        <v>7.6578511413561881E-2</v>
      </c>
      <c r="R6" s="127">
        <f>Q4/Q6-1</f>
        <v>0.27920694743353014</v>
      </c>
      <c r="S6" s="308">
        <v>-2.7395841623748762E-2</v>
      </c>
      <c r="T6" s="127">
        <f>S5/S6-1</f>
        <v>-0.87510919965780065</v>
      </c>
      <c r="U6" s="93">
        <f>VLOOKUP($C6,'Rate Application - REM Cycle II'!$1:$1048576,26,FALSE)</f>
        <v>-5.7054170239302482E-2</v>
      </c>
      <c r="V6" s="317">
        <f>COUNTIFS('Rate Application - REM Cycle II'!$AE$3:$AE$54,1,'Rate Application - REM Cycle II'!$Z$3:$Z$54,"&gt;"&amp;VLOOKUP($C$4,'Rate Application - REM Cycle II'!$1:$1048576,26,FALSE))+1</f>
        <v>21</v>
      </c>
      <c r="W6" s="94">
        <f>VLOOKUP(C6,'Rate Application - ICC Cycle II'!$1:$1048576,26,FALSE)</f>
        <v>-9.4835790622918581E-2</v>
      </c>
      <c r="X6" s="315">
        <f>COUNTIFS('Rate Application - ICC Cycle II'!$AE$3:$AE$54,1,'Rate Application - ICC Cycle II'!$Z$3:$Z$54,"&gt;"&amp;VLOOKUP($C$4,'Rate Application - ICC Cycle II'!$1:$1048576,26,FALSE))+1</f>
        <v>20</v>
      </c>
      <c r="Z6" s="310"/>
    </row>
    <row r="7" spans="1:30" x14ac:dyDescent="0.55000000000000004">
      <c r="E7" s="303"/>
      <c r="F7" s="127"/>
      <c r="G7" s="127"/>
      <c r="H7" s="304"/>
      <c r="I7" s="127"/>
      <c r="J7" s="127"/>
      <c r="K7" s="304"/>
      <c r="L7" s="127"/>
      <c r="M7" s="127"/>
      <c r="N7" s="2"/>
      <c r="O7" s="127"/>
      <c r="P7" s="127"/>
      <c r="Q7" s="93"/>
      <c r="R7" s="127"/>
      <c r="S7" s="93"/>
      <c r="T7" s="127"/>
      <c r="U7" s="93"/>
      <c r="V7" s="93"/>
      <c r="W7" s="93"/>
      <c r="X7" s="93"/>
      <c r="Z7" s="309"/>
    </row>
    <row r="8" spans="1:30" x14ac:dyDescent="0.55000000000000004">
      <c r="E8" s="303"/>
      <c r="F8" s="127"/>
      <c r="G8" s="127"/>
      <c r="H8" s="304"/>
      <c r="I8" s="127"/>
      <c r="J8" s="127"/>
      <c r="K8" s="440" t="s">
        <v>444</v>
      </c>
      <c r="L8" s="440"/>
      <c r="M8" s="440"/>
      <c r="N8" s="441" t="s">
        <v>445</v>
      </c>
      <c r="O8" s="441"/>
      <c r="P8" s="441"/>
      <c r="Q8" s="442" t="s">
        <v>445</v>
      </c>
      <c r="R8" s="442"/>
      <c r="S8" s="439" t="s">
        <v>446</v>
      </c>
      <c r="T8" s="439"/>
      <c r="U8" s="440" t="s">
        <v>444</v>
      </c>
      <c r="V8" s="440"/>
      <c r="W8" s="441" t="s">
        <v>445</v>
      </c>
      <c r="X8" s="441"/>
      <c r="Z8" s="311"/>
    </row>
    <row r="9" spans="1:30" ht="15" customHeight="1" x14ac:dyDescent="0.55000000000000004">
      <c r="A9" s="305"/>
      <c r="B9" s="305"/>
      <c r="C9" s="305"/>
      <c r="D9" s="305"/>
      <c r="E9" s="445" t="s">
        <v>462</v>
      </c>
      <c r="F9" s="445"/>
      <c r="G9" s="445"/>
      <c r="H9" s="445" t="s">
        <v>447</v>
      </c>
      <c r="I9" s="445"/>
      <c r="J9" s="445"/>
      <c r="K9" s="445" t="s">
        <v>448</v>
      </c>
      <c r="L9" s="445"/>
      <c r="M9" s="445"/>
      <c r="N9" s="438" t="s">
        <v>449</v>
      </c>
      <c r="O9" s="438"/>
      <c r="P9" s="438"/>
      <c r="Q9" s="446" t="s">
        <v>461</v>
      </c>
      <c r="R9" s="446"/>
      <c r="S9" s="438" t="s">
        <v>450</v>
      </c>
      <c r="T9" s="438"/>
      <c r="U9" s="438" t="s">
        <v>451</v>
      </c>
      <c r="V9" s="438"/>
      <c r="W9" s="438" t="s">
        <v>452</v>
      </c>
      <c r="X9" s="443"/>
      <c r="AA9" s="311"/>
    </row>
    <row r="10" spans="1:30" ht="43.2" x14ac:dyDescent="0.55000000000000004">
      <c r="A10" s="305"/>
      <c r="B10" s="305"/>
      <c r="C10" s="305"/>
      <c r="D10" s="305"/>
      <c r="E10" s="306" t="s">
        <v>453</v>
      </c>
      <c r="F10" s="306" t="s">
        <v>454</v>
      </c>
      <c r="G10" s="306" t="s">
        <v>455</v>
      </c>
      <c r="H10" s="306" t="s">
        <v>453</v>
      </c>
      <c r="I10" s="306" t="s">
        <v>454</v>
      </c>
      <c r="J10" s="306" t="s">
        <v>455</v>
      </c>
      <c r="K10" s="306" t="s">
        <v>453</v>
      </c>
      <c r="L10" s="306" t="s">
        <v>454</v>
      </c>
      <c r="M10" s="306" t="s">
        <v>455</v>
      </c>
      <c r="N10" s="306" t="s">
        <v>453</v>
      </c>
      <c r="O10" s="306" t="s">
        <v>454</v>
      </c>
      <c r="P10" s="306" t="s">
        <v>455</v>
      </c>
      <c r="Q10" s="306" t="s">
        <v>456</v>
      </c>
      <c r="R10" s="306" t="s">
        <v>454</v>
      </c>
      <c r="S10" s="306" t="s">
        <v>456</v>
      </c>
      <c r="T10" s="306" t="s">
        <v>454</v>
      </c>
      <c r="U10" s="306" t="s">
        <v>456</v>
      </c>
      <c r="V10" s="317">
        <f>COUNTIFS('Rate Application - REM Cycle II'!$AE$3:$AE$54,1,'Rate Application - REM Cycle II'!$Z$3:$Z$54,"&gt;"&amp;VLOOKUP($C$4,'Rate Application - REM Cycle II'!$1:$1048576,26,FALSE))+1</f>
        <v>21</v>
      </c>
      <c r="W10" s="306" t="s">
        <v>456</v>
      </c>
      <c r="X10" s="306" t="s">
        <v>455</v>
      </c>
    </row>
    <row r="11" spans="1:30" x14ac:dyDescent="0.55000000000000004">
      <c r="A11" s="447" t="s">
        <v>459</v>
      </c>
      <c r="B11" t="str">
        <f>$A$1</f>
        <v>MERCY MEDICAL CENTER</v>
      </c>
      <c r="C11">
        <f>C4</f>
        <v>210008</v>
      </c>
      <c r="E11" s="303">
        <f>E4</f>
        <v>16952.79572229847</v>
      </c>
      <c r="F11" s="127"/>
      <c r="G11" s="127"/>
      <c r="H11" s="303">
        <f>H4</f>
        <v>15292.103857179725</v>
      </c>
      <c r="I11" s="127"/>
      <c r="J11" s="127"/>
      <c r="K11" s="303">
        <f>K4</f>
        <v>15012.634228189643</v>
      </c>
      <c r="L11" s="127"/>
      <c r="M11" s="127"/>
      <c r="N11" s="2">
        <f>N4</f>
        <v>10610.693279258765</v>
      </c>
      <c r="O11" s="127"/>
      <c r="P11" s="246"/>
      <c r="Q11" s="300">
        <f>Q4</f>
        <v>9.7959763824346249E-2</v>
      </c>
      <c r="R11" s="127"/>
      <c r="S11" s="300">
        <f>S4</f>
        <v>-3.4214885864381206E-3</v>
      </c>
      <c r="T11" s="127"/>
      <c r="U11" s="93">
        <f>VLOOKUP($C11,'Integrated Effic - REM Cycle II'!$1:$1048576,26,FALSE)</f>
        <v>-7.3987323905019275E-3</v>
      </c>
      <c r="V11" s="93"/>
      <c r="W11" s="300">
        <f>VLOOKUP(C11,'Integrated Effic - ICC Cycle II'!$1:$1048576,26,FALSE)</f>
        <v>-0.10148129697256991</v>
      </c>
      <c r="X11" s="94"/>
    </row>
    <row r="12" spans="1:30" x14ac:dyDescent="0.55000000000000004">
      <c r="A12" s="447"/>
      <c r="B12" t="s">
        <v>458</v>
      </c>
      <c r="C12">
        <f>C5</f>
        <v>1</v>
      </c>
      <c r="D12">
        <f>D5</f>
        <v>41</v>
      </c>
      <c r="E12" s="303">
        <f>E5</f>
        <v>16821.89814009098</v>
      </c>
      <c r="F12" s="127">
        <f>E11/E12</f>
        <v>1.0077813800272353</v>
      </c>
      <c r="G12" s="127"/>
      <c r="H12" s="303">
        <f>H5</f>
        <v>15321.073257013144</v>
      </c>
      <c r="I12" s="127">
        <f>H11/H12</f>
        <v>0.99810917947147348</v>
      </c>
      <c r="J12" s="127"/>
      <c r="K12" s="303">
        <f>K5</f>
        <v>14752.82215273459</v>
      </c>
      <c r="L12" s="127">
        <f>K11/K12</f>
        <v>1.0176110084406389</v>
      </c>
      <c r="M12" s="127"/>
      <c r="N12" s="2">
        <f>N5</f>
        <v>10459.948799491758</v>
      </c>
      <c r="O12" s="307">
        <f>N11/N12</f>
        <v>1.0144115886852458</v>
      </c>
      <c r="P12" s="246"/>
      <c r="Q12" s="94">
        <f t="shared" ref="Q12:S13" si="0">Q5</f>
        <v>9.0575178111910667E-2</v>
      </c>
      <c r="R12" s="127">
        <f>Q11/Q12-1</f>
        <v>8.15299055035974E-2</v>
      </c>
      <c r="S12" s="94">
        <f t="shared" si="0"/>
        <v>-3.4214885864381206E-3</v>
      </c>
      <c r="T12" s="127">
        <f>S11/S12-1</f>
        <v>0</v>
      </c>
      <c r="U12" s="93">
        <f>VLOOKUP($C12,'Integrated Effic - REM Cycle II'!$1:$1048576,26,FALSE)</f>
        <v>1.298250106412957E-2</v>
      </c>
      <c r="V12" s="317">
        <f>COUNTIFS('Integrated Effic - REM Cycle II'!$C$3:$C$54,$C$5,'Integrated Effic - REM Cycle II'!$Z$3:$Z$54,"&gt;"&amp;VLOOKUP($C$4,'Integrated Effic - REM Cycle II'!$1:$1048576,26,FALSE))+1</f>
        <v>23</v>
      </c>
      <c r="W12" s="94">
        <f>VLOOKUP(C12,'Integrated Effic - ICC Cycle II'!$1:$1048576,26,FALSE)</f>
        <v>-7.9076655504049964E-2</v>
      </c>
      <c r="X12" s="315">
        <f>COUNTIFS('Integrated Effic - ICC Cycle II'!$C$3:$C$54,$C$5,'Integrated Effic - ICC Cycle II'!$Z$3:$Z$54,"&gt;"&amp;VLOOKUP($C$4,'Integrated Effic - ICC Cycle II'!$1:$1048576,26,FALSE))+1</f>
        <v>24</v>
      </c>
    </row>
    <row r="13" spans="1:30" x14ac:dyDescent="0.55000000000000004">
      <c r="A13" s="447"/>
      <c r="B13" t="s">
        <v>210</v>
      </c>
      <c r="C13">
        <f>C6</f>
        <v>99</v>
      </c>
      <c r="D13">
        <f>D6</f>
        <v>43</v>
      </c>
      <c r="E13" s="303">
        <f>E6</f>
        <v>17913.490572856284</v>
      </c>
      <c r="F13" s="127">
        <f>E11/E13</f>
        <v>0.94637031534135929</v>
      </c>
      <c r="G13" s="127"/>
      <c r="H13" s="303">
        <f>H6</f>
        <v>16529.250807076929</v>
      </c>
      <c r="I13" s="127">
        <f>H11/H13</f>
        <v>0.92515408203694727</v>
      </c>
      <c r="J13" s="127"/>
      <c r="K13" s="303">
        <f>K6</f>
        <v>15196.275691760138</v>
      </c>
      <c r="L13" s="127">
        <f>K11/K13</f>
        <v>0.98791536378416256</v>
      </c>
      <c r="M13" s="127"/>
      <c r="N13" s="2">
        <f>N6</f>
        <v>10984.416733340633</v>
      </c>
      <c r="O13" s="127">
        <f>N11/N13</f>
        <v>0.96597694141123414</v>
      </c>
      <c r="P13" s="246"/>
      <c r="Q13" s="94">
        <f t="shared" si="0"/>
        <v>7.6578511413561881E-2</v>
      </c>
      <c r="R13" s="127">
        <f>Q11/Q13-1</f>
        <v>0.27920694743353014</v>
      </c>
      <c r="S13" s="94">
        <f t="shared" si="0"/>
        <v>-2.7395841623748762E-2</v>
      </c>
      <c r="T13" s="127">
        <f>S12/S13-1</f>
        <v>-0.87510919965780065</v>
      </c>
      <c r="U13" s="93">
        <f>VLOOKUP($C13,'Integrated Effic - REM Cycle II'!$1:$1048576,26,FALSE)</f>
        <v>6.5338106927947948E-4</v>
      </c>
      <c r="V13" s="317">
        <f>COUNTIFS('Integrated Effic - REM Cycle II'!$AE$3:$AE$54,1,'Integrated Effic - REM Cycle II'!$Z$3:$Z$54,"&gt;"&amp;VLOOKUP($C$4,'Integrated Effic - REM Cycle II'!$1:$1048576,26,FALSE))+1</f>
        <v>21</v>
      </c>
      <c r="W13" s="94">
        <f>VLOOKUP(C13,'Integrated Effic - ICC Cycle II'!$1:$1048576,26,FALSE)</f>
        <v>-8.2214566915052356E-2</v>
      </c>
      <c r="X13" s="315">
        <f>COUNTIFS('Integrated Effic - ICC Cycle II'!$AE$3:$AE$54,1,'Integrated Effic - ICC Cycle II'!$Z$3:$Z$54,"&gt;"&amp;VLOOKUP($C$4,'Integrated Effic - ICC Cycle II'!$1:$1048576,26,FALSE))+1</f>
        <v>24</v>
      </c>
    </row>
    <row r="14" spans="1:30" x14ac:dyDescent="0.55000000000000004">
      <c r="A14" t="s">
        <v>472</v>
      </c>
      <c r="E14" s="303"/>
      <c r="F14" s="127"/>
      <c r="G14" s="127"/>
      <c r="H14" s="304"/>
      <c r="I14" s="127"/>
      <c r="J14" s="127"/>
      <c r="K14" s="304"/>
      <c r="L14" s="127"/>
      <c r="M14" s="127"/>
      <c r="N14" s="2"/>
      <c r="O14" s="127"/>
      <c r="P14" s="127"/>
      <c r="Q14" s="93"/>
      <c r="R14" s="127"/>
      <c r="S14" s="93"/>
      <c r="T14" s="127"/>
      <c r="U14" s="93"/>
      <c r="V14" s="93"/>
      <c r="W14" s="93" t="s">
        <v>474</v>
      </c>
      <c r="X14" s="93"/>
    </row>
    <row r="15" spans="1:30" hidden="1" x14ac:dyDescent="0.55000000000000004">
      <c r="E15" s="303"/>
      <c r="F15" s="127"/>
      <c r="G15" s="127"/>
      <c r="H15" s="304"/>
      <c r="I15" s="127"/>
      <c r="J15" s="127"/>
      <c r="K15" s="440" t="s">
        <v>444</v>
      </c>
      <c r="L15" s="440"/>
      <c r="M15" s="440"/>
      <c r="N15" s="441" t="s">
        <v>445</v>
      </c>
      <c r="O15" s="441"/>
      <c r="P15" s="441"/>
      <c r="Q15" s="442" t="s">
        <v>445</v>
      </c>
      <c r="R15" s="442"/>
      <c r="S15" s="439" t="s">
        <v>446</v>
      </c>
      <c r="T15" s="439"/>
      <c r="U15" s="440" t="s">
        <v>444</v>
      </c>
      <c r="V15" s="440"/>
      <c r="W15" s="441" t="s">
        <v>445</v>
      </c>
      <c r="X15" s="441"/>
    </row>
    <row r="16" spans="1:30" ht="15" hidden="1" customHeight="1" x14ac:dyDescent="0.55000000000000004">
      <c r="A16" s="305"/>
      <c r="B16" s="305"/>
      <c r="C16" s="305"/>
      <c r="D16" s="305"/>
      <c r="E16" s="445" t="s">
        <v>462</v>
      </c>
      <c r="F16" s="445"/>
      <c r="G16" s="445"/>
      <c r="H16" s="445" t="s">
        <v>447</v>
      </c>
      <c r="I16" s="445"/>
      <c r="J16" s="445"/>
      <c r="K16" s="445" t="s">
        <v>448</v>
      </c>
      <c r="L16" s="445"/>
      <c r="M16" s="445"/>
      <c r="N16" s="438" t="s">
        <v>449</v>
      </c>
      <c r="O16" s="438"/>
      <c r="P16" s="438"/>
      <c r="Q16" s="446" t="s">
        <v>461</v>
      </c>
      <c r="R16" s="446"/>
      <c r="S16" s="438" t="s">
        <v>450</v>
      </c>
      <c r="T16" s="438"/>
      <c r="U16" s="438" t="s">
        <v>451</v>
      </c>
      <c r="V16" s="438"/>
      <c r="W16" s="438" t="s">
        <v>452</v>
      </c>
      <c r="X16" s="443"/>
    </row>
    <row r="17" spans="1:24" ht="43.2" hidden="1" x14ac:dyDescent="0.55000000000000004">
      <c r="A17" s="305"/>
      <c r="B17" s="305"/>
      <c r="C17" s="305"/>
      <c r="D17" s="305"/>
      <c r="E17" s="306" t="s">
        <v>453</v>
      </c>
      <c r="F17" s="306" t="s">
        <v>454</v>
      </c>
      <c r="G17" s="306" t="s">
        <v>455</v>
      </c>
      <c r="H17" s="306" t="s">
        <v>453</v>
      </c>
      <c r="I17" s="306" t="s">
        <v>454</v>
      </c>
      <c r="J17" s="306" t="s">
        <v>455</v>
      </c>
      <c r="K17" s="306" t="s">
        <v>453</v>
      </c>
      <c r="L17" s="306" t="s">
        <v>454</v>
      </c>
      <c r="M17" s="306" t="s">
        <v>455</v>
      </c>
      <c r="N17" s="306" t="s">
        <v>453</v>
      </c>
      <c r="O17" s="306" t="s">
        <v>454</v>
      </c>
      <c r="P17" s="306" t="s">
        <v>455</v>
      </c>
      <c r="Q17" s="306" t="s">
        <v>456</v>
      </c>
      <c r="R17" s="306" t="s">
        <v>454</v>
      </c>
      <c r="S17" s="306" t="s">
        <v>456</v>
      </c>
      <c r="T17" s="306" t="s">
        <v>454</v>
      </c>
      <c r="U17" s="306" t="s">
        <v>456</v>
      </c>
      <c r="V17" s="306" t="s">
        <v>455</v>
      </c>
      <c r="W17" s="306" t="s">
        <v>456</v>
      </c>
      <c r="X17" s="306" t="s">
        <v>455</v>
      </c>
    </row>
    <row r="18" spans="1:24" hidden="1" x14ac:dyDescent="0.55000000000000004">
      <c r="A18" s="444" t="s">
        <v>460</v>
      </c>
      <c r="B18" t="str">
        <f>$A$1</f>
        <v>MERCY MEDICAL CENTER</v>
      </c>
      <c r="C18">
        <f>C4</f>
        <v>210008</v>
      </c>
      <c r="E18" s="303">
        <f>E4</f>
        <v>16952.79572229847</v>
      </c>
      <c r="F18" s="127"/>
      <c r="G18" s="127"/>
      <c r="H18" s="303">
        <f>H11</f>
        <v>15292.103857179725</v>
      </c>
      <c r="I18" s="127"/>
      <c r="J18" s="127"/>
      <c r="K18" s="303">
        <f>K11</f>
        <v>15012.634228189643</v>
      </c>
      <c r="L18" s="127"/>
      <c r="M18" s="127"/>
      <c r="N18" s="2">
        <f>N4</f>
        <v>10610.693279258765</v>
      </c>
      <c r="O18" s="127"/>
      <c r="P18" s="246"/>
      <c r="Q18" s="300">
        <f>Q4</f>
        <v>9.7959763824346249E-2</v>
      </c>
      <c r="R18" s="127"/>
      <c r="S18" s="300">
        <v>0</v>
      </c>
      <c r="T18" s="127"/>
      <c r="U18" s="93">
        <f>VLOOKUP($C18,'Capital Methodol - REM Cycle II'!$1:$1048576,26,FALSE)</f>
        <v>-1.6959732678342498E-2</v>
      </c>
      <c r="V18" s="93"/>
      <c r="W18" s="300" t="e">
        <f>VLOOKUP(C18,#REF!,26,FALSE)</f>
        <v>#REF!</v>
      </c>
      <c r="X18" s="94"/>
    </row>
    <row r="19" spans="1:24" hidden="1" x14ac:dyDescent="0.55000000000000004">
      <c r="A19" s="444"/>
      <c r="B19" t="s">
        <v>458</v>
      </c>
      <c r="C19">
        <f>C5</f>
        <v>1</v>
      </c>
      <c r="D19">
        <f>D5</f>
        <v>41</v>
      </c>
      <c r="E19" s="303">
        <f>E5</f>
        <v>16821.89814009098</v>
      </c>
      <c r="F19" s="127">
        <f>E18/E19</f>
        <v>1.0077813800272353</v>
      </c>
      <c r="G19" s="127"/>
      <c r="H19" s="303">
        <f>H12</f>
        <v>15321.073257013144</v>
      </c>
      <c r="I19" s="127">
        <f>H18/H19</f>
        <v>0.99810917947147348</v>
      </c>
      <c r="J19" s="127"/>
      <c r="K19" s="303">
        <f>K12</f>
        <v>14752.82215273459</v>
      </c>
      <c r="L19" s="127">
        <f>K18/K19</f>
        <v>1.0176110084406389</v>
      </c>
      <c r="M19" s="127"/>
      <c r="N19" s="2">
        <f>N5</f>
        <v>10459.948799491758</v>
      </c>
      <c r="O19" s="307">
        <f>N18/N19</f>
        <v>1.0144115886852458</v>
      </c>
      <c r="P19" s="246"/>
      <c r="Q19" s="94">
        <f>Q5</f>
        <v>9.0575178111910667E-2</v>
      </c>
      <c r="R19" s="127">
        <f>Q18/Q19-1</f>
        <v>8.15299055035974E-2</v>
      </c>
      <c r="S19" s="94">
        <v>0</v>
      </c>
      <c r="T19" s="127"/>
      <c r="U19" s="93">
        <f>VLOOKUP($C19,'Capital Methodol - REM Cycle II'!$1:$1048576,26,FALSE)</f>
        <v>-3.2615550683667838E-4</v>
      </c>
      <c r="V19" s="317">
        <f>COUNTIFS('Capital Methodol - REM Cycle II'!$C$3:$C$54,$C$5,'Capital Methodol - REM Cycle II'!$Z$3:$Z$54,"&gt;"&amp;VLOOKUP($C$4,'Capital Methodol - REM Cycle II'!$1:$1048576,26,FALSE))+1</f>
        <v>23</v>
      </c>
      <c r="W19" s="94" t="e">
        <f>VLOOKUP(C19,#REF!,26,FALSE)</f>
        <v>#REF!</v>
      </c>
      <c r="X19" s="315" t="e">
        <f>COUNTIFS(#REF!,$C$5,#REF!,"&gt;"&amp;VLOOKUP($C$4,#REF!,26,FALSE))+1</f>
        <v>#REF!</v>
      </c>
    </row>
    <row r="20" spans="1:24" hidden="1" x14ac:dyDescent="0.55000000000000004">
      <c r="A20" s="444"/>
      <c r="B20" t="s">
        <v>210</v>
      </c>
      <c r="C20">
        <f>C6</f>
        <v>99</v>
      </c>
      <c r="D20">
        <f>D6</f>
        <v>43</v>
      </c>
      <c r="E20" s="303">
        <f>E6</f>
        <v>17913.490572856284</v>
      </c>
      <c r="F20" s="127">
        <f>E18/E20</f>
        <v>0.94637031534135929</v>
      </c>
      <c r="G20" s="127"/>
      <c r="H20" s="303">
        <f>H13</f>
        <v>16529.250807076929</v>
      </c>
      <c r="I20" s="127">
        <f>H18/H20</f>
        <v>0.92515408203694727</v>
      </c>
      <c r="J20" s="127"/>
      <c r="K20" s="303">
        <f>K13</f>
        <v>15196.275691760138</v>
      </c>
      <c r="L20" s="127">
        <f>K18/K20</f>
        <v>0.98791536378416256</v>
      </c>
      <c r="M20" s="127"/>
      <c r="N20" s="2">
        <f>N6</f>
        <v>10984.416733340633</v>
      </c>
      <c r="O20" s="127">
        <f>N18/N20</f>
        <v>0.96597694141123414</v>
      </c>
      <c r="P20" s="246"/>
      <c r="Q20" s="94">
        <f>Q6</f>
        <v>7.6578511413561881E-2</v>
      </c>
      <c r="R20" s="127">
        <f>Q18/Q20-1</f>
        <v>0.27920694743353014</v>
      </c>
      <c r="S20" s="94">
        <v>0</v>
      </c>
      <c r="T20" s="127"/>
      <c r="U20" s="93">
        <f>VLOOKUP($C20,'Capital Methodol - REM Cycle II'!$1:$1048576,26,FALSE)</f>
        <v>-1.2478513552122927E-2</v>
      </c>
      <c r="V20" s="317">
        <f>COUNTIFS('Capital Methodol - REM Cycle II'!$AE$3:$AE$54,1,'Capital Methodol - REM Cycle II'!$Z$3:$Z$54,"&gt;"&amp;VLOOKUP($C$4,'Capital Methodol - REM Cycle II'!$1:$1048576,26,FALSE))+1</f>
        <v>21</v>
      </c>
      <c r="W20" s="94" t="e">
        <f>VLOOKUP(C20,#REF!,26,FALSE)</f>
        <v>#REF!</v>
      </c>
      <c r="X20" s="315" t="e">
        <f>COUNTIFS(#REF!,1,#REF!,"&gt;"&amp;VLOOKUP($C$4,#REF!,26,FALSE))+1</f>
        <v>#REF!</v>
      </c>
    </row>
    <row r="21" spans="1:24" x14ac:dyDescent="0.55000000000000004">
      <c r="A21" t="s">
        <v>473</v>
      </c>
    </row>
  </sheetData>
  <sheetCalcPr fullCalcOnLoad="1"/>
  <mergeCells count="46">
    <mergeCell ref="N2:P2"/>
    <mergeCell ref="Q2:R2"/>
    <mergeCell ref="S2:T2"/>
    <mergeCell ref="A1:B1"/>
    <mergeCell ref="U1:V1"/>
    <mergeCell ref="U8:V8"/>
    <mergeCell ref="W1:X1"/>
    <mergeCell ref="W2:X2"/>
    <mergeCell ref="A4:A6"/>
    <mergeCell ref="K8:M8"/>
    <mergeCell ref="N8:P8"/>
    <mergeCell ref="Q8:R8"/>
    <mergeCell ref="S8:T8"/>
    <mergeCell ref="W8:X8"/>
    <mergeCell ref="E2:G2"/>
    <mergeCell ref="H2:J2"/>
    <mergeCell ref="W9:X9"/>
    <mergeCell ref="A11:A13"/>
    <mergeCell ref="K15:M15"/>
    <mergeCell ref="N15:P15"/>
    <mergeCell ref="Q15:R15"/>
    <mergeCell ref="W15:X15"/>
    <mergeCell ref="E9:G9"/>
    <mergeCell ref="H9:J9"/>
    <mergeCell ref="N9:P9"/>
    <mergeCell ref="Q9:R9"/>
    <mergeCell ref="W16:X16"/>
    <mergeCell ref="A18:A20"/>
    <mergeCell ref="K2:M2"/>
    <mergeCell ref="K9:M9"/>
    <mergeCell ref="K16:M16"/>
    <mergeCell ref="E16:G16"/>
    <mergeCell ref="H16:J16"/>
    <mergeCell ref="N16:P16"/>
    <mergeCell ref="Q16:R16"/>
    <mergeCell ref="S16:T16"/>
    <mergeCell ref="U16:V16"/>
    <mergeCell ref="S15:T15"/>
    <mergeCell ref="U2:V2"/>
    <mergeCell ref="K1:M1"/>
    <mergeCell ref="N1:P1"/>
    <mergeCell ref="Q1:R1"/>
    <mergeCell ref="S1:T1"/>
    <mergeCell ref="U9:V9"/>
    <mergeCell ref="S9:T9"/>
    <mergeCell ref="U15:V1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54"/>
  <sheetViews>
    <sheetView workbookViewId="0">
      <selection activeCell="B13" sqref="B13"/>
    </sheetView>
  </sheetViews>
  <sheetFormatPr defaultRowHeight="14.4" x14ac:dyDescent="0.55000000000000004"/>
  <cols>
    <col min="1" max="1" width="51" bestFit="1" customWidth="1"/>
    <col min="2" max="2" width="37.68359375" style="2" bestFit="1" customWidth="1"/>
    <col min="3" max="3" width="44.26171875" style="2" bestFit="1" customWidth="1"/>
    <col min="4" max="4" width="49.68359375" style="93" bestFit="1" customWidth="1"/>
  </cols>
  <sheetData>
    <row r="1" spans="1:4" x14ac:dyDescent="0.55000000000000004">
      <c r="A1" s="1" t="s">
        <v>106</v>
      </c>
      <c r="B1" s="2" t="s">
        <v>51</v>
      </c>
    </row>
    <row r="3" spans="1:4" x14ac:dyDescent="0.55000000000000004">
      <c r="A3" s="1" t="s">
        <v>0</v>
      </c>
      <c r="B3" s="2" t="s">
        <v>178</v>
      </c>
      <c r="C3" s="2" t="s">
        <v>177</v>
      </c>
      <c r="D3" s="309" t="s">
        <v>176</v>
      </c>
    </row>
    <row r="4" spans="1:4" x14ac:dyDescent="0.55000000000000004">
      <c r="A4" s="318">
        <v>1</v>
      </c>
      <c r="D4" s="309"/>
    </row>
    <row r="5" spans="1:4" x14ac:dyDescent="0.55000000000000004">
      <c r="A5" s="312" t="s">
        <v>391</v>
      </c>
      <c r="B5" s="2">
        <v>457680358.38583815</v>
      </c>
      <c r="C5" s="2">
        <v>437553690.40175903</v>
      </c>
      <c r="D5" s="309">
        <v>-4.3975380667552577E-2</v>
      </c>
    </row>
    <row r="6" spans="1:4" x14ac:dyDescent="0.55000000000000004">
      <c r="A6" s="312" t="s">
        <v>79</v>
      </c>
      <c r="B6" s="2">
        <v>635318079.82826042</v>
      </c>
      <c r="C6" s="2">
        <v>617799292.41500032</v>
      </c>
      <c r="D6" s="309">
        <v>-2.7574829002183887E-2</v>
      </c>
    </row>
    <row r="7" spans="1:4" x14ac:dyDescent="0.55000000000000004">
      <c r="A7" s="312" t="s">
        <v>413</v>
      </c>
      <c r="B7" s="2">
        <v>535372097.11053395</v>
      </c>
      <c r="C7" s="2">
        <v>453551044.55350316</v>
      </c>
      <c r="D7" s="309">
        <v>-0.15283025207818757</v>
      </c>
    </row>
    <row r="8" spans="1:4" x14ac:dyDescent="0.55000000000000004">
      <c r="A8" s="312" t="s">
        <v>384</v>
      </c>
      <c r="B8" s="2">
        <v>271172412.47944635</v>
      </c>
      <c r="C8" s="2">
        <v>216531247.34021512</v>
      </c>
      <c r="D8" s="309">
        <v>-0.20149971982630344</v>
      </c>
    </row>
    <row r="9" spans="1:4" x14ac:dyDescent="0.55000000000000004">
      <c r="A9" s="312" t="s">
        <v>416</v>
      </c>
      <c r="B9" s="2">
        <v>419698004.06819934</v>
      </c>
      <c r="C9" s="2">
        <v>351300365.49497962</v>
      </c>
      <c r="D9" s="309">
        <v>-0.16296870109038064</v>
      </c>
    </row>
    <row r="10" spans="1:4" x14ac:dyDescent="0.55000000000000004">
      <c r="A10" s="312" t="s">
        <v>408</v>
      </c>
      <c r="B10" s="2">
        <v>342538188.60094124</v>
      </c>
      <c r="C10" s="2">
        <v>332210166.61592984</v>
      </c>
      <c r="D10" s="309">
        <v>-3.0151446842160978E-2</v>
      </c>
    </row>
    <row r="11" spans="1:4" x14ac:dyDescent="0.55000000000000004">
      <c r="A11" s="312" t="s">
        <v>392</v>
      </c>
      <c r="B11" s="2">
        <v>451684822.75135535</v>
      </c>
      <c r="C11" s="2">
        <v>425164340.76858282</v>
      </c>
      <c r="D11" s="309">
        <v>-5.8714574072309733E-2</v>
      </c>
    </row>
    <row r="12" spans="1:4" x14ac:dyDescent="0.55000000000000004">
      <c r="A12" s="312" t="s">
        <v>382</v>
      </c>
      <c r="B12" s="2">
        <v>112879486.6648809</v>
      </c>
      <c r="C12" s="2">
        <v>85414969.260489702</v>
      </c>
      <c r="D12" s="309">
        <v>-0.24330831239451378</v>
      </c>
    </row>
    <row r="13" spans="1:4" x14ac:dyDescent="0.55000000000000004">
      <c r="A13" s="318">
        <v>3</v>
      </c>
      <c r="D13" s="309"/>
    </row>
    <row r="14" spans="1:4" x14ac:dyDescent="0.55000000000000004">
      <c r="A14" s="312" t="s">
        <v>407</v>
      </c>
      <c r="B14" s="2">
        <v>600418061.67072093</v>
      </c>
      <c r="C14" s="2">
        <v>604879963.83430588</v>
      </c>
      <c r="D14" s="309">
        <v>7.4313256852553966E-3</v>
      </c>
    </row>
    <row r="15" spans="1:4" x14ac:dyDescent="0.55000000000000004">
      <c r="A15" s="312" t="s">
        <v>380</v>
      </c>
      <c r="B15" s="2">
        <v>109187672.68500334</v>
      </c>
      <c r="C15" s="2">
        <v>107692243.43540847</v>
      </c>
      <c r="D15" s="309">
        <v>-1.3695953149482798E-2</v>
      </c>
    </row>
    <row r="16" spans="1:4" x14ac:dyDescent="0.55000000000000004">
      <c r="A16" s="312" t="s">
        <v>394</v>
      </c>
      <c r="B16" s="2">
        <v>146495336.70909449</v>
      </c>
      <c r="C16" s="2">
        <v>120938568.45528562</v>
      </c>
      <c r="D16" s="309">
        <v>-0.17445448317961576</v>
      </c>
    </row>
    <row r="17" spans="1:4" x14ac:dyDescent="0.55000000000000004">
      <c r="A17" s="312" t="s">
        <v>399</v>
      </c>
      <c r="B17" s="2">
        <v>236445528.84781078</v>
      </c>
      <c r="C17" s="2">
        <v>197911975.08510876</v>
      </c>
      <c r="D17" s="309">
        <v>-0.16297010965051617</v>
      </c>
    </row>
    <row r="18" spans="1:4" x14ac:dyDescent="0.55000000000000004">
      <c r="A18" s="312" t="s">
        <v>386</v>
      </c>
      <c r="B18" s="2">
        <v>260063804.41883573</v>
      </c>
      <c r="C18" s="2">
        <v>229223041.81631476</v>
      </c>
      <c r="D18" s="309">
        <v>-0.11858921571743053</v>
      </c>
    </row>
    <row r="19" spans="1:4" x14ac:dyDescent="0.55000000000000004">
      <c r="A19" s="312" t="s">
        <v>381</v>
      </c>
      <c r="B19" s="2">
        <v>52381829.042422429</v>
      </c>
      <c r="C19" s="2">
        <v>51533335.860970102</v>
      </c>
      <c r="D19" s="309">
        <v>-1.619823509341678E-2</v>
      </c>
    </row>
    <row r="20" spans="1:4" x14ac:dyDescent="0.55000000000000004">
      <c r="A20" s="312" t="s">
        <v>421</v>
      </c>
      <c r="B20" s="2">
        <v>360857545.22088104</v>
      </c>
      <c r="C20" s="2">
        <v>326075811.35852283</v>
      </c>
      <c r="D20" s="309">
        <v>-9.638632840853667E-2</v>
      </c>
    </row>
    <row r="21" spans="1:4" x14ac:dyDescent="0.55000000000000004">
      <c r="A21" s="312" t="s">
        <v>411</v>
      </c>
      <c r="B21" s="2">
        <v>60551506.467737034</v>
      </c>
      <c r="C21" s="2">
        <v>63392562.150193319</v>
      </c>
      <c r="D21" s="309">
        <v>4.6919653171140441E-2</v>
      </c>
    </row>
    <row r="22" spans="1:4" x14ac:dyDescent="0.55000000000000004">
      <c r="A22" s="312" t="s">
        <v>388</v>
      </c>
      <c r="B22" s="2">
        <v>310083750.7349233</v>
      </c>
      <c r="C22" s="2">
        <v>301551372.2063446</v>
      </c>
      <c r="D22" s="309">
        <v>-2.7516367782433826E-2</v>
      </c>
    </row>
    <row r="23" spans="1:4" x14ac:dyDescent="0.55000000000000004">
      <c r="A23" s="312" t="s">
        <v>410</v>
      </c>
      <c r="B23" s="2">
        <v>175022384.52083069</v>
      </c>
      <c r="C23" s="2">
        <v>135497713.04064623</v>
      </c>
      <c r="D23" s="309">
        <v>-0.22582637979932418</v>
      </c>
    </row>
    <row r="24" spans="1:4" x14ac:dyDescent="0.55000000000000004">
      <c r="A24" s="312" t="s">
        <v>378</v>
      </c>
      <c r="B24" s="2">
        <v>280210093.93168741</v>
      </c>
      <c r="C24" s="2">
        <v>208527098.56453127</v>
      </c>
      <c r="D24" s="309">
        <v>-0.25581874785935366</v>
      </c>
    </row>
    <row r="25" spans="1:4" x14ac:dyDescent="0.55000000000000004">
      <c r="A25" s="312" t="s">
        <v>403</v>
      </c>
      <c r="B25" s="2">
        <v>182980923.24185652</v>
      </c>
      <c r="C25" s="2">
        <v>167994993.23359081</v>
      </c>
      <c r="D25" s="309">
        <v>-8.1898865426850653E-2</v>
      </c>
    </row>
    <row r="26" spans="1:4" x14ac:dyDescent="0.55000000000000004">
      <c r="A26" s="312" t="s">
        <v>425</v>
      </c>
      <c r="B26" s="2">
        <v>368710793.99844563</v>
      </c>
      <c r="C26" s="2">
        <v>342657022.94610786</v>
      </c>
      <c r="D26" s="309">
        <v>-7.0661807238677099E-2</v>
      </c>
    </row>
    <row r="27" spans="1:4" x14ac:dyDescent="0.55000000000000004">
      <c r="A27" s="312" t="s">
        <v>393</v>
      </c>
      <c r="B27" s="2">
        <v>267911196.64727661</v>
      </c>
      <c r="C27" s="2">
        <v>209528570.38969445</v>
      </c>
      <c r="D27" s="309">
        <v>-0.21791782869921217</v>
      </c>
    </row>
    <row r="28" spans="1:4" x14ac:dyDescent="0.55000000000000004">
      <c r="A28" s="312" t="s">
        <v>409</v>
      </c>
      <c r="B28" s="2">
        <v>447111194.77019799</v>
      </c>
      <c r="C28" s="2">
        <v>415687697.73889959</v>
      </c>
      <c r="D28" s="309">
        <v>-7.0281168082693912E-2</v>
      </c>
    </row>
    <row r="29" spans="1:4" x14ac:dyDescent="0.55000000000000004">
      <c r="A29" s="312" t="s">
        <v>383</v>
      </c>
      <c r="B29" s="2">
        <v>465462446.66788989</v>
      </c>
      <c r="C29" s="2">
        <v>385413094.68477881</v>
      </c>
      <c r="D29" s="309">
        <v>-0.17197811027755527</v>
      </c>
    </row>
    <row r="30" spans="1:4" x14ac:dyDescent="0.55000000000000004">
      <c r="A30" s="312" t="s">
        <v>397</v>
      </c>
      <c r="B30" s="2">
        <v>155992589.33780089</v>
      </c>
      <c r="C30" s="2">
        <v>138321560.37234756</v>
      </c>
      <c r="D30" s="309">
        <v>-0.1132812080398693</v>
      </c>
    </row>
    <row r="31" spans="1:4" x14ac:dyDescent="0.55000000000000004">
      <c r="A31" s="312" t="s">
        <v>420</v>
      </c>
      <c r="B31" s="2">
        <v>108217974.62571737</v>
      </c>
      <c r="C31" s="2">
        <v>88996177.210388809</v>
      </c>
      <c r="D31" s="309">
        <v>-0.17762111591728691</v>
      </c>
    </row>
    <row r="32" spans="1:4" x14ac:dyDescent="0.55000000000000004">
      <c r="A32" s="312" t="s">
        <v>401</v>
      </c>
      <c r="B32" s="2">
        <v>51896602.087173186</v>
      </c>
      <c r="C32" s="2">
        <v>34681593.738077104</v>
      </c>
      <c r="D32" s="309">
        <v>-0.3317174469376476</v>
      </c>
    </row>
    <row r="33" spans="1:4" x14ac:dyDescent="0.55000000000000004">
      <c r="A33" s="312" t="s">
        <v>417</v>
      </c>
      <c r="B33" s="2">
        <v>46170653.566977315</v>
      </c>
      <c r="C33" s="2">
        <v>36869356.439429685</v>
      </c>
      <c r="D33" s="309">
        <v>-0.20145474254668572</v>
      </c>
    </row>
    <row r="34" spans="1:4" x14ac:dyDescent="0.55000000000000004">
      <c r="A34" s="312" t="s">
        <v>396</v>
      </c>
      <c r="B34" s="2">
        <v>218006630.93565437</v>
      </c>
      <c r="C34" s="2">
        <v>172639311.62146699</v>
      </c>
      <c r="D34" s="309">
        <v>-0.20810063950567514</v>
      </c>
    </row>
    <row r="35" spans="1:4" x14ac:dyDescent="0.55000000000000004">
      <c r="A35" s="312" t="s">
        <v>377</v>
      </c>
      <c r="B35" s="2">
        <v>390481566.18922573</v>
      </c>
      <c r="C35" s="2">
        <v>354135807.36813271</v>
      </c>
      <c r="D35" s="309">
        <v>-9.307932042937983E-2</v>
      </c>
    </row>
    <row r="36" spans="1:4" x14ac:dyDescent="0.55000000000000004">
      <c r="A36" s="312" t="s">
        <v>387</v>
      </c>
      <c r="B36" s="2">
        <v>322468123.03384435</v>
      </c>
      <c r="C36" s="2">
        <v>297244116.7588253</v>
      </c>
      <c r="D36" s="309">
        <v>-7.8221704637675749E-2</v>
      </c>
    </row>
    <row r="37" spans="1:4" x14ac:dyDescent="0.55000000000000004">
      <c r="A37" s="312" t="s">
        <v>400</v>
      </c>
      <c r="B37" s="2">
        <v>163695078.94233933</v>
      </c>
      <c r="C37" s="2">
        <v>126968049.4305249</v>
      </c>
      <c r="D37" s="309">
        <v>-0.22436245334382543</v>
      </c>
    </row>
    <row r="38" spans="1:4" x14ac:dyDescent="0.55000000000000004">
      <c r="A38" s="312" t="s">
        <v>412</v>
      </c>
      <c r="B38" s="2">
        <v>300441387.436185</v>
      </c>
      <c r="C38" s="2">
        <v>245965839.77771968</v>
      </c>
      <c r="D38" s="309">
        <v>-0.18131838666880129</v>
      </c>
    </row>
    <row r="39" spans="1:4" x14ac:dyDescent="0.55000000000000004">
      <c r="A39" s="312" t="s">
        <v>405</v>
      </c>
      <c r="B39" s="2">
        <v>321001887.90953296</v>
      </c>
      <c r="C39" s="2">
        <v>285010188.41403091</v>
      </c>
      <c r="D39" s="309">
        <v>-0.11212301500745536</v>
      </c>
    </row>
    <row r="40" spans="1:4" x14ac:dyDescent="0.55000000000000004">
      <c r="A40" s="318">
        <v>4</v>
      </c>
      <c r="D40" s="309"/>
    </row>
    <row r="41" spans="1:4" x14ac:dyDescent="0.55000000000000004">
      <c r="A41" s="312" t="s">
        <v>402</v>
      </c>
      <c r="B41" s="2">
        <v>651137459.23030555</v>
      </c>
      <c r="C41" s="2">
        <v>635480912.32637644</v>
      </c>
      <c r="D41" s="309">
        <v>-2.4044918138232063E-2</v>
      </c>
    </row>
    <row r="42" spans="1:4" x14ac:dyDescent="0.55000000000000004">
      <c r="A42" s="312" t="s">
        <v>398</v>
      </c>
      <c r="B42" s="2">
        <v>191973195.94856057</v>
      </c>
      <c r="C42" s="2">
        <v>186866706.95138004</v>
      </c>
      <c r="D42" s="309">
        <v>-2.6600010339718483E-2</v>
      </c>
    </row>
    <row r="43" spans="1:4" x14ac:dyDescent="0.55000000000000004">
      <c r="A43" s="312" t="s">
        <v>406</v>
      </c>
      <c r="B43" s="2">
        <v>427752442.19632149</v>
      </c>
      <c r="C43" s="2">
        <v>421255673.93363303</v>
      </c>
      <c r="D43" s="309">
        <v>-1.5188150018104807E-2</v>
      </c>
    </row>
    <row r="44" spans="1:4" x14ac:dyDescent="0.55000000000000004">
      <c r="A44" s="312" t="s">
        <v>419</v>
      </c>
      <c r="B44" s="2">
        <v>538516504.83492351</v>
      </c>
      <c r="C44" s="2">
        <v>576245328.176157</v>
      </c>
      <c r="D44" s="309">
        <v>7.0060662955537145E-2</v>
      </c>
    </row>
    <row r="45" spans="1:4" x14ac:dyDescent="0.55000000000000004">
      <c r="A45" s="312" t="s">
        <v>423</v>
      </c>
      <c r="B45" s="2">
        <v>347925179.07457805</v>
      </c>
      <c r="C45" s="2">
        <v>303660620.0821479</v>
      </c>
      <c r="D45" s="309">
        <v>-0.12722436217512734</v>
      </c>
    </row>
    <row r="46" spans="1:4" x14ac:dyDescent="0.55000000000000004">
      <c r="A46" s="312" t="s">
        <v>415</v>
      </c>
      <c r="B46" s="2">
        <v>807990924.62363875</v>
      </c>
      <c r="C46" s="2">
        <v>647412677.61710918</v>
      </c>
      <c r="D46" s="309">
        <v>-0.19873768641810763</v>
      </c>
    </row>
    <row r="47" spans="1:4" x14ac:dyDescent="0.55000000000000004">
      <c r="A47" s="312" t="s">
        <v>395</v>
      </c>
      <c r="B47" s="2">
        <v>209879428.41413811</v>
      </c>
      <c r="C47" s="2">
        <v>163691957.80190518</v>
      </c>
      <c r="D47" s="309">
        <v>-0.22006668762740733</v>
      </c>
    </row>
    <row r="48" spans="1:4" x14ac:dyDescent="0.55000000000000004">
      <c r="A48" s="318">
        <v>5</v>
      </c>
      <c r="D48" s="309"/>
    </row>
    <row r="49" spans="1:4" x14ac:dyDescent="0.55000000000000004">
      <c r="A49" s="312" t="s">
        <v>418</v>
      </c>
      <c r="B49" s="2">
        <v>2271913453.7494617</v>
      </c>
      <c r="C49" s="2">
        <v>2206836873.7580786</v>
      </c>
      <c r="D49" s="309">
        <v>-2.8643952032584519E-2</v>
      </c>
    </row>
    <row r="50" spans="1:4" x14ac:dyDescent="0.55000000000000004">
      <c r="A50" s="312" t="s">
        <v>424</v>
      </c>
      <c r="B50" s="2">
        <v>1363046478.5751929</v>
      </c>
      <c r="C50" s="2">
        <v>1232095840.2111526</v>
      </c>
      <c r="D50" s="309">
        <v>-9.607202719963337E-2</v>
      </c>
    </row>
    <row r="51" spans="1:4" x14ac:dyDescent="0.55000000000000004">
      <c r="A51" s="318" t="s">
        <v>80</v>
      </c>
      <c r="D51" s="309"/>
    </row>
    <row r="52" spans="1:4" x14ac:dyDescent="0.55000000000000004">
      <c r="A52" s="312" t="s">
        <v>414</v>
      </c>
      <c r="B52" s="2">
        <v>-1387911.6579789929</v>
      </c>
      <c r="C52" s="2">
        <v>0</v>
      </c>
      <c r="D52" s="309">
        <v>-1</v>
      </c>
    </row>
    <row r="53" spans="1:4" x14ac:dyDescent="0.55000000000000004">
      <c r="A53" s="312" t="s">
        <v>385</v>
      </c>
      <c r="B53" s="2">
        <v>88874955.839464456</v>
      </c>
      <c r="C53" s="2">
        <v>554.87021353831472</v>
      </c>
      <c r="D53" s="309">
        <v>-0.99999375673148527</v>
      </c>
    </row>
    <row r="54" spans="1:4" x14ac:dyDescent="0.55000000000000004">
      <c r="A54" s="312" t="s">
        <v>389</v>
      </c>
      <c r="B54" s="2">
        <v>13700537.261961408</v>
      </c>
      <c r="C54" s="2">
        <v>0</v>
      </c>
      <c r="D54" s="309">
        <v>-1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61"/>
  <sheetViews>
    <sheetView topLeftCell="C2" zoomScale="90" zoomScaleNormal="90" workbookViewId="0">
      <selection activeCell="I52" sqref="I52:I56"/>
    </sheetView>
  </sheetViews>
  <sheetFormatPr defaultColWidth="8.68359375" defaultRowHeight="15" x14ac:dyDescent="0.5"/>
  <cols>
    <col min="1" max="1" width="14.15625" style="97" bestFit="1" customWidth="1"/>
    <col min="2" max="2" width="59.578125" style="10" bestFit="1" customWidth="1"/>
    <col min="3" max="3" width="18" style="10" bestFit="1" customWidth="1"/>
    <col min="4" max="4" width="16" style="10" bestFit="1" customWidth="1"/>
    <col min="5" max="6" width="14.68359375" style="10" bestFit="1" customWidth="1"/>
    <col min="7" max="7" width="18" style="10" bestFit="1" customWidth="1"/>
    <col min="8" max="8" width="16" style="10" bestFit="1" customWidth="1"/>
    <col min="9" max="9" width="18.68359375" style="367" bestFit="1" customWidth="1"/>
    <col min="10" max="10" width="16.15625" style="10" customWidth="1"/>
    <col min="11" max="11" width="8.68359375" style="10"/>
    <col min="12" max="12" width="17.578125" style="96" customWidth="1"/>
    <col min="13" max="13" width="25.578125" style="96" customWidth="1"/>
    <col min="14" max="14" width="15.578125" style="10" bestFit="1" customWidth="1"/>
    <col min="15" max="16384" width="8.68359375" style="10"/>
  </cols>
  <sheetData>
    <row r="1" spans="1:13" ht="15.3" hidden="1" x14ac:dyDescent="0.55000000000000004">
      <c r="C1" s="106">
        <v>42552</v>
      </c>
      <c r="D1" s="106"/>
      <c r="E1" s="106"/>
      <c r="F1" s="106"/>
      <c r="G1" s="106"/>
      <c r="H1" s="106"/>
    </row>
    <row r="2" spans="1:13" ht="20.399999999999999" x14ac:dyDescent="0.75">
      <c r="A2" s="105" t="s">
        <v>617</v>
      </c>
      <c r="B2" s="104"/>
      <c r="C2" s="104"/>
      <c r="D2" s="104"/>
      <c r="E2" s="104"/>
      <c r="F2" s="104"/>
      <c r="G2" s="104"/>
      <c r="H2" s="104"/>
      <c r="I2" s="11"/>
    </row>
    <row r="3" spans="1:13" ht="15.3" x14ac:dyDescent="0.55000000000000004">
      <c r="B3" s="104"/>
      <c r="C3" s="104"/>
      <c r="D3" s="104"/>
      <c r="E3" s="104"/>
      <c r="F3" s="104"/>
      <c r="G3" s="104"/>
      <c r="H3" s="104"/>
    </row>
    <row r="4" spans="1:13" s="100" customFormat="1" ht="43.2" x14ac:dyDescent="0.55000000000000004">
      <c r="A4" s="103" t="s">
        <v>209</v>
      </c>
      <c r="B4" s="102" t="s">
        <v>208</v>
      </c>
      <c r="C4" s="102" t="s">
        <v>207</v>
      </c>
      <c r="D4" s="102" t="s">
        <v>206</v>
      </c>
      <c r="E4" s="102" t="s">
        <v>205</v>
      </c>
      <c r="F4" s="102" t="s">
        <v>204</v>
      </c>
      <c r="G4" s="102" t="s">
        <v>203</v>
      </c>
      <c r="H4" s="102" t="s">
        <v>202</v>
      </c>
      <c r="I4" s="368" t="s">
        <v>618</v>
      </c>
      <c r="J4" s="102" t="s">
        <v>201</v>
      </c>
      <c r="K4" s="100" t="s">
        <v>200</v>
      </c>
      <c r="L4" s="101" t="s">
        <v>619</v>
      </c>
      <c r="M4" s="101" t="s">
        <v>620</v>
      </c>
    </row>
    <row r="5" spans="1:13" x14ac:dyDescent="0.5">
      <c r="A5" s="97">
        <v>210001</v>
      </c>
      <c r="B5" s="10" t="s">
        <v>199</v>
      </c>
      <c r="C5" s="99">
        <f>VLOOKUP($A5,'[3]FY22 Rx Rev By Hosp 20230331'!$B$1:$I$65536,3,FALSE)</f>
        <v>5888951.5</v>
      </c>
      <c r="D5" s="99">
        <f>VLOOKUP($A5,'[3]FY22 Rx Rev By Hosp 20230331'!$B$1:$I$65536,4,FALSE)</f>
        <v>3744494.9299999997</v>
      </c>
      <c r="E5" s="99">
        <f>VLOOKUP($A5,'[3]FY22 Rx Rev By Hosp 20230331'!$B$1:$I$65536,5,FALSE)</f>
        <v>17682932.699999999</v>
      </c>
      <c r="F5" s="99">
        <f>VLOOKUP($A5,'[3]FY22 Rx Rev By Hosp 20230331'!$B$1:$I$65536,6,FALSE)</f>
        <v>14989935</v>
      </c>
      <c r="G5" s="99">
        <f>C5+E5</f>
        <v>23571884.199999999</v>
      </c>
      <c r="H5" s="99">
        <f>D5+F5</f>
        <v>18734429.93</v>
      </c>
      <c r="I5" s="367">
        <f>VLOOKUP(A5,'Oncology Drugs &amp; COVID Lab'!$1:$1048576,2,FALSE)</f>
        <v>20831120.789999999</v>
      </c>
      <c r="J5" s="98">
        <f>H5/G5</f>
        <v>0.79477863420014594</v>
      </c>
      <c r="K5" s="10">
        <f>VLOOKUP(A5,'Variable Input'!$1:$1048576,8,FALSE)</f>
        <v>1.1196537153887776</v>
      </c>
      <c r="L5" s="96">
        <f>I5*J5*K5</f>
        <v>18537132.165027585</v>
      </c>
      <c r="M5" s="96">
        <f>I5-L5</f>
        <v>2293988.6249724142</v>
      </c>
    </row>
    <row r="6" spans="1:13" x14ac:dyDescent="0.5">
      <c r="A6" s="97">
        <v>210002</v>
      </c>
      <c r="B6" s="10" t="s">
        <v>198</v>
      </c>
      <c r="C6" s="99">
        <f>VLOOKUP($A6,'[3]FY22 Rx Rev By Hosp 20230331'!$B$1:$I$65536,3,FALSE)</f>
        <v>196046852.78999999</v>
      </c>
      <c r="D6" s="99">
        <f>VLOOKUP($A6,'[3]FY22 Rx Rev By Hosp 20230331'!$B$1:$I$65536,4,FALSE)</f>
        <v>105273789.36</v>
      </c>
      <c r="E6" s="99">
        <f>VLOOKUP($A6,'[3]FY22 Rx Rev By Hosp 20230331'!$B$1:$I$65536,5,FALSE)</f>
        <v>0</v>
      </c>
      <c r="F6" s="99">
        <f>VLOOKUP($A6,'[3]FY22 Rx Rev By Hosp 20230331'!$B$1:$I$65536,6,FALSE)</f>
        <v>0</v>
      </c>
      <c r="G6" s="99">
        <f t="shared" ref="G6:G36" si="0">C6+E6</f>
        <v>196046852.78999999</v>
      </c>
      <c r="H6" s="99">
        <f t="shared" ref="H6:H36" si="1">D6+F6</f>
        <v>105273789.36</v>
      </c>
      <c r="I6" s="367">
        <f>VLOOKUP(A6,'Oncology Drugs &amp; COVID Lab'!$1:$1048576,2,FALSE)</f>
        <v>191683730.37</v>
      </c>
      <c r="J6" s="98">
        <f t="shared" ref="J6:J36" si="2">H6/G6</f>
        <v>0.53698280723111835</v>
      </c>
      <c r="K6" s="10">
        <f>VLOOKUP(A6,'Variable Input'!$1:$1048576,8,FALSE)</f>
        <v>1.1149630516096494</v>
      </c>
      <c r="L6" s="96">
        <f t="shared" ref="L6:L36" si="3">I6*J6*K6</f>
        <v>114764114.28271966</v>
      </c>
      <c r="M6" s="96">
        <f t="shared" ref="M6:M56" si="4">I6-L6</f>
        <v>76919616.087280348</v>
      </c>
    </row>
    <row r="7" spans="1:13" x14ac:dyDescent="0.5">
      <c r="A7" s="97">
        <v>210003</v>
      </c>
      <c r="B7" s="10" t="s">
        <v>197</v>
      </c>
      <c r="C7" s="99">
        <f>VLOOKUP($A7,'[3]FY22 Rx Rev By Hosp 20230331'!$B$1:$I$65536,3,FALSE)</f>
        <v>2960608.89</v>
      </c>
      <c r="D7" s="99">
        <f>VLOOKUP($A7,'[3]FY22 Rx Rev By Hosp 20230331'!$B$1:$I$65536,4,FALSE)</f>
        <v>1006819.0800000001</v>
      </c>
      <c r="E7" s="99">
        <f>VLOOKUP($A7,'[3]FY22 Rx Rev By Hosp 20230331'!$B$1:$I$65536,5,FALSE)</f>
        <v>0</v>
      </c>
      <c r="F7" s="99">
        <f>VLOOKUP($A7,'[3]FY22 Rx Rev By Hosp 20230331'!$B$1:$I$65536,6,FALSE)</f>
        <v>0</v>
      </c>
      <c r="G7" s="99">
        <f t="shared" si="0"/>
        <v>2960608.89</v>
      </c>
      <c r="H7" s="99">
        <f t="shared" si="1"/>
        <v>1006819.0800000001</v>
      </c>
      <c r="I7" s="367">
        <f>VLOOKUP(A7,'Oncology Drugs &amp; COVID Lab'!$1:$1048576,2,FALSE)</f>
        <v>740450.2</v>
      </c>
      <c r="J7" s="98">
        <f t="shared" si="2"/>
        <v>0.34007162627955223</v>
      </c>
      <c r="K7" s="10">
        <f>VLOOKUP(A7,'Variable Input'!$1:$1048576,8,FALSE)</f>
        <v>1.1150592197193865</v>
      </c>
      <c r="L7" s="96">
        <f t="shared" si="3"/>
        <v>280778.71750451747</v>
      </c>
      <c r="M7" s="96">
        <f t="shared" si="4"/>
        <v>459671.48249548249</v>
      </c>
    </row>
    <row r="8" spans="1:13" x14ac:dyDescent="0.5">
      <c r="A8" s="97">
        <v>210004</v>
      </c>
      <c r="B8" s="10" t="s">
        <v>196</v>
      </c>
      <c r="C8" s="99">
        <f>VLOOKUP($A8,'[3]FY22 Rx Rev By Hosp 20230331'!$B$1:$I$65536,3,FALSE)</f>
        <v>9898602</v>
      </c>
      <c r="D8" s="99">
        <f>VLOOKUP($A8,'[3]FY22 Rx Rev By Hosp 20230331'!$B$1:$I$65536,4,FALSE)</f>
        <v>2974995</v>
      </c>
      <c r="E8" s="99">
        <f>VLOOKUP($A8,'[3]FY22 Rx Rev By Hosp 20230331'!$B$1:$I$65536,5,FALSE)</f>
        <v>0</v>
      </c>
      <c r="F8" s="99">
        <f>VLOOKUP($A8,'[3]FY22 Rx Rev By Hosp 20230331'!$B$1:$I$65536,6,FALSE)</f>
        <v>0</v>
      </c>
      <c r="G8" s="99">
        <f t="shared" si="0"/>
        <v>9898602</v>
      </c>
      <c r="H8" s="99">
        <f t="shared" si="1"/>
        <v>2974995</v>
      </c>
      <c r="I8" s="367">
        <f>VLOOKUP(A8,'Oncology Drugs &amp; COVID Lab'!$1:$1048576,2,FALSE)</f>
        <v>3137288.21</v>
      </c>
      <c r="J8" s="98">
        <f t="shared" si="2"/>
        <v>0.30054698633200932</v>
      </c>
      <c r="K8" s="10">
        <f>VLOOKUP(A8,'Variable Input'!$1:$1048576,8,FALSE)</f>
        <v>1.1099846191041804</v>
      </c>
      <c r="L8" s="96">
        <f t="shared" si="3"/>
        <v>1046607.2909298145</v>
      </c>
      <c r="M8" s="96">
        <f t="shared" si="4"/>
        <v>2090680.9190701856</v>
      </c>
    </row>
    <row r="9" spans="1:13" x14ac:dyDescent="0.5">
      <c r="A9" s="97">
        <v>210005</v>
      </c>
      <c r="B9" s="10" t="s">
        <v>136</v>
      </c>
      <c r="C9" s="99">
        <f>VLOOKUP($A9,'[3]FY22 Rx Rev By Hosp 20230331'!$B$1:$I$65536,3,FALSE)</f>
        <v>6270309</v>
      </c>
      <c r="D9" s="99">
        <f>VLOOKUP($A9,'[3]FY22 Rx Rev By Hosp 20230331'!$B$1:$I$65536,4,FALSE)</f>
        <v>2523940</v>
      </c>
      <c r="E9" s="99">
        <f>VLOOKUP($A9,'[3]FY22 Rx Rev By Hosp 20230331'!$B$1:$I$65536,5,FALSE)</f>
        <v>0</v>
      </c>
      <c r="F9" s="99">
        <f>VLOOKUP($A9,'[3]FY22 Rx Rev By Hosp 20230331'!$B$1:$I$65536,6,FALSE)</f>
        <v>0</v>
      </c>
      <c r="G9" s="99">
        <f t="shared" si="0"/>
        <v>6270309</v>
      </c>
      <c r="H9" s="99">
        <f t="shared" si="1"/>
        <v>2523940</v>
      </c>
      <c r="I9" s="367">
        <f>VLOOKUP(A9,'Oncology Drugs &amp; COVID Lab'!$1:$1048576,2,FALSE)</f>
        <v>180927.9</v>
      </c>
      <c r="J9" s="98">
        <f t="shared" si="2"/>
        <v>0.40252242752310929</v>
      </c>
      <c r="K9" s="10">
        <f>VLOOKUP(A9,'Variable Input'!$1:$1048576,8,FALSE)</f>
        <v>1.1133096880777904</v>
      </c>
      <c r="L9" s="96">
        <f t="shared" si="3"/>
        <v>81079.603073917882</v>
      </c>
      <c r="M9" s="96">
        <f t="shared" si="4"/>
        <v>99848.296926082112</v>
      </c>
    </row>
    <row r="10" spans="1:13" x14ac:dyDescent="0.5">
      <c r="A10" s="97">
        <v>210006</v>
      </c>
      <c r="B10" s="10" t="s">
        <v>134</v>
      </c>
      <c r="C10" s="99">
        <f>VLOOKUP($A10,'[3]FY22 Rx Rev By Hosp 20230331'!$B$1:$I$65536,3,FALSE)</f>
        <v>2347104.7599999998</v>
      </c>
      <c r="D10" s="99">
        <f>VLOOKUP($A10,'[3]FY22 Rx Rev By Hosp 20230331'!$B$1:$I$65536,4,FALSE)</f>
        <v>956913.63</v>
      </c>
      <c r="E10" s="99">
        <f>VLOOKUP($A10,'[3]FY22 Rx Rev By Hosp 20230331'!$B$1:$I$65536,5,FALSE)</f>
        <v>0</v>
      </c>
      <c r="F10" s="99">
        <f>VLOOKUP($A10,'[3]FY22 Rx Rev By Hosp 20230331'!$B$1:$I$65536,6,FALSE)</f>
        <v>0</v>
      </c>
      <c r="G10" s="99">
        <f t="shared" si="0"/>
        <v>2347104.7599999998</v>
      </c>
      <c r="H10" s="99">
        <f t="shared" si="1"/>
        <v>956913.63</v>
      </c>
      <c r="I10" s="367">
        <f>VLOOKUP(A10,'Oncology Drugs &amp; COVID Lab'!$1:$1048576,2,FALSE)</f>
        <v>885960.1</v>
      </c>
      <c r="J10" s="98">
        <f t="shared" si="2"/>
        <v>0.4076995821865233</v>
      </c>
      <c r="K10" s="10">
        <f>VLOOKUP(A10,'Variable Input'!$1:$1048576,8,FALSE)</f>
        <v>1.1180012832443968</v>
      </c>
      <c r="L10" s="96">
        <f t="shared" si="3"/>
        <v>403828.28250620852</v>
      </c>
      <c r="M10" s="96">
        <f t="shared" si="4"/>
        <v>482131.81749379146</v>
      </c>
    </row>
    <row r="11" spans="1:13" x14ac:dyDescent="0.5">
      <c r="A11" s="97">
        <v>210008</v>
      </c>
      <c r="B11" s="10" t="s">
        <v>115</v>
      </c>
      <c r="C11" s="99">
        <f>VLOOKUP($A11,'[3]FY22 Rx Rev By Hosp 20230331'!$B$1:$I$65536,3,FALSE)</f>
        <v>38937059.5</v>
      </c>
      <c r="D11" s="99">
        <f>VLOOKUP($A11,'[3]FY22 Rx Rev By Hosp 20230331'!$B$1:$I$65536,4,FALSE)</f>
        <v>19692021.590000004</v>
      </c>
      <c r="E11" s="99">
        <f>VLOOKUP($A11,'[3]FY22 Rx Rev By Hosp 20230331'!$B$1:$I$65536,5,FALSE)</f>
        <v>0</v>
      </c>
      <c r="F11" s="99">
        <f>VLOOKUP($A11,'[3]FY22 Rx Rev By Hosp 20230331'!$B$1:$I$65536,6,FALSE)</f>
        <v>0</v>
      </c>
      <c r="G11" s="99">
        <f t="shared" si="0"/>
        <v>38937059.5</v>
      </c>
      <c r="H11" s="99">
        <f t="shared" si="1"/>
        <v>19692021.590000004</v>
      </c>
      <c r="I11" s="367">
        <f>VLOOKUP(A11,'Oncology Drugs &amp; COVID Lab'!$1:$1048576,2,FALSE)</f>
        <v>32567472.5</v>
      </c>
      <c r="J11" s="98">
        <f t="shared" si="2"/>
        <v>0.50573982326528799</v>
      </c>
      <c r="K11" s="10">
        <f>VLOOKUP(A11,'Variable Input'!$1:$1048576,8,FALSE)</f>
        <v>1.1102695565875482</v>
      </c>
      <c r="L11" s="96">
        <f t="shared" si="3"/>
        <v>18286881.01984844</v>
      </c>
      <c r="M11" s="96">
        <f t="shared" si="4"/>
        <v>14280591.48015156</v>
      </c>
    </row>
    <row r="12" spans="1:13" x14ac:dyDescent="0.5">
      <c r="A12" s="97">
        <v>210009</v>
      </c>
      <c r="B12" s="10" t="s">
        <v>111</v>
      </c>
      <c r="C12" s="99">
        <f>VLOOKUP($A12,'[3]FY22 Rx Rev By Hosp 20230331'!$B$1:$I$65536,3,FALSE)</f>
        <v>286212476.93999994</v>
      </c>
      <c r="D12" s="99">
        <f>VLOOKUP($A12,'[3]FY22 Rx Rev By Hosp 20230331'!$B$1:$I$65536,4,FALSE)</f>
        <v>149309922.35999998</v>
      </c>
      <c r="E12" s="99">
        <f>VLOOKUP($A12,'[3]FY22 Rx Rev By Hosp 20230331'!$B$1:$I$65536,5,FALSE)</f>
        <v>0</v>
      </c>
      <c r="F12" s="99">
        <f>VLOOKUP($A12,'[3]FY22 Rx Rev By Hosp 20230331'!$B$1:$I$65536,6,FALSE)</f>
        <v>0</v>
      </c>
      <c r="G12" s="99">
        <f t="shared" si="0"/>
        <v>286212476.93999994</v>
      </c>
      <c r="H12" s="99">
        <f t="shared" si="1"/>
        <v>149309922.35999998</v>
      </c>
      <c r="I12" s="367">
        <f>VLOOKUP(A12,'Oncology Drugs &amp; COVID Lab'!$1:$1048576,2,FALSE)</f>
        <v>261098593.34</v>
      </c>
      <c r="J12" s="98">
        <f t="shared" si="2"/>
        <v>0.5216750994098015</v>
      </c>
      <c r="K12" s="10">
        <f>VLOOKUP(A12,'Variable Input'!$1:$1048576,8,FALSE)</f>
        <v>1.106052155233989</v>
      </c>
      <c r="L12" s="96">
        <f t="shared" si="3"/>
        <v>150653853.90107343</v>
      </c>
      <c r="M12" s="96">
        <f t="shared" si="4"/>
        <v>110444739.43892658</v>
      </c>
    </row>
    <row r="13" spans="1:13" x14ac:dyDescent="0.5">
      <c r="A13" s="97">
        <v>210010</v>
      </c>
      <c r="B13" s="10" t="s">
        <v>195</v>
      </c>
      <c r="C13" s="99">
        <f>VLOOKUP($A13,'[3]FY22 Rx Rev By Hosp 20230331'!$B$1:$I$65536,3,FALSE)</f>
        <v>853033.62000000011</v>
      </c>
      <c r="D13" s="99">
        <f>VLOOKUP($A13,'[3]FY22 Rx Rev By Hosp 20230331'!$B$1:$I$65536,4,FALSE)</f>
        <v>241316.83000000002</v>
      </c>
      <c r="E13" s="99">
        <f>VLOOKUP($A13,'[3]FY22 Rx Rev By Hosp 20230331'!$B$1:$I$65536,5,FALSE)</f>
        <v>0</v>
      </c>
      <c r="F13" s="99">
        <f>VLOOKUP($A13,'[3]FY22 Rx Rev By Hosp 20230331'!$B$1:$I$65536,6,FALSE)</f>
        <v>0</v>
      </c>
      <c r="G13" s="99">
        <f t="shared" si="0"/>
        <v>853033.62000000011</v>
      </c>
      <c r="H13" s="99">
        <f t="shared" si="1"/>
        <v>241316.83000000002</v>
      </c>
      <c r="I13" s="367">
        <f>VLOOKUP(A13,'Oncology Drugs &amp; COVID Lab'!$1:$1048576,2,FALSE)</f>
        <v>33323.269999999997</v>
      </c>
      <c r="J13" s="98">
        <f t="shared" si="2"/>
        <v>0.28289251952343919</v>
      </c>
      <c r="K13" s="10">
        <f>VLOOKUP(A13,'Variable Input'!$1:$1048576,8,FALSE)</f>
        <v>1.1237799950517624</v>
      </c>
      <c r="L13" s="96">
        <f t="shared" si="3"/>
        <v>10593.765915898701</v>
      </c>
      <c r="M13" s="96">
        <f t="shared" si="4"/>
        <v>22729.504084101296</v>
      </c>
    </row>
    <row r="14" spans="1:13" x14ac:dyDescent="0.5">
      <c r="A14" s="97">
        <v>210011</v>
      </c>
      <c r="B14" s="10" t="s">
        <v>146</v>
      </c>
      <c r="C14" s="99">
        <f>VLOOKUP($A14,'[3]FY22 Rx Rev By Hosp 20230331'!$B$1:$I$65536,3,FALSE)</f>
        <v>34993830.460000001</v>
      </c>
      <c r="D14" s="99">
        <f>VLOOKUP($A14,'[3]FY22 Rx Rev By Hosp 20230331'!$B$1:$I$65536,4,FALSE)</f>
        <v>15090033.330000002</v>
      </c>
      <c r="E14" s="99">
        <f>VLOOKUP($A14,'[3]FY22 Rx Rev By Hosp 20230331'!$B$1:$I$65536,5,FALSE)</f>
        <v>0</v>
      </c>
      <c r="F14" s="99">
        <f>VLOOKUP($A14,'[3]FY22 Rx Rev By Hosp 20230331'!$B$1:$I$65536,6,FALSE)</f>
        <v>0</v>
      </c>
      <c r="G14" s="99">
        <f t="shared" si="0"/>
        <v>34993830.460000001</v>
      </c>
      <c r="H14" s="99">
        <f t="shared" si="1"/>
        <v>15090033.330000002</v>
      </c>
      <c r="I14" s="367">
        <f>VLOOKUP(A14,'Oncology Drugs &amp; COVID Lab'!$1:$1048576,2,FALSE)</f>
        <v>30770032.859999999</v>
      </c>
      <c r="J14" s="98">
        <f t="shared" si="2"/>
        <v>0.43121982165538564</v>
      </c>
      <c r="K14" s="10">
        <f>VLOOKUP(A14,'Variable Input'!$1:$1048576,8,FALSE)</f>
        <v>1.1208321340194023</v>
      </c>
      <c r="L14" s="96">
        <f t="shared" si="3"/>
        <v>14871927.145546595</v>
      </c>
      <c r="M14" s="96">
        <f t="shared" si="4"/>
        <v>15898105.714453405</v>
      </c>
    </row>
    <row r="15" spans="1:13" x14ac:dyDescent="0.5">
      <c r="A15" s="97">
        <v>210012</v>
      </c>
      <c r="B15" s="10" t="s">
        <v>113</v>
      </c>
      <c r="C15" s="99">
        <f>VLOOKUP($A15,'[3]FY22 Rx Rev By Hosp 20230331'!$B$1:$I$65536,3,FALSE)</f>
        <v>51846213.11999999</v>
      </c>
      <c r="D15" s="99">
        <f>VLOOKUP($A15,'[3]FY22 Rx Rev By Hosp 20230331'!$B$1:$I$65536,4,FALSE)</f>
        <v>20429281.189999998</v>
      </c>
      <c r="E15" s="99">
        <f>VLOOKUP($A15,'[3]FY22 Rx Rev By Hosp 20230331'!$B$1:$I$65536,5,FALSE)</f>
        <v>21734077.730000004</v>
      </c>
      <c r="F15" s="99">
        <f>VLOOKUP($A15,'[3]FY22 Rx Rev By Hosp 20230331'!$B$1:$I$65536,6,FALSE)</f>
        <v>13046914.82</v>
      </c>
      <c r="G15" s="99">
        <f t="shared" si="0"/>
        <v>73580290.849999994</v>
      </c>
      <c r="H15" s="99">
        <f t="shared" si="1"/>
        <v>33476196.009999998</v>
      </c>
      <c r="I15" s="367">
        <f>VLOOKUP(A15,'Oncology Drugs &amp; COVID Lab'!$1:$1048576,2,FALSE)</f>
        <v>68278870.150000006</v>
      </c>
      <c r="J15" s="98">
        <f t="shared" si="2"/>
        <v>0.45496145262926752</v>
      </c>
      <c r="K15" s="10">
        <f>VLOOKUP(A15,'Variable Input'!$1:$1048576,8,FALSE)</f>
        <v>1.1214469245143464</v>
      </c>
      <c r="L15" s="96">
        <f t="shared" si="3"/>
        <v>34836912.051564902</v>
      </c>
      <c r="M15" s="96">
        <f t="shared" si="4"/>
        <v>33441958.098435104</v>
      </c>
    </row>
    <row r="16" spans="1:13" x14ac:dyDescent="0.5">
      <c r="A16" s="97">
        <v>210013</v>
      </c>
      <c r="B16" s="10" t="s">
        <v>118</v>
      </c>
      <c r="C16" s="99">
        <f>VLOOKUP($A16,'[3]FY22 Rx Rev By Hosp 20230331'!$B$1:$I$65536,3,FALSE)</f>
        <v>983101.10000000009</v>
      </c>
      <c r="D16" s="99">
        <f>VLOOKUP($A16,'[3]FY22 Rx Rev By Hosp 20230331'!$B$1:$I$65536,4,FALSE)</f>
        <v>420532.29</v>
      </c>
      <c r="E16" s="99">
        <f>VLOOKUP($A16,'[3]FY22 Rx Rev By Hosp 20230331'!$B$1:$I$65536,5,FALSE)</f>
        <v>0</v>
      </c>
      <c r="F16" s="99">
        <f>VLOOKUP($A16,'[3]FY22 Rx Rev By Hosp 20230331'!$B$1:$I$65536,6,FALSE)</f>
        <v>0</v>
      </c>
      <c r="G16" s="99">
        <f t="shared" si="0"/>
        <v>983101.10000000009</v>
      </c>
      <c r="H16" s="99">
        <f t="shared" si="1"/>
        <v>420532.29</v>
      </c>
      <c r="I16" s="367">
        <f>VLOOKUP(A16,'Oncology Drugs &amp; COVID Lab'!$1:$1048576,2,FALSE)</f>
        <v>81114.389999999985</v>
      </c>
      <c r="J16" s="98">
        <f t="shared" si="2"/>
        <v>0.42776098002535035</v>
      </c>
      <c r="K16" s="10">
        <f>VLOOKUP(A16,'Variable Input'!$1:$1048576,8,FALSE)</f>
        <v>1.1357641348932981</v>
      </c>
      <c r="L16" s="96">
        <f t="shared" si="3"/>
        <v>39408.256664917513</v>
      </c>
      <c r="M16" s="96">
        <f t="shared" si="4"/>
        <v>41706.133335082472</v>
      </c>
    </row>
    <row r="17" spans="1:13" x14ac:dyDescent="0.5">
      <c r="A17" s="97">
        <v>210015</v>
      </c>
      <c r="B17" s="10" t="s">
        <v>194</v>
      </c>
      <c r="C17" s="99">
        <f>VLOOKUP($A17,'[3]FY22 Rx Rev By Hosp 20230331'!$B$1:$I$65536,3,FALSE)</f>
        <v>58480139</v>
      </c>
      <c r="D17" s="99">
        <f>VLOOKUP($A17,'[3]FY22 Rx Rev By Hosp 20230331'!$B$1:$I$65536,4,FALSE)</f>
        <v>32974605</v>
      </c>
      <c r="E17" s="99">
        <f>VLOOKUP($A17,'[3]FY22 Rx Rev By Hosp 20230331'!$B$1:$I$65536,5,FALSE)</f>
        <v>0</v>
      </c>
      <c r="F17" s="99">
        <f>VLOOKUP($A17,'[3]FY22 Rx Rev By Hosp 20230331'!$B$1:$I$65536,6,FALSE)</f>
        <v>0</v>
      </c>
      <c r="G17" s="99">
        <f t="shared" si="0"/>
        <v>58480139</v>
      </c>
      <c r="H17" s="99">
        <f t="shared" si="1"/>
        <v>32974605</v>
      </c>
      <c r="I17" s="367">
        <f>VLOOKUP(A17,'Oncology Drugs &amp; COVID Lab'!$1:$1048576,2,FALSE)</f>
        <v>54951550.93</v>
      </c>
      <c r="J17" s="98">
        <f t="shared" si="2"/>
        <v>0.56385989438226203</v>
      </c>
      <c r="K17" s="10">
        <f>VLOOKUP(A17,'Variable Input'!$1:$1048576,8,FALSE)</f>
        <v>1.1215228084765592</v>
      </c>
      <c r="L17" s="96">
        <f t="shared" si="3"/>
        <v>34750356.971602365</v>
      </c>
      <c r="M17" s="96">
        <f t="shared" si="4"/>
        <v>20201193.958397634</v>
      </c>
    </row>
    <row r="18" spans="1:13" x14ac:dyDescent="0.5">
      <c r="A18" s="97">
        <v>210016</v>
      </c>
      <c r="B18" s="10" t="s">
        <v>120</v>
      </c>
      <c r="C18" s="99">
        <f>VLOOKUP($A18,'[3]FY22 Rx Rev By Hosp 20230331'!$B$1:$I$65536,3,FALSE)</f>
        <v>4135956.29</v>
      </c>
      <c r="D18" s="99">
        <f>VLOOKUP($A18,'[3]FY22 Rx Rev By Hosp 20230331'!$B$1:$I$65536,4,FALSE)</f>
        <v>1879933.03</v>
      </c>
      <c r="E18" s="99">
        <f>VLOOKUP($A18,'[3]FY22 Rx Rev By Hosp 20230331'!$B$1:$I$65536,5,FALSE)</f>
        <v>0</v>
      </c>
      <c r="F18" s="99">
        <f>VLOOKUP($A18,'[3]FY22 Rx Rev By Hosp 20230331'!$B$1:$I$65536,6,FALSE)</f>
        <v>0</v>
      </c>
      <c r="G18" s="99">
        <f t="shared" si="0"/>
        <v>4135956.29</v>
      </c>
      <c r="H18" s="99">
        <f t="shared" si="1"/>
        <v>1879933.03</v>
      </c>
      <c r="I18" s="367">
        <f>VLOOKUP(A18,'Oncology Drugs &amp; COVID Lab'!$1:$1048576,2,FALSE)</f>
        <v>977604.37</v>
      </c>
      <c r="J18" s="98">
        <f t="shared" si="2"/>
        <v>0.45453406617118769</v>
      </c>
      <c r="K18" s="10">
        <f>VLOOKUP(A18,'Variable Input'!$1:$1048576,8,FALSE)</f>
        <v>1.1206186736274211</v>
      </c>
      <c r="L18" s="96">
        <f t="shared" si="3"/>
        <v>497951.93853498064</v>
      </c>
      <c r="M18" s="96">
        <f t="shared" si="4"/>
        <v>479652.43146501936</v>
      </c>
    </row>
    <row r="19" spans="1:13" x14ac:dyDescent="0.5">
      <c r="A19" s="97">
        <v>210017</v>
      </c>
      <c r="B19" s="10" t="s">
        <v>135</v>
      </c>
      <c r="C19" s="99">
        <f>VLOOKUP($A19,'[3]FY22 Rx Rev By Hosp 20230331'!$B$1:$I$65536,3,FALSE)</f>
        <v>6759011.1400000006</v>
      </c>
      <c r="D19" s="99">
        <f>VLOOKUP($A19,'[3]FY22 Rx Rev By Hosp 20230331'!$B$1:$I$65536,4,FALSE)</f>
        <v>4856323.12</v>
      </c>
      <c r="E19" s="99">
        <f>VLOOKUP($A19,'[3]FY22 Rx Rev By Hosp 20230331'!$B$1:$I$65536,5,FALSE)</f>
        <v>0</v>
      </c>
      <c r="F19" s="99">
        <f>VLOOKUP($A19,'[3]FY22 Rx Rev By Hosp 20230331'!$B$1:$I$65536,6,FALSE)</f>
        <v>0</v>
      </c>
      <c r="G19" s="99">
        <f t="shared" si="0"/>
        <v>6759011.1400000006</v>
      </c>
      <c r="H19" s="99">
        <f t="shared" si="1"/>
        <v>4856323.12</v>
      </c>
      <c r="I19" s="367">
        <f>VLOOKUP(A19,'Oncology Drugs &amp; COVID Lab'!$1:$1048576,2,FALSE)</f>
        <v>5682442.3200000003</v>
      </c>
      <c r="J19" s="98">
        <f t="shared" si="2"/>
        <v>0.718496096457092</v>
      </c>
      <c r="K19" s="10">
        <f>VLOOKUP(A19,'Variable Input'!$1:$1048576,8,FALSE)</f>
        <v>1.1207568789217148</v>
      </c>
      <c r="L19" s="96">
        <f t="shared" si="3"/>
        <v>4575840.3351114644</v>
      </c>
      <c r="M19" s="96">
        <f t="shared" si="4"/>
        <v>1106601.9848885359</v>
      </c>
    </row>
    <row r="20" spans="1:13" x14ac:dyDescent="0.5">
      <c r="A20" s="97">
        <v>210018</v>
      </c>
      <c r="B20" s="10" t="s">
        <v>193</v>
      </c>
      <c r="C20" s="99">
        <f>VLOOKUP($A20,'[3]FY22 Rx Rev By Hosp 20230331'!$B$1:$I$65536,3,FALSE)</f>
        <v>15066859</v>
      </c>
      <c r="D20" s="99">
        <f>VLOOKUP($A20,'[3]FY22 Rx Rev By Hosp 20230331'!$B$1:$I$65536,4,FALSE)</f>
        <v>8218515</v>
      </c>
      <c r="E20" s="99">
        <f>VLOOKUP($A20,'[3]FY22 Rx Rev By Hosp 20230331'!$B$1:$I$65536,5,FALSE)</f>
        <v>0</v>
      </c>
      <c r="F20" s="99">
        <f>VLOOKUP($A20,'[3]FY22 Rx Rev By Hosp 20230331'!$B$1:$I$65536,6,FALSE)</f>
        <v>0</v>
      </c>
      <c r="G20" s="99">
        <f t="shared" si="0"/>
        <v>15066859</v>
      </c>
      <c r="H20" s="99">
        <f t="shared" si="1"/>
        <v>8218515</v>
      </c>
      <c r="I20" s="367">
        <f>VLOOKUP(A20,'Oncology Drugs &amp; COVID Lab'!$1:$1048576,2,FALSE)</f>
        <v>13478240.09</v>
      </c>
      <c r="J20" s="98">
        <f t="shared" si="2"/>
        <v>0.54546969610587048</v>
      </c>
      <c r="K20" s="10">
        <f>VLOOKUP(A20,'Variable Input'!$1:$1048576,8,FALSE)</f>
        <v>1.1159266108518389</v>
      </c>
      <c r="L20" s="96">
        <f t="shared" si="3"/>
        <v>8204260.6680150414</v>
      </c>
      <c r="M20" s="96">
        <f t="shared" si="4"/>
        <v>5273979.4219849585</v>
      </c>
    </row>
    <row r="21" spans="1:13" x14ac:dyDescent="0.5">
      <c r="A21" s="97">
        <v>210019</v>
      </c>
      <c r="B21" s="10" t="s">
        <v>128</v>
      </c>
      <c r="C21" s="99">
        <f>VLOOKUP($A21,'[3]FY22 Rx Rev By Hosp 20230331'!$B$1:$I$65536,3,FALSE)</f>
        <v>25862088</v>
      </c>
      <c r="D21" s="99">
        <f>VLOOKUP($A21,'[3]FY22 Rx Rev By Hosp 20230331'!$B$1:$I$65536,4,FALSE)</f>
        <v>13427145</v>
      </c>
      <c r="E21" s="99">
        <f>VLOOKUP($A21,'[3]FY22 Rx Rev By Hosp 20230331'!$B$1:$I$65536,5,FALSE)</f>
        <v>0</v>
      </c>
      <c r="F21" s="99">
        <f>VLOOKUP($A21,'[3]FY22 Rx Rev By Hosp 20230331'!$B$1:$I$65536,6,FALSE)</f>
        <v>0</v>
      </c>
      <c r="G21" s="99">
        <f t="shared" si="0"/>
        <v>25862088</v>
      </c>
      <c r="H21" s="99">
        <f t="shared" si="1"/>
        <v>13427145</v>
      </c>
      <c r="I21" s="367">
        <f>VLOOKUP(A21,'Oncology Drugs &amp; COVID Lab'!$1:$1048576,2,FALSE)</f>
        <v>17172329.199999999</v>
      </c>
      <c r="J21" s="98">
        <f t="shared" si="2"/>
        <v>0.51918255788163736</v>
      </c>
      <c r="K21" s="10">
        <f>VLOOKUP(A21,'Variable Input'!$1:$1048576,8,FALSE)</f>
        <v>1.1235285459397526</v>
      </c>
      <c r="L21" s="96">
        <f t="shared" si="3"/>
        <v>10016901.666430982</v>
      </c>
      <c r="M21" s="96">
        <f t="shared" si="4"/>
        <v>7155427.5335690174</v>
      </c>
    </row>
    <row r="22" spans="1:13" x14ac:dyDescent="0.5">
      <c r="A22" s="97">
        <v>210022</v>
      </c>
      <c r="B22" s="10" t="s">
        <v>145</v>
      </c>
      <c r="C22" s="99">
        <f>VLOOKUP($A22,'[3]FY22 Rx Rev By Hosp 20230331'!$B$1:$I$65536,3,FALSE)</f>
        <v>6360024.4000000004</v>
      </c>
      <c r="D22" s="99">
        <f>VLOOKUP($A22,'[3]FY22 Rx Rev By Hosp 20230331'!$B$1:$I$65536,4,FALSE)</f>
        <v>2362753.2799999998</v>
      </c>
      <c r="E22" s="99">
        <f>VLOOKUP($A22,'[3]FY22 Rx Rev By Hosp 20230331'!$B$1:$I$65536,5,FALSE)</f>
        <v>0</v>
      </c>
      <c r="F22" s="99">
        <f>VLOOKUP($A22,'[3]FY22 Rx Rev By Hosp 20230331'!$B$1:$I$65536,6,FALSE)</f>
        <v>0</v>
      </c>
      <c r="G22" s="99">
        <f t="shared" si="0"/>
        <v>6360024.4000000004</v>
      </c>
      <c r="H22" s="99">
        <f t="shared" si="1"/>
        <v>2362753.2799999998</v>
      </c>
      <c r="I22" s="367">
        <f>VLOOKUP(A22,'Oncology Drugs &amp; COVID Lab'!$1:$1048576,2,FALSE)</f>
        <v>938011.14</v>
      </c>
      <c r="J22" s="98">
        <f t="shared" si="2"/>
        <v>0.37150066279619925</v>
      </c>
      <c r="K22" s="10">
        <f>VLOOKUP(A22,'Variable Input'!$1:$1048576,8,FALSE)</f>
        <v>1.106961162419857</v>
      </c>
      <c r="L22" s="96">
        <f t="shared" si="3"/>
        <v>385744.70476386667</v>
      </c>
      <c r="M22" s="96">
        <f t="shared" si="4"/>
        <v>552266.4352361334</v>
      </c>
    </row>
    <row r="23" spans="1:13" x14ac:dyDescent="0.5">
      <c r="A23" s="97">
        <v>210023</v>
      </c>
      <c r="B23" s="10" t="s">
        <v>144</v>
      </c>
      <c r="C23" s="99">
        <f>VLOOKUP($A23,'[3]FY22 Rx Rev By Hosp 20230331'!$B$1:$I$65536,3,FALSE)</f>
        <v>44061155</v>
      </c>
      <c r="D23" s="99">
        <f>VLOOKUP($A23,'[3]FY22 Rx Rev By Hosp 20230331'!$B$1:$I$65536,4,FALSE)</f>
        <v>18062643</v>
      </c>
      <c r="E23" s="99">
        <f>VLOOKUP($A23,'[3]FY22 Rx Rev By Hosp 20230331'!$B$1:$I$65536,5,FALSE)</f>
        <v>0</v>
      </c>
      <c r="F23" s="99">
        <f>VLOOKUP($A23,'[3]FY22 Rx Rev By Hosp 20230331'!$B$1:$I$65536,6,FALSE)</f>
        <v>0</v>
      </c>
      <c r="G23" s="99">
        <f t="shared" si="0"/>
        <v>44061155</v>
      </c>
      <c r="H23" s="99">
        <f t="shared" si="1"/>
        <v>18062643</v>
      </c>
      <c r="I23" s="367">
        <f>VLOOKUP(A23,'Oncology Drugs &amp; COVID Lab'!$1:$1048576,2,FALSE)</f>
        <v>35345057.950000003</v>
      </c>
      <c r="J23" s="98">
        <f t="shared" si="2"/>
        <v>0.40994483689771638</v>
      </c>
      <c r="K23" s="10">
        <f>VLOOKUP(A23,'Variable Input'!$1:$1048576,8,FALSE)</f>
        <v>1.1086069567461017</v>
      </c>
      <c r="L23" s="96">
        <f t="shared" si="3"/>
        <v>16063187.124579607</v>
      </c>
      <c r="M23" s="96">
        <f t="shared" si="4"/>
        <v>19281870.825420395</v>
      </c>
    </row>
    <row r="24" spans="1:13" x14ac:dyDescent="0.5">
      <c r="A24" s="97">
        <v>210024</v>
      </c>
      <c r="B24" s="10" t="s">
        <v>179</v>
      </c>
      <c r="C24" s="99">
        <f>VLOOKUP($A24,'[3]FY22 Rx Rev By Hosp 20230331'!$B$1:$I$65536,3,FALSE)</f>
        <v>5287379</v>
      </c>
      <c r="D24" s="99">
        <f>VLOOKUP($A24,'[3]FY22 Rx Rev By Hosp 20230331'!$B$1:$I$65536,4,FALSE)</f>
        <v>1881035.63</v>
      </c>
      <c r="E24" s="99">
        <f>VLOOKUP($A24,'[3]FY22 Rx Rev By Hosp 20230331'!$B$1:$I$65536,5,FALSE)</f>
        <v>0</v>
      </c>
      <c r="F24" s="99">
        <f>VLOOKUP($A24,'[3]FY22 Rx Rev By Hosp 20230331'!$B$1:$I$65536,6,FALSE)</f>
        <v>0</v>
      </c>
      <c r="G24" s="99">
        <f t="shared" si="0"/>
        <v>5287379</v>
      </c>
      <c r="H24" s="99">
        <f t="shared" si="1"/>
        <v>1881035.63</v>
      </c>
      <c r="I24" s="367">
        <f>VLOOKUP(A24,'Oncology Drugs &amp; COVID Lab'!$1:$1048576,2,FALSE)</f>
        <v>231801.56</v>
      </c>
      <c r="J24" s="98">
        <f t="shared" si="2"/>
        <v>0.35575956064431924</v>
      </c>
      <c r="K24" s="10">
        <f>VLOOKUP(A24,'Variable Input'!$1:$1048576,8,FALSE)</f>
        <v>1.1223202362274129</v>
      </c>
      <c r="L24" s="96">
        <f t="shared" si="3"/>
        <v>92552.835401030345</v>
      </c>
      <c r="M24" s="96">
        <f t="shared" si="4"/>
        <v>139248.72459896965</v>
      </c>
    </row>
    <row r="25" spans="1:13" x14ac:dyDescent="0.5">
      <c r="A25" s="97">
        <v>210027</v>
      </c>
      <c r="B25" s="10" t="s">
        <v>119</v>
      </c>
      <c r="C25" s="99">
        <f>VLOOKUP($A25,'[3]FY22 Rx Rev By Hosp 20230331'!$B$1:$I$65536,3,FALSE)</f>
        <v>39675185.550000004</v>
      </c>
      <c r="D25" s="99">
        <f>VLOOKUP($A25,'[3]FY22 Rx Rev By Hosp 20230331'!$B$1:$I$65536,4,FALSE)</f>
        <v>18290796.149999999</v>
      </c>
      <c r="E25" s="99">
        <f>VLOOKUP($A25,'[3]FY22 Rx Rev By Hosp 20230331'!$B$1:$I$65536,5,FALSE)</f>
        <v>0</v>
      </c>
      <c r="F25" s="99">
        <f>VLOOKUP($A25,'[3]FY22 Rx Rev By Hosp 20230331'!$B$1:$I$65536,6,FALSE)</f>
        <v>0</v>
      </c>
      <c r="G25" s="99">
        <f t="shared" si="0"/>
        <v>39675185.550000004</v>
      </c>
      <c r="H25" s="99">
        <f t="shared" si="1"/>
        <v>18290796.149999999</v>
      </c>
      <c r="I25" s="367">
        <f>VLOOKUP(A25,'Oncology Drugs &amp; COVID Lab'!$1:$1048576,2,FALSE)</f>
        <v>36417394.979999997</v>
      </c>
      <c r="J25" s="98">
        <f t="shared" si="2"/>
        <v>0.46101349991039919</v>
      </c>
      <c r="K25" s="10">
        <f>VLOOKUP(A25,'Variable Input'!$1:$1048576,8,FALSE)</f>
        <v>1.1268001645719641</v>
      </c>
      <c r="L25" s="96">
        <f t="shared" si="3"/>
        <v>18917747.359293092</v>
      </c>
      <c r="M25" s="96">
        <f t="shared" si="4"/>
        <v>17499647.620706905</v>
      </c>
    </row>
    <row r="26" spans="1:13" x14ac:dyDescent="0.5">
      <c r="A26" s="97">
        <v>210028</v>
      </c>
      <c r="B26" s="10" t="s">
        <v>192</v>
      </c>
      <c r="C26" s="99">
        <f>VLOOKUP($A26,'[3]FY22 Rx Rev By Hosp 20230331'!$B$1:$I$65536,3,FALSE)</f>
        <v>14107802</v>
      </c>
      <c r="D26" s="99">
        <f>VLOOKUP($A26,'[3]FY22 Rx Rev By Hosp 20230331'!$B$1:$I$65536,4,FALSE)</f>
        <v>6671043</v>
      </c>
      <c r="E26" s="99">
        <f>VLOOKUP($A26,'[3]FY22 Rx Rev By Hosp 20230331'!$B$1:$I$65536,5,FALSE)</f>
        <v>0</v>
      </c>
      <c r="F26" s="99">
        <f>VLOOKUP($A26,'[3]FY22 Rx Rev By Hosp 20230331'!$B$1:$I$65536,6,FALSE)</f>
        <v>0</v>
      </c>
      <c r="G26" s="99">
        <f t="shared" si="0"/>
        <v>14107802</v>
      </c>
      <c r="H26" s="99">
        <f t="shared" si="1"/>
        <v>6671043</v>
      </c>
      <c r="I26" s="367">
        <f>VLOOKUP(A26,'Oncology Drugs &amp; COVID Lab'!$1:$1048576,2,FALSE)</f>
        <v>12370126.630000001</v>
      </c>
      <c r="J26" s="98">
        <f t="shared" si="2"/>
        <v>0.47286196673301767</v>
      </c>
      <c r="K26" s="10">
        <f>VLOOKUP(A26,'Variable Input'!$1:$1048576,8,FALSE)</f>
        <v>1.1136722213908725</v>
      </c>
      <c r="L26" s="96">
        <f t="shared" si="3"/>
        <v>6514272.4255220322</v>
      </c>
      <c r="M26" s="96">
        <f t="shared" si="4"/>
        <v>5855854.2044779686</v>
      </c>
    </row>
    <row r="27" spans="1:13" x14ac:dyDescent="0.5">
      <c r="A27" s="97">
        <v>210029</v>
      </c>
      <c r="B27" s="10" t="s">
        <v>116</v>
      </c>
      <c r="C27" s="99">
        <f>VLOOKUP($A27,'[3]FY22 Rx Rev By Hosp 20230331'!$B$1:$I$65536,3,FALSE)</f>
        <v>64866464.170000009</v>
      </c>
      <c r="D27" s="99">
        <f>VLOOKUP($A27,'[3]FY22 Rx Rev By Hosp 20230331'!$B$1:$I$65536,4,FALSE)</f>
        <v>31248366.430000003</v>
      </c>
      <c r="E27" s="99">
        <f>VLOOKUP($A27,'[3]FY22 Rx Rev By Hosp 20230331'!$B$1:$I$65536,5,FALSE)</f>
        <v>0</v>
      </c>
      <c r="F27" s="99">
        <f>VLOOKUP($A27,'[3]FY22 Rx Rev By Hosp 20230331'!$B$1:$I$65536,6,FALSE)</f>
        <v>0</v>
      </c>
      <c r="G27" s="99">
        <f t="shared" si="0"/>
        <v>64866464.170000009</v>
      </c>
      <c r="H27" s="99">
        <f t="shared" si="1"/>
        <v>31248366.430000003</v>
      </c>
      <c r="I27" s="367">
        <f>VLOOKUP(A27,'Oncology Drugs &amp; COVID Lab'!$1:$1048576,2,FALSE)</f>
        <v>62553585.82</v>
      </c>
      <c r="J27" s="98">
        <f t="shared" si="2"/>
        <v>0.48173377152337543</v>
      </c>
      <c r="K27" s="10">
        <f>VLOOKUP(A27,'Variable Input'!$1:$1048576,8,FALSE)</f>
        <v>1.1160480491569686</v>
      </c>
      <c r="L27" s="96">
        <f t="shared" si="3"/>
        <v>33631187.020123802</v>
      </c>
      <c r="M27" s="96">
        <f t="shared" si="4"/>
        <v>28922398.799876198</v>
      </c>
    </row>
    <row r="28" spans="1:13" x14ac:dyDescent="0.5">
      <c r="A28" s="97">
        <v>210030</v>
      </c>
      <c r="B28" s="10" t="s">
        <v>191</v>
      </c>
      <c r="C28" s="99">
        <f>VLOOKUP($A28,'[3]FY22 Rx Rev By Hosp 20230331'!$B$1:$I$65536,3,FALSE)</f>
        <v>2468529.12</v>
      </c>
      <c r="D28" s="99">
        <f>VLOOKUP($A28,'[3]FY22 Rx Rev By Hosp 20230331'!$B$1:$I$65536,4,FALSE)</f>
        <v>738650.26</v>
      </c>
      <c r="E28" s="99">
        <f>VLOOKUP($A28,'[3]FY22 Rx Rev By Hosp 20230331'!$B$1:$I$65536,5,FALSE)</f>
        <v>0</v>
      </c>
      <c r="F28" s="99">
        <f>VLOOKUP($A28,'[3]FY22 Rx Rev By Hosp 20230331'!$B$1:$I$65536,6,FALSE)</f>
        <v>0</v>
      </c>
      <c r="G28" s="99">
        <f t="shared" si="0"/>
        <v>2468529.12</v>
      </c>
      <c r="H28" s="99">
        <f t="shared" si="1"/>
        <v>738650.26</v>
      </c>
      <c r="I28" s="367">
        <f>VLOOKUP(A28,'Oncology Drugs &amp; COVID Lab'!$1:$1048576,2,FALSE)</f>
        <v>982129.74</v>
      </c>
      <c r="J28" s="98">
        <f t="shared" si="2"/>
        <v>0.29922687725879449</v>
      </c>
      <c r="K28" s="10">
        <f>VLOOKUP(A28,'Variable Input'!$1:$1048576,8,FALSE)</f>
        <v>1.1237498376689119</v>
      </c>
      <c r="L28" s="96">
        <f t="shared" si="3"/>
        <v>330247.169833839</v>
      </c>
      <c r="M28" s="96">
        <f t="shared" si="4"/>
        <v>651882.57016616105</v>
      </c>
    </row>
    <row r="29" spans="1:13" x14ac:dyDescent="0.5">
      <c r="A29" s="97">
        <v>210032</v>
      </c>
      <c r="B29" s="10" t="s">
        <v>190</v>
      </c>
      <c r="C29" s="99">
        <f>VLOOKUP($A29,'[3]FY22 Rx Rev By Hosp 20230331'!$B$1:$I$65536,3,FALSE)</f>
        <v>15285291.880000003</v>
      </c>
      <c r="D29" s="99">
        <f>VLOOKUP($A29,'[3]FY22 Rx Rev By Hosp 20230331'!$B$1:$I$65536,4,FALSE)</f>
        <v>5737672</v>
      </c>
      <c r="E29" s="99">
        <f>VLOOKUP($A29,'[3]FY22 Rx Rev By Hosp 20230331'!$B$1:$I$65536,5,FALSE)</f>
        <v>0</v>
      </c>
      <c r="F29" s="99">
        <f>VLOOKUP($A29,'[3]FY22 Rx Rev By Hosp 20230331'!$B$1:$I$65536,6,FALSE)</f>
        <v>0</v>
      </c>
      <c r="G29" s="99">
        <f t="shared" si="0"/>
        <v>15285291.880000003</v>
      </c>
      <c r="H29" s="99">
        <f t="shared" si="1"/>
        <v>5737672</v>
      </c>
      <c r="I29" s="367">
        <f>VLOOKUP(A29,'Oncology Drugs &amp; COVID Lab'!$1:$1048576,2,FALSE)</f>
        <v>12287503.34</v>
      </c>
      <c r="J29" s="98">
        <f t="shared" si="2"/>
        <v>0.37537209266559318</v>
      </c>
      <c r="K29" s="10">
        <f>VLOOKUP(A29,'Variable Input'!$1:$1048576,8,FALSE)</f>
        <v>1.1182795268578634</v>
      </c>
      <c r="L29" s="96">
        <f t="shared" si="3"/>
        <v>5157936.6574928463</v>
      </c>
      <c r="M29" s="96">
        <f t="shared" si="4"/>
        <v>7129566.6825071536</v>
      </c>
    </row>
    <row r="30" spans="1:13" x14ac:dyDescent="0.5">
      <c r="A30" s="97">
        <v>210033</v>
      </c>
      <c r="B30" s="10" t="s">
        <v>141</v>
      </c>
      <c r="C30" s="99">
        <f>VLOOKUP($A30,'[3]FY22 Rx Rev By Hosp 20230331'!$B$1:$I$65536,3,FALSE)</f>
        <v>4062388</v>
      </c>
      <c r="D30" s="99">
        <f>VLOOKUP($A30,'[3]FY22 Rx Rev By Hosp 20230331'!$B$1:$I$65536,4,FALSE)</f>
        <v>1793888</v>
      </c>
      <c r="E30" s="99">
        <f>VLOOKUP($A30,'[3]FY22 Rx Rev By Hosp 20230331'!$B$1:$I$65536,5,FALSE)</f>
        <v>0</v>
      </c>
      <c r="F30" s="99">
        <f>VLOOKUP($A30,'[3]FY22 Rx Rev By Hosp 20230331'!$B$1:$I$65536,6,FALSE)</f>
        <v>0</v>
      </c>
      <c r="G30" s="99">
        <f t="shared" si="0"/>
        <v>4062388</v>
      </c>
      <c r="H30" s="99">
        <f t="shared" si="1"/>
        <v>1793888</v>
      </c>
      <c r="I30" s="367">
        <f>VLOOKUP(A30,'Oncology Drugs &amp; COVID Lab'!$1:$1048576,2,FALSE)</f>
        <v>154000.68</v>
      </c>
      <c r="J30" s="98">
        <f t="shared" si="2"/>
        <v>0.44158460491710788</v>
      </c>
      <c r="K30" s="10">
        <f>VLOOKUP(A30,'Variable Input'!$1:$1048576,8,FALSE)</f>
        <v>1.1165021686409196</v>
      </c>
      <c r="L30" s="96">
        <f t="shared" si="3"/>
        <v>75926.981290887707</v>
      </c>
      <c r="M30" s="96">
        <f t="shared" si="4"/>
        <v>78073.698709112286</v>
      </c>
    </row>
    <row r="31" spans="1:13" x14ac:dyDescent="0.5">
      <c r="A31" s="97">
        <v>210034</v>
      </c>
      <c r="B31" s="10" t="s">
        <v>189</v>
      </c>
      <c r="C31" s="99">
        <f>VLOOKUP($A31,'[3]FY22 Rx Rev By Hosp 20230331'!$B$1:$I$65536,3,FALSE)</f>
        <v>3066017</v>
      </c>
      <c r="D31" s="99">
        <f>VLOOKUP($A31,'[3]FY22 Rx Rev By Hosp 20230331'!$B$1:$I$65536,4,FALSE)</f>
        <v>916008</v>
      </c>
      <c r="E31" s="99">
        <f>VLOOKUP($A31,'[3]FY22 Rx Rev By Hosp 20230331'!$B$1:$I$65536,5,FALSE)</f>
        <v>0</v>
      </c>
      <c r="F31" s="99">
        <f>VLOOKUP($A31,'[3]FY22 Rx Rev By Hosp 20230331'!$B$1:$I$65536,6,FALSE)</f>
        <v>0</v>
      </c>
      <c r="G31" s="99">
        <f t="shared" si="0"/>
        <v>3066017</v>
      </c>
      <c r="H31" s="99">
        <f t="shared" si="1"/>
        <v>916008</v>
      </c>
      <c r="I31" s="367">
        <f>VLOOKUP(A31,'Oncology Drugs &amp; COVID Lab'!$1:$1048576,2,FALSE)</f>
        <v>1494631.18</v>
      </c>
      <c r="J31" s="98">
        <f t="shared" si="2"/>
        <v>0.2987615528550559</v>
      </c>
      <c r="K31" s="10">
        <f>VLOOKUP(A31,'Variable Input'!$1:$1048576,8,FALSE)</f>
        <v>1.1252449607173489</v>
      </c>
      <c r="L31" s="96">
        <f t="shared" si="3"/>
        <v>502465.00816788233</v>
      </c>
      <c r="M31" s="96">
        <f t="shared" si="4"/>
        <v>992166.1718321176</v>
      </c>
    </row>
    <row r="32" spans="1:13" x14ac:dyDescent="0.5">
      <c r="A32" s="97">
        <v>210035</v>
      </c>
      <c r="B32" s="10" t="s">
        <v>188</v>
      </c>
      <c r="C32" s="99">
        <f>VLOOKUP($A32,'[3]FY22 Rx Rev By Hosp 20230331'!$B$1:$I$65536,3,FALSE)</f>
        <v>3158593.13</v>
      </c>
      <c r="D32" s="99">
        <f>VLOOKUP($A32,'[3]FY22 Rx Rev By Hosp 20230331'!$B$1:$I$65536,4,FALSE)</f>
        <v>1060347.4099999999</v>
      </c>
      <c r="E32" s="99">
        <f>VLOOKUP($A32,'[3]FY22 Rx Rev By Hosp 20230331'!$B$1:$I$65536,5,FALSE)</f>
        <v>0</v>
      </c>
      <c r="F32" s="99">
        <f>VLOOKUP($A32,'[3]FY22 Rx Rev By Hosp 20230331'!$B$1:$I$65536,6,FALSE)</f>
        <v>0</v>
      </c>
      <c r="G32" s="99">
        <f t="shared" si="0"/>
        <v>3158593.13</v>
      </c>
      <c r="H32" s="99">
        <f t="shared" si="1"/>
        <v>1060347.4099999999</v>
      </c>
      <c r="I32" s="367">
        <f>VLOOKUP(A32,'Oncology Drugs &amp; COVID Lab'!$1:$1048576,2,FALSE)</f>
        <v>823424.6399999999</v>
      </c>
      <c r="J32" s="98">
        <f t="shared" si="2"/>
        <v>0.33570243660980797</v>
      </c>
      <c r="K32" s="10">
        <f>VLOOKUP(A32,'Variable Input'!$1:$1048576,8,FALSE)</f>
        <v>1.1148847928711076</v>
      </c>
      <c r="L32" s="96">
        <f t="shared" si="3"/>
        <v>308182.76247758581</v>
      </c>
      <c r="M32" s="96">
        <f t="shared" si="4"/>
        <v>515241.87752241408</v>
      </c>
    </row>
    <row r="33" spans="1:13" x14ac:dyDescent="0.5">
      <c r="A33" s="97">
        <v>210037</v>
      </c>
      <c r="B33" s="10" t="s">
        <v>187</v>
      </c>
      <c r="C33" s="99">
        <f>VLOOKUP($A33,'[3]FY22 Rx Rev By Hosp 20230331'!$B$1:$I$65536,3,FALSE)</f>
        <v>22381203.780000001</v>
      </c>
      <c r="D33" s="99">
        <f>VLOOKUP($A33,'[3]FY22 Rx Rev By Hosp 20230331'!$B$1:$I$65536,4,FALSE)</f>
        <v>6868129.4699999997</v>
      </c>
      <c r="E33" s="99">
        <f>VLOOKUP($A33,'[3]FY22 Rx Rev By Hosp 20230331'!$B$1:$I$65536,5,FALSE)</f>
        <v>0</v>
      </c>
      <c r="F33" s="99">
        <f>VLOOKUP($A33,'[3]FY22 Rx Rev By Hosp 20230331'!$B$1:$I$65536,6,FALSE)</f>
        <v>0</v>
      </c>
      <c r="G33" s="99">
        <f t="shared" si="0"/>
        <v>22381203.780000001</v>
      </c>
      <c r="H33" s="99">
        <f t="shared" si="1"/>
        <v>6868129.4699999997</v>
      </c>
      <c r="I33" s="367">
        <f>VLOOKUP(A33,'Oncology Drugs &amp; COVID Lab'!$1:$1048576,2,FALSE)</f>
        <v>17099806.379999999</v>
      </c>
      <c r="J33" s="98">
        <f t="shared" si="2"/>
        <v>0.30687042294558831</v>
      </c>
      <c r="K33" s="10">
        <f>VLOOKUP(A33,'Variable Input'!$1:$1048576,8,FALSE)</f>
        <v>1.1240965147015685</v>
      </c>
      <c r="L33" s="96">
        <f t="shared" si="3"/>
        <v>5898611.9469570648</v>
      </c>
      <c r="M33" s="96">
        <f t="shared" si="4"/>
        <v>11201194.433042934</v>
      </c>
    </row>
    <row r="34" spans="1:13" x14ac:dyDescent="0.5">
      <c r="A34" s="97">
        <v>210038</v>
      </c>
      <c r="B34" s="10" t="s">
        <v>186</v>
      </c>
      <c r="C34" s="99">
        <f>VLOOKUP($A34,'[3]FY22 Rx Rev By Hosp 20230331'!$B$1:$I$65536,3,FALSE)</f>
        <v>3834509.55</v>
      </c>
      <c r="D34" s="99">
        <f>VLOOKUP($A34,'[3]FY22 Rx Rev By Hosp 20230331'!$B$1:$I$65536,4,FALSE)</f>
        <v>1059749.06</v>
      </c>
      <c r="E34" s="99">
        <f>VLOOKUP($A34,'[3]FY22 Rx Rev By Hosp 20230331'!$B$1:$I$65536,5,FALSE)</f>
        <v>0</v>
      </c>
      <c r="F34" s="99">
        <f>VLOOKUP($A34,'[3]FY22 Rx Rev By Hosp 20230331'!$B$1:$I$65536,6,FALSE)</f>
        <v>0</v>
      </c>
      <c r="G34" s="99">
        <f t="shared" si="0"/>
        <v>3834509.55</v>
      </c>
      <c r="H34" s="99">
        <f t="shared" si="1"/>
        <v>1059749.06</v>
      </c>
      <c r="I34" s="367">
        <f>VLOOKUP(A34,'Oncology Drugs &amp; COVID Lab'!$1:$1048576,2,FALSE)</f>
        <v>493829.42</v>
      </c>
      <c r="J34" s="98">
        <f t="shared" si="2"/>
        <v>0.27637147493869202</v>
      </c>
      <c r="K34" s="10">
        <f>VLOOKUP(A34,'Variable Input'!$1:$1048576,8,FALSE)</f>
        <v>1.1259331913445376</v>
      </c>
      <c r="L34" s="96">
        <f t="shared" si="3"/>
        <v>153667.77311568792</v>
      </c>
      <c r="M34" s="96">
        <f t="shared" si="4"/>
        <v>340161.64688431204</v>
      </c>
    </row>
    <row r="35" spans="1:13" x14ac:dyDescent="0.5">
      <c r="A35" s="97">
        <v>210039</v>
      </c>
      <c r="B35" s="10" t="s">
        <v>142</v>
      </c>
      <c r="C35" s="99">
        <f>VLOOKUP($A35,'[3]FY22 Rx Rev By Hosp 20230331'!$B$1:$I$65536,3,FALSE)</f>
        <v>15915076</v>
      </c>
      <c r="D35" s="99">
        <f>VLOOKUP($A35,'[3]FY22 Rx Rev By Hosp 20230331'!$B$1:$I$65536,4,FALSE)</f>
        <v>8102679</v>
      </c>
      <c r="E35" s="99">
        <f>VLOOKUP($A35,'[3]FY22 Rx Rev By Hosp 20230331'!$B$1:$I$65536,5,FALSE)</f>
        <v>0</v>
      </c>
      <c r="F35" s="99">
        <f>VLOOKUP($A35,'[3]FY22 Rx Rev By Hosp 20230331'!$B$1:$I$65536,6,FALSE)</f>
        <v>0</v>
      </c>
      <c r="G35" s="99">
        <f t="shared" si="0"/>
        <v>15915076</v>
      </c>
      <c r="H35" s="99">
        <f t="shared" si="1"/>
        <v>8102679</v>
      </c>
      <c r="I35" s="367">
        <f>VLOOKUP(A35,'Oncology Drugs &amp; COVID Lab'!$1:$1048576,2,FALSE)</f>
        <v>12922138.57</v>
      </c>
      <c r="J35" s="98">
        <f t="shared" si="2"/>
        <v>0.50911971768152409</v>
      </c>
      <c r="K35" s="10">
        <f>VLOOKUP(A35,'Variable Input'!$1:$1048576,8,FALSE)</f>
        <v>1.1205505604288228</v>
      </c>
      <c r="L35" s="96">
        <f t="shared" si="3"/>
        <v>7372007.4960331479</v>
      </c>
      <c r="M35" s="96">
        <f t="shared" si="4"/>
        <v>5550131.0739668524</v>
      </c>
    </row>
    <row r="36" spans="1:13" x14ac:dyDescent="0.5">
      <c r="A36" s="97">
        <v>210040</v>
      </c>
      <c r="B36" s="10" t="s">
        <v>129</v>
      </c>
      <c r="C36" s="99">
        <f>VLOOKUP($A36,'[3]FY22 Rx Rev By Hosp 20230331'!$B$1:$I$65536,3,FALSE)</f>
        <v>19817359.039999999</v>
      </c>
      <c r="D36" s="99">
        <f>VLOOKUP($A36,'[3]FY22 Rx Rev By Hosp 20230331'!$B$1:$I$65536,4,FALSE)</f>
        <v>6172940.2199999988</v>
      </c>
      <c r="E36" s="99">
        <f>VLOOKUP($A36,'[3]FY22 Rx Rev By Hosp 20230331'!$B$1:$I$65536,5,FALSE)</f>
        <v>0</v>
      </c>
      <c r="F36" s="99">
        <f>VLOOKUP($A36,'[3]FY22 Rx Rev By Hosp 20230331'!$B$1:$I$65536,6,FALSE)</f>
        <v>0</v>
      </c>
      <c r="G36" s="99">
        <f t="shared" si="0"/>
        <v>19817359.039999999</v>
      </c>
      <c r="H36" s="99">
        <f t="shared" si="1"/>
        <v>6172940.2199999988</v>
      </c>
      <c r="I36" s="367">
        <f>VLOOKUP(A36,'Oncology Drugs &amp; COVID Lab'!$1:$1048576,2,FALSE)</f>
        <v>15123024.300000001</v>
      </c>
      <c r="J36" s="98">
        <f t="shared" si="2"/>
        <v>0.31149156694089947</v>
      </c>
      <c r="K36" s="10">
        <f>VLOOKUP(A36,'Variable Input'!$1:$1048576,8,FALSE)</f>
        <v>1.120710322524318</v>
      </c>
      <c r="L36" s="96">
        <f t="shared" si="3"/>
        <v>5279323.9928575438</v>
      </c>
      <c r="M36" s="96">
        <f t="shared" si="4"/>
        <v>9843700.307142457</v>
      </c>
    </row>
    <row r="37" spans="1:13" x14ac:dyDescent="0.5">
      <c r="A37" s="97">
        <v>210043</v>
      </c>
      <c r="B37" s="10" t="s">
        <v>185</v>
      </c>
      <c r="C37" s="99">
        <f>VLOOKUP($A37,'[3]FY22 Rx Rev By Hosp 20230331'!$B$1:$I$65536,3,FALSE)</f>
        <v>7227200.8000000007</v>
      </c>
      <c r="D37" s="99">
        <f>VLOOKUP($A37,'[3]FY22 Rx Rev By Hosp 20230331'!$B$1:$I$65536,4,FALSE)</f>
        <v>2241202.5099999998</v>
      </c>
      <c r="E37" s="99">
        <f>VLOOKUP($A37,'[3]FY22 Rx Rev By Hosp 20230331'!$B$1:$I$65536,5,FALSE)</f>
        <v>0</v>
      </c>
      <c r="F37" s="99">
        <f>VLOOKUP($A37,'[3]FY22 Rx Rev By Hosp 20230331'!$B$1:$I$65536,6,FALSE)</f>
        <v>0</v>
      </c>
      <c r="G37" s="99">
        <f t="shared" ref="G37:G56" si="5">C37+E37</f>
        <v>7227200.8000000007</v>
      </c>
      <c r="H37" s="99">
        <f t="shared" ref="H37:H56" si="6">D37+F37</f>
        <v>2241202.5099999998</v>
      </c>
      <c r="I37" s="367">
        <f>VLOOKUP(A37,'Oncology Drugs &amp; COVID Lab'!$1:$1048576,2,FALSE)</f>
        <v>2150836.7999999998</v>
      </c>
      <c r="J37" s="98">
        <f t="shared" ref="J37:J56" si="7">H37/G37</f>
        <v>0.31010657819276305</v>
      </c>
      <c r="K37" s="10">
        <f>VLOOKUP(A37,'Variable Input'!$1:$1048576,8,FALSE)</f>
        <v>1.1174861425645124</v>
      </c>
      <c r="L37" s="96">
        <f t="shared" ref="L37:L56" si="8">I37*J37*K37</f>
        <v>745350.56278215931</v>
      </c>
      <c r="M37" s="96">
        <f t="shared" si="4"/>
        <v>1405486.2372178405</v>
      </c>
    </row>
    <row r="38" spans="1:13" x14ac:dyDescent="0.5">
      <c r="A38" s="97">
        <v>210044</v>
      </c>
      <c r="B38" s="10" t="s">
        <v>148</v>
      </c>
      <c r="C38" s="99">
        <f>VLOOKUP($A38,'[3]FY22 Rx Rev By Hosp 20230331'!$B$1:$I$65536,3,FALSE)</f>
        <v>7058791.8900000006</v>
      </c>
      <c r="D38" s="99">
        <f>VLOOKUP($A38,'[3]FY22 Rx Rev By Hosp 20230331'!$B$1:$I$65536,4,FALSE)</f>
        <v>2971639.0199999996</v>
      </c>
      <c r="E38" s="99">
        <f>VLOOKUP($A38,'[3]FY22 Rx Rev By Hosp 20230331'!$B$1:$I$65536,5,FALSE)</f>
        <v>0</v>
      </c>
      <c r="F38" s="99">
        <f>VLOOKUP($A38,'[3]FY22 Rx Rev By Hosp 20230331'!$B$1:$I$65536,6,FALSE)</f>
        <v>0</v>
      </c>
      <c r="G38" s="99">
        <f t="shared" si="5"/>
        <v>7058791.8900000006</v>
      </c>
      <c r="H38" s="99">
        <f t="shared" si="6"/>
        <v>2971639.0199999996</v>
      </c>
      <c r="I38" s="367">
        <f>VLOOKUP(A38,'Oncology Drugs &amp; COVID Lab'!$1:$1048576,2,FALSE)</f>
        <v>400803.72</v>
      </c>
      <c r="J38" s="98">
        <f t="shared" si="7"/>
        <v>0.420984081455899</v>
      </c>
      <c r="K38" s="10">
        <f>VLOOKUP(A38,'Variable Input'!$1:$1048576,8,FALSE)</f>
        <v>1.1074866213835981</v>
      </c>
      <c r="L38" s="96">
        <f t="shared" si="8"/>
        <v>186868.41699293614</v>
      </c>
      <c r="M38" s="96">
        <f t="shared" si="4"/>
        <v>213935.30300706383</v>
      </c>
    </row>
    <row r="39" spans="1:13" x14ac:dyDescent="0.5">
      <c r="A39" s="97">
        <v>210045</v>
      </c>
      <c r="B39" s="10" t="s">
        <v>131</v>
      </c>
      <c r="C39" s="99">
        <f>VLOOKUP($A39,'[3]FY22 Rx Rev By Hosp 20230331'!$B$1:$I$65536,3,FALSE)</f>
        <v>492489</v>
      </c>
      <c r="D39" s="99">
        <f>VLOOKUP($A39,'[3]FY22 Rx Rev By Hosp 20230331'!$B$1:$I$65536,4,FALSE)</f>
        <v>47308</v>
      </c>
      <c r="E39" s="99">
        <f>VLOOKUP($A39,'[3]FY22 Rx Rev By Hosp 20230331'!$B$1:$I$65536,5,FALSE)</f>
        <v>0</v>
      </c>
      <c r="F39" s="99">
        <f>VLOOKUP($A39,'[3]FY22 Rx Rev By Hosp 20230331'!$B$1:$I$65536,6,FALSE)</f>
        <v>0</v>
      </c>
      <c r="G39" s="99">
        <f t="shared" si="5"/>
        <v>492489</v>
      </c>
      <c r="H39" s="99">
        <f t="shared" si="6"/>
        <v>47308</v>
      </c>
      <c r="I39" s="367">
        <f>VLOOKUP(A39,'Oncology Drugs &amp; COVID Lab'!$1:$1048576,2,FALSE)</f>
        <v>327810.71999999997</v>
      </c>
      <c r="J39" s="98">
        <f t="shared" si="7"/>
        <v>9.6058998272042631E-2</v>
      </c>
      <c r="K39" s="10">
        <f>VLOOKUP(A39,'Variable Input'!$1:$1048576,8,FALSE)</f>
        <v>1.1235285459397526</v>
      </c>
      <c r="L39" s="96">
        <f t="shared" si="8"/>
        <v>35378.980693144775</v>
      </c>
      <c r="M39" s="96">
        <f t="shared" si="4"/>
        <v>292431.73930685519</v>
      </c>
    </row>
    <row r="40" spans="1:13" x14ac:dyDescent="0.5">
      <c r="A40" s="97">
        <v>210048</v>
      </c>
      <c r="B40" s="10" t="s">
        <v>133</v>
      </c>
      <c r="C40" s="99">
        <f>VLOOKUP($A40,'[3]FY22 Rx Rev By Hosp 20230331'!$B$1:$I$65536,3,FALSE)</f>
        <v>5816735.9299999997</v>
      </c>
      <c r="D40" s="99">
        <f>VLOOKUP($A40,'[3]FY22 Rx Rev By Hosp 20230331'!$B$1:$I$65536,4,FALSE)</f>
        <v>2655791</v>
      </c>
      <c r="E40" s="99">
        <f>VLOOKUP($A40,'[3]FY22 Rx Rev By Hosp 20230331'!$B$1:$I$65536,5,FALSE)</f>
        <v>0</v>
      </c>
      <c r="F40" s="99">
        <f>VLOOKUP($A40,'[3]FY22 Rx Rev By Hosp 20230331'!$B$1:$I$65536,6,FALSE)</f>
        <v>0</v>
      </c>
      <c r="G40" s="99">
        <f t="shared" si="5"/>
        <v>5816735.9299999997</v>
      </c>
      <c r="H40" s="99">
        <f t="shared" si="6"/>
        <v>2655791</v>
      </c>
      <c r="I40" s="367">
        <f>VLOOKUP(A40,'Oncology Drugs &amp; COVID Lab'!$1:$1048576,2,FALSE)</f>
        <v>1628584.11</v>
      </c>
      <c r="J40" s="98">
        <f t="shared" si="7"/>
        <v>0.4565775431376683</v>
      </c>
      <c r="K40" s="10">
        <f>VLOOKUP(A40,'Variable Input'!$1:$1048576,8,FALSE)</f>
        <v>1.1035189993630976</v>
      </c>
      <c r="L40" s="96">
        <f t="shared" si="8"/>
        <v>820549.06462172815</v>
      </c>
      <c r="M40" s="96">
        <f t="shared" si="4"/>
        <v>808035.04537827196</v>
      </c>
    </row>
    <row r="41" spans="1:13" x14ac:dyDescent="0.5">
      <c r="A41" s="97">
        <v>210049</v>
      </c>
      <c r="B41" s="10" t="s">
        <v>121</v>
      </c>
      <c r="C41" s="99">
        <f>VLOOKUP($A41,'[3]FY22 Rx Rev By Hosp 20230331'!$B$1:$I$65536,3,FALSE)</f>
        <v>4985368.5599999996</v>
      </c>
      <c r="D41" s="99">
        <f>VLOOKUP($A41,'[3]FY22 Rx Rev By Hosp 20230331'!$B$1:$I$65536,4,FALSE)</f>
        <v>2129577.42</v>
      </c>
      <c r="E41" s="99">
        <f>VLOOKUP($A41,'[3]FY22 Rx Rev By Hosp 20230331'!$B$1:$I$65536,5,FALSE)</f>
        <v>0</v>
      </c>
      <c r="F41" s="99">
        <f>VLOOKUP($A41,'[3]FY22 Rx Rev By Hosp 20230331'!$B$1:$I$65536,6,FALSE)</f>
        <v>0</v>
      </c>
      <c r="G41" s="99">
        <f t="shared" si="5"/>
        <v>4985368.5599999996</v>
      </c>
      <c r="H41" s="99">
        <f t="shared" si="6"/>
        <v>2129577.42</v>
      </c>
      <c r="I41" s="367">
        <f>VLOOKUP(A41,'Oncology Drugs &amp; COVID Lab'!$1:$1048576,2,FALSE)</f>
        <v>381254.39</v>
      </c>
      <c r="J41" s="98">
        <f t="shared" si="7"/>
        <v>0.42716549325693187</v>
      </c>
      <c r="K41" s="10">
        <f>VLOOKUP(A41,'Variable Input'!$1:$1048576,8,FALSE)</f>
        <v>1.1147926720978587</v>
      </c>
      <c r="L41" s="96">
        <f t="shared" si="8"/>
        <v>181553.70715353161</v>
      </c>
      <c r="M41" s="96">
        <f t="shared" si="4"/>
        <v>199700.68284646841</v>
      </c>
    </row>
    <row r="42" spans="1:13" x14ac:dyDescent="0.5">
      <c r="A42" s="97">
        <v>210051</v>
      </c>
      <c r="B42" s="10" t="s">
        <v>138</v>
      </c>
      <c r="C42" s="99">
        <f>VLOOKUP($A42,'[3]FY22 Rx Rev By Hosp 20230331'!$B$1:$I$65536,3,FALSE)</f>
        <v>2909167.37</v>
      </c>
      <c r="D42" s="99">
        <f>VLOOKUP($A42,'[3]FY22 Rx Rev By Hosp 20230331'!$B$1:$I$65536,4,FALSE)</f>
        <v>762093.3</v>
      </c>
      <c r="E42" s="99">
        <f>VLOOKUP($A42,'[3]FY22 Rx Rev By Hosp 20230331'!$B$1:$I$65536,5,FALSE)</f>
        <v>0</v>
      </c>
      <c r="F42" s="99">
        <f>VLOOKUP($A42,'[3]FY22 Rx Rev By Hosp 20230331'!$B$1:$I$65536,6,FALSE)</f>
        <v>0</v>
      </c>
      <c r="G42" s="99">
        <f t="shared" si="5"/>
        <v>2909167.37</v>
      </c>
      <c r="H42" s="99">
        <f t="shared" si="6"/>
        <v>762093.3</v>
      </c>
      <c r="I42" s="367">
        <f>VLOOKUP(A42,'Oncology Drugs &amp; COVID Lab'!$1:$1048576,2,FALSE)</f>
        <v>661493.05000000005</v>
      </c>
      <c r="J42" s="98">
        <f t="shared" si="7"/>
        <v>0.26196268659509953</v>
      </c>
      <c r="K42" s="10">
        <f>VLOOKUP(A42,'Variable Input'!$1:$1048576,8,FALSE)</f>
        <v>1.1175427593245362</v>
      </c>
      <c r="L42" s="96">
        <f t="shared" si="8"/>
        <v>193655.06949921331</v>
      </c>
      <c r="M42" s="96">
        <f t="shared" si="4"/>
        <v>467837.98050078674</v>
      </c>
    </row>
    <row r="43" spans="1:13" x14ac:dyDescent="0.5">
      <c r="A43" s="97">
        <v>210055</v>
      </c>
      <c r="B43" s="10" t="s">
        <v>132</v>
      </c>
      <c r="C43" s="99">
        <f>VLOOKUP($A43,'[3]FY22 Rx Rev By Hosp 20230331'!$B$1:$I$65536,3,FALSE)</f>
        <v>1410902.9200000002</v>
      </c>
      <c r="D43" s="99">
        <f>VLOOKUP($A43,'[3]FY22 Rx Rev By Hosp 20230331'!$B$1:$I$65536,4,FALSE)</f>
        <v>655895.11999999988</v>
      </c>
      <c r="E43" s="99">
        <f>VLOOKUP($A43,'[3]FY22 Rx Rev By Hosp 20230331'!$B$1:$I$65536,5,FALSE)</f>
        <v>0</v>
      </c>
      <c r="F43" s="99">
        <f>VLOOKUP($A43,'[3]FY22 Rx Rev By Hosp 20230331'!$B$1:$I$65536,6,FALSE)</f>
        <v>0</v>
      </c>
      <c r="G43" s="99">
        <f t="shared" si="5"/>
        <v>1410902.9200000002</v>
      </c>
      <c r="H43" s="99">
        <f t="shared" si="6"/>
        <v>655895.11999999988</v>
      </c>
      <c r="I43" s="367">
        <f>VLOOKUP(A43,'Oncology Drugs &amp; COVID Lab'!$1:$1048576,2,FALSE)</f>
        <v>26036.07</v>
      </c>
      <c r="J43" s="98">
        <f t="shared" si="7"/>
        <v>0.46487615179079778</v>
      </c>
      <c r="K43" s="10">
        <f>VLOOKUP(A43,'Variable Input'!$1:$1048576,8,FALSE)</f>
        <v>1.2317684965243516</v>
      </c>
      <c r="L43" s="96">
        <f t="shared" si="8"/>
        <v>14908.769158729916</v>
      </c>
      <c r="M43" s="96">
        <f t="shared" si="4"/>
        <v>11127.300841270084</v>
      </c>
    </row>
    <row r="44" spans="1:13" x14ac:dyDescent="0.5">
      <c r="A44" s="97">
        <v>210056</v>
      </c>
      <c r="B44" s="10" t="s">
        <v>184</v>
      </c>
      <c r="C44" s="99">
        <f>VLOOKUP($A44,'[3]FY22 Rx Rev By Hosp 20230331'!$B$1:$I$65536,3,FALSE)</f>
        <v>2756040</v>
      </c>
      <c r="D44" s="99">
        <f>VLOOKUP($A44,'[3]FY22 Rx Rev By Hosp 20230331'!$B$1:$I$65536,4,FALSE)</f>
        <v>982546</v>
      </c>
      <c r="E44" s="99">
        <f>VLOOKUP($A44,'[3]FY22 Rx Rev By Hosp 20230331'!$B$1:$I$65536,5,FALSE)</f>
        <v>0</v>
      </c>
      <c r="F44" s="99">
        <f>VLOOKUP($A44,'[3]FY22 Rx Rev By Hosp 20230331'!$B$1:$I$65536,6,FALSE)</f>
        <v>0</v>
      </c>
      <c r="G44" s="99">
        <f t="shared" si="5"/>
        <v>2756040</v>
      </c>
      <c r="H44" s="99">
        <f t="shared" si="6"/>
        <v>982546</v>
      </c>
      <c r="I44" s="367">
        <f>VLOOKUP(A44,'Oncology Drugs &amp; COVID Lab'!$1:$1048576,2,FALSE)</f>
        <v>1018946.19</v>
      </c>
      <c r="J44" s="98">
        <f t="shared" si="7"/>
        <v>0.35650643677159982</v>
      </c>
      <c r="K44" s="10">
        <f>VLOOKUP(A44,'Variable Input'!$1:$1048576,8,FALSE)</f>
        <v>1.1293262174048309</v>
      </c>
      <c r="L44" s="96">
        <f t="shared" si="8"/>
        <v>410240.03041316406</v>
      </c>
      <c r="M44" s="96">
        <f t="shared" si="4"/>
        <v>608706.15958683589</v>
      </c>
    </row>
    <row r="45" spans="1:13" x14ac:dyDescent="0.5">
      <c r="A45" s="97">
        <v>210057</v>
      </c>
      <c r="B45" s="10" t="s">
        <v>127</v>
      </c>
      <c r="C45" s="99">
        <f>VLOOKUP($A45,'[3]FY22 Rx Rev By Hosp 20230331'!$B$1:$I$65536,3,FALSE)</f>
        <v>10267947.460000001</v>
      </c>
      <c r="D45" s="99">
        <f>VLOOKUP($A45,'[3]FY22 Rx Rev By Hosp 20230331'!$B$1:$I$65536,4,FALSE)</f>
        <v>3274278.16</v>
      </c>
      <c r="E45" s="99">
        <f>VLOOKUP($A45,'[3]FY22 Rx Rev By Hosp 20230331'!$B$1:$I$65536,5,FALSE)</f>
        <v>0</v>
      </c>
      <c r="F45" s="99">
        <f>VLOOKUP($A45,'[3]FY22 Rx Rev By Hosp 20230331'!$B$1:$I$65536,6,FALSE)</f>
        <v>0</v>
      </c>
      <c r="G45" s="99">
        <f t="shared" si="5"/>
        <v>10267947.460000001</v>
      </c>
      <c r="H45" s="99">
        <f t="shared" si="6"/>
        <v>3274278.16</v>
      </c>
      <c r="I45" s="367">
        <f>VLOOKUP(A45,'Oncology Drugs &amp; COVID Lab'!$1:$1048576,2,FALSE)</f>
        <v>4076586.62</v>
      </c>
      <c r="J45" s="98">
        <f t="shared" si="7"/>
        <v>0.31888341586819924</v>
      </c>
      <c r="K45" s="10">
        <f>VLOOKUP(A45,'Variable Input'!$1:$1048576,8,FALSE)</f>
        <v>1.1115105879568932</v>
      </c>
      <c r="L45" s="96">
        <f t="shared" si="8"/>
        <v>1444914.7094560778</v>
      </c>
      <c r="M45" s="96">
        <f t="shared" si="4"/>
        <v>2631671.9105439223</v>
      </c>
    </row>
    <row r="46" spans="1:13" x14ac:dyDescent="0.5">
      <c r="A46" s="97">
        <v>210058</v>
      </c>
      <c r="B46" s="10" t="s">
        <v>183</v>
      </c>
      <c r="C46" s="99">
        <f>VLOOKUP($A46,'[3]FY22 Rx Rev By Hosp 20230331'!$B$1:$I$65536,3,FALSE)</f>
        <v>2436059.29</v>
      </c>
      <c r="D46" s="99">
        <f>VLOOKUP($A46,'[3]FY22 Rx Rev By Hosp 20230331'!$B$1:$I$65536,4,FALSE)</f>
        <v>1102626.8899999999</v>
      </c>
      <c r="E46" s="99">
        <f>VLOOKUP($A46,'[3]FY22 Rx Rev By Hosp 20230331'!$B$1:$I$65536,5,FALSE)</f>
        <v>0</v>
      </c>
      <c r="F46" s="99">
        <f>VLOOKUP($A46,'[3]FY22 Rx Rev By Hosp 20230331'!$B$1:$I$65536,6,FALSE)</f>
        <v>0</v>
      </c>
      <c r="G46" s="99">
        <f t="shared" si="5"/>
        <v>2436059.29</v>
      </c>
      <c r="H46" s="99">
        <f t="shared" si="6"/>
        <v>1102626.8899999999</v>
      </c>
      <c r="I46" s="367">
        <f>VLOOKUP(A46,'Oncology Drugs &amp; COVID Lab'!$1:$1048576,2,FALSE)</f>
        <v>1636818.78</v>
      </c>
      <c r="J46" s="98">
        <f t="shared" si="7"/>
        <v>0.45262727985573781</v>
      </c>
      <c r="K46" s="10">
        <f>VLOOKUP(A46,'Variable Input'!$1:$1048576,8,FALSE)</f>
        <v>1.1120223070717381</v>
      </c>
      <c r="L46" s="96">
        <f t="shared" si="8"/>
        <v>823862.66780728847</v>
      </c>
      <c r="M46" s="96">
        <f t="shared" si="4"/>
        <v>812956.11219271156</v>
      </c>
    </row>
    <row r="47" spans="1:13" x14ac:dyDescent="0.5">
      <c r="A47" s="97">
        <v>210060</v>
      </c>
      <c r="B47" s="10" t="s">
        <v>137</v>
      </c>
      <c r="C47" s="99">
        <f>VLOOKUP($A47,'[3]FY22 Rx Rev By Hosp 20230331'!$B$1:$I$65536,3,FALSE)</f>
        <v>887200.34000000008</v>
      </c>
      <c r="D47" s="99">
        <f>VLOOKUP($A47,'[3]FY22 Rx Rev By Hosp 20230331'!$B$1:$I$65536,4,FALSE)</f>
        <v>542542.31000000006</v>
      </c>
      <c r="E47" s="99">
        <f>VLOOKUP($A47,'[3]FY22 Rx Rev By Hosp 20230331'!$B$1:$I$65536,5,FALSE)</f>
        <v>0</v>
      </c>
      <c r="F47" s="99">
        <f>VLOOKUP($A47,'[3]FY22 Rx Rev By Hosp 20230331'!$B$1:$I$65536,6,FALSE)</f>
        <v>0</v>
      </c>
      <c r="G47" s="99">
        <f t="shared" si="5"/>
        <v>887200.34000000008</v>
      </c>
      <c r="H47" s="99">
        <f t="shared" si="6"/>
        <v>542542.31000000006</v>
      </c>
      <c r="I47" s="367">
        <f>VLOOKUP(A47,'Oncology Drugs &amp; COVID Lab'!$1:$1048576,2,FALSE)</f>
        <v>63040.73</v>
      </c>
      <c r="J47" s="98">
        <f t="shared" si="7"/>
        <v>0.61152175617966964</v>
      </c>
      <c r="K47" s="10">
        <f>VLOOKUP(A47,'Variable Input'!$1:$1048576,8,FALSE)</f>
        <v>1.1180896691644482</v>
      </c>
      <c r="L47" s="96">
        <f t="shared" si="8"/>
        <v>43103.226531106251</v>
      </c>
      <c r="M47" s="96">
        <f t="shared" si="4"/>
        <v>19937.503468893752</v>
      </c>
    </row>
    <row r="48" spans="1:13" x14ac:dyDescent="0.5">
      <c r="A48" s="97">
        <v>210061</v>
      </c>
      <c r="B48" s="10" t="s">
        <v>143</v>
      </c>
      <c r="C48" s="99">
        <f>VLOOKUP($A48,'[3]FY22 Rx Rev By Hosp 20230331'!$B$1:$I$65536,3,FALSE)</f>
        <v>2822177.8000000003</v>
      </c>
      <c r="D48" s="99">
        <f>VLOOKUP($A48,'[3]FY22 Rx Rev By Hosp 20230331'!$B$1:$I$65536,4,FALSE)</f>
        <v>1793321.19</v>
      </c>
      <c r="E48" s="99">
        <f>VLOOKUP($A48,'[3]FY22 Rx Rev By Hosp 20230331'!$B$1:$I$65536,5,FALSE)</f>
        <v>0</v>
      </c>
      <c r="F48" s="99">
        <f>VLOOKUP($A48,'[3]FY22 Rx Rev By Hosp 20230331'!$B$1:$I$65536,6,FALSE)</f>
        <v>0</v>
      </c>
      <c r="G48" s="99">
        <f t="shared" si="5"/>
        <v>2822177.8000000003</v>
      </c>
      <c r="H48" s="99">
        <f t="shared" si="6"/>
        <v>1793321.19</v>
      </c>
      <c r="I48" s="367">
        <f>VLOOKUP(A48,'Oncology Drugs &amp; COVID Lab'!$1:$1048576,2,FALSE)</f>
        <v>558332.06000000006</v>
      </c>
      <c r="J48" s="98">
        <f t="shared" si="7"/>
        <v>0.63543877001654525</v>
      </c>
      <c r="K48" s="10">
        <f>VLOOKUP(A48,'Variable Input'!$1:$1048576,8,FALSE)</f>
        <v>1.1146605541082666</v>
      </c>
      <c r="L48" s="96">
        <f t="shared" si="8"/>
        <v>395465.77818095899</v>
      </c>
      <c r="M48" s="96">
        <f t="shared" si="4"/>
        <v>162866.28181904106</v>
      </c>
    </row>
    <row r="49" spans="1:14" x14ac:dyDescent="0.5">
      <c r="A49" s="97">
        <v>210062</v>
      </c>
      <c r="B49" s="10" t="s">
        <v>182</v>
      </c>
      <c r="C49" s="99">
        <f>VLOOKUP($A49,'[3]FY22 Rx Rev By Hosp 20230331'!$B$1:$I$65536,3,FALSE)</f>
        <v>2379372</v>
      </c>
      <c r="D49" s="99">
        <f>VLOOKUP($A49,'[3]FY22 Rx Rev By Hosp 20230331'!$B$1:$I$65536,4,FALSE)</f>
        <v>1032866</v>
      </c>
      <c r="E49" s="99">
        <f>VLOOKUP($A49,'[3]FY22 Rx Rev By Hosp 20230331'!$B$1:$I$65536,5,FALSE)</f>
        <v>0</v>
      </c>
      <c r="F49" s="99">
        <f>VLOOKUP($A49,'[3]FY22 Rx Rev By Hosp 20230331'!$B$1:$I$65536,6,FALSE)</f>
        <v>0</v>
      </c>
      <c r="G49" s="99">
        <f t="shared" si="5"/>
        <v>2379372</v>
      </c>
      <c r="H49" s="99">
        <f t="shared" si="6"/>
        <v>1032866</v>
      </c>
      <c r="I49" s="367">
        <f>VLOOKUP(A49,'Oncology Drugs &amp; COVID Lab'!$1:$1048576,2,FALSE)</f>
        <v>173698.84</v>
      </c>
      <c r="J49" s="98">
        <f t="shared" si="7"/>
        <v>0.43409185280821999</v>
      </c>
      <c r="K49" s="10">
        <f>VLOOKUP(A49,'Variable Input'!$1:$1048576,8,FALSE)</f>
        <v>1.1171440000317876</v>
      </c>
      <c r="L49" s="96">
        <f t="shared" si="8"/>
        <v>84234.055469310508</v>
      </c>
      <c r="M49" s="96">
        <f t="shared" si="4"/>
        <v>89464.784530689489</v>
      </c>
    </row>
    <row r="50" spans="1:14" x14ac:dyDescent="0.5">
      <c r="A50" s="97">
        <v>210063</v>
      </c>
      <c r="B50" s="10" t="s">
        <v>181</v>
      </c>
      <c r="C50" s="99">
        <f>VLOOKUP($A50,'[3]FY22 Rx Rev By Hosp 20230331'!$B$1:$I$65536,3,FALSE)</f>
        <v>4012231.63</v>
      </c>
      <c r="D50" s="99">
        <f>VLOOKUP($A50,'[3]FY22 Rx Rev By Hosp 20230331'!$B$1:$I$65536,4,FALSE)</f>
        <v>1482267.27</v>
      </c>
      <c r="E50" s="99">
        <f>VLOOKUP($A50,'[3]FY22 Rx Rev By Hosp 20230331'!$B$1:$I$65536,5,FALSE)</f>
        <v>0</v>
      </c>
      <c r="F50" s="99">
        <f>VLOOKUP($A50,'[3]FY22 Rx Rev By Hosp 20230331'!$B$1:$I$65536,6,FALSE)</f>
        <v>0</v>
      </c>
      <c r="G50" s="99">
        <f t="shared" si="5"/>
        <v>4012231.63</v>
      </c>
      <c r="H50" s="99">
        <f t="shared" si="6"/>
        <v>1482267.27</v>
      </c>
      <c r="I50" s="367">
        <f>VLOOKUP(A50,'Oncology Drugs &amp; COVID Lab'!$1:$1048576,2,FALSE)</f>
        <v>284253.45</v>
      </c>
      <c r="J50" s="98">
        <f t="shared" si="7"/>
        <v>0.36943711298143572</v>
      </c>
      <c r="K50" s="10">
        <f>VLOOKUP(A50,'Variable Input'!$1:$1048576,8,FALSE)</f>
        <v>1.1140199775247721</v>
      </c>
      <c r="L50" s="96">
        <f t="shared" si="8"/>
        <v>116987.44206550633</v>
      </c>
      <c r="M50" s="96">
        <f t="shared" si="4"/>
        <v>167266.00793449368</v>
      </c>
    </row>
    <row r="51" spans="1:14" x14ac:dyDescent="0.5">
      <c r="A51" s="97">
        <v>210065</v>
      </c>
      <c r="B51" s="10" t="s">
        <v>180</v>
      </c>
      <c r="C51" s="99">
        <f>VLOOKUP($A51,'[3]FY22 Rx Rev By Hosp 20230331'!$B$1:$I$65536,3,FALSE)</f>
        <v>1961962</v>
      </c>
      <c r="D51" s="99">
        <f>VLOOKUP($A51,'[3]FY22 Rx Rev By Hosp 20230331'!$B$1:$I$65536,4,FALSE)</f>
        <v>807845</v>
      </c>
      <c r="E51" s="99">
        <f>VLOOKUP($A51,'[3]FY22 Rx Rev By Hosp 20230331'!$B$1:$I$65536,5,FALSE)</f>
        <v>0</v>
      </c>
      <c r="F51" s="99">
        <f>VLOOKUP($A51,'[3]FY22 Rx Rev By Hosp 20230331'!$B$1:$I$65536,6,FALSE)</f>
        <v>0</v>
      </c>
      <c r="G51" s="99">
        <f t="shared" si="5"/>
        <v>1961962</v>
      </c>
      <c r="H51" s="99">
        <f t="shared" si="6"/>
        <v>807845</v>
      </c>
      <c r="I51" s="367">
        <f>VLOOKUP(A51,[4]FY18_DRUG_CHARGES_NOT_IN_REM!$A$1:$C$49,2,FALSE)</f>
        <v>14749.93</v>
      </c>
      <c r="J51" s="98">
        <f t="shared" si="7"/>
        <v>0.41175364252722529</v>
      </c>
      <c r="K51" s="10">
        <f>VLOOKUP(A51,'Variable Input'!$1:$1048576,8,FALSE)</f>
        <v>1.1083143930424924</v>
      </c>
      <c r="L51" s="96">
        <f t="shared" si="8"/>
        <v>6731.1672592346185</v>
      </c>
      <c r="M51" s="96">
        <f t="shared" si="4"/>
        <v>8018.7627407653817</v>
      </c>
      <c r="N51" s="11"/>
    </row>
    <row r="52" spans="1:14" x14ac:dyDescent="0.5">
      <c r="A52" s="289">
        <v>910003</v>
      </c>
      <c r="B52" s="290" t="s">
        <v>114</v>
      </c>
      <c r="C52" s="417">
        <f>SUMIF($A:$A,210003,C:C)</f>
        <v>2960608.89</v>
      </c>
      <c r="D52" s="417">
        <f>SUMIF($A:$A,210003,D:D)</f>
        <v>1006819.0800000001</v>
      </c>
      <c r="E52" s="417">
        <f>SUMIF($A:$A,210003,E:E)</f>
        <v>0</v>
      </c>
      <c r="F52" s="417">
        <f>SUMIF($A:$A,210003,F:F)</f>
        <v>0</v>
      </c>
      <c r="G52" s="291">
        <f t="shared" si="5"/>
        <v>2960608.89</v>
      </c>
      <c r="H52" s="291">
        <f t="shared" si="6"/>
        <v>1006819.0800000001</v>
      </c>
      <c r="I52" s="417">
        <f>SUMIF($A:$A,210003,I:I)</f>
        <v>740450.2</v>
      </c>
      <c r="J52" s="292">
        <f t="shared" si="7"/>
        <v>0.34007162627955223</v>
      </c>
      <c r="K52" s="290">
        <f>VLOOKUP(A52,'[5]Variable Input'!$A:$IV,8,FALSE)</f>
        <v>1.112243912428907</v>
      </c>
      <c r="L52" s="293">
        <f t="shared" si="8"/>
        <v>280069.80594500323</v>
      </c>
      <c r="M52" s="293">
        <f t="shared" si="4"/>
        <v>460380.39405499672</v>
      </c>
    </row>
    <row r="53" spans="1:14" x14ac:dyDescent="0.5">
      <c r="A53" s="289">
        <v>910008</v>
      </c>
      <c r="B53" s="290" t="s">
        <v>115</v>
      </c>
      <c r="C53" s="417">
        <f>SUMIF($A:$A,210008,C:C)</f>
        <v>38937059.5</v>
      </c>
      <c r="D53" s="417">
        <f>SUMIF($A:$A,210008,D:D)</f>
        <v>19692021.590000004</v>
      </c>
      <c r="E53" s="417">
        <f>SUMIF($A:$A,210008,E:E)</f>
        <v>0</v>
      </c>
      <c r="F53" s="417">
        <f>SUMIF($A:$A,210008,F:F)</f>
        <v>0</v>
      </c>
      <c r="G53" s="291">
        <f t="shared" si="5"/>
        <v>38937059.5</v>
      </c>
      <c r="H53" s="291">
        <f t="shared" si="6"/>
        <v>19692021.590000004</v>
      </c>
      <c r="I53" s="417">
        <f>SUMIF($A:$A,210008,I:I)</f>
        <v>32567472.5</v>
      </c>
      <c r="J53" s="292">
        <f t="shared" si="7"/>
        <v>0.50573982326528799</v>
      </c>
      <c r="K53" s="290">
        <f>VLOOKUP(A53,'[5]Variable Input'!$A:$IV,8,FALSE)</f>
        <v>1.1091903241459977</v>
      </c>
      <c r="L53" s="293">
        <f t="shared" si="8"/>
        <v>18269105.340839412</v>
      </c>
      <c r="M53" s="293">
        <f t="shared" si="4"/>
        <v>14298367.159160588</v>
      </c>
    </row>
    <row r="54" spans="1:14" x14ac:dyDescent="0.5">
      <c r="A54" s="289">
        <v>910012</v>
      </c>
      <c r="B54" s="290" t="s">
        <v>113</v>
      </c>
      <c r="C54" s="417">
        <f>SUMIF($A:$A,210012,C:C)</f>
        <v>51846213.11999999</v>
      </c>
      <c r="D54" s="417">
        <f>SUMIF($A:$A,210012,D:D)</f>
        <v>20429281.189999998</v>
      </c>
      <c r="E54" s="417">
        <f>SUMIF($A:$A,210012,E:E)</f>
        <v>21734077.730000004</v>
      </c>
      <c r="F54" s="417">
        <f>SUMIF($A:$A,210012,F:F)</f>
        <v>13046914.82</v>
      </c>
      <c r="G54" s="291">
        <f t="shared" si="5"/>
        <v>73580290.849999994</v>
      </c>
      <c r="H54" s="291">
        <f t="shared" si="6"/>
        <v>33476196.009999998</v>
      </c>
      <c r="I54" s="417">
        <f>SUMIF($A:$A,210012,I:I)</f>
        <v>68278870.150000006</v>
      </c>
      <c r="J54" s="292">
        <f t="shared" si="7"/>
        <v>0.45496145262926752</v>
      </c>
      <c r="K54" s="294">
        <f>VLOOKUP(A54,'[5]Variable Input'!$A:$IV,8,FALSE)</f>
        <v>1.117864934797169</v>
      </c>
      <c r="L54" s="293">
        <f t="shared" si="8"/>
        <v>34725640.213353783</v>
      </c>
      <c r="M54" s="293">
        <f t="shared" si="4"/>
        <v>33553229.936646223</v>
      </c>
    </row>
    <row r="55" spans="1:14" x14ac:dyDescent="0.5">
      <c r="A55" s="289">
        <v>910024</v>
      </c>
      <c r="B55" s="290" t="s">
        <v>179</v>
      </c>
      <c r="C55" s="417">
        <f>SUMIF($A:$A,210024,C:C)</f>
        <v>5287379</v>
      </c>
      <c r="D55" s="417">
        <f>SUMIF($A:$A,210024,D:D)</f>
        <v>1881035.63</v>
      </c>
      <c r="E55" s="417">
        <f>SUMIF($A:$A,210024,E:E)</f>
        <v>0</v>
      </c>
      <c r="F55" s="417">
        <f>SUMIF($A:$A,210024,F:F)</f>
        <v>0</v>
      </c>
      <c r="G55" s="291">
        <f t="shared" si="5"/>
        <v>5287379</v>
      </c>
      <c r="H55" s="291">
        <f t="shared" si="6"/>
        <v>1881035.63</v>
      </c>
      <c r="I55" s="417">
        <f>SUMIF($A:$A,210024,I:I)</f>
        <v>231801.56</v>
      </c>
      <c r="J55" s="292">
        <f t="shared" si="7"/>
        <v>0.35575956064431924</v>
      </c>
      <c r="K55" s="290">
        <f>VLOOKUP(A55,'[5]Variable Input'!$A:$IV,8,FALSE)</f>
        <v>1.1184898813303539</v>
      </c>
      <c r="L55" s="293">
        <f t="shared" si="8"/>
        <v>92236.96280524903</v>
      </c>
      <c r="M55" s="293">
        <f t="shared" si="4"/>
        <v>139564.59719475097</v>
      </c>
    </row>
    <row r="56" spans="1:14" x14ac:dyDescent="0.5">
      <c r="A56" s="289">
        <v>910029</v>
      </c>
      <c r="B56" s="290" t="s">
        <v>116</v>
      </c>
      <c r="C56" s="417">
        <f>SUMIF($A:$A,210029,C:C)</f>
        <v>64866464.170000009</v>
      </c>
      <c r="D56" s="417">
        <f>SUMIF($A:$A,210029,D:D)</f>
        <v>31248366.430000003</v>
      </c>
      <c r="E56" s="417">
        <f>SUMIF($A:$A,210029,E:E)</f>
        <v>0</v>
      </c>
      <c r="F56" s="417">
        <f>SUMIF($A:$A,210029,F:F)</f>
        <v>0</v>
      </c>
      <c r="G56" s="291">
        <f t="shared" si="5"/>
        <v>64866464.170000009</v>
      </c>
      <c r="H56" s="291">
        <f t="shared" si="6"/>
        <v>31248366.430000003</v>
      </c>
      <c r="I56" s="417">
        <f>SUMIF($A:$A,210029,I:I)</f>
        <v>62553585.82</v>
      </c>
      <c r="J56" s="292">
        <f t="shared" si="7"/>
        <v>0.48173377152337543</v>
      </c>
      <c r="K56" s="290">
        <f>VLOOKUP(A56,'[5]Variable Input'!$A:$IV,8,FALSE)</f>
        <v>1.1156059489108896</v>
      </c>
      <c r="L56" s="293">
        <f t="shared" si="8"/>
        <v>33617864.694020763</v>
      </c>
      <c r="M56" s="293">
        <f t="shared" si="4"/>
        <v>28935721.125979237</v>
      </c>
    </row>
    <row r="57" spans="1:14" x14ac:dyDescent="0.5">
      <c r="C57" s="11"/>
    </row>
    <row r="58" spans="1:14" x14ac:dyDescent="0.5">
      <c r="C58" s="11"/>
      <c r="I58" s="367">
        <f>SUM(I5:I51)</f>
        <v>925190762.77999997</v>
      </c>
      <c r="L58" s="96">
        <f>SUM(L5:L51)</f>
        <v>518045292.96806473</v>
      </c>
      <c r="M58" s="96">
        <f>SUM(M5:M51)</f>
        <v>407145469.81193548</v>
      </c>
    </row>
    <row r="59" spans="1:14" x14ac:dyDescent="0.5">
      <c r="C59" s="11"/>
      <c r="M59" s="98"/>
    </row>
    <row r="60" spans="1:14" x14ac:dyDescent="0.5">
      <c r="C60" s="11"/>
    </row>
    <row r="61" spans="1:14" x14ac:dyDescent="0.5">
      <c r="C61" s="11"/>
    </row>
  </sheetData>
  <sheetCalcPr fullCalcOnLoad="1"/>
  <autoFilter ref="A4:M56"/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38"/>
  <sheetViews>
    <sheetView zoomScale="80" zoomScaleNormal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R8" sqref="R8"/>
    </sheetView>
  </sheetViews>
  <sheetFormatPr defaultColWidth="9.15625" defaultRowHeight="15" x14ac:dyDescent="0.5"/>
  <cols>
    <col min="1" max="1" width="9.26171875" style="107" bestFit="1" customWidth="1"/>
    <col min="2" max="2" width="25.26171875" style="107" bestFit="1" customWidth="1"/>
    <col min="3" max="3" width="12.83984375" style="107" customWidth="1"/>
    <col min="4" max="4" width="12.26171875" style="107" customWidth="1"/>
    <col min="5" max="5" width="16.41796875" style="107" customWidth="1"/>
    <col min="6" max="8" width="15.41796875" style="107" customWidth="1"/>
    <col min="9" max="9" width="23.68359375" style="107" customWidth="1"/>
    <col min="10" max="10" width="13.26171875" style="107" customWidth="1"/>
    <col min="11" max="11" width="15.68359375" style="109" customWidth="1"/>
    <col min="12" max="12" width="12.26171875" style="109" customWidth="1"/>
    <col min="13" max="13" width="16.578125" style="109" customWidth="1"/>
    <col min="14" max="15" width="27.68359375" style="109" customWidth="1"/>
    <col min="16" max="17" width="17.83984375" style="107" customWidth="1"/>
    <col min="18" max="18" width="11.41796875" style="108" customWidth="1"/>
    <col min="19" max="16384" width="9.15625" style="107"/>
  </cols>
  <sheetData>
    <row r="1" spans="1:18" x14ac:dyDescent="0.5">
      <c r="A1" s="150" t="s">
        <v>244</v>
      </c>
      <c r="B1" s="150"/>
      <c r="C1" s="150"/>
      <c r="D1" s="150"/>
      <c r="E1" s="150"/>
      <c r="F1" s="150"/>
      <c r="G1" s="150"/>
      <c r="H1" s="150"/>
      <c r="I1" s="150"/>
      <c r="J1" s="153"/>
      <c r="K1" s="150"/>
      <c r="L1" s="152"/>
      <c r="M1" s="150"/>
      <c r="N1" s="147"/>
      <c r="O1" s="151">
        <v>0.99808482595846049</v>
      </c>
      <c r="P1" s="150"/>
      <c r="Q1" s="150"/>
      <c r="R1" s="110"/>
    </row>
    <row r="2" spans="1:18" x14ac:dyDescent="0.5">
      <c r="A2" s="146" t="s">
        <v>243</v>
      </c>
      <c r="B2" s="146"/>
      <c r="C2" s="146"/>
      <c r="D2" s="146"/>
      <c r="E2" s="146"/>
      <c r="F2" s="146"/>
      <c r="G2" s="146"/>
      <c r="H2" s="146"/>
      <c r="I2" s="146"/>
      <c r="J2" s="149"/>
      <c r="K2" s="146"/>
      <c r="L2" s="148"/>
      <c r="M2" s="146"/>
      <c r="O2" s="147">
        <f>1-O1</f>
        <v>1.9151740415395135E-3</v>
      </c>
      <c r="P2" s="146"/>
      <c r="Q2" s="146"/>
      <c r="R2" s="110"/>
    </row>
    <row r="3" spans="1:18" ht="15.3" thickBot="1" x14ac:dyDescent="0.55000000000000004">
      <c r="A3" s="144"/>
      <c r="B3" s="144"/>
      <c r="C3" s="144"/>
      <c r="D3" s="144"/>
      <c r="E3" s="144"/>
      <c r="F3" s="144"/>
      <c r="G3" s="144"/>
      <c r="H3" s="144"/>
      <c r="I3" s="144"/>
      <c r="J3" s="145"/>
      <c r="K3" s="144"/>
      <c r="L3" s="128"/>
      <c r="M3" s="144"/>
      <c r="P3" s="144"/>
      <c r="Q3" s="144"/>
      <c r="R3" s="110"/>
    </row>
    <row r="4" spans="1:18" x14ac:dyDescent="0.5">
      <c r="A4" s="143"/>
      <c r="B4" s="140"/>
      <c r="C4" s="140"/>
      <c r="D4" s="140"/>
      <c r="E4" s="140"/>
      <c r="F4" s="140"/>
      <c r="G4" s="140"/>
      <c r="H4" s="140"/>
      <c r="I4" s="140"/>
      <c r="J4" s="142"/>
      <c r="K4" s="141"/>
      <c r="L4" s="141"/>
      <c r="M4" s="141" t="s">
        <v>242</v>
      </c>
      <c r="N4" s="128" t="s">
        <v>241</v>
      </c>
      <c r="O4" s="128"/>
      <c r="P4" s="140"/>
      <c r="Q4" s="139"/>
      <c r="R4" s="110"/>
    </row>
    <row r="5" spans="1:18" x14ac:dyDescent="0.5">
      <c r="A5" s="138"/>
      <c r="B5" s="137"/>
      <c r="C5" s="137"/>
      <c r="D5" s="137"/>
      <c r="E5" s="137"/>
      <c r="F5" s="137"/>
      <c r="G5" s="137"/>
      <c r="H5" s="137"/>
      <c r="I5" s="137"/>
      <c r="J5" s="136" t="s">
        <v>240</v>
      </c>
      <c r="K5" s="135" t="s">
        <v>237</v>
      </c>
      <c r="L5" s="135" t="s">
        <v>237</v>
      </c>
      <c r="M5" s="135" t="s">
        <v>239</v>
      </c>
      <c r="N5" s="128" t="s">
        <v>239</v>
      </c>
      <c r="O5" s="128" t="s">
        <v>238</v>
      </c>
      <c r="P5" s="137"/>
      <c r="Q5" s="139"/>
      <c r="R5" s="110"/>
    </row>
    <row r="6" spans="1:18" x14ac:dyDescent="0.5">
      <c r="A6" s="138"/>
      <c r="B6" s="137"/>
      <c r="C6" s="137"/>
      <c r="D6" s="137"/>
      <c r="E6" s="137"/>
      <c r="F6" s="137"/>
      <c r="G6" s="137"/>
      <c r="H6" s="137"/>
      <c r="I6" s="137"/>
      <c r="J6" s="136"/>
      <c r="K6" s="135" t="s">
        <v>232</v>
      </c>
      <c r="L6" s="135" t="s">
        <v>232</v>
      </c>
      <c r="M6" s="135" t="s">
        <v>237</v>
      </c>
      <c r="N6" s="128" t="s">
        <v>237</v>
      </c>
      <c r="O6" s="128" t="s">
        <v>237</v>
      </c>
      <c r="P6" s="134" t="s">
        <v>236</v>
      </c>
      <c r="Q6" s="139" t="s">
        <v>235</v>
      </c>
      <c r="R6" s="110"/>
    </row>
    <row r="7" spans="1:18" x14ac:dyDescent="0.5">
      <c r="A7" s="138"/>
      <c r="B7" s="137"/>
      <c r="C7" s="137"/>
      <c r="D7" s="137"/>
      <c r="E7" s="137"/>
      <c r="F7" s="137"/>
      <c r="G7" s="137"/>
      <c r="H7" s="137"/>
      <c r="I7" s="137"/>
      <c r="J7" s="136" t="s">
        <v>234</v>
      </c>
      <c r="K7" s="135" t="s">
        <v>233</v>
      </c>
      <c r="L7" s="135" t="s">
        <v>233</v>
      </c>
      <c r="M7" s="135" t="s">
        <v>232</v>
      </c>
      <c r="N7" s="128" t="s">
        <v>232</v>
      </c>
      <c r="O7" s="128" t="s">
        <v>232</v>
      </c>
      <c r="P7" s="134" t="s">
        <v>231</v>
      </c>
      <c r="Q7" s="134" t="s">
        <v>231</v>
      </c>
      <c r="R7" s="128" t="s">
        <v>230</v>
      </c>
    </row>
    <row r="8" spans="1:18" s="127" customFormat="1" ht="14.7" thickBot="1" x14ac:dyDescent="0.6">
      <c r="A8" s="133" t="s">
        <v>106</v>
      </c>
      <c r="B8" s="132" t="s">
        <v>105</v>
      </c>
      <c r="C8" s="132" t="s">
        <v>229</v>
      </c>
      <c r="D8" s="132" t="s">
        <v>228</v>
      </c>
      <c r="E8" s="132" t="s">
        <v>227</v>
      </c>
      <c r="F8" s="132" t="s">
        <v>226</v>
      </c>
      <c r="G8" s="132" t="s">
        <v>225</v>
      </c>
      <c r="H8" s="132" t="s">
        <v>224</v>
      </c>
      <c r="I8" s="132" t="s">
        <v>223</v>
      </c>
      <c r="J8" s="130" t="s">
        <v>222</v>
      </c>
      <c r="K8" s="131">
        <v>2015</v>
      </c>
      <c r="L8" s="131">
        <v>2016</v>
      </c>
      <c r="M8" s="130" t="s">
        <v>221</v>
      </c>
      <c r="N8" s="129" t="s">
        <v>220</v>
      </c>
      <c r="O8" s="129" t="s">
        <v>219</v>
      </c>
      <c r="P8" s="129" t="s">
        <v>218</v>
      </c>
      <c r="Q8" s="129" t="s">
        <v>218</v>
      </c>
      <c r="R8" s="128" t="s">
        <v>217</v>
      </c>
    </row>
    <row r="9" spans="1:18" ht="15" customHeight="1" x14ac:dyDescent="0.55000000000000004">
      <c r="A9" s="107">
        <v>210001</v>
      </c>
      <c r="B9" s="118" t="s">
        <v>28</v>
      </c>
      <c r="C9" s="114">
        <v>81969.14</v>
      </c>
      <c r="D9" s="114">
        <v>21495.33</v>
      </c>
      <c r="E9" s="114">
        <v>51131.74</v>
      </c>
      <c r="F9" s="114">
        <v>247821.196</v>
      </c>
      <c r="G9" s="123">
        <f t="shared" ref="G9:G54" si="0">(IF(I9="PG/Mont",F9,0))/SUMIF($I$9:$I$54,"PG/Mont",$F$9:$F$54)</f>
        <v>0</v>
      </c>
      <c r="H9" s="123">
        <f t="shared" ref="H9:H54" si="1">(IF(I9="Everywhere else",F9,0))/SUMIF($I$9:$I$54,"Everywhere else",$F$9:$F$54)</f>
        <v>2.4051920688869008E-2</v>
      </c>
      <c r="I9" s="126" t="s">
        <v>212</v>
      </c>
      <c r="J9" s="116">
        <v>0.62382157981353603</v>
      </c>
      <c r="K9" s="121">
        <v>1.02857527398477</v>
      </c>
      <c r="L9" s="121">
        <v>1.0350529787521801</v>
      </c>
      <c r="M9" s="121">
        <f>AVERAGE(K9:L9)</f>
        <v>1.031814126368475</v>
      </c>
      <c r="N9" s="122">
        <f t="shared" ref="N9:N54" si="2">(M9-1)*$J$58+1</f>
        <v>1.0189858268755732</v>
      </c>
      <c r="O9" s="121">
        <f t="shared" ref="O9:O54" si="3">N9*(1+$O$2)</f>
        <v>1.0209373620799018</v>
      </c>
      <c r="P9" s="120">
        <f t="shared" ref="P9:P32" si="4">O9*G9</f>
        <v>0</v>
      </c>
      <c r="Q9" s="120">
        <f t="shared" ref="Q9:Q54" si="5">O9*H9</f>
        <v>2.4555504461048941E-2</v>
      </c>
      <c r="R9" s="111">
        <f t="shared" ref="R9:R54" si="6">IF(P9&lt;&gt;0,$P$56,$Q$56)</f>
        <v>0.99671861092415948</v>
      </c>
    </row>
    <row r="10" spans="1:18" ht="15" customHeight="1" x14ac:dyDescent="0.55000000000000004">
      <c r="A10" s="107">
        <v>210002</v>
      </c>
      <c r="B10" s="118" t="s">
        <v>42</v>
      </c>
      <c r="C10" s="114">
        <v>395866.905707122</v>
      </c>
      <c r="D10" s="114">
        <v>166467.77560485998</v>
      </c>
      <c r="E10" s="114">
        <v>77049.220317263011</v>
      </c>
      <c r="F10" s="114">
        <v>1318097.24876829</v>
      </c>
      <c r="G10" s="123">
        <f t="shared" si="0"/>
        <v>0</v>
      </c>
      <c r="H10" s="123">
        <f t="shared" si="1"/>
        <v>0.12792598453762347</v>
      </c>
      <c r="I10" s="118" t="s">
        <v>212</v>
      </c>
      <c r="J10" s="116">
        <v>0.48508097731538707</v>
      </c>
      <c r="K10" s="121">
        <v>0.98326964351970492</v>
      </c>
      <c r="L10" s="121">
        <v>0.98762483351560193</v>
      </c>
      <c r="M10" s="121">
        <f t="shared" ref="M10:M54" si="7">AVERAGE(K10:L10)</f>
        <v>0.98544723851765337</v>
      </c>
      <c r="N10" s="122">
        <f t="shared" si="2"/>
        <v>0.99131529790052242</v>
      </c>
      <c r="O10" s="121">
        <f t="shared" si="3"/>
        <v>0.99321383922604256</v>
      </c>
      <c r="P10" s="120">
        <f t="shared" si="4"/>
        <v>0</v>
      </c>
      <c r="Q10" s="120">
        <f t="shared" si="5"/>
        <v>0.12705785823938437</v>
      </c>
      <c r="R10" s="111">
        <f t="shared" si="6"/>
        <v>0.99671861092415948</v>
      </c>
    </row>
    <row r="11" spans="1:18" ht="15" customHeight="1" x14ac:dyDescent="0.55000000000000004">
      <c r="A11" s="107">
        <v>210003</v>
      </c>
      <c r="B11" s="118" t="s">
        <v>216</v>
      </c>
      <c r="C11" s="114">
        <v>105018.64448613601</v>
      </c>
      <c r="D11" s="114">
        <v>24723.23747</v>
      </c>
      <c r="E11" s="114">
        <v>30265.136299999998</v>
      </c>
      <c r="F11" s="114">
        <v>227352.247708068</v>
      </c>
      <c r="G11" s="123">
        <f t="shared" si="0"/>
        <v>0.11444585077873663</v>
      </c>
      <c r="H11" s="123">
        <f t="shared" si="1"/>
        <v>0</v>
      </c>
      <c r="I11" s="118" t="s">
        <v>213</v>
      </c>
      <c r="J11" s="116">
        <v>0.70378463318116491</v>
      </c>
      <c r="K11" s="121">
        <v>1.0226776153753521</v>
      </c>
      <c r="L11" s="121">
        <v>1.0261772468438264</v>
      </c>
      <c r="M11" s="121">
        <f t="shared" si="7"/>
        <v>1.0244274311095891</v>
      </c>
      <c r="N11" s="122">
        <f t="shared" si="2"/>
        <v>1.0145776430473101</v>
      </c>
      <c r="O11" s="121">
        <f t="shared" si="3"/>
        <v>1.0165207358124007</v>
      </c>
      <c r="P11" s="120">
        <f t="shared" si="4"/>
        <v>0.11633658044427757</v>
      </c>
      <c r="Q11" s="120">
        <f t="shared" si="5"/>
        <v>0</v>
      </c>
      <c r="R11" s="111">
        <f t="shared" si="6"/>
        <v>1.0181752931904677</v>
      </c>
    </row>
    <row r="12" spans="1:18" ht="15" customHeight="1" x14ac:dyDescent="0.55000000000000004">
      <c r="A12" s="107">
        <v>210004</v>
      </c>
      <c r="B12" s="118" t="s">
        <v>15</v>
      </c>
      <c r="C12" s="114">
        <v>162027.61758017301</v>
      </c>
      <c r="D12" s="114">
        <v>36624.135561709998</v>
      </c>
      <c r="E12" s="114">
        <v>37285.040580000001</v>
      </c>
      <c r="F12" s="114">
        <v>362874.68550657498</v>
      </c>
      <c r="G12" s="123">
        <f t="shared" si="0"/>
        <v>0.18266589632398306</v>
      </c>
      <c r="H12" s="123">
        <f t="shared" si="1"/>
        <v>0</v>
      </c>
      <c r="I12" s="118" t="s">
        <v>213</v>
      </c>
      <c r="J12" s="116">
        <v>0.6501880763396708</v>
      </c>
      <c r="K12" s="121">
        <v>1.0166049730904685</v>
      </c>
      <c r="L12" s="121">
        <v>1.0313280286262119</v>
      </c>
      <c r="M12" s="121">
        <f t="shared" si="7"/>
        <v>1.0239665008583403</v>
      </c>
      <c r="N12" s="122">
        <f t="shared" si="2"/>
        <v>1.014302572097677</v>
      </c>
      <c r="O12" s="121">
        <f t="shared" si="3"/>
        <v>1.0162451380540254</v>
      </c>
      <c r="P12" s="120">
        <f t="shared" si="4"/>
        <v>0.18563332902752844</v>
      </c>
      <c r="Q12" s="120">
        <f t="shared" si="5"/>
        <v>0</v>
      </c>
      <c r="R12" s="111">
        <f t="shared" si="6"/>
        <v>1.0181752931904677</v>
      </c>
    </row>
    <row r="13" spans="1:18" ht="15" customHeight="1" x14ac:dyDescent="0.55000000000000004">
      <c r="A13" s="107">
        <v>210005</v>
      </c>
      <c r="B13" s="118" t="s">
        <v>10</v>
      </c>
      <c r="C13" s="114">
        <v>91607.878255860996</v>
      </c>
      <c r="D13" s="114">
        <v>26537.651890960999</v>
      </c>
      <c r="E13" s="114">
        <v>52098.346521845</v>
      </c>
      <c r="F13" s="114">
        <v>278175.23588163703</v>
      </c>
      <c r="G13" s="123">
        <f t="shared" si="0"/>
        <v>0</v>
      </c>
      <c r="H13" s="123">
        <f t="shared" si="1"/>
        <v>2.6997887263172444E-2</v>
      </c>
      <c r="I13" s="118" t="s">
        <v>212</v>
      </c>
      <c r="J13" s="116">
        <v>0.61200227306037203</v>
      </c>
      <c r="K13" s="121">
        <v>1.03006347500994</v>
      </c>
      <c r="L13" s="121">
        <v>1.0246272745339506</v>
      </c>
      <c r="M13" s="121">
        <f t="shared" si="7"/>
        <v>1.0273453747719454</v>
      </c>
      <c r="N13" s="122">
        <f t="shared" si="2"/>
        <v>1.0163189944383408</v>
      </c>
      <c r="O13" s="121">
        <f t="shared" si="3"/>
        <v>1.0182654221944127</v>
      </c>
      <c r="P13" s="120">
        <f t="shared" si="4"/>
        <v>0</v>
      </c>
      <c r="Q13" s="120">
        <f t="shared" si="5"/>
        <v>2.7491015072391448E-2</v>
      </c>
      <c r="R13" s="111">
        <f t="shared" si="6"/>
        <v>0.99671861092415948</v>
      </c>
    </row>
    <row r="14" spans="1:18" ht="15" customHeight="1" x14ac:dyDescent="0.55000000000000004">
      <c r="A14" s="107">
        <v>210006</v>
      </c>
      <c r="B14" s="118" t="s">
        <v>40</v>
      </c>
      <c r="C14" s="114">
        <v>39767.122322071002</v>
      </c>
      <c r="D14" s="114">
        <v>8878.3916779289993</v>
      </c>
      <c r="E14" s="114">
        <v>7199.27</v>
      </c>
      <c r="F14" s="114">
        <v>80295.005999999994</v>
      </c>
      <c r="G14" s="123">
        <f t="shared" si="0"/>
        <v>0</v>
      </c>
      <c r="H14" s="123">
        <f t="shared" si="1"/>
        <v>7.7929133875387357E-3</v>
      </c>
      <c r="I14" s="118" t="s">
        <v>212</v>
      </c>
      <c r="J14" s="116">
        <v>0.69549510962113892</v>
      </c>
      <c r="K14" s="121">
        <v>1.0354439317222288</v>
      </c>
      <c r="L14" s="121">
        <v>0.99487006505050368</v>
      </c>
      <c r="M14" s="121">
        <f t="shared" si="7"/>
        <v>1.0151569983863662</v>
      </c>
      <c r="N14" s="122">
        <f t="shared" si="2"/>
        <v>1.0090452946588544</v>
      </c>
      <c r="O14" s="121">
        <f t="shared" si="3"/>
        <v>1.0109777920139227</v>
      </c>
      <c r="P14" s="120">
        <f t="shared" si="4"/>
        <v>0</v>
      </c>
      <c r="Q14" s="120">
        <f t="shared" si="5"/>
        <v>7.8784623698896494E-3</v>
      </c>
      <c r="R14" s="111">
        <f t="shared" si="6"/>
        <v>0.99671861092415948</v>
      </c>
    </row>
    <row r="15" spans="1:18" ht="15" customHeight="1" x14ac:dyDescent="0.55000000000000004">
      <c r="A15" s="107">
        <v>210008</v>
      </c>
      <c r="B15" s="118" t="s">
        <v>27</v>
      </c>
      <c r="C15" s="114">
        <v>151460.73235634001</v>
      </c>
      <c r="D15" s="114">
        <v>40863.565999999999</v>
      </c>
      <c r="E15" s="114">
        <v>50620.91</v>
      </c>
      <c r="F15" s="114">
        <v>435680.49035634001</v>
      </c>
      <c r="G15" s="123">
        <f t="shared" si="0"/>
        <v>0</v>
      </c>
      <c r="H15" s="123">
        <f t="shared" si="1"/>
        <v>4.2284327446060137E-2</v>
      </c>
      <c r="I15" s="118" t="s">
        <v>212</v>
      </c>
      <c r="J15" s="116">
        <v>0.5576224176520661</v>
      </c>
      <c r="K15" s="121">
        <v>0.98166587171240682</v>
      </c>
      <c r="L15" s="121">
        <v>0.98449120464255768</v>
      </c>
      <c r="M15" s="121">
        <f t="shared" si="7"/>
        <v>0.98307853817748225</v>
      </c>
      <c r="N15" s="122">
        <f t="shared" si="2"/>
        <v>0.98990172035771229</v>
      </c>
      <c r="O15" s="121">
        <f t="shared" si="3"/>
        <v>0.99179755443621664</v>
      </c>
      <c r="P15" s="120">
        <f t="shared" si="4"/>
        <v>0</v>
      </c>
      <c r="Q15" s="120">
        <f t="shared" si="5"/>
        <v>4.193749255198264E-2</v>
      </c>
      <c r="R15" s="111">
        <f t="shared" si="6"/>
        <v>0.99671861092415948</v>
      </c>
    </row>
    <row r="16" spans="1:18" ht="15" customHeight="1" x14ac:dyDescent="0.55000000000000004">
      <c r="A16" s="107">
        <v>210009</v>
      </c>
      <c r="B16" s="118" t="s">
        <v>18</v>
      </c>
      <c r="C16" s="114">
        <v>573787.65881968301</v>
      </c>
      <c r="D16" s="114">
        <v>201474.09118031699</v>
      </c>
      <c r="E16" s="114">
        <v>409319.27</v>
      </c>
      <c r="F16" s="114">
        <v>1904995.71783</v>
      </c>
      <c r="G16" s="123">
        <f t="shared" si="0"/>
        <v>0</v>
      </c>
      <c r="H16" s="123">
        <f t="shared" si="1"/>
        <v>0.18488654988930908</v>
      </c>
      <c r="I16" s="118" t="s">
        <v>212</v>
      </c>
      <c r="J16" s="116">
        <v>0.62182870486940955</v>
      </c>
      <c r="K16" s="121">
        <v>0.96309452213945967</v>
      </c>
      <c r="L16" s="121">
        <v>0.97343571618574998</v>
      </c>
      <c r="M16" s="121">
        <f t="shared" si="7"/>
        <v>0.96826511916260483</v>
      </c>
      <c r="N16" s="122">
        <f t="shared" si="2"/>
        <v>0.98106146475570788</v>
      </c>
      <c r="O16" s="121">
        <f t="shared" si="3"/>
        <v>0.98294036820616271</v>
      </c>
      <c r="P16" s="120">
        <f t="shared" si="4"/>
        <v>0</v>
      </c>
      <c r="Q16" s="120">
        <f t="shared" si="5"/>
        <v>0.18173245342456454</v>
      </c>
      <c r="R16" s="111">
        <f t="shared" si="6"/>
        <v>0.99671861092415948</v>
      </c>
    </row>
    <row r="17" spans="1:18" ht="15" customHeight="1" x14ac:dyDescent="0.55000000000000004">
      <c r="A17" s="107">
        <v>210010</v>
      </c>
      <c r="B17" s="118" t="s">
        <v>38</v>
      </c>
      <c r="C17" s="114">
        <v>16273.505999999999</v>
      </c>
      <c r="D17" s="114">
        <v>4237.223</v>
      </c>
      <c r="E17" s="114">
        <v>5537.1589999999997</v>
      </c>
      <c r="F17" s="114">
        <v>36427.923000000003</v>
      </c>
      <c r="G17" s="123">
        <f t="shared" si="0"/>
        <v>0</v>
      </c>
      <c r="H17" s="123">
        <f t="shared" si="1"/>
        <v>3.5354583425391394E-3</v>
      </c>
      <c r="I17" s="118" t="s">
        <v>212</v>
      </c>
      <c r="J17" s="116">
        <v>0.71505279068477212</v>
      </c>
      <c r="K17" s="121">
        <v>0.97323581578976026</v>
      </c>
      <c r="L17" s="121">
        <v>0.98892057675468659</v>
      </c>
      <c r="M17" s="121">
        <f t="shared" si="7"/>
        <v>0.98107819627222348</v>
      </c>
      <c r="N17" s="122">
        <f t="shared" si="2"/>
        <v>0.98870796935963889</v>
      </c>
      <c r="O17" s="121">
        <f t="shared" si="3"/>
        <v>0.99060151719721967</v>
      </c>
      <c r="P17" s="120">
        <f t="shared" si="4"/>
        <v>0</v>
      </c>
      <c r="Q17" s="120">
        <f t="shared" si="5"/>
        <v>3.502230398106839E-3</v>
      </c>
      <c r="R17" s="111">
        <f t="shared" si="6"/>
        <v>0.99671861092415948</v>
      </c>
    </row>
    <row r="18" spans="1:18" ht="15" customHeight="1" x14ac:dyDescent="0.55000000000000004">
      <c r="A18" s="107">
        <v>210011</v>
      </c>
      <c r="B18" s="118" t="s">
        <v>33</v>
      </c>
      <c r="C18" s="114">
        <v>118407.673814087</v>
      </c>
      <c r="D18" s="114">
        <v>24565.086219205001</v>
      </c>
      <c r="E18" s="114">
        <v>49998.734112667997</v>
      </c>
      <c r="F18" s="114">
        <v>312539.16685799998</v>
      </c>
      <c r="G18" s="123">
        <f t="shared" si="0"/>
        <v>0</v>
      </c>
      <c r="H18" s="123">
        <f t="shared" si="1"/>
        <v>3.0333027903851343E-2</v>
      </c>
      <c r="I18" s="118" t="s">
        <v>212</v>
      </c>
      <c r="J18" s="116">
        <v>0.61743139615405473</v>
      </c>
      <c r="K18" s="121">
        <v>0.98372126913444669</v>
      </c>
      <c r="L18" s="121">
        <v>0.98981334022650003</v>
      </c>
      <c r="M18" s="121">
        <f t="shared" si="7"/>
        <v>0.98676730468047336</v>
      </c>
      <c r="N18" s="122">
        <f t="shared" si="2"/>
        <v>0.99210307837707312</v>
      </c>
      <c r="O18" s="121">
        <f t="shared" si="3"/>
        <v>0.99400312843931238</v>
      </c>
      <c r="P18" s="120">
        <f t="shared" si="4"/>
        <v>0</v>
      </c>
      <c r="Q18" s="120">
        <f t="shared" si="5"/>
        <v>3.0151124631465194E-2</v>
      </c>
      <c r="R18" s="111">
        <f t="shared" si="6"/>
        <v>0.99671861092415948</v>
      </c>
    </row>
    <row r="19" spans="1:18" ht="15" customHeight="1" x14ac:dyDescent="0.55000000000000004">
      <c r="A19" s="107">
        <v>210012</v>
      </c>
      <c r="B19" s="118" t="s">
        <v>32</v>
      </c>
      <c r="C19" s="114">
        <v>154842.1</v>
      </c>
      <c r="D19" s="114">
        <v>60229.9</v>
      </c>
      <c r="E19" s="114">
        <v>46916.5</v>
      </c>
      <c r="F19" s="114">
        <v>551295.4</v>
      </c>
      <c r="G19" s="123">
        <f t="shared" si="0"/>
        <v>0</v>
      </c>
      <c r="H19" s="123">
        <f t="shared" si="1"/>
        <v>5.3505161991625264E-2</v>
      </c>
      <c r="I19" s="118" t="s">
        <v>212</v>
      </c>
      <c r="J19" s="116">
        <v>0.47522344644994313</v>
      </c>
      <c r="K19" s="121">
        <v>0.9796311662847853</v>
      </c>
      <c r="L19" s="121">
        <v>0.98317137511306996</v>
      </c>
      <c r="M19" s="121">
        <f t="shared" si="7"/>
        <v>0.98140127069892769</v>
      </c>
      <c r="N19" s="122">
        <f t="shared" si="2"/>
        <v>0.98890077160925249</v>
      </c>
      <c r="O19" s="121">
        <f t="shared" si="3"/>
        <v>0.99079468869669696</v>
      </c>
      <c r="P19" s="120">
        <f t="shared" si="4"/>
        <v>0</v>
      </c>
      <c r="Q19" s="120">
        <f t="shared" si="5"/>
        <v>5.3012630319158698E-2</v>
      </c>
      <c r="R19" s="111">
        <f t="shared" si="6"/>
        <v>0.99671861092415948</v>
      </c>
    </row>
    <row r="20" spans="1:18" ht="15" customHeight="1" x14ac:dyDescent="0.55000000000000004">
      <c r="A20" s="107">
        <v>210013</v>
      </c>
      <c r="B20" s="118" t="s">
        <v>6</v>
      </c>
      <c r="C20" s="114">
        <v>33088.816605118998</v>
      </c>
      <c r="D20" s="114">
        <v>5331.9433379239999</v>
      </c>
      <c r="E20" s="114">
        <v>13071.05941</v>
      </c>
      <c r="F20" s="114">
        <v>78575.804082404997</v>
      </c>
      <c r="G20" s="123">
        <f t="shared" si="0"/>
        <v>0</v>
      </c>
      <c r="H20" s="123">
        <f t="shared" si="1"/>
        <v>7.6260587809208798E-3</v>
      </c>
      <c r="I20" s="118" t="s">
        <v>212</v>
      </c>
      <c r="J20" s="116">
        <v>0.65531393479654187</v>
      </c>
      <c r="K20" s="121">
        <v>0.97159300742622523</v>
      </c>
      <c r="L20" s="121">
        <v>0.97761852793391524</v>
      </c>
      <c r="M20" s="121">
        <f t="shared" si="7"/>
        <v>0.97460576768007023</v>
      </c>
      <c r="N20" s="122">
        <f t="shared" si="2"/>
        <v>0.98484539563085349</v>
      </c>
      <c r="O20" s="121">
        <f t="shared" si="3"/>
        <v>0.98673154596749546</v>
      </c>
      <c r="P20" s="120">
        <f t="shared" si="4"/>
        <v>0</v>
      </c>
      <c r="Q20" s="120">
        <f t="shared" si="5"/>
        <v>7.5248727705370536E-3</v>
      </c>
      <c r="R20" s="111">
        <f t="shared" si="6"/>
        <v>0.99671861092415948</v>
      </c>
    </row>
    <row r="21" spans="1:18" ht="15" customHeight="1" x14ac:dyDescent="0.55000000000000004">
      <c r="A21" s="107">
        <v>210015</v>
      </c>
      <c r="B21" s="118" t="s">
        <v>20</v>
      </c>
      <c r="C21" s="114">
        <v>175943.44196891299</v>
      </c>
      <c r="D21" s="114">
        <v>34377.593904804002</v>
      </c>
      <c r="E21" s="114">
        <v>36654.345956138</v>
      </c>
      <c r="F21" s="114">
        <v>385528.86720085802</v>
      </c>
      <c r="G21" s="123">
        <f t="shared" si="0"/>
        <v>0</v>
      </c>
      <c r="H21" s="123">
        <f t="shared" si="1"/>
        <v>3.7416935624766126E-2</v>
      </c>
      <c r="I21" s="118" t="s">
        <v>212</v>
      </c>
      <c r="J21" s="116">
        <v>0.64061449826838102</v>
      </c>
      <c r="K21" s="121">
        <v>1.0088618815013348</v>
      </c>
      <c r="L21" s="121">
        <v>1.0005532289023051</v>
      </c>
      <c r="M21" s="121">
        <f t="shared" si="7"/>
        <v>1.0047075552018199</v>
      </c>
      <c r="N21" s="122">
        <f t="shared" si="2"/>
        <v>1.0028093440955688</v>
      </c>
      <c r="O21" s="121">
        <f t="shared" si="3"/>
        <v>1.0047298985199939</v>
      </c>
      <c r="P21" s="120">
        <f t="shared" si="4"/>
        <v>0</v>
      </c>
      <c r="Q21" s="120">
        <f t="shared" si="5"/>
        <v>3.7593913933200419E-2</v>
      </c>
      <c r="R21" s="111">
        <f t="shared" si="6"/>
        <v>0.99671861092415948</v>
      </c>
    </row>
    <row r="22" spans="1:18" ht="15" customHeight="1" x14ac:dyDescent="0.55000000000000004">
      <c r="A22" s="107">
        <v>210016</v>
      </c>
      <c r="B22" s="118" t="s">
        <v>49</v>
      </c>
      <c r="C22" s="114">
        <v>89930.313999999998</v>
      </c>
      <c r="D22" s="114">
        <v>18793.249</v>
      </c>
      <c r="E22" s="114">
        <v>31183.502</v>
      </c>
      <c r="F22" s="114">
        <v>204234.17267999999</v>
      </c>
      <c r="G22" s="123">
        <f t="shared" si="0"/>
        <v>0.10280854438908875</v>
      </c>
      <c r="H22" s="123">
        <f t="shared" si="1"/>
        <v>0</v>
      </c>
      <c r="I22" s="118" t="s">
        <v>213</v>
      </c>
      <c r="J22" s="116">
        <v>0.68503259353766643</v>
      </c>
      <c r="K22" s="121">
        <v>1.0430960415102288</v>
      </c>
      <c r="L22" s="121">
        <v>1.0647874090218938</v>
      </c>
      <c r="M22" s="121">
        <f t="shared" si="7"/>
        <v>1.0539417252660614</v>
      </c>
      <c r="N22" s="122">
        <f t="shared" si="2"/>
        <v>1.0321909910525153</v>
      </c>
      <c r="O22" s="121">
        <f t="shared" si="3"/>
        <v>1.0341678164444901</v>
      </c>
      <c r="P22" s="120">
        <f t="shared" si="4"/>
        <v>0.10632128786270034</v>
      </c>
      <c r="Q22" s="120">
        <f t="shared" si="5"/>
        <v>0</v>
      </c>
      <c r="R22" s="111">
        <f t="shared" si="6"/>
        <v>1.0181752931904677</v>
      </c>
    </row>
    <row r="23" spans="1:18" ht="15" customHeight="1" x14ac:dyDescent="0.55000000000000004">
      <c r="A23" s="107">
        <v>210017</v>
      </c>
      <c r="B23" s="124" t="s">
        <v>12</v>
      </c>
      <c r="C23" s="114">
        <v>15718.950791912001</v>
      </c>
      <c r="D23" s="114">
        <v>6339.0872989520003</v>
      </c>
      <c r="E23" s="114">
        <v>3512.6228911759999</v>
      </c>
      <c r="F23" s="114">
        <v>39247.254159985998</v>
      </c>
      <c r="G23" s="123">
        <f t="shared" si="0"/>
        <v>0</v>
      </c>
      <c r="H23" s="123">
        <f t="shared" si="1"/>
        <v>0</v>
      </c>
      <c r="I23" s="118" t="s">
        <v>214</v>
      </c>
      <c r="J23" s="116">
        <v>0.65152738782195418</v>
      </c>
      <c r="K23" s="121">
        <v>0.88583943625654404</v>
      </c>
      <c r="L23" s="125">
        <f>K23</f>
        <v>0.88583943625654404</v>
      </c>
      <c r="M23" s="121">
        <f t="shared" si="7"/>
        <v>0.88583943625654404</v>
      </c>
      <c r="N23" s="122">
        <f t="shared" si="2"/>
        <v>0.93187200320550634</v>
      </c>
      <c r="O23" s="121">
        <f t="shared" si="3"/>
        <v>0.93365670027608294</v>
      </c>
      <c r="P23" s="120">
        <f t="shared" si="4"/>
        <v>0</v>
      </c>
      <c r="Q23" s="120">
        <f t="shared" si="5"/>
        <v>0</v>
      </c>
      <c r="R23" s="111">
        <f t="shared" si="6"/>
        <v>0.99671861092415948</v>
      </c>
    </row>
    <row r="24" spans="1:18" ht="15" customHeight="1" x14ac:dyDescent="0.55000000000000004">
      <c r="A24" s="107">
        <v>210018</v>
      </c>
      <c r="B24" s="118" t="s">
        <v>23</v>
      </c>
      <c r="C24" s="114">
        <v>55592.296387182003</v>
      </c>
      <c r="D24" s="114">
        <v>8984.9630520179999</v>
      </c>
      <c r="E24" s="114">
        <v>10287.874900299001</v>
      </c>
      <c r="F24" s="114">
        <v>136647.49548472499</v>
      </c>
      <c r="G24" s="123">
        <f t="shared" si="0"/>
        <v>6.8786383399269804E-2</v>
      </c>
      <c r="H24" s="123">
        <f t="shared" si="1"/>
        <v>0</v>
      </c>
      <c r="I24" s="118" t="s">
        <v>213</v>
      </c>
      <c r="J24" s="116">
        <v>0.54787051949933263</v>
      </c>
      <c r="K24" s="121">
        <v>1.022088645302367</v>
      </c>
      <c r="L24" s="121">
        <v>1.028097146595331</v>
      </c>
      <c r="M24" s="121">
        <f t="shared" si="7"/>
        <v>1.025092895948849</v>
      </c>
      <c r="N24" s="122">
        <f t="shared" si="2"/>
        <v>1.014974774814615</v>
      </c>
      <c r="O24" s="121">
        <f t="shared" si="3"/>
        <v>1.0169186281561573</v>
      </c>
      <c r="P24" s="120">
        <f t="shared" si="4"/>
        <v>6.9950154642208925E-2</v>
      </c>
      <c r="Q24" s="120">
        <f t="shared" si="5"/>
        <v>0</v>
      </c>
      <c r="R24" s="111">
        <f t="shared" si="6"/>
        <v>1.0181752931904677</v>
      </c>
    </row>
    <row r="25" spans="1:18" ht="15" customHeight="1" x14ac:dyDescent="0.55000000000000004">
      <c r="A25" s="107">
        <v>210019</v>
      </c>
      <c r="B25" s="124" t="s">
        <v>30</v>
      </c>
      <c r="C25" s="114">
        <v>118896.9</v>
      </c>
      <c r="D25" s="114">
        <v>29838.6</v>
      </c>
      <c r="E25" s="114">
        <v>36701.5</v>
      </c>
      <c r="F25" s="114">
        <v>329763.09999999998</v>
      </c>
      <c r="G25" s="123">
        <f t="shared" si="0"/>
        <v>0</v>
      </c>
      <c r="H25" s="123">
        <f t="shared" si="1"/>
        <v>0</v>
      </c>
      <c r="I25" s="118" t="s">
        <v>214</v>
      </c>
      <c r="J25" s="116">
        <v>0.5623339906739111</v>
      </c>
      <c r="K25" s="121">
        <v>0.9479787650984397</v>
      </c>
      <c r="L25" s="121">
        <v>0.94940211681031828</v>
      </c>
      <c r="M25" s="121">
        <f t="shared" si="7"/>
        <v>0.94869044095437904</v>
      </c>
      <c r="N25" s="122">
        <f t="shared" si="2"/>
        <v>0.96937981594027189</v>
      </c>
      <c r="O25" s="121">
        <f t="shared" si="3"/>
        <v>0.97123634700015304</v>
      </c>
      <c r="P25" s="120">
        <f t="shared" si="4"/>
        <v>0</v>
      </c>
      <c r="Q25" s="120">
        <f t="shared" si="5"/>
        <v>0</v>
      </c>
      <c r="R25" s="111">
        <f t="shared" si="6"/>
        <v>0.99671861092415948</v>
      </c>
    </row>
    <row r="26" spans="1:18" ht="15" customHeight="1" x14ac:dyDescent="0.55000000000000004">
      <c r="A26" s="107">
        <v>210022</v>
      </c>
      <c r="B26" s="118" t="s">
        <v>34</v>
      </c>
      <c r="C26" s="114">
        <v>90643.532760000002</v>
      </c>
      <c r="D26" s="114">
        <v>17372.42325</v>
      </c>
      <c r="E26" s="114">
        <v>25474.841820000001</v>
      </c>
      <c r="F26" s="114">
        <v>236670.66137956499</v>
      </c>
      <c r="G26" s="123">
        <f t="shared" si="0"/>
        <v>0.11913660616511867</v>
      </c>
      <c r="H26" s="123">
        <f t="shared" si="1"/>
        <v>0</v>
      </c>
      <c r="I26" s="118" t="s">
        <v>213</v>
      </c>
      <c r="J26" s="116">
        <v>0.5640361042297154</v>
      </c>
      <c r="K26" s="121">
        <v>1.0115115967937724</v>
      </c>
      <c r="L26" s="121">
        <v>1.0221737204321883</v>
      </c>
      <c r="M26" s="121">
        <f t="shared" si="7"/>
        <v>1.0168426586129804</v>
      </c>
      <c r="N26" s="122">
        <f t="shared" si="2"/>
        <v>1.0100512519767726</v>
      </c>
      <c r="O26" s="121">
        <f t="shared" si="3"/>
        <v>1.0119856759151831</v>
      </c>
      <c r="P26" s="120">
        <f t="shared" si="4"/>
        <v>0.12056453891624859</v>
      </c>
      <c r="Q26" s="120">
        <f t="shared" si="5"/>
        <v>0</v>
      </c>
      <c r="R26" s="111">
        <f t="shared" si="6"/>
        <v>1.0181752931904677</v>
      </c>
    </row>
    <row r="27" spans="1:18" ht="15" customHeight="1" x14ac:dyDescent="0.55000000000000004">
      <c r="A27" s="107">
        <v>210023</v>
      </c>
      <c r="B27" s="118" t="s">
        <v>4</v>
      </c>
      <c r="C27" s="114">
        <v>179290.07269146401</v>
      </c>
      <c r="D27" s="114">
        <v>32331.790556374999</v>
      </c>
      <c r="E27" s="114">
        <v>45970.040220000003</v>
      </c>
      <c r="F27" s="114">
        <v>451531.23181783903</v>
      </c>
      <c r="G27" s="123">
        <f t="shared" si="0"/>
        <v>0</v>
      </c>
      <c r="H27" s="123">
        <f t="shared" si="1"/>
        <v>4.3822697781790987E-2</v>
      </c>
      <c r="I27" s="118" t="s">
        <v>212</v>
      </c>
      <c r="J27" s="116">
        <v>0.57048524070148743</v>
      </c>
      <c r="K27" s="121">
        <v>1.0439593058059655</v>
      </c>
      <c r="L27" s="121">
        <v>1.0370335602612104</v>
      </c>
      <c r="M27" s="121">
        <f t="shared" si="7"/>
        <v>1.040496433033588</v>
      </c>
      <c r="N27" s="122">
        <f t="shared" si="2"/>
        <v>1.0241671972302155</v>
      </c>
      <c r="O27" s="121">
        <f t="shared" si="3"/>
        <v>1.0261286556605471</v>
      </c>
      <c r="P27" s="120">
        <f t="shared" si="4"/>
        <v>0</v>
      </c>
      <c r="Q27" s="120">
        <f t="shared" si="5"/>
        <v>4.4967725962247629E-2</v>
      </c>
      <c r="R27" s="111">
        <f t="shared" si="6"/>
        <v>0.99671861092415948</v>
      </c>
    </row>
    <row r="28" spans="1:18" ht="15" customHeight="1" x14ac:dyDescent="0.55000000000000004">
      <c r="A28" s="107">
        <v>210024</v>
      </c>
      <c r="B28" s="118" t="s">
        <v>26</v>
      </c>
      <c r="C28" s="114">
        <v>132076.19910267601</v>
      </c>
      <c r="D28" s="114">
        <v>26022.703228230999</v>
      </c>
      <c r="E28" s="114">
        <v>12227.448762759001</v>
      </c>
      <c r="F28" s="114">
        <v>320066.03524396702</v>
      </c>
      <c r="G28" s="123">
        <f t="shared" si="0"/>
        <v>0</v>
      </c>
      <c r="H28" s="123">
        <f t="shared" si="1"/>
        <v>3.1063537014358721E-2</v>
      </c>
      <c r="I28" s="118" t="s">
        <v>212</v>
      </c>
      <c r="J28" s="116">
        <v>0.53216003055068473</v>
      </c>
      <c r="K28" s="121">
        <v>1.000446375486864</v>
      </c>
      <c r="L28" s="121">
        <v>1.0022507529025753</v>
      </c>
      <c r="M28" s="121">
        <f t="shared" si="7"/>
        <v>1.0013485641947195</v>
      </c>
      <c r="N28" s="122">
        <f t="shared" si="2"/>
        <v>1.0008047873461932</v>
      </c>
      <c r="O28" s="121">
        <f t="shared" si="3"/>
        <v>1.0027215026955671</v>
      </c>
      <c r="P28" s="120">
        <f t="shared" si="4"/>
        <v>0</v>
      </c>
      <c r="Q28" s="120">
        <f t="shared" si="5"/>
        <v>3.1148076514077149E-2</v>
      </c>
      <c r="R28" s="111">
        <f t="shared" si="6"/>
        <v>0.99671861092415948</v>
      </c>
    </row>
    <row r="29" spans="1:18" ht="15" customHeight="1" x14ac:dyDescent="0.55000000000000004">
      <c r="A29" s="107">
        <v>210027</v>
      </c>
      <c r="B29" s="118" t="s">
        <v>50</v>
      </c>
      <c r="C29" s="114">
        <v>71938.020640000002</v>
      </c>
      <c r="D29" s="114">
        <v>25057.9</v>
      </c>
      <c r="E29" s="114">
        <v>35466.800000000003</v>
      </c>
      <c r="F29" s="114">
        <v>237078.72064000001</v>
      </c>
      <c r="G29" s="123">
        <f t="shared" si="0"/>
        <v>0</v>
      </c>
      <c r="H29" s="123">
        <f t="shared" si="1"/>
        <v>2.3009325585902716E-2</v>
      </c>
      <c r="I29" s="118" t="s">
        <v>212</v>
      </c>
      <c r="J29" s="116">
        <v>0.55872884872338413</v>
      </c>
      <c r="K29" s="121">
        <v>0.98717326807686245</v>
      </c>
      <c r="L29" s="121">
        <v>0.99325758983297607</v>
      </c>
      <c r="M29" s="121">
        <f t="shared" si="7"/>
        <v>0.99021542895491921</v>
      </c>
      <c r="N29" s="122">
        <f t="shared" si="2"/>
        <v>0.99416082749650081</v>
      </c>
      <c r="O29" s="121">
        <f t="shared" si="3"/>
        <v>0.99606481850643758</v>
      </c>
      <c r="P29" s="120">
        <f t="shared" si="4"/>
        <v>0</v>
      </c>
      <c r="Q29" s="120">
        <f t="shared" si="5"/>
        <v>2.2918779713677718E-2</v>
      </c>
      <c r="R29" s="111">
        <f t="shared" si="6"/>
        <v>0.99671861092415948</v>
      </c>
    </row>
    <row r="30" spans="1:18" ht="15" customHeight="1" x14ac:dyDescent="0.55000000000000004">
      <c r="A30" s="107">
        <v>210028</v>
      </c>
      <c r="B30" s="118" t="s">
        <v>25</v>
      </c>
      <c r="C30" s="114">
        <v>57925.408654475003</v>
      </c>
      <c r="D30" s="114">
        <v>10525.797002337</v>
      </c>
      <c r="E30" s="114">
        <v>7692.7226847729999</v>
      </c>
      <c r="F30" s="114">
        <v>130856.639958449</v>
      </c>
      <c r="G30" s="123">
        <f t="shared" si="0"/>
        <v>0</v>
      </c>
      <c r="H30" s="123">
        <f t="shared" si="1"/>
        <v>1.2700098202627116E-2</v>
      </c>
      <c r="I30" s="118" t="s">
        <v>212</v>
      </c>
      <c r="J30" s="116">
        <v>0.58188815153562745</v>
      </c>
      <c r="K30" s="121">
        <v>0.98962936489149489</v>
      </c>
      <c r="L30" s="121">
        <v>0.95289516778994887</v>
      </c>
      <c r="M30" s="121">
        <f t="shared" si="7"/>
        <v>0.97126226634072188</v>
      </c>
      <c r="N30" s="122">
        <f t="shared" si="2"/>
        <v>0.98285008270439156</v>
      </c>
      <c r="O30" s="121">
        <f t="shared" si="3"/>
        <v>0.98473241166951198</v>
      </c>
      <c r="P30" s="120">
        <f t="shared" si="4"/>
        <v>0</v>
      </c>
      <c r="Q30" s="120">
        <f t="shared" si="5"/>
        <v>1.2506198331512635E-2</v>
      </c>
      <c r="R30" s="111">
        <f t="shared" si="6"/>
        <v>0.99671861092415948</v>
      </c>
    </row>
    <row r="31" spans="1:18" ht="15" customHeight="1" x14ac:dyDescent="0.55000000000000004">
      <c r="A31" s="107">
        <v>210029</v>
      </c>
      <c r="B31" s="118" t="s">
        <v>17</v>
      </c>
      <c r="C31" s="114">
        <v>177810.4</v>
      </c>
      <c r="D31" s="114">
        <v>65369.8</v>
      </c>
      <c r="E31" s="114">
        <v>145788.1</v>
      </c>
      <c r="F31" s="114">
        <v>530778.6</v>
      </c>
      <c r="G31" s="123">
        <f t="shared" si="0"/>
        <v>0</v>
      </c>
      <c r="H31" s="123">
        <f t="shared" si="1"/>
        <v>5.1513934225984957E-2</v>
      </c>
      <c r="I31" s="118" t="s">
        <v>212</v>
      </c>
      <c r="J31" s="116">
        <v>0.73282589011689636</v>
      </c>
      <c r="K31" s="121">
        <v>0.99159977898184692</v>
      </c>
      <c r="L31" s="121">
        <v>0.9925675743391148</v>
      </c>
      <c r="M31" s="121">
        <f t="shared" si="7"/>
        <v>0.99208367666048081</v>
      </c>
      <c r="N31" s="122">
        <f t="shared" si="2"/>
        <v>0.99527574817945963</v>
      </c>
      <c r="O31" s="121">
        <f t="shared" si="3"/>
        <v>0.99718187445654671</v>
      </c>
      <c r="P31" s="120">
        <f t="shared" si="4"/>
        <v>0</v>
      </c>
      <c r="Q31" s="120">
        <f t="shared" si="5"/>
        <v>5.1368761492098937E-2</v>
      </c>
      <c r="R31" s="111">
        <f t="shared" si="6"/>
        <v>0.99671861092415948</v>
      </c>
    </row>
    <row r="32" spans="1:18" ht="15" customHeight="1" x14ac:dyDescent="0.55000000000000004">
      <c r="A32" s="107">
        <v>210030</v>
      </c>
      <c r="B32" s="118" t="s">
        <v>37</v>
      </c>
      <c r="C32" s="114">
        <v>10844.819223562999</v>
      </c>
      <c r="D32" s="114">
        <v>3344.2710936560002</v>
      </c>
      <c r="E32" s="114">
        <v>12296.380999999999</v>
      </c>
      <c r="F32" s="114">
        <v>42567.688396808</v>
      </c>
      <c r="G32" s="123">
        <f t="shared" si="0"/>
        <v>0</v>
      </c>
      <c r="H32" s="123">
        <f t="shared" si="1"/>
        <v>4.1313442181455514E-3</v>
      </c>
      <c r="I32" s="118" t="s">
        <v>212</v>
      </c>
      <c r="J32" s="116">
        <v>0.62219660767872587</v>
      </c>
      <c r="K32" s="121">
        <v>1.0041534701133161</v>
      </c>
      <c r="L32" s="121">
        <v>1.0265674133750773</v>
      </c>
      <c r="M32" s="121">
        <f t="shared" si="7"/>
        <v>1.0153604417441966</v>
      </c>
      <c r="N32" s="122">
        <f t="shared" si="2"/>
        <v>1.0091667042592949</v>
      </c>
      <c r="O32" s="121">
        <f t="shared" si="3"/>
        <v>1.0110994341348782</v>
      </c>
      <c r="P32" s="120">
        <f t="shared" si="4"/>
        <v>0</v>
      </c>
      <c r="Q32" s="120">
        <f t="shared" si="5"/>
        <v>4.1771998011833683E-3</v>
      </c>
      <c r="R32" s="111">
        <f t="shared" si="6"/>
        <v>0.99671861092415948</v>
      </c>
    </row>
    <row r="33" spans="1:18" ht="15" customHeight="1" x14ac:dyDescent="0.55000000000000004">
      <c r="A33" s="107">
        <v>210032</v>
      </c>
      <c r="B33" s="118" t="s">
        <v>48</v>
      </c>
      <c r="C33" s="114">
        <v>52812.2</v>
      </c>
      <c r="D33" s="114">
        <v>10715.9</v>
      </c>
      <c r="E33" s="114">
        <v>12190.4</v>
      </c>
      <c r="F33" s="114">
        <v>121512.4</v>
      </c>
      <c r="G33" s="123">
        <f t="shared" si="0"/>
        <v>0</v>
      </c>
      <c r="H33" s="123">
        <f t="shared" si="1"/>
        <v>1.179320677442831E-2</v>
      </c>
      <c r="I33" s="118" t="s">
        <v>212</v>
      </c>
      <c r="J33" s="116">
        <v>0.62313393530207617</v>
      </c>
      <c r="K33" s="121">
        <v>0.97878419110259351</v>
      </c>
      <c r="L33" s="121">
        <v>0.96216341338921219</v>
      </c>
      <c r="M33" s="121">
        <f t="shared" si="7"/>
        <v>0.97047380224590285</v>
      </c>
      <c r="N33" s="122">
        <f t="shared" si="2"/>
        <v>0.98237954824342721</v>
      </c>
      <c r="O33" s="121">
        <f t="shared" si="3"/>
        <v>0.98426097605316232</v>
      </c>
      <c r="P33" s="120">
        <f>(O33*G33)</f>
        <v>0</v>
      </c>
      <c r="Q33" s="120">
        <f t="shared" si="5"/>
        <v>1.1607593210595575E-2</v>
      </c>
      <c r="R33" s="111">
        <f t="shared" si="6"/>
        <v>0.99671861092415948</v>
      </c>
    </row>
    <row r="34" spans="1:18" ht="15" customHeight="1" x14ac:dyDescent="0.55000000000000004">
      <c r="A34" s="107">
        <v>210033</v>
      </c>
      <c r="B34" s="118" t="s">
        <v>8</v>
      </c>
      <c r="C34" s="114">
        <v>85420.6</v>
      </c>
      <c r="D34" s="114">
        <v>17426.7</v>
      </c>
      <c r="E34" s="114">
        <v>5820.2</v>
      </c>
      <c r="F34" s="114">
        <v>199462.258</v>
      </c>
      <c r="G34" s="123">
        <f t="shared" si="0"/>
        <v>0</v>
      </c>
      <c r="H34" s="123">
        <f t="shared" si="1"/>
        <v>1.9358515281472241E-2</v>
      </c>
      <c r="I34" s="118" t="s">
        <v>212</v>
      </c>
      <c r="J34" s="116">
        <v>0.54480231543352931</v>
      </c>
      <c r="K34" s="121">
        <v>1.0059841681225146</v>
      </c>
      <c r="L34" s="121">
        <v>1.0026469855014628</v>
      </c>
      <c r="M34" s="121">
        <f t="shared" si="7"/>
        <v>1.0043155768119887</v>
      </c>
      <c r="N34" s="122">
        <f t="shared" si="2"/>
        <v>1.0025754217881602</v>
      </c>
      <c r="O34" s="121">
        <f t="shared" si="3"/>
        <v>1.0044955282106545</v>
      </c>
      <c r="P34" s="120">
        <f t="shared" ref="P34:P54" si="8">O34*G34</f>
        <v>0</v>
      </c>
      <c r="Q34" s="120">
        <f t="shared" si="5"/>
        <v>1.9445542033036486E-2</v>
      </c>
      <c r="R34" s="111">
        <f t="shared" si="6"/>
        <v>0.99671861092415948</v>
      </c>
    </row>
    <row r="35" spans="1:18" ht="15" customHeight="1" x14ac:dyDescent="0.55000000000000004">
      <c r="A35" s="107">
        <v>210034</v>
      </c>
      <c r="B35" s="118" t="s">
        <v>22</v>
      </c>
      <c r="C35" s="114">
        <v>65997.637273154003</v>
      </c>
      <c r="D35" s="114">
        <v>12886.901311305</v>
      </c>
      <c r="E35" s="114">
        <v>10619.987327385001</v>
      </c>
      <c r="F35" s="114">
        <v>143567.28799330399</v>
      </c>
      <c r="G35" s="123">
        <f t="shared" si="0"/>
        <v>0</v>
      </c>
      <c r="H35" s="123">
        <f t="shared" si="1"/>
        <v>1.3933711401872838E-2</v>
      </c>
      <c r="I35" s="118" t="s">
        <v>212</v>
      </c>
      <c r="J35" s="116">
        <v>0.62343258804205115</v>
      </c>
      <c r="K35" s="121">
        <v>0.99456695142590656</v>
      </c>
      <c r="L35" s="121">
        <v>0.99892848699084613</v>
      </c>
      <c r="M35" s="121">
        <f t="shared" si="7"/>
        <v>0.99674771920837635</v>
      </c>
      <c r="N35" s="122">
        <f t="shared" si="2"/>
        <v>0.99805912507716366</v>
      </c>
      <c r="O35" s="121">
        <f t="shared" si="3"/>
        <v>0.9999705820054331</v>
      </c>
      <c r="P35" s="120">
        <f t="shared" si="8"/>
        <v>0</v>
      </c>
      <c r="Q35" s="120">
        <f t="shared" si="5"/>
        <v>1.3933301500026521E-2</v>
      </c>
      <c r="R35" s="111">
        <f t="shared" si="6"/>
        <v>0.99671861092415948</v>
      </c>
    </row>
    <row r="36" spans="1:18" ht="15" customHeight="1" x14ac:dyDescent="0.55000000000000004">
      <c r="A36" s="107">
        <v>210035</v>
      </c>
      <c r="B36" s="118" t="s">
        <v>36</v>
      </c>
      <c r="C36" s="114">
        <v>39539.114839738002</v>
      </c>
      <c r="D36" s="114">
        <v>12574.046630000001</v>
      </c>
      <c r="E36" s="114">
        <v>17367.693869675</v>
      </c>
      <c r="F36" s="114">
        <v>109027.756859414</v>
      </c>
      <c r="G36" s="123">
        <f t="shared" si="0"/>
        <v>0</v>
      </c>
      <c r="H36" s="123">
        <f t="shared" si="1"/>
        <v>1.0581528146881833E-2</v>
      </c>
      <c r="I36" s="118" t="s">
        <v>212</v>
      </c>
      <c r="J36" s="116">
        <v>0.63727675722986021</v>
      </c>
      <c r="K36" s="121">
        <v>0.98234166885095142</v>
      </c>
      <c r="L36" s="121">
        <v>0.95183374146532806</v>
      </c>
      <c r="M36" s="121">
        <f t="shared" si="7"/>
        <v>0.96708770515813969</v>
      </c>
      <c r="N36" s="122">
        <f t="shared" si="2"/>
        <v>0.98035881530399138</v>
      </c>
      <c r="O36" s="121">
        <f t="shared" si="3"/>
        <v>0.98223637305845601</v>
      </c>
      <c r="P36" s="120">
        <f t="shared" si="8"/>
        <v>0</v>
      </c>
      <c r="Q36" s="120">
        <f t="shared" si="5"/>
        <v>1.0393561828409177E-2</v>
      </c>
      <c r="R36" s="111">
        <f t="shared" si="6"/>
        <v>0.99671861092415948</v>
      </c>
    </row>
    <row r="37" spans="1:18" ht="15" customHeight="1" x14ac:dyDescent="0.55000000000000004">
      <c r="A37" s="107">
        <v>210037</v>
      </c>
      <c r="B37" s="118" t="s">
        <v>39</v>
      </c>
      <c r="C37" s="114">
        <v>54856.281999999999</v>
      </c>
      <c r="D37" s="114">
        <v>16291.45</v>
      </c>
      <c r="E37" s="114">
        <v>21773.1</v>
      </c>
      <c r="F37" s="114">
        <v>146753.32399999999</v>
      </c>
      <c r="G37" s="123">
        <f t="shared" si="0"/>
        <v>0</v>
      </c>
      <c r="H37" s="123">
        <f t="shared" si="1"/>
        <v>1.4242927427708389E-2</v>
      </c>
      <c r="I37" s="118" t="s">
        <v>212</v>
      </c>
      <c r="J37" s="116">
        <v>0.63317701751000888</v>
      </c>
      <c r="K37" s="121">
        <v>0.98016402153051019</v>
      </c>
      <c r="L37" s="121">
        <v>0.99493371843905543</v>
      </c>
      <c r="M37" s="121">
        <f t="shared" si="7"/>
        <v>0.98754886998478275</v>
      </c>
      <c r="N37" s="122">
        <f t="shared" si="2"/>
        <v>0.99256949582282372</v>
      </c>
      <c r="O37" s="121">
        <f t="shared" si="3"/>
        <v>0.99447043915564759</v>
      </c>
      <c r="P37" s="120">
        <f t="shared" si="8"/>
        <v>0</v>
      </c>
      <c r="Q37" s="120">
        <f t="shared" si="5"/>
        <v>1.4164170293895179E-2</v>
      </c>
      <c r="R37" s="111">
        <f t="shared" si="6"/>
        <v>0.99671861092415948</v>
      </c>
    </row>
    <row r="38" spans="1:18" ht="15" customHeight="1" x14ac:dyDescent="0.55000000000000004">
      <c r="A38" s="107">
        <v>210038</v>
      </c>
      <c r="B38" s="118" t="s">
        <v>43</v>
      </c>
      <c r="C38" s="114">
        <v>45310.741365943002</v>
      </c>
      <c r="D38" s="114">
        <v>12690.824943928001</v>
      </c>
      <c r="E38" s="114">
        <v>33395.660442715001</v>
      </c>
      <c r="F38" s="114">
        <v>162862.835723122</v>
      </c>
      <c r="G38" s="123">
        <f t="shared" si="0"/>
        <v>0</v>
      </c>
      <c r="H38" s="123">
        <f t="shared" si="1"/>
        <v>1.5806412329544373E-2</v>
      </c>
      <c r="I38" s="118" t="s">
        <v>212</v>
      </c>
      <c r="J38" s="116">
        <v>0.56119142434660518</v>
      </c>
      <c r="K38" s="121">
        <v>0.99482745677781648</v>
      </c>
      <c r="L38" s="121">
        <v>1.0046900293062508</v>
      </c>
      <c r="M38" s="121">
        <f t="shared" si="7"/>
        <v>0.9997587430420336</v>
      </c>
      <c r="N38" s="122">
        <f t="shared" si="2"/>
        <v>0.99985602424585152</v>
      </c>
      <c r="O38" s="121">
        <f t="shared" si="3"/>
        <v>1.0017709225487641</v>
      </c>
      <c r="P38" s="120">
        <f t="shared" si="8"/>
        <v>0</v>
      </c>
      <c r="Q38" s="120">
        <f t="shared" si="5"/>
        <v>1.5834404261553827E-2</v>
      </c>
      <c r="R38" s="111">
        <f t="shared" si="6"/>
        <v>0.99671861092415948</v>
      </c>
    </row>
    <row r="39" spans="1:18" ht="15" customHeight="1" x14ac:dyDescent="0.55000000000000004">
      <c r="A39" s="107">
        <v>210039</v>
      </c>
      <c r="B39" s="118" t="s">
        <v>7</v>
      </c>
      <c r="C39" s="114">
        <v>47818.963725212001</v>
      </c>
      <c r="D39" s="114">
        <v>10937.379721234</v>
      </c>
      <c r="E39" s="114">
        <v>9554.3900699999995</v>
      </c>
      <c r="F39" s="114">
        <v>111787.05307937101</v>
      </c>
      <c r="G39" s="123">
        <f t="shared" si="0"/>
        <v>0</v>
      </c>
      <c r="H39" s="123">
        <f t="shared" si="1"/>
        <v>1.0849327572075075E-2</v>
      </c>
      <c r="I39" s="118" t="s">
        <v>212</v>
      </c>
      <c r="J39" s="116">
        <v>0.61107911546737015</v>
      </c>
      <c r="K39" s="121">
        <v>1.0030322033712613</v>
      </c>
      <c r="L39" s="121">
        <v>0.98950387054421096</v>
      </c>
      <c r="M39" s="121">
        <f t="shared" si="7"/>
        <v>0.99626803695773614</v>
      </c>
      <c r="N39" s="122">
        <f t="shared" si="2"/>
        <v>0.99777286343161475</v>
      </c>
      <c r="O39" s="121">
        <f t="shared" si="3"/>
        <v>0.99968377211901149</v>
      </c>
      <c r="P39" s="120">
        <f t="shared" si="8"/>
        <v>0</v>
      </c>
      <c r="Q39" s="120">
        <f t="shared" si="5"/>
        <v>1.0845896712206808E-2</v>
      </c>
      <c r="R39" s="111">
        <f t="shared" si="6"/>
        <v>0.99671861092415948</v>
      </c>
    </row>
    <row r="40" spans="1:18" ht="15" customHeight="1" x14ac:dyDescent="0.55000000000000004">
      <c r="A40" s="107">
        <v>210040</v>
      </c>
      <c r="B40" s="118" t="s">
        <v>29</v>
      </c>
      <c r="C40" s="114">
        <v>77918.751629999999</v>
      </c>
      <c r="D40" s="114">
        <v>25509.10311</v>
      </c>
      <c r="E40" s="114">
        <v>14091.833020774</v>
      </c>
      <c r="F40" s="114">
        <v>181171.17724380901</v>
      </c>
      <c r="G40" s="123">
        <f t="shared" si="0"/>
        <v>0</v>
      </c>
      <c r="H40" s="123">
        <f t="shared" si="1"/>
        <v>1.7583301414529223E-2</v>
      </c>
      <c r="I40" s="118" t="s">
        <v>212</v>
      </c>
      <c r="J40" s="116">
        <v>0.64866657902555458</v>
      </c>
      <c r="K40" s="121">
        <v>0.99296646419618606</v>
      </c>
      <c r="L40" s="121">
        <v>0.99528298956250327</v>
      </c>
      <c r="M40" s="121">
        <f t="shared" si="7"/>
        <v>0.99412472687934472</v>
      </c>
      <c r="N40" s="122">
        <f t="shared" si="2"/>
        <v>0.99649379281946893</v>
      </c>
      <c r="O40" s="121">
        <f t="shared" si="3"/>
        <v>0.99840225186403198</v>
      </c>
      <c r="P40" s="120">
        <f t="shared" si="8"/>
        <v>0</v>
      </c>
      <c r="Q40" s="120">
        <f t="shared" si="5"/>
        <v>1.7555207727469994E-2</v>
      </c>
      <c r="R40" s="111">
        <f t="shared" si="6"/>
        <v>0.99671861092415948</v>
      </c>
    </row>
    <row r="41" spans="1:18" ht="15" customHeight="1" x14ac:dyDescent="0.55000000000000004">
      <c r="A41" s="107">
        <v>210043</v>
      </c>
      <c r="B41" s="118" t="s">
        <v>35</v>
      </c>
      <c r="C41" s="114">
        <v>120162.07327975301</v>
      </c>
      <c r="D41" s="114">
        <v>58208.282775008003</v>
      </c>
      <c r="E41" s="114">
        <v>27181.513523294001</v>
      </c>
      <c r="F41" s="114">
        <v>322713.45220454701</v>
      </c>
      <c r="G41" s="123">
        <f t="shared" si="0"/>
        <v>0</v>
      </c>
      <c r="H41" s="123">
        <f t="shared" si="1"/>
        <v>3.1320478163033655E-2</v>
      </c>
      <c r="I41" s="118" t="s">
        <v>212</v>
      </c>
      <c r="J41" s="116">
        <v>0.63694856280044099</v>
      </c>
      <c r="K41" s="121">
        <v>0.98129628189634877</v>
      </c>
      <c r="L41" s="121">
        <v>0.99325739559273463</v>
      </c>
      <c r="M41" s="121">
        <f t="shared" si="7"/>
        <v>0.98727683874454164</v>
      </c>
      <c r="N41" s="122">
        <f t="shared" si="2"/>
        <v>0.9924071547931772</v>
      </c>
      <c r="O41" s="121">
        <f t="shared" si="3"/>
        <v>0.99430778721467517</v>
      </c>
      <c r="P41" s="120">
        <f t="shared" si="8"/>
        <v>0</v>
      </c>
      <c r="Q41" s="120">
        <f t="shared" si="5"/>
        <v>3.1142195336791547E-2</v>
      </c>
      <c r="R41" s="111">
        <f t="shared" si="6"/>
        <v>0.99671861092415948</v>
      </c>
    </row>
    <row r="42" spans="1:18" ht="15" customHeight="1" x14ac:dyDescent="0.55000000000000004">
      <c r="A42" s="107">
        <v>210044</v>
      </c>
      <c r="B42" s="118" t="s">
        <v>13</v>
      </c>
      <c r="C42" s="114">
        <v>144604.27799999999</v>
      </c>
      <c r="D42" s="114">
        <v>35915.322</v>
      </c>
      <c r="E42" s="114">
        <v>37261.5</v>
      </c>
      <c r="F42" s="114">
        <v>341360.54</v>
      </c>
      <c r="G42" s="123">
        <f t="shared" si="0"/>
        <v>0</v>
      </c>
      <c r="H42" s="123">
        <f t="shared" si="1"/>
        <v>3.313024376812989E-2</v>
      </c>
      <c r="I42" s="118" t="s">
        <v>212</v>
      </c>
      <c r="J42" s="116">
        <v>0.63797971493717465</v>
      </c>
      <c r="K42" s="121">
        <v>0.99614254808194092</v>
      </c>
      <c r="L42" s="121">
        <v>0.99404385200672729</v>
      </c>
      <c r="M42" s="121">
        <f t="shared" si="7"/>
        <v>0.9950932000443341</v>
      </c>
      <c r="N42" s="122">
        <f t="shared" si="2"/>
        <v>0.99707175191949782</v>
      </c>
      <c r="O42" s="121">
        <f t="shared" si="3"/>
        <v>0.99898131785632638</v>
      </c>
      <c r="P42" s="120">
        <f t="shared" si="8"/>
        <v>0</v>
      </c>
      <c r="Q42" s="120">
        <f t="shared" si="5"/>
        <v>3.3096494580387742E-2</v>
      </c>
      <c r="R42" s="111">
        <f t="shared" si="6"/>
        <v>0.99671861092415948</v>
      </c>
    </row>
    <row r="43" spans="1:18" ht="15" customHeight="1" x14ac:dyDescent="0.55000000000000004">
      <c r="A43" s="107">
        <v>210045</v>
      </c>
      <c r="B43" s="118" t="s">
        <v>19</v>
      </c>
      <c r="C43" s="114">
        <v>6912.4470099999999</v>
      </c>
      <c r="D43" s="114">
        <v>1332.6989902959999</v>
      </c>
      <c r="E43" s="114">
        <v>241.75314</v>
      </c>
      <c r="F43" s="114">
        <v>14666.428739477</v>
      </c>
      <c r="G43" s="123">
        <f t="shared" si="0"/>
        <v>0</v>
      </c>
      <c r="H43" s="123">
        <f t="shared" si="1"/>
        <v>1.4234286111299772E-3</v>
      </c>
      <c r="I43" s="118" t="s">
        <v>212</v>
      </c>
      <c r="J43" s="116">
        <v>0.57866160133803912</v>
      </c>
      <c r="K43" s="121">
        <v>0.9283641538381403</v>
      </c>
      <c r="L43" s="121">
        <v>0.88378372301908803</v>
      </c>
      <c r="M43" s="121">
        <f t="shared" si="7"/>
        <v>0.90607393842861417</v>
      </c>
      <c r="N43" s="122">
        <f t="shared" si="2"/>
        <v>0.94394741746340061</v>
      </c>
      <c r="O43" s="121">
        <f t="shared" si="3"/>
        <v>0.94575524105390474</v>
      </c>
      <c r="P43" s="120">
        <f t="shared" si="8"/>
        <v>0</v>
      </c>
      <c r="Q43" s="120">
        <f t="shared" si="5"/>
        <v>1.3462150692422565E-3</v>
      </c>
      <c r="R43" s="111">
        <f t="shared" si="6"/>
        <v>0.99671861092415948</v>
      </c>
    </row>
    <row r="44" spans="1:18" ht="15" customHeight="1" x14ac:dyDescent="0.55000000000000004">
      <c r="A44" s="107">
        <v>210048</v>
      </c>
      <c r="B44" s="118" t="s">
        <v>16</v>
      </c>
      <c r="C44" s="114">
        <v>95239.183000000005</v>
      </c>
      <c r="D44" s="114">
        <v>24776.737000000001</v>
      </c>
      <c r="E44" s="114">
        <v>30574.69</v>
      </c>
      <c r="F44" s="114">
        <v>242053.37599999999</v>
      </c>
      <c r="G44" s="123">
        <f t="shared" si="0"/>
        <v>0</v>
      </c>
      <c r="H44" s="123">
        <f t="shared" si="1"/>
        <v>2.3492133425201404E-2</v>
      </c>
      <c r="I44" s="118" t="s">
        <v>212</v>
      </c>
      <c r="J44" s="116">
        <v>0.6221380279364499</v>
      </c>
      <c r="K44" s="121">
        <v>1.0092192133192188</v>
      </c>
      <c r="L44" s="121">
        <v>1.0177168772824754</v>
      </c>
      <c r="M44" s="121">
        <f t="shared" si="7"/>
        <v>1.0134680453008471</v>
      </c>
      <c r="N44" s="122">
        <f t="shared" si="2"/>
        <v>1.0080373722500717</v>
      </c>
      <c r="O44" s="121">
        <f t="shared" si="3"/>
        <v>1.0099679392583067</v>
      </c>
      <c r="P44" s="120">
        <f t="shared" si="8"/>
        <v>0</v>
      </c>
      <c r="Q44" s="120">
        <f t="shared" si="5"/>
        <v>2.3726301584231849E-2</v>
      </c>
      <c r="R44" s="111">
        <f t="shared" si="6"/>
        <v>0.99671861092415948</v>
      </c>
    </row>
    <row r="45" spans="1:18" ht="15" customHeight="1" x14ac:dyDescent="0.55000000000000004">
      <c r="A45" s="107">
        <v>210049</v>
      </c>
      <c r="B45" s="118" t="s">
        <v>47</v>
      </c>
      <c r="C45" s="114">
        <v>96879.906713944001</v>
      </c>
      <c r="D45" s="114">
        <v>32247.404605446001</v>
      </c>
      <c r="E45" s="114">
        <v>18349.199768343002</v>
      </c>
      <c r="F45" s="114">
        <v>248188.771087734</v>
      </c>
      <c r="G45" s="123">
        <f t="shared" si="0"/>
        <v>0</v>
      </c>
      <c r="H45" s="123">
        <f t="shared" si="1"/>
        <v>2.4087595146906012E-2</v>
      </c>
      <c r="I45" s="118" t="s">
        <v>212</v>
      </c>
      <c r="J45" s="116">
        <v>0.59421105330990376</v>
      </c>
      <c r="K45" s="121">
        <v>1.0329900144721704</v>
      </c>
      <c r="L45" s="121">
        <v>1.0022723100036985</v>
      </c>
      <c r="M45" s="121">
        <f t="shared" si="7"/>
        <v>1.0176311622379344</v>
      </c>
      <c r="N45" s="122">
        <f t="shared" si="2"/>
        <v>1.0105218100282729</v>
      </c>
      <c r="O45" s="121">
        <f t="shared" si="3"/>
        <v>1.0124571351672487</v>
      </c>
      <c r="P45" s="120">
        <f t="shared" si="8"/>
        <v>0</v>
      </c>
      <c r="Q45" s="120">
        <f t="shared" si="5"/>
        <v>2.4387657575504984E-2</v>
      </c>
      <c r="R45" s="111">
        <f t="shared" si="6"/>
        <v>0.99671861092415948</v>
      </c>
    </row>
    <row r="46" spans="1:18" ht="15" customHeight="1" x14ac:dyDescent="0.55000000000000004">
      <c r="A46" s="107">
        <v>210051</v>
      </c>
      <c r="B46" s="118" t="s">
        <v>9</v>
      </c>
      <c r="C46" s="114">
        <v>75589.551182893003</v>
      </c>
      <c r="D46" s="114">
        <v>16349.667638614999</v>
      </c>
      <c r="E46" s="114">
        <v>11740.256890000001</v>
      </c>
      <c r="F46" s="114">
        <v>179480.07932201101</v>
      </c>
      <c r="G46" s="123">
        <f t="shared" si="0"/>
        <v>9.0347689908120324E-2</v>
      </c>
      <c r="H46" s="123">
        <f t="shared" si="1"/>
        <v>0</v>
      </c>
      <c r="I46" s="118" t="s">
        <v>213</v>
      </c>
      <c r="J46" s="116">
        <v>0.57766564458383873</v>
      </c>
      <c r="K46" s="121">
        <v>1.0082733852012473</v>
      </c>
      <c r="L46" s="121">
        <v>1.0159760489257903</v>
      </c>
      <c r="M46" s="121">
        <f t="shared" si="7"/>
        <v>1.0121247170635188</v>
      </c>
      <c r="N46" s="122">
        <f t="shared" si="2"/>
        <v>1.0072357095843871</v>
      </c>
      <c r="O46" s="121">
        <f t="shared" si="3"/>
        <v>1.0091647412690947</v>
      </c>
      <c r="P46" s="120">
        <f t="shared" si="8"/>
        <v>9.1175703110388653E-2</v>
      </c>
      <c r="Q46" s="120">
        <f t="shared" si="5"/>
        <v>0</v>
      </c>
      <c r="R46" s="111">
        <f t="shared" si="6"/>
        <v>1.0181752931904677</v>
      </c>
    </row>
    <row r="47" spans="1:18" ht="15" customHeight="1" x14ac:dyDescent="0.55000000000000004">
      <c r="A47" s="107">
        <v>210055</v>
      </c>
      <c r="B47" s="118" t="s">
        <v>215</v>
      </c>
      <c r="C47" s="114">
        <v>37894.808185551999</v>
      </c>
      <c r="D47" s="114">
        <v>10114.418994448</v>
      </c>
      <c r="E47" s="114">
        <v>13832.00856</v>
      </c>
      <c r="F47" s="114">
        <v>85066.992440000002</v>
      </c>
      <c r="G47" s="123">
        <f t="shared" si="0"/>
        <v>4.2821500210040254E-2</v>
      </c>
      <c r="H47" s="123">
        <f t="shared" si="1"/>
        <v>0</v>
      </c>
      <c r="I47" s="118" t="s">
        <v>213</v>
      </c>
      <c r="J47" s="116">
        <v>0.72697099034761647</v>
      </c>
      <c r="K47" s="121">
        <v>1.0209863878346364</v>
      </c>
      <c r="L47" s="121">
        <v>1.026780103335748</v>
      </c>
      <c r="M47" s="121">
        <f t="shared" si="7"/>
        <v>1.0238832455851923</v>
      </c>
      <c r="N47" s="122">
        <f t="shared" si="2"/>
        <v>1.014252887558672</v>
      </c>
      <c r="O47" s="121">
        <f t="shared" si="3"/>
        <v>1.0161953583604808</v>
      </c>
      <c r="P47" s="120">
        <f t="shared" si="8"/>
        <v>4.3515009751475257E-2</v>
      </c>
      <c r="Q47" s="120">
        <f t="shared" si="5"/>
        <v>0</v>
      </c>
      <c r="R47" s="111">
        <f t="shared" si="6"/>
        <v>1.0181752931904677</v>
      </c>
    </row>
    <row r="48" spans="1:18" ht="15" customHeight="1" x14ac:dyDescent="0.55000000000000004">
      <c r="A48" s="107">
        <v>210056</v>
      </c>
      <c r="B48" s="118" t="s">
        <v>21</v>
      </c>
      <c r="C48" s="114">
        <v>97889.103969349002</v>
      </c>
      <c r="D48" s="114">
        <v>22755.800903220999</v>
      </c>
      <c r="E48" s="114">
        <v>1232.9267306740001</v>
      </c>
      <c r="F48" s="114">
        <v>213937.85288554401</v>
      </c>
      <c r="G48" s="123">
        <f t="shared" si="0"/>
        <v>0</v>
      </c>
      <c r="H48" s="123">
        <f t="shared" si="1"/>
        <v>2.0763422794352223E-2</v>
      </c>
      <c r="I48" s="118" t="s">
        <v>212</v>
      </c>
      <c r="J48" s="116">
        <v>0.56968801901759858</v>
      </c>
      <c r="K48" s="121">
        <v>1.0006519856605347</v>
      </c>
      <c r="L48" s="121">
        <v>0.99835219123772911</v>
      </c>
      <c r="M48" s="121">
        <f t="shared" si="7"/>
        <v>0.99950208844913191</v>
      </c>
      <c r="N48" s="122">
        <f t="shared" si="2"/>
        <v>0.9997028595915336</v>
      </c>
      <c r="O48" s="121">
        <f t="shared" si="3"/>
        <v>1.001617464557476</v>
      </c>
      <c r="P48" s="120">
        <f t="shared" si="8"/>
        <v>0</v>
      </c>
      <c r="Q48" s="120">
        <f t="shared" si="5"/>
        <v>2.0797006894813976E-2</v>
      </c>
      <c r="R48" s="111">
        <f t="shared" si="6"/>
        <v>0.99671861092415948</v>
      </c>
    </row>
    <row r="49" spans="1:18" ht="15" customHeight="1" x14ac:dyDescent="0.55000000000000004">
      <c r="A49" s="107">
        <v>210057</v>
      </c>
      <c r="B49" s="118" t="s">
        <v>31</v>
      </c>
      <c r="C49" s="114">
        <v>127675.482</v>
      </c>
      <c r="D49" s="114">
        <v>27569.555</v>
      </c>
      <c r="E49" s="114">
        <v>38472.089</v>
      </c>
      <c r="F49" s="114">
        <v>302300.89357000001</v>
      </c>
      <c r="G49" s="123">
        <f t="shared" si="0"/>
        <v>0.15217392088516057</v>
      </c>
      <c r="H49" s="123">
        <f t="shared" si="1"/>
        <v>0</v>
      </c>
      <c r="I49" s="118" t="s">
        <v>213</v>
      </c>
      <c r="J49" s="116">
        <v>0.64080897582640917</v>
      </c>
      <c r="K49" s="121">
        <v>1.0589320881338959</v>
      </c>
      <c r="L49" s="121">
        <v>1.0616878764314543</v>
      </c>
      <c r="M49" s="121">
        <f t="shared" si="7"/>
        <v>1.0603099822826751</v>
      </c>
      <c r="N49" s="122">
        <f t="shared" si="2"/>
        <v>1.0359913979477486</v>
      </c>
      <c r="O49" s="121">
        <f t="shared" si="3"/>
        <v>1.0379755017803565</v>
      </c>
      <c r="P49" s="120">
        <f t="shared" si="8"/>
        <v>0.15795280188865882</v>
      </c>
      <c r="Q49" s="120">
        <f t="shared" si="5"/>
        <v>0</v>
      </c>
      <c r="R49" s="111">
        <f t="shared" si="6"/>
        <v>1.0181752931904677</v>
      </c>
    </row>
    <row r="50" spans="1:18" ht="15.3" x14ac:dyDescent="0.55000000000000004">
      <c r="A50" s="107">
        <v>210058</v>
      </c>
      <c r="B50" s="118" t="s">
        <v>45</v>
      </c>
      <c r="C50" s="114">
        <v>40745.344263252999</v>
      </c>
      <c r="D50" s="114">
        <v>8551.1230567469993</v>
      </c>
      <c r="E50" s="114">
        <v>14999.2443625</v>
      </c>
      <c r="F50" s="114">
        <v>100941.366225905</v>
      </c>
      <c r="G50" s="123">
        <f t="shared" si="0"/>
        <v>0</v>
      </c>
      <c r="H50" s="123">
        <f t="shared" si="1"/>
        <v>9.7967154298276727E-3</v>
      </c>
      <c r="I50" s="118" t="s">
        <v>212</v>
      </c>
      <c r="J50" s="116">
        <v>0.63696098127508327</v>
      </c>
      <c r="K50" s="121">
        <v>0.99844916302800024</v>
      </c>
      <c r="L50" s="121">
        <v>1.0063651769534279</v>
      </c>
      <c r="M50" s="121">
        <f t="shared" si="7"/>
        <v>1.002407169990714</v>
      </c>
      <c r="N50" s="122">
        <f t="shared" si="2"/>
        <v>1.0014365352100021</v>
      </c>
      <c r="O50" s="121">
        <f t="shared" si="3"/>
        <v>1.0033544604664855</v>
      </c>
      <c r="P50" s="120">
        <f t="shared" si="8"/>
        <v>0</v>
      </c>
      <c r="Q50" s="120">
        <f t="shared" si="5"/>
        <v>9.8295781244384373E-3</v>
      </c>
      <c r="R50" s="111">
        <f t="shared" si="6"/>
        <v>0.99671861092415948</v>
      </c>
    </row>
    <row r="51" spans="1:18" ht="15" customHeight="1" x14ac:dyDescent="0.55000000000000004">
      <c r="A51" s="107">
        <v>210060</v>
      </c>
      <c r="B51" s="118" t="s">
        <v>11</v>
      </c>
      <c r="C51" s="114">
        <v>20396.117267997</v>
      </c>
      <c r="D51" s="114">
        <v>3887.487211917</v>
      </c>
      <c r="E51" s="114">
        <v>5337.6670000000004</v>
      </c>
      <c r="F51" s="114">
        <v>41669.481997306</v>
      </c>
      <c r="G51" s="123">
        <f t="shared" si="0"/>
        <v>2.0975817775131248E-2</v>
      </c>
      <c r="H51" s="123">
        <f t="shared" si="1"/>
        <v>0</v>
      </c>
      <c r="I51" s="118" t="s">
        <v>213</v>
      </c>
      <c r="J51" s="116">
        <v>0.71086248400757812</v>
      </c>
      <c r="K51" s="121">
        <v>1.0233902927797143</v>
      </c>
      <c r="L51" s="121">
        <v>1.0032645322196607</v>
      </c>
      <c r="M51" s="121">
        <f t="shared" si="7"/>
        <v>1.0133274124996876</v>
      </c>
      <c r="N51" s="122">
        <f t="shared" si="2"/>
        <v>1.0079534463240565</v>
      </c>
      <c r="O51" s="121">
        <f t="shared" si="3"/>
        <v>1.0098838525995366</v>
      </c>
      <c r="P51" s="120">
        <f t="shared" si="8"/>
        <v>2.1183139666175386E-2</v>
      </c>
      <c r="Q51" s="120">
        <f t="shared" si="5"/>
        <v>0</v>
      </c>
      <c r="R51" s="111">
        <f t="shared" si="6"/>
        <v>1.0181752931904677</v>
      </c>
    </row>
    <row r="52" spans="1:18" ht="15" customHeight="1" x14ac:dyDescent="0.55000000000000004">
      <c r="A52" s="107">
        <v>210061</v>
      </c>
      <c r="B52" s="124" t="s">
        <v>5</v>
      </c>
      <c r="C52" s="114">
        <v>30623.505000000001</v>
      </c>
      <c r="D52" s="114">
        <v>6692.5218119370002</v>
      </c>
      <c r="E52" s="114">
        <v>7478.8050000000003</v>
      </c>
      <c r="F52" s="114">
        <v>75915.304599473006</v>
      </c>
      <c r="G52" s="123">
        <f t="shared" si="0"/>
        <v>0</v>
      </c>
      <c r="H52" s="123">
        <f t="shared" si="1"/>
        <v>0</v>
      </c>
      <c r="I52" s="118" t="s">
        <v>214</v>
      </c>
      <c r="J52" s="116">
        <v>0.59006325599657761</v>
      </c>
      <c r="K52" s="121">
        <v>0.97596683918640437</v>
      </c>
      <c r="L52" s="121">
        <v>0.9650550942639039</v>
      </c>
      <c r="M52" s="121">
        <f t="shared" si="7"/>
        <v>0.97051096672515413</v>
      </c>
      <c r="N52" s="122">
        <f t="shared" si="2"/>
        <v>0.98240172701900674</v>
      </c>
      <c r="O52" s="121">
        <f t="shared" si="3"/>
        <v>0.98428319730495717</v>
      </c>
      <c r="P52" s="120">
        <f t="shared" si="8"/>
        <v>0</v>
      </c>
      <c r="Q52" s="120">
        <f t="shared" si="5"/>
        <v>0</v>
      </c>
      <c r="R52" s="111">
        <f t="shared" si="6"/>
        <v>0.99671861092415948</v>
      </c>
    </row>
    <row r="53" spans="1:18" ht="15" customHeight="1" x14ac:dyDescent="0.55000000000000004">
      <c r="A53" s="107">
        <v>210062</v>
      </c>
      <c r="B53" s="118" t="s">
        <v>24</v>
      </c>
      <c r="C53" s="114">
        <v>83654.958165204007</v>
      </c>
      <c r="D53" s="114">
        <v>15328.514647851</v>
      </c>
      <c r="E53" s="114">
        <v>38975.611041695003</v>
      </c>
      <c r="F53" s="114">
        <v>210251.91671708901</v>
      </c>
      <c r="G53" s="123">
        <f t="shared" si="0"/>
        <v>0.10583779016535068</v>
      </c>
      <c r="H53" s="123">
        <f t="shared" si="1"/>
        <v>0</v>
      </c>
      <c r="I53" s="118" t="s">
        <v>213</v>
      </c>
      <c r="J53" s="116">
        <v>0.65616088551708718</v>
      </c>
      <c r="K53" s="121">
        <v>1.0000925652411259</v>
      </c>
      <c r="L53" s="121">
        <v>0.98417661443485371</v>
      </c>
      <c r="M53" s="121">
        <f t="shared" si="7"/>
        <v>0.99213458983798986</v>
      </c>
      <c r="N53" s="122">
        <f t="shared" si="2"/>
        <v>0.99530613181353078</v>
      </c>
      <c r="O53" s="121">
        <f t="shared" si="3"/>
        <v>0.99721231628056517</v>
      </c>
      <c r="P53" s="120">
        <f t="shared" si="8"/>
        <v>0.10554274788080577</v>
      </c>
      <c r="Q53" s="120">
        <f t="shared" si="5"/>
        <v>0</v>
      </c>
      <c r="R53" s="111">
        <f t="shared" si="6"/>
        <v>1.0181752931904677</v>
      </c>
    </row>
    <row r="54" spans="1:18" ht="15" customHeight="1" x14ac:dyDescent="0.55000000000000004">
      <c r="A54" s="107">
        <v>210063</v>
      </c>
      <c r="B54" s="118" t="s">
        <v>46</v>
      </c>
      <c r="C54" s="114">
        <v>117741.037923069</v>
      </c>
      <c r="D54" s="114">
        <v>23603.848777300998</v>
      </c>
      <c r="E54" s="114">
        <v>23148.735089209</v>
      </c>
      <c r="F54" s="114">
        <v>301275.91316496697</v>
      </c>
      <c r="G54" s="123">
        <f t="shared" si="0"/>
        <v>0</v>
      </c>
      <c r="H54" s="123">
        <f t="shared" si="1"/>
        <v>2.9239889427821065E-2</v>
      </c>
      <c r="I54" s="118" t="s">
        <v>212</v>
      </c>
      <c r="J54" s="116">
        <v>0.54598995340031942</v>
      </c>
      <c r="K54" s="121">
        <v>0.98826272425501127</v>
      </c>
      <c r="L54" s="121">
        <v>0.98809092361220041</v>
      </c>
      <c r="M54" s="121">
        <f t="shared" si="7"/>
        <v>0.98817682393360584</v>
      </c>
      <c r="N54" s="122">
        <f t="shared" si="2"/>
        <v>0.99294424208554066</v>
      </c>
      <c r="O54" s="121">
        <f t="shared" si="3"/>
        <v>0.99484590312267906</v>
      </c>
      <c r="P54" s="120">
        <f t="shared" si="8"/>
        <v>0</v>
      </c>
      <c r="Q54" s="120">
        <f t="shared" si="5"/>
        <v>2.9089184205027922E-2</v>
      </c>
      <c r="R54" s="111">
        <f t="shared" si="6"/>
        <v>0.99671861092415948</v>
      </c>
    </row>
    <row r="55" spans="1:18" x14ac:dyDescent="0.5">
      <c r="G55" s="119"/>
      <c r="H55" s="119"/>
      <c r="Q55" s="119"/>
      <c r="R55" s="110"/>
    </row>
    <row r="56" spans="1:18" ht="15.3" x14ac:dyDescent="0.55000000000000004">
      <c r="B56" s="118" t="s">
        <v>211</v>
      </c>
      <c r="C56" s="114">
        <f>SUBTOTAL(1,C9:C54)</f>
        <v>101443.70084699646</v>
      </c>
      <c r="D56" s="114">
        <f>SUBTOTAL(1,D9:D54)</f>
        <v>28394.613031707227</v>
      </c>
      <c r="E56" s="114">
        <f>SUBTOTAL(1,E9:E54)</f>
        <v>35377.996332895316</v>
      </c>
      <c r="F56" s="114">
        <f>SUBTOTAL(1,F9:F54)</f>
        <v>276849.28371318663</v>
      </c>
      <c r="G56" s="114"/>
      <c r="H56" s="114"/>
      <c r="I56" s="118"/>
      <c r="J56" s="116">
        <f t="shared" ref="J56:O56" si="9">SUBTOTAL(1,J9:J54)</f>
        <v>0.61457424099841307</v>
      </c>
      <c r="K56" s="116">
        <f t="shared" si="9"/>
        <v>0.9969912883329286</v>
      </c>
      <c r="L56" s="116">
        <f t="shared" si="9"/>
        <v>0.99550787476557812</v>
      </c>
      <c r="M56" s="116">
        <f t="shared" si="9"/>
        <v>0.99624958154925314</v>
      </c>
      <c r="N56" s="117">
        <f t="shared" si="9"/>
        <v>0.99776184973328741</v>
      </c>
      <c r="O56" s="116">
        <f t="shared" si="9"/>
        <v>0.99967273732753514</v>
      </c>
      <c r="P56" s="115">
        <f>SUM(P9:P54)</f>
        <v>1.0181752931904677</v>
      </c>
      <c r="Q56" s="115">
        <f>SUM(Q9:Q54)</f>
        <v>0.99671861092415948</v>
      </c>
      <c r="R56" s="110"/>
    </row>
    <row r="57" spans="1:18" x14ac:dyDescent="0.5">
      <c r="R57" s="110"/>
    </row>
    <row r="58" spans="1:18" ht="15.3" x14ac:dyDescent="0.55000000000000004">
      <c r="I58" s="107" t="s">
        <v>210</v>
      </c>
      <c r="J58" s="93">
        <f>SUM(C9:E54)/SUM(F9:F54)</f>
        <v>0.59677347904125899</v>
      </c>
      <c r="N58" s="113"/>
      <c r="O58" s="112"/>
      <c r="R58" s="110"/>
    </row>
    <row r="59" spans="1:18" ht="15.3" x14ac:dyDescent="0.55000000000000004">
      <c r="D59" s="114"/>
      <c r="E59" s="94"/>
      <c r="G59" s="94"/>
      <c r="I59" s="113"/>
      <c r="J59" s="94"/>
      <c r="N59" s="113"/>
      <c r="O59" s="112"/>
      <c r="P59" s="94"/>
      <c r="Q59" s="94"/>
      <c r="R59" s="110"/>
    </row>
    <row r="60" spans="1:18" x14ac:dyDescent="0.5">
      <c r="A60" s="107">
        <v>910003</v>
      </c>
      <c r="B60" s="107" t="s">
        <v>114</v>
      </c>
      <c r="R60" s="111">
        <v>1.0181752931904677</v>
      </c>
    </row>
    <row r="61" spans="1:18" x14ac:dyDescent="0.5">
      <c r="A61" s="107">
        <v>910008</v>
      </c>
      <c r="B61" s="107" t="s">
        <v>115</v>
      </c>
      <c r="R61" s="111">
        <v>0.99671861092415948</v>
      </c>
    </row>
    <row r="62" spans="1:18" x14ac:dyDescent="0.5">
      <c r="A62" s="107">
        <v>910012</v>
      </c>
      <c r="B62" s="107" t="s">
        <v>113</v>
      </c>
      <c r="R62" s="111">
        <v>0.99671861092415948</v>
      </c>
    </row>
    <row r="63" spans="1:18" x14ac:dyDescent="0.5">
      <c r="A63" s="107">
        <v>910024</v>
      </c>
      <c r="B63" s="107" t="s">
        <v>112</v>
      </c>
      <c r="R63" s="111">
        <v>0.99671861092415948</v>
      </c>
    </row>
    <row r="64" spans="1:18" x14ac:dyDescent="0.5">
      <c r="A64" s="107">
        <v>910029</v>
      </c>
      <c r="B64" s="107" t="s">
        <v>116</v>
      </c>
      <c r="R64" s="111">
        <v>0.99671861092415948</v>
      </c>
    </row>
    <row r="65" spans="18:18" x14ac:dyDescent="0.5">
      <c r="R65" s="110"/>
    </row>
    <row r="66" spans="18:18" x14ac:dyDescent="0.5">
      <c r="R66" s="110"/>
    </row>
    <row r="67" spans="18:18" x14ac:dyDescent="0.5">
      <c r="R67" s="111"/>
    </row>
    <row r="68" spans="18:18" x14ac:dyDescent="0.5">
      <c r="R68" s="110"/>
    </row>
    <row r="69" spans="18:18" x14ac:dyDescent="0.5">
      <c r="R69" s="110"/>
    </row>
    <row r="70" spans="18:18" x14ac:dyDescent="0.5">
      <c r="R70" s="110"/>
    </row>
    <row r="71" spans="18:18" x14ac:dyDescent="0.5">
      <c r="R71" s="110"/>
    </row>
    <row r="72" spans="18:18" x14ac:dyDescent="0.5">
      <c r="R72" s="110"/>
    </row>
    <row r="73" spans="18:18" x14ac:dyDescent="0.5">
      <c r="R73" s="110"/>
    </row>
    <row r="74" spans="18:18" x14ac:dyDescent="0.5">
      <c r="R74" s="110"/>
    </row>
    <row r="75" spans="18:18" x14ac:dyDescent="0.5">
      <c r="R75" s="110"/>
    </row>
    <row r="76" spans="18:18" x14ac:dyDescent="0.5">
      <c r="R76" s="110"/>
    </row>
    <row r="77" spans="18:18" x14ac:dyDescent="0.5">
      <c r="R77" s="110"/>
    </row>
    <row r="78" spans="18:18" x14ac:dyDescent="0.5">
      <c r="R78" s="110"/>
    </row>
    <row r="79" spans="18:18" x14ac:dyDescent="0.5">
      <c r="R79" s="110"/>
    </row>
    <row r="80" spans="18:18" x14ac:dyDescent="0.5">
      <c r="R80" s="110"/>
    </row>
    <row r="81" spans="18:18" x14ac:dyDescent="0.5">
      <c r="R81" s="110"/>
    </row>
    <row r="82" spans="18:18" x14ac:dyDescent="0.5">
      <c r="R82" s="110"/>
    </row>
    <row r="83" spans="18:18" x14ac:dyDescent="0.5">
      <c r="R83" s="110"/>
    </row>
    <row r="84" spans="18:18" x14ac:dyDescent="0.5">
      <c r="R84" s="110"/>
    </row>
    <row r="85" spans="18:18" x14ac:dyDescent="0.5">
      <c r="R85" s="110"/>
    </row>
    <row r="86" spans="18:18" x14ac:dyDescent="0.5">
      <c r="R86" s="110"/>
    </row>
    <row r="87" spans="18:18" x14ac:dyDescent="0.5">
      <c r="R87" s="110"/>
    </row>
    <row r="88" spans="18:18" x14ac:dyDescent="0.5">
      <c r="R88" s="110"/>
    </row>
    <row r="89" spans="18:18" x14ac:dyDescent="0.5">
      <c r="R89" s="110"/>
    </row>
    <row r="90" spans="18:18" x14ac:dyDescent="0.5">
      <c r="R90" s="110"/>
    </row>
    <row r="91" spans="18:18" x14ac:dyDescent="0.5">
      <c r="R91" s="110"/>
    </row>
    <row r="92" spans="18:18" x14ac:dyDescent="0.5">
      <c r="R92" s="110"/>
    </row>
    <row r="93" spans="18:18" x14ac:dyDescent="0.5">
      <c r="R93" s="110"/>
    </row>
    <row r="94" spans="18:18" x14ac:dyDescent="0.5">
      <c r="R94" s="110"/>
    </row>
    <row r="95" spans="18:18" x14ac:dyDescent="0.5">
      <c r="R95" s="110"/>
    </row>
    <row r="96" spans="18:18" x14ac:dyDescent="0.5">
      <c r="R96" s="110"/>
    </row>
    <row r="97" spans="18:18" x14ac:dyDescent="0.5">
      <c r="R97" s="110"/>
    </row>
    <row r="98" spans="18:18" x14ac:dyDescent="0.5">
      <c r="R98" s="110"/>
    </row>
    <row r="99" spans="18:18" x14ac:dyDescent="0.5">
      <c r="R99" s="110"/>
    </row>
    <row r="100" spans="18:18" x14ac:dyDescent="0.5">
      <c r="R100" s="110"/>
    </row>
    <row r="101" spans="18:18" x14ac:dyDescent="0.5">
      <c r="R101" s="110"/>
    </row>
    <row r="102" spans="18:18" x14ac:dyDescent="0.5">
      <c r="R102" s="110"/>
    </row>
    <row r="103" spans="18:18" x14ac:dyDescent="0.5">
      <c r="R103" s="110"/>
    </row>
    <row r="104" spans="18:18" x14ac:dyDescent="0.5">
      <c r="R104" s="110"/>
    </row>
    <row r="105" spans="18:18" x14ac:dyDescent="0.5">
      <c r="R105" s="110"/>
    </row>
    <row r="106" spans="18:18" x14ac:dyDescent="0.5">
      <c r="R106" s="110"/>
    </row>
    <row r="107" spans="18:18" x14ac:dyDescent="0.5">
      <c r="R107" s="110"/>
    </row>
    <row r="108" spans="18:18" x14ac:dyDescent="0.5">
      <c r="R108" s="110"/>
    </row>
    <row r="109" spans="18:18" x14ac:dyDescent="0.5">
      <c r="R109" s="110"/>
    </row>
    <row r="110" spans="18:18" x14ac:dyDescent="0.5">
      <c r="R110" s="110"/>
    </row>
    <row r="111" spans="18:18" x14ac:dyDescent="0.5">
      <c r="R111" s="110"/>
    </row>
    <row r="112" spans="18:18" x14ac:dyDescent="0.5">
      <c r="R112" s="110"/>
    </row>
    <row r="113" spans="18:18" x14ac:dyDescent="0.5">
      <c r="R113" s="110"/>
    </row>
    <row r="114" spans="18:18" x14ac:dyDescent="0.5">
      <c r="R114" s="110"/>
    </row>
    <row r="115" spans="18:18" x14ac:dyDescent="0.5">
      <c r="R115" s="110"/>
    </row>
    <row r="116" spans="18:18" x14ac:dyDescent="0.5">
      <c r="R116" s="110"/>
    </row>
    <row r="117" spans="18:18" x14ac:dyDescent="0.5">
      <c r="R117" s="110"/>
    </row>
    <row r="118" spans="18:18" x14ac:dyDescent="0.5">
      <c r="R118" s="110"/>
    </row>
    <row r="119" spans="18:18" x14ac:dyDescent="0.5">
      <c r="R119" s="110"/>
    </row>
    <row r="120" spans="18:18" x14ac:dyDescent="0.5">
      <c r="R120" s="110"/>
    </row>
    <row r="121" spans="18:18" x14ac:dyDescent="0.5">
      <c r="R121" s="110"/>
    </row>
    <row r="122" spans="18:18" x14ac:dyDescent="0.5">
      <c r="R122" s="110"/>
    </row>
    <row r="123" spans="18:18" x14ac:dyDescent="0.5">
      <c r="R123" s="110"/>
    </row>
    <row r="124" spans="18:18" x14ac:dyDescent="0.5">
      <c r="R124" s="110"/>
    </row>
    <row r="125" spans="18:18" x14ac:dyDescent="0.5">
      <c r="R125" s="110"/>
    </row>
    <row r="126" spans="18:18" x14ac:dyDescent="0.5">
      <c r="R126" s="110"/>
    </row>
    <row r="127" spans="18:18" x14ac:dyDescent="0.5">
      <c r="R127" s="110"/>
    </row>
    <row r="128" spans="18:18" x14ac:dyDescent="0.5">
      <c r="R128" s="110"/>
    </row>
    <row r="129" spans="18:18" x14ac:dyDescent="0.5">
      <c r="R129" s="110"/>
    </row>
    <row r="130" spans="18:18" x14ac:dyDescent="0.5">
      <c r="R130" s="110"/>
    </row>
    <row r="131" spans="18:18" x14ac:dyDescent="0.5">
      <c r="R131" s="110"/>
    </row>
    <row r="132" spans="18:18" x14ac:dyDescent="0.5">
      <c r="R132" s="110"/>
    </row>
    <row r="133" spans="18:18" x14ac:dyDescent="0.5">
      <c r="R133" s="110"/>
    </row>
    <row r="134" spans="18:18" x14ac:dyDescent="0.5">
      <c r="R134" s="110"/>
    </row>
    <row r="135" spans="18:18" x14ac:dyDescent="0.5">
      <c r="R135" s="110"/>
    </row>
    <row r="136" spans="18:18" x14ac:dyDescent="0.5">
      <c r="R136" s="110"/>
    </row>
    <row r="137" spans="18:18" x14ac:dyDescent="0.5">
      <c r="R137" s="110"/>
    </row>
    <row r="138" spans="18:18" x14ac:dyDescent="0.5">
      <c r="R138" s="110"/>
    </row>
  </sheetData>
  <autoFilter ref="A8:R54">
    <sortState xmlns:xlrd2="http://schemas.microsoft.com/office/spreadsheetml/2017/richdata2" ref="A9:R54">
      <sortCondition ref="A8:A54"/>
    </sortState>
  </autoFilter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M10"/>
  <sheetViews>
    <sheetView workbookViewId="0">
      <selection activeCell="M4" sqref="M4"/>
    </sheetView>
  </sheetViews>
  <sheetFormatPr defaultColWidth="9.15625" defaultRowHeight="15" x14ac:dyDescent="0.5"/>
  <cols>
    <col min="1" max="1" width="27.83984375" style="107" bestFit="1" customWidth="1"/>
    <col min="2" max="2" width="14" style="107" bestFit="1" customWidth="1"/>
    <col min="3" max="11" width="10.83984375" style="107" bestFit="1" customWidth="1"/>
    <col min="12" max="12" width="14" style="107" bestFit="1" customWidth="1"/>
    <col min="13" max="13" width="10.83984375" style="107" bestFit="1" customWidth="1"/>
    <col min="14" max="16384" width="9.15625" style="107"/>
  </cols>
  <sheetData>
    <row r="2" spans="1:13" s="157" customFormat="1" x14ac:dyDescent="0.5">
      <c r="B2" s="157" t="s">
        <v>249</v>
      </c>
      <c r="C2" s="157">
        <v>2012</v>
      </c>
      <c r="D2" s="157">
        <v>2013</v>
      </c>
      <c r="E2" s="157">
        <v>2014</v>
      </c>
      <c r="F2" s="157">
        <v>2015</v>
      </c>
      <c r="G2" s="157">
        <v>2016</v>
      </c>
      <c r="H2" s="157">
        <v>2017</v>
      </c>
      <c r="I2" s="157">
        <v>2018</v>
      </c>
      <c r="J2" s="157">
        <v>2019</v>
      </c>
      <c r="K2" s="157">
        <v>2020</v>
      </c>
      <c r="L2" s="157">
        <v>2021</v>
      </c>
      <c r="M2" s="157">
        <v>2022</v>
      </c>
    </row>
    <row r="3" spans="1:13" s="114" customFormat="1" x14ac:dyDescent="0.5">
      <c r="A3" s="114" t="s">
        <v>248</v>
      </c>
      <c r="B3" s="114">
        <v>230746</v>
      </c>
      <c r="C3" s="114">
        <f t="shared" ref="C3:K3" si="0">B3*(1+C4)</f>
        <v>235983.93419999999</v>
      </c>
      <c r="D3" s="114">
        <f t="shared" si="0"/>
        <v>240491.22734321997</v>
      </c>
      <c r="E3" s="114">
        <f t="shared" si="0"/>
        <v>244699.82382172634</v>
      </c>
      <c r="F3" s="114">
        <f t="shared" si="0"/>
        <v>248528.88666488873</v>
      </c>
      <c r="G3" s="114">
        <f t="shared" si="0"/>
        <v>252417.86668342093</v>
      </c>
      <c r="H3" s="114">
        <f t="shared" si="0"/>
        <v>258187.12944433719</v>
      </c>
      <c r="I3" s="114">
        <f t="shared" si="0"/>
        <v>264110.97494230809</v>
      </c>
      <c r="J3" s="114">
        <f t="shared" si="0"/>
        <v>270193.97891717934</v>
      </c>
      <c r="K3" s="114">
        <f t="shared" si="0"/>
        <v>275654.0588431377</v>
      </c>
      <c r="L3" s="114">
        <f>K3*(1+L4)</f>
        <v>282181.54695654317</v>
      </c>
      <c r="M3" s="114">
        <f>L3*(1+M4)</f>
        <v>295703.68668670073</v>
      </c>
    </row>
    <row r="4" spans="1:13" s="154" customFormat="1" x14ac:dyDescent="0.5">
      <c r="A4" s="155" t="s">
        <v>245</v>
      </c>
      <c r="C4" s="154">
        <v>2.2700000000000001E-2</v>
      </c>
      <c r="D4" s="154">
        <v>1.9099999999999999E-2</v>
      </c>
      <c r="E4" s="154">
        <v>1.7500000000000002E-2</v>
      </c>
      <c r="F4" s="154">
        <v>1.5648000000000002E-2</v>
      </c>
      <c r="G4" s="154">
        <v>1.5648000000000002E-2</v>
      </c>
      <c r="H4" s="154">
        <v>2.2856000000000001E-2</v>
      </c>
      <c r="I4" s="154">
        <v>2.2944000000000003E-2</v>
      </c>
      <c r="J4" s="154">
        <v>2.3032E-2</v>
      </c>
      <c r="K4" s="154">
        <v>2.0208000000000004E-2</v>
      </c>
      <c r="L4" s="154">
        <v>2.368E-2</v>
      </c>
      <c r="M4" s="154">
        <v>4.7919999999999997E-2</v>
      </c>
    </row>
    <row r="6" spans="1:13" x14ac:dyDescent="0.5">
      <c r="B6" s="157">
        <v>2011</v>
      </c>
      <c r="C6" s="157">
        <v>2012</v>
      </c>
      <c r="D6" s="157">
        <v>2013</v>
      </c>
      <c r="E6" s="157">
        <v>2014</v>
      </c>
      <c r="F6" s="157">
        <v>2015</v>
      </c>
      <c r="G6" s="157">
        <v>2016</v>
      </c>
      <c r="H6" s="157">
        <v>2017</v>
      </c>
      <c r="I6" s="157">
        <v>2018</v>
      </c>
      <c r="J6" s="157">
        <v>2019</v>
      </c>
      <c r="K6" s="157">
        <v>2020</v>
      </c>
      <c r="L6" s="157">
        <v>2021</v>
      </c>
      <c r="M6" s="157">
        <v>2022</v>
      </c>
    </row>
    <row r="7" spans="1:13" x14ac:dyDescent="0.5">
      <c r="A7" s="110" t="s">
        <v>247</v>
      </c>
      <c r="F7" s="156">
        <v>304902</v>
      </c>
      <c r="G7" s="114">
        <f t="shared" ref="G7:M7" si="1">F7*(1+G9)</f>
        <v>309673.10649600002</v>
      </c>
      <c r="H7" s="114">
        <f t="shared" si="1"/>
        <v>316750.9950180726</v>
      </c>
      <c r="I7" s="114">
        <f t="shared" si="1"/>
        <v>324018.52984776726</v>
      </c>
      <c r="J7" s="114">
        <f t="shared" si="1"/>
        <v>331481.32462722104</v>
      </c>
      <c r="K7" s="114">
        <f t="shared" si="1"/>
        <v>338179.89923528791</v>
      </c>
      <c r="L7" s="114">
        <f t="shared" si="1"/>
        <v>346187.9992491795</v>
      </c>
      <c r="M7" s="114">
        <f t="shared" si="1"/>
        <v>362777.32817320019</v>
      </c>
    </row>
    <row r="8" spans="1:13" x14ac:dyDescent="0.5">
      <c r="A8" s="110" t="s">
        <v>246</v>
      </c>
      <c r="F8" s="156">
        <v>110875</v>
      </c>
      <c r="G8" s="114">
        <f t="shared" ref="G8:M8" si="2">F8*(1+G9)</f>
        <v>112609.97200000001</v>
      </c>
      <c r="H8" s="114">
        <f t="shared" si="2"/>
        <v>115183.785520032</v>
      </c>
      <c r="I8" s="114">
        <f t="shared" si="2"/>
        <v>117826.56229500363</v>
      </c>
      <c r="J8" s="114">
        <f t="shared" si="2"/>
        <v>120540.34367778215</v>
      </c>
      <c r="K8" s="114">
        <f t="shared" si="2"/>
        <v>122976.22294282277</v>
      </c>
      <c r="L8" s="114">
        <f t="shared" si="2"/>
        <v>125888.2999021088</v>
      </c>
      <c r="M8" s="114">
        <f t="shared" si="2"/>
        <v>131920.86723341784</v>
      </c>
    </row>
    <row r="9" spans="1:13" ht="15.3" x14ac:dyDescent="0.55000000000000004">
      <c r="A9" s="155" t="s">
        <v>245</v>
      </c>
      <c r="F9" s="92"/>
      <c r="G9" s="154">
        <f t="shared" ref="G9:L9" si="3">G4</f>
        <v>1.5648000000000002E-2</v>
      </c>
      <c r="H9" s="154">
        <f t="shared" si="3"/>
        <v>2.2856000000000001E-2</v>
      </c>
      <c r="I9" s="154">
        <f t="shared" si="3"/>
        <v>2.2944000000000003E-2</v>
      </c>
      <c r="J9" s="154">
        <f t="shared" si="3"/>
        <v>2.3032E-2</v>
      </c>
      <c r="K9" s="154">
        <f t="shared" si="3"/>
        <v>2.0208000000000004E-2</v>
      </c>
      <c r="L9" s="154">
        <f t="shared" si="3"/>
        <v>2.368E-2</v>
      </c>
      <c r="M9" s="387">
        <v>4.7919999999999997E-2</v>
      </c>
    </row>
    <row r="10" spans="1:13" ht="102.75" customHeight="1" x14ac:dyDescent="0.5"/>
  </sheetData>
  <phoneticPr fontId="27" type="noConversion"/>
  <pageMargins left="0.7" right="0.7" top="0.75" bottom="0.75" header="0.3" footer="0.3"/>
  <pageSetup orientation="portrait" horizont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IU103"/>
  <sheetViews>
    <sheetView zoomScale="87" zoomScaleNormal="87" workbookViewId="0">
      <selection activeCell="G19" sqref="G19"/>
    </sheetView>
  </sheetViews>
  <sheetFormatPr defaultColWidth="12.41796875" defaultRowHeight="15" x14ac:dyDescent="0.5"/>
  <cols>
    <col min="1" max="1" width="9.83984375" style="110" customWidth="1"/>
    <col min="2" max="2" width="36.83984375" style="110" customWidth="1"/>
    <col min="3" max="3" width="7.26171875" style="110" customWidth="1"/>
    <col min="4" max="4" width="12.41796875" style="110" customWidth="1"/>
    <col min="5" max="5" width="11.15625" style="110" hidden="1" customWidth="1"/>
    <col min="6" max="6" width="12.578125" style="82" customWidth="1"/>
    <col min="7" max="7" width="12.15625" style="110" bestFit="1" customWidth="1"/>
    <col min="8" max="16384" width="12.41796875" style="110"/>
  </cols>
  <sheetData>
    <row r="1" spans="1:255" ht="105.6" x14ac:dyDescent="0.85">
      <c r="A1" s="175" t="s">
        <v>262</v>
      </c>
      <c r="B1" s="173"/>
      <c r="C1" s="173"/>
      <c r="D1" s="173"/>
      <c r="E1" s="173"/>
      <c r="F1" s="174"/>
      <c r="G1" s="173"/>
      <c r="H1" s="173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8"/>
      <c r="HX1" s="158"/>
      <c r="HY1" s="158"/>
      <c r="HZ1" s="158"/>
      <c r="IA1" s="158"/>
      <c r="IB1" s="158"/>
      <c r="IC1" s="158"/>
      <c r="ID1" s="158"/>
      <c r="IE1" s="158"/>
      <c r="IF1" s="158"/>
      <c r="IG1" s="158"/>
      <c r="IH1" s="158"/>
      <c r="II1" s="158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</row>
    <row r="2" spans="1:255" ht="15.3" x14ac:dyDescent="0.55000000000000004">
      <c r="A2" s="167" t="s">
        <v>106</v>
      </c>
      <c r="B2" s="158" t="s">
        <v>261</v>
      </c>
      <c r="C2" s="163" t="s">
        <v>260</v>
      </c>
      <c r="D2" s="163" t="s">
        <v>259</v>
      </c>
      <c r="E2" s="171" t="s">
        <v>258</v>
      </c>
      <c r="F2" s="172" t="s">
        <v>92</v>
      </c>
      <c r="G2" s="171" t="s">
        <v>257</v>
      </c>
      <c r="H2" s="170" t="s">
        <v>256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</row>
    <row r="3" spans="1:255" ht="15.3" x14ac:dyDescent="0.55000000000000004">
      <c r="A3" s="169">
        <f>'Variable Input'!A3</f>
        <v>210001</v>
      </c>
      <c r="B3" s="169" t="str">
        <f>'Variable Input'!B3</f>
        <v>MERITUS MEDICAL CENTER</v>
      </c>
      <c r="C3" s="167">
        <f>VLOOKUP(A3,'Variable Input'!$1:$1048576,3,FALSE)</f>
        <v>1</v>
      </c>
      <c r="D3" s="167">
        <f>VLOOKUP(A3,'Variable Input'!$1:$1048576,4,FALSE)</f>
        <v>3</v>
      </c>
      <c r="E3" s="162">
        <f>VLOOKUP(A3,'Variable Input'!$1:$1048576,5,FALSE)</f>
        <v>1</v>
      </c>
      <c r="F3" s="160">
        <f>VLOOKUP(A3,'Variable Input'!$1:$1048576,7,FALSE)</f>
        <v>29234.020255178955</v>
      </c>
      <c r="G3" s="162">
        <f>IFERROR((VLOOKUP(A3,'Variable Input'!$1:$1048576,24,FALSE)-VLOOKUP(A3,'DME22'!$1:$1048576,11,FALSE))*VLOOKUP(A3,Volume!A:K,11,FALSE),0)</f>
        <v>17.999999999999996</v>
      </c>
      <c r="H3" s="159">
        <f>G3/F3</f>
        <v>6.1572099365331744E-4</v>
      </c>
      <c r="I3" s="162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</row>
    <row r="4" spans="1:255" ht="15.3" x14ac:dyDescent="0.55000000000000004">
      <c r="A4" s="169">
        <f>'Variable Input'!A4</f>
        <v>210002</v>
      </c>
      <c r="B4" s="169" t="str">
        <f>'Variable Input'!B4</f>
        <v>UNIVERSITY OF MARYLAND MEDICAL CENTER</v>
      </c>
      <c r="C4" s="167">
        <f>VLOOKUP(A4,'Variable Input'!$1:$1048576,3,FALSE)</f>
        <v>5</v>
      </c>
      <c r="D4" s="167">
        <f>VLOOKUP(A4,'Variable Input'!$1:$1048576,4,FALSE)</f>
        <v>5</v>
      </c>
      <c r="E4" s="162">
        <f>VLOOKUP(A4,'Variable Input'!$1:$1048576,5,FALSE)</f>
        <v>1</v>
      </c>
      <c r="F4" s="160">
        <f>VLOOKUP(A4,'Variable Input'!$1:$1048576,7,FALSE)</f>
        <v>53406.112545307114</v>
      </c>
      <c r="G4" s="162">
        <f>IFERROR((VLOOKUP(A4,'Variable Input'!$1:$1048576,24,FALSE)-VLOOKUP(A4,'DME22'!$1:$1048576,11,FALSE))*VLOOKUP(A4,Volume!A:K,11,FALSE),0)</f>
        <v>427.62781739197032</v>
      </c>
      <c r="H4" s="159">
        <f t="shared" ref="H4:H34" si="0">G4/F4</f>
        <v>8.0070950123769438E-3</v>
      </c>
      <c r="I4" s="276"/>
      <c r="J4" s="158"/>
      <c r="K4" s="158"/>
      <c r="L4" s="162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</row>
    <row r="5" spans="1:255" ht="15.3" x14ac:dyDescent="0.55000000000000004">
      <c r="A5" s="169">
        <f>'Variable Input'!A5</f>
        <v>210003</v>
      </c>
      <c r="B5" s="169" t="str">
        <f>'Variable Input'!B5</f>
        <v>PRINCE GEORGES HOSPITAL CENTER</v>
      </c>
      <c r="C5" s="167">
        <f>VLOOKUP(A5,'Variable Input'!$1:$1048576,3,FALSE)</f>
        <v>1</v>
      </c>
      <c r="D5" s="167">
        <f>VLOOKUP(A5,'Variable Input'!$1:$1048576,4,FALSE)</f>
        <v>5</v>
      </c>
      <c r="E5" s="162">
        <f>VLOOKUP(A5,'Variable Input'!$1:$1048576,5,FALSE)</f>
        <v>1</v>
      </c>
      <c r="F5" s="160">
        <f>VLOOKUP(A5,'Variable Input'!$1:$1048576,7,FALSE)</f>
        <v>16622.361523679996</v>
      </c>
      <c r="G5" s="162">
        <f>IFERROR((VLOOKUP(A5,'Variable Input'!$1:$1048576,24,FALSE)-VLOOKUP(A5,'DME22'!$1:$1048576,11,FALSE))*VLOOKUP(A5,Volume!A:K,11,FALSE),0)</f>
        <v>48.000000000000014</v>
      </c>
      <c r="H5" s="159">
        <f t="shared" si="0"/>
        <v>2.8876763347746859E-3</v>
      </c>
      <c r="I5" s="162"/>
      <c r="J5" s="158"/>
      <c r="K5" s="158"/>
      <c r="L5" s="162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</row>
    <row r="6" spans="1:255" ht="15.3" x14ac:dyDescent="0.55000000000000004">
      <c r="A6" s="169">
        <f>'Variable Input'!A6</f>
        <v>210004</v>
      </c>
      <c r="B6" s="169" t="str">
        <f>'Variable Input'!B6</f>
        <v>HOLY CROSS HOSPITAL</v>
      </c>
      <c r="C6" s="167">
        <f>VLOOKUP(A6,'Variable Input'!$1:$1048576,3,FALSE)</f>
        <v>1</v>
      </c>
      <c r="D6" s="167">
        <f>VLOOKUP(A6,'Variable Input'!$1:$1048576,4,FALSE)</f>
        <v>1</v>
      </c>
      <c r="E6" s="162">
        <f>VLOOKUP(A6,'Variable Input'!$1:$1048576,5,FALSE)</f>
        <v>1</v>
      </c>
      <c r="F6" s="160">
        <f>VLOOKUP(A6,'Variable Input'!$1:$1048576,7,FALSE)</f>
        <v>35389.172988776867</v>
      </c>
      <c r="G6" s="162">
        <f>IFERROR((VLOOKUP(A6,'Variable Input'!$1:$1048576,24,FALSE)-VLOOKUP(A6,'DME22'!$1:$1048576,11,FALSE))*VLOOKUP(A6,Volume!A:K,11,FALSE),0)</f>
        <v>18.999999999999986</v>
      </c>
      <c r="H6" s="159">
        <f t="shared" si="0"/>
        <v>5.3688736964906027E-4</v>
      </c>
      <c r="I6" s="162"/>
      <c r="J6" s="158"/>
      <c r="K6" s="158"/>
      <c r="L6" s="162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8"/>
      <c r="IO6" s="158"/>
      <c r="IP6" s="158"/>
      <c r="IQ6" s="158"/>
      <c r="IR6" s="158"/>
      <c r="IS6" s="158"/>
      <c r="IT6" s="158"/>
      <c r="IU6" s="158"/>
    </row>
    <row r="7" spans="1:255" ht="15.3" x14ac:dyDescent="0.55000000000000004">
      <c r="A7" s="169">
        <f>'Variable Input'!A7</f>
        <v>210005</v>
      </c>
      <c r="B7" s="169" t="str">
        <f>'Variable Input'!B7</f>
        <v>FREDERICK MEMORIAL HOSPITAL</v>
      </c>
      <c r="C7" s="167">
        <f>VLOOKUP(A7,'Variable Input'!$1:$1048576,3,FALSE)</f>
        <v>1</v>
      </c>
      <c r="D7" s="167">
        <f>VLOOKUP(A7,'Variable Input'!$1:$1048576,4,FALSE)</f>
        <v>3</v>
      </c>
      <c r="E7" s="162">
        <f>VLOOKUP(A7,'Variable Input'!$1:$1048576,5,FALSE)</f>
        <v>1</v>
      </c>
      <c r="F7" s="160">
        <f>VLOOKUP(A7,'Variable Input'!$1:$1048576,7,FALSE)</f>
        <v>24661.79924888902</v>
      </c>
      <c r="G7" s="162">
        <f>IFERROR((VLOOKUP(A7,'Variable Input'!$1:$1048576,24,FALSE)-VLOOKUP(A7,'DME22'!$1:$1048576,11,FALSE))*VLOOKUP(A7,Volume!A:K,11,FALSE),0)</f>
        <v>0</v>
      </c>
      <c r="H7" s="159">
        <f t="shared" si="0"/>
        <v>0</v>
      </c>
      <c r="I7" s="162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</row>
    <row r="8" spans="1:255" ht="15.3" x14ac:dyDescent="0.55000000000000004">
      <c r="A8" s="169">
        <f>'Variable Input'!A8</f>
        <v>210006</v>
      </c>
      <c r="B8" s="169" t="str">
        <f>'Variable Input'!B8</f>
        <v>UM-HARFORD MEMORIAL HOSPITAL</v>
      </c>
      <c r="C8" s="167">
        <f>VLOOKUP(A8,'Variable Input'!$1:$1048576,3,FALSE)</f>
        <v>1</v>
      </c>
      <c r="D8" s="167">
        <f>VLOOKUP(A8,'Variable Input'!$1:$1048576,4,FALSE)</f>
        <v>3</v>
      </c>
      <c r="E8" s="162">
        <f>VLOOKUP(A8,'Variable Input'!$1:$1048576,5,FALSE)</f>
        <v>1</v>
      </c>
      <c r="F8" s="160">
        <f>VLOOKUP(A8,'Variable Input'!$1:$1048576,7,FALSE)</f>
        <v>6404.5558703010038</v>
      </c>
      <c r="G8" s="162">
        <f>IFERROR((VLOOKUP(A8,'Variable Input'!$1:$1048576,24,FALSE)-VLOOKUP(A8,'DME22'!$1:$1048576,11,FALSE))*VLOOKUP(A8,Volume!A:K,11,FALSE),0)</f>
        <v>0</v>
      </c>
      <c r="H8" s="159">
        <f t="shared" si="0"/>
        <v>0</v>
      </c>
      <c r="I8" s="162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</row>
    <row r="9" spans="1:255" ht="15.3" x14ac:dyDescent="0.55000000000000004">
      <c r="A9" s="169">
        <f>'Variable Input'!A9</f>
        <v>210008</v>
      </c>
      <c r="B9" s="169" t="str">
        <f>'Variable Input'!B9</f>
        <v>MERCY MEDICAL CENTER</v>
      </c>
      <c r="C9" s="167">
        <f>VLOOKUP(A9,'Variable Input'!$1:$1048576,3,FALSE)</f>
        <v>1</v>
      </c>
      <c r="D9" s="167">
        <f>VLOOKUP(A9,'Variable Input'!$1:$1048576,4,FALSE)</f>
        <v>4</v>
      </c>
      <c r="E9" s="162">
        <f>VLOOKUP(A9,'Variable Input'!$1:$1048576,5,FALSE)</f>
        <v>1</v>
      </c>
      <c r="F9" s="160">
        <f>VLOOKUP(A9,'Variable Input'!$1:$1048576,7,FALSE)</f>
        <v>37187.68418079293</v>
      </c>
      <c r="G9" s="162">
        <f>IFERROR((VLOOKUP(A9,'Variable Input'!$1:$1048576,24,FALSE)-VLOOKUP(A9,'DME22'!$1:$1048576,11,FALSE))*VLOOKUP(A9,Volume!A:K,11,FALSE),0)</f>
        <v>48.410524038461546</v>
      </c>
      <c r="H9" s="159">
        <f t="shared" si="0"/>
        <v>1.3017891569452743E-3</v>
      </c>
      <c r="I9" s="162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</row>
    <row r="10" spans="1:255" ht="15.3" x14ac:dyDescent="0.55000000000000004">
      <c r="A10" s="169">
        <f>'Variable Input'!A10</f>
        <v>210009</v>
      </c>
      <c r="B10" s="169" t="str">
        <f>'Variable Input'!B10</f>
        <v>JOHNS HOPKINS HOSPITAL</v>
      </c>
      <c r="C10" s="167">
        <f>VLOOKUP(A10,'Variable Input'!$1:$1048576,3,FALSE)</f>
        <v>5</v>
      </c>
      <c r="D10" s="167">
        <f>VLOOKUP(A10,'Variable Input'!$1:$1048576,4,FALSE)</f>
        <v>5</v>
      </c>
      <c r="E10" s="162">
        <f>VLOOKUP(A10,'Variable Input'!$1:$1048576,5,FALSE)</f>
        <v>1</v>
      </c>
      <c r="F10" s="160">
        <f>VLOOKUP(A10,'Variable Input'!$1:$1048576,7,FALSE)</f>
        <v>104111.82276682714</v>
      </c>
      <c r="G10" s="162">
        <f>IFERROR((VLOOKUP(A10,'Variable Input'!$1:$1048576,24,FALSE)-VLOOKUP(A10,'DME22'!$1:$1048576,11,FALSE))*VLOOKUP(A10,Volume!A:K,11,FALSE),0)</f>
        <v>780.23979982516869</v>
      </c>
      <c r="H10" s="159">
        <f t="shared" si="0"/>
        <v>7.4942478105740583E-3</v>
      </c>
      <c r="I10" s="162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</row>
    <row r="11" spans="1:255" ht="15.3" x14ac:dyDescent="0.55000000000000004">
      <c r="A11" s="169">
        <f>'Variable Input'!A11</f>
        <v>210010</v>
      </c>
      <c r="B11" s="169" t="str">
        <f>'Variable Input'!B11</f>
        <v>UM-SHORE REGIONAL HEALTH AT DORCHESTER</v>
      </c>
      <c r="C11" s="167" t="str">
        <f>VLOOKUP(A11,'Variable Input'!$1:$1048576,3,FALSE)</f>
        <v>NA</v>
      </c>
      <c r="D11" s="167">
        <f>VLOOKUP(A11,'Variable Input'!$1:$1048576,4,FALSE)</f>
        <v>3</v>
      </c>
      <c r="E11" s="162">
        <f>VLOOKUP(A11,'Variable Input'!$1:$1048576,5,FALSE)</f>
        <v>1</v>
      </c>
      <c r="F11" s="160">
        <f>VLOOKUP(A11,'Variable Input'!$1:$1048576,7,FALSE)</f>
        <v>1185.4899110060007</v>
      </c>
      <c r="G11" s="162">
        <f>IFERROR((VLOOKUP(A11,'Variable Input'!$1:$1048576,24,FALSE)-VLOOKUP(A11,'DME22'!$1:$1048576,11,FALSE))*VLOOKUP(A11,Volume!A:K,11,FALSE),0)</f>
        <v>0</v>
      </c>
      <c r="H11" s="159">
        <f t="shared" si="0"/>
        <v>0</v>
      </c>
      <c r="I11" s="162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</row>
    <row r="12" spans="1:255" ht="15.3" x14ac:dyDescent="0.55000000000000004">
      <c r="A12" s="169">
        <f>'Variable Input'!A12</f>
        <v>210011</v>
      </c>
      <c r="B12" s="169" t="str">
        <f>'Variable Input'!B12</f>
        <v>ST. AGNES HOSPITAL</v>
      </c>
      <c r="C12" s="167">
        <f>VLOOKUP(A12,'Variable Input'!$1:$1048576,3,FALSE)</f>
        <v>1</v>
      </c>
      <c r="D12" s="167">
        <f>VLOOKUP(A12,'Variable Input'!$1:$1048576,4,FALSE)</f>
        <v>1</v>
      </c>
      <c r="E12" s="162">
        <f>VLOOKUP(A12,'Variable Input'!$1:$1048576,5,FALSE)</f>
        <v>1</v>
      </c>
      <c r="F12" s="160">
        <f>VLOOKUP(A12,'Variable Input'!$1:$1048576,7,FALSE)</f>
        <v>24239.679898120015</v>
      </c>
      <c r="G12" s="162">
        <f>IFERROR((VLOOKUP(A12,'Variable Input'!$1:$1048576,24,FALSE)-VLOOKUP(A12,'DME22'!$1:$1048576,11,FALSE))*VLOOKUP(A12,Volume!A:K,11,FALSE),0)</f>
        <v>64.7</v>
      </c>
      <c r="H12" s="159">
        <f t="shared" si="0"/>
        <v>2.6691771620720953E-3</v>
      </c>
      <c r="I12" s="162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</row>
    <row r="13" spans="1:255" ht="15.3" x14ac:dyDescent="0.55000000000000004">
      <c r="A13" s="169">
        <f>'Variable Input'!A13</f>
        <v>210012</v>
      </c>
      <c r="B13" s="169" t="str">
        <f>'Variable Input'!B13</f>
        <v>SINAI HOSPITAL</v>
      </c>
      <c r="C13" s="167">
        <f>VLOOKUP(A13,'Variable Input'!$1:$1048576,3,FALSE)</f>
        <v>1</v>
      </c>
      <c r="D13" s="167">
        <f>VLOOKUP(A13,'Variable Input'!$1:$1048576,4,FALSE)</f>
        <v>5</v>
      </c>
      <c r="E13" s="162">
        <f>VLOOKUP(A13,'Variable Input'!$1:$1048576,5,FALSE)</f>
        <v>1</v>
      </c>
      <c r="F13" s="160">
        <f>VLOOKUP(A13,'Variable Input'!$1:$1048576,7,FALSE)</f>
        <v>39233.431532673072</v>
      </c>
      <c r="G13" s="162">
        <f>IFERROR((VLOOKUP(A13,'Variable Input'!$1:$1048576,24,FALSE)-VLOOKUP(A13,'DME22'!$1:$1048576,11,FALSE))*VLOOKUP(A13,Volume!A:K,11,FALSE),0)</f>
        <v>125.99999999999996</v>
      </c>
      <c r="H13" s="159">
        <f t="shared" si="0"/>
        <v>3.2115467619769343E-3</v>
      </c>
      <c r="I13" s="162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  <c r="IQ13" s="158"/>
      <c r="IR13" s="158"/>
      <c r="IS13" s="158"/>
      <c r="IT13" s="158"/>
      <c r="IU13" s="158"/>
    </row>
    <row r="14" spans="1:255" ht="15.3" x14ac:dyDescent="0.55000000000000004">
      <c r="A14" s="169">
        <f>'Variable Input'!A14</f>
        <v>210013</v>
      </c>
      <c r="B14" s="169" t="str">
        <f>'Variable Input'!B14</f>
        <v>BON SECOURS HOSPITAL</v>
      </c>
      <c r="C14" s="167" t="str">
        <f>VLOOKUP(A14,'Variable Input'!$1:$1048576,3,FALSE)</f>
        <v>NA</v>
      </c>
      <c r="D14" s="167">
        <f>VLOOKUP(A14,'Variable Input'!$1:$1048576,4,FALSE)</f>
        <v>4</v>
      </c>
      <c r="E14" s="162">
        <f>VLOOKUP(A14,'Variable Input'!$1:$1048576,5,FALSE)</f>
        <v>1</v>
      </c>
      <c r="F14" s="160">
        <f>VLOOKUP(A14,'Variable Input'!$1:$1048576,7,FALSE)</f>
        <v>1608.5265612699982</v>
      </c>
      <c r="G14" s="162">
        <f>IFERROR((VLOOKUP(A14,'Variable Input'!$1:$1048576,24,FALSE)-VLOOKUP(A14,'DME22'!$1:$1048576,11,FALSE))*VLOOKUP(A14,Volume!A:K,11,FALSE),0)</f>
        <v>0</v>
      </c>
      <c r="H14" s="159">
        <f t="shared" si="0"/>
        <v>0</v>
      </c>
      <c r="I14" s="162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</row>
    <row r="15" spans="1:255" ht="15.3" x14ac:dyDescent="0.55000000000000004">
      <c r="A15" s="169">
        <f>'Variable Input'!A15</f>
        <v>210015</v>
      </c>
      <c r="B15" s="169" t="str">
        <f>'Variable Input'!B15</f>
        <v>MEDSTAR FRANKLIN SQUARE</v>
      </c>
      <c r="C15" s="167">
        <f>VLOOKUP(A15,'Variable Input'!$1:$1048576,3,FALSE)</f>
        <v>1</v>
      </c>
      <c r="D15" s="167">
        <f>VLOOKUP(A15,'Variable Input'!$1:$1048576,4,FALSE)</f>
        <v>1</v>
      </c>
      <c r="E15" s="162">
        <f>VLOOKUP(A15,'Variable Input'!$1:$1048576,5,FALSE)</f>
        <v>1</v>
      </c>
      <c r="F15" s="160">
        <f>VLOOKUP(A15,'Variable Input'!$1:$1048576,7,FALSE)</f>
        <v>36896.780287905021</v>
      </c>
      <c r="G15" s="162">
        <f>IFERROR((VLOOKUP(A15,'Variable Input'!$1:$1048576,24,FALSE)-VLOOKUP(A15,'DME22'!$1:$1048576,11,FALSE))*VLOOKUP(A15,Volume!A:K,11,FALSE),0)</f>
        <v>78</v>
      </c>
      <c r="H15" s="159">
        <f t="shared" si="0"/>
        <v>2.1140055959183207E-3</v>
      </c>
      <c r="I15" s="162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</row>
    <row r="16" spans="1:255" ht="15.3" x14ac:dyDescent="0.55000000000000004">
      <c r="A16" s="169">
        <f>'Variable Input'!A16</f>
        <v>210016</v>
      </c>
      <c r="B16" s="169" t="str">
        <f>'Variable Input'!B16</f>
        <v>WASHINGTON ADVENTIST HOSPITAL</v>
      </c>
      <c r="C16" s="167">
        <f>VLOOKUP(A16,'Variable Input'!$1:$1048576,3,FALSE)</f>
        <v>1</v>
      </c>
      <c r="D16" s="167">
        <f>VLOOKUP(A16,'Variable Input'!$1:$1048576,4,FALSE)</f>
        <v>3</v>
      </c>
      <c r="E16" s="162">
        <f>VLOOKUP(A16,'Variable Input'!$1:$1048576,5,FALSE)</f>
        <v>1</v>
      </c>
      <c r="F16" s="160">
        <f>VLOOKUP(A16,'Variable Input'!$1:$1048576,7,FALSE)</f>
        <v>19503.503490301038</v>
      </c>
      <c r="G16" s="162">
        <f>IFERROR((VLOOKUP(A16,'Variable Input'!$1:$1048576,24,FALSE)-VLOOKUP(A16,'DME22'!$1:$1048576,11,FALSE))*VLOOKUP(A16,Volume!A:K,11,FALSE),0)</f>
        <v>0</v>
      </c>
      <c r="H16" s="159">
        <f t="shared" si="0"/>
        <v>0</v>
      </c>
      <c r="I16" s="162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</row>
    <row r="17" spans="1:255" ht="15.3" x14ac:dyDescent="0.55000000000000004">
      <c r="A17" s="169">
        <f>'Variable Input'!A17</f>
        <v>210017</v>
      </c>
      <c r="B17" s="169" t="str">
        <f>'Variable Input'!B17</f>
        <v>GARRETT COUNTY MEMORIAL HOSPITAL</v>
      </c>
      <c r="C17" s="167">
        <f>VLOOKUP(A17,'Variable Input'!$1:$1048576,3,FALSE)</f>
        <v>1</v>
      </c>
      <c r="D17" s="167">
        <f>VLOOKUP(A17,'Variable Input'!$1:$1048576,4,FALSE)</f>
        <v>3</v>
      </c>
      <c r="E17" s="162">
        <f>VLOOKUP(A17,'Variable Input'!$1:$1048576,5,FALSE)</f>
        <v>1</v>
      </c>
      <c r="F17" s="160">
        <f>VLOOKUP(A17,'Variable Input'!$1:$1048576,7,FALSE)</f>
        <v>5661.7590092090077</v>
      </c>
      <c r="G17" s="162">
        <f>IFERROR((VLOOKUP(A17,'Variable Input'!$1:$1048576,24,FALSE)-VLOOKUP(A17,'DME22'!$1:$1048576,11,FALSE))*VLOOKUP(A17,Volume!A:K,11,FALSE),0)</f>
        <v>0</v>
      </c>
      <c r="H17" s="159">
        <f t="shared" si="0"/>
        <v>0</v>
      </c>
      <c r="I17" s="162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</row>
    <row r="18" spans="1:255" ht="15.3" x14ac:dyDescent="0.55000000000000004">
      <c r="A18" s="169">
        <f>'Variable Input'!A18</f>
        <v>210018</v>
      </c>
      <c r="B18" s="169" t="str">
        <f>'Variable Input'!B18</f>
        <v>MEDSTAR MONTGOMERY MEDICAL CENTER</v>
      </c>
      <c r="C18" s="167">
        <f>VLOOKUP(A18,'Variable Input'!$1:$1048576,3,FALSE)</f>
        <v>1</v>
      </c>
      <c r="D18" s="167">
        <f>VLOOKUP(A18,'Variable Input'!$1:$1048576,4,FALSE)</f>
        <v>3</v>
      </c>
      <c r="E18" s="162">
        <f>VLOOKUP(A18,'Variable Input'!$1:$1048576,5,FALSE)</f>
        <v>1</v>
      </c>
      <c r="F18" s="160">
        <f>VLOOKUP(A18,'Variable Input'!$1:$1048576,7,FALSE)</f>
        <v>11828.629976083985</v>
      </c>
      <c r="G18" s="162">
        <f>IFERROR((VLOOKUP(A18,'Variable Input'!$1:$1048576,24,FALSE)-VLOOKUP(A18,'DME22'!$1:$1048576,11,FALSE))*VLOOKUP(A18,Volume!A:K,11,FALSE),0)</f>
        <v>0</v>
      </c>
      <c r="H18" s="159">
        <f t="shared" si="0"/>
        <v>0</v>
      </c>
      <c r="I18" s="162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  <c r="IQ18" s="158"/>
      <c r="IR18" s="158"/>
      <c r="IS18" s="158"/>
      <c r="IT18" s="158"/>
      <c r="IU18" s="158"/>
    </row>
    <row r="19" spans="1:255" ht="15.3" x14ac:dyDescent="0.55000000000000004">
      <c r="A19" s="169">
        <f>'Variable Input'!A19</f>
        <v>210019</v>
      </c>
      <c r="B19" s="169" t="str">
        <f>'Variable Input'!B19</f>
        <v>PENINSULA REGIONAL MEDICAL CENTER</v>
      </c>
      <c r="C19" s="167">
        <f>VLOOKUP(A19,'Variable Input'!$1:$1048576,3,FALSE)</f>
        <v>1</v>
      </c>
      <c r="D19" s="167">
        <f>VLOOKUP(A19,'Variable Input'!$1:$1048576,4,FALSE)</f>
        <v>3</v>
      </c>
      <c r="E19" s="162">
        <f>VLOOKUP(A19,'Variable Input'!$1:$1048576,5,FALSE)</f>
        <v>1</v>
      </c>
      <c r="F19" s="160">
        <f>VLOOKUP(A19,'Variable Input'!$1:$1048576,7,FALSE)</f>
        <v>35575.296562612995</v>
      </c>
      <c r="G19" s="162">
        <f>IFERROR((VLOOKUP(A19,'Variable Input'!$1:$1048576,24,FALSE)-VLOOKUP(A19,'DME22'!$1:$1048576,11,FALSE))*VLOOKUP(A19,Volume!A:K,11,FALSE),0)</f>
        <v>10</v>
      </c>
      <c r="H19" s="159">
        <f t="shared" si="0"/>
        <v>2.8109393220095488E-4</v>
      </c>
      <c r="I19" s="162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8"/>
      <c r="IJ19" s="158"/>
      <c r="IK19" s="158"/>
      <c r="IL19" s="158"/>
      <c r="IM19" s="158"/>
      <c r="IN19" s="158"/>
      <c r="IO19" s="158"/>
      <c r="IP19" s="158"/>
      <c r="IQ19" s="158"/>
      <c r="IR19" s="158"/>
      <c r="IS19" s="158"/>
      <c r="IT19" s="158"/>
      <c r="IU19" s="158"/>
    </row>
    <row r="20" spans="1:255" ht="15.3" x14ac:dyDescent="0.55000000000000004">
      <c r="A20" s="169">
        <f>'Variable Input'!A20</f>
        <v>210022</v>
      </c>
      <c r="B20" s="169" t="str">
        <f>'Variable Input'!B20</f>
        <v>SUBURBAN HOSPITAL</v>
      </c>
      <c r="C20" s="167">
        <f>VLOOKUP(A20,'Variable Input'!$1:$1048576,3,FALSE)</f>
        <v>1</v>
      </c>
      <c r="D20" s="167">
        <f>VLOOKUP(A20,'Variable Input'!$1:$1048576,4,FALSE)</f>
        <v>1</v>
      </c>
      <c r="E20" s="162">
        <f>VLOOKUP(A20,'Variable Input'!$1:$1048576,5,FALSE)</f>
        <v>1</v>
      </c>
      <c r="F20" s="160">
        <f>VLOOKUP(A20,'Variable Input'!$1:$1048576,7,FALSE)</f>
        <v>24909.085237375984</v>
      </c>
      <c r="G20" s="162">
        <f>IFERROR((VLOOKUP(A20,'Variable Input'!$1:$1048576,24,FALSE)-VLOOKUP(A20,'DME22'!$1:$1048576,11,FALSE))*VLOOKUP(A20,Volume!A:K,11,FALSE),0)</f>
        <v>3.9999999999999996</v>
      </c>
      <c r="H20" s="159">
        <f t="shared" si="0"/>
        <v>1.6058397817026276E-4</v>
      </c>
      <c r="I20" s="162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  <c r="IQ20" s="158"/>
      <c r="IR20" s="158"/>
      <c r="IS20" s="158"/>
      <c r="IT20" s="158"/>
      <c r="IU20" s="158"/>
    </row>
    <row r="21" spans="1:255" ht="15.3" x14ac:dyDescent="0.55000000000000004">
      <c r="A21" s="169">
        <f>'Variable Input'!A21</f>
        <v>210023</v>
      </c>
      <c r="B21" s="169" t="str">
        <f>'Variable Input'!B21</f>
        <v>ANNE ARUNDEL MEDICAL CENTER</v>
      </c>
      <c r="C21" s="167">
        <f>VLOOKUP(A21,'Variable Input'!$1:$1048576,3,FALSE)</f>
        <v>1</v>
      </c>
      <c r="D21" s="167">
        <f>VLOOKUP(A21,'Variable Input'!$1:$1048576,4,FALSE)</f>
        <v>3</v>
      </c>
      <c r="E21" s="162">
        <f>VLOOKUP(A21,'Variable Input'!$1:$1048576,5,FALSE)</f>
        <v>1</v>
      </c>
      <c r="F21" s="160">
        <f>VLOOKUP(A21,'Variable Input'!$1:$1048576,7,FALSE)</f>
        <v>47800.030712699874</v>
      </c>
      <c r="G21" s="162">
        <f>IFERROR((VLOOKUP(A21,'Variable Input'!$1:$1048576,24,FALSE)-VLOOKUP(A21,'DME22'!$1:$1048576,11,FALSE))*VLOOKUP(A21,Volume!A:K,11,FALSE),0)</f>
        <v>55.09999999999998</v>
      </c>
      <c r="H21" s="159">
        <f t="shared" si="0"/>
        <v>1.1527189246211215E-3</v>
      </c>
      <c r="I21" s="162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8"/>
      <c r="IJ21" s="158"/>
      <c r="IK21" s="158"/>
      <c r="IL21" s="158"/>
      <c r="IM21" s="158"/>
      <c r="IN21" s="158"/>
      <c r="IO21" s="158"/>
      <c r="IP21" s="158"/>
      <c r="IQ21" s="158"/>
      <c r="IR21" s="158"/>
      <c r="IS21" s="158"/>
      <c r="IT21" s="158"/>
      <c r="IU21" s="158"/>
    </row>
    <row r="22" spans="1:255" ht="15.3" x14ac:dyDescent="0.55000000000000004">
      <c r="A22" s="169">
        <f>'Variable Input'!A22</f>
        <v>210024</v>
      </c>
      <c r="B22" s="169" t="str">
        <f>'Variable Input'!B22</f>
        <v>MEDSTAR UNION MEMORIAL HOSPITAL</v>
      </c>
      <c r="C22" s="167">
        <f>VLOOKUP(A22,'Variable Input'!$1:$1048576,3,FALSE)</f>
        <v>1</v>
      </c>
      <c r="D22" s="167">
        <f>VLOOKUP(A22,'Variable Input'!$1:$1048576,4,FALSE)</f>
        <v>5</v>
      </c>
      <c r="E22" s="162">
        <f>VLOOKUP(A22,'Variable Input'!$1:$1048576,5,FALSE)</f>
        <v>1</v>
      </c>
      <c r="F22" s="160">
        <f>VLOOKUP(A22,'Variable Input'!$1:$1048576,7,FALSE)</f>
        <v>26999.26188542712</v>
      </c>
      <c r="G22" s="162">
        <f>IFERROR((VLOOKUP(A22,'Variable Input'!$1:$1048576,24,FALSE)-VLOOKUP(A22,'DME22'!$1:$1048576,11,FALSE))*VLOOKUP(A22,Volume!A:K,11,FALSE),0)</f>
        <v>87.999999999999986</v>
      </c>
      <c r="H22" s="159">
        <f t="shared" si="0"/>
        <v>3.2593483619453344E-3</v>
      </c>
      <c r="I22" s="162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8"/>
      <c r="IJ22" s="158"/>
      <c r="IK22" s="158"/>
      <c r="IL22" s="158"/>
      <c r="IM22" s="158"/>
      <c r="IN22" s="158"/>
      <c r="IO22" s="158"/>
      <c r="IP22" s="158"/>
      <c r="IQ22" s="158"/>
      <c r="IR22" s="158"/>
      <c r="IS22" s="158"/>
      <c r="IT22" s="158"/>
      <c r="IU22" s="158"/>
    </row>
    <row r="23" spans="1:255" ht="15.3" x14ac:dyDescent="0.55000000000000004">
      <c r="A23" s="169">
        <f>'Variable Input'!A23</f>
        <v>210027</v>
      </c>
      <c r="B23" s="169" t="str">
        <f>'Variable Input'!B23</f>
        <v>WESTERN MARYLAND REGIONAL MEDICAL CENTER</v>
      </c>
      <c r="C23" s="167">
        <f>VLOOKUP(A23,'Variable Input'!$1:$1048576,3,FALSE)</f>
        <v>1</v>
      </c>
      <c r="D23" s="167">
        <f>VLOOKUP(A23,'Variable Input'!$1:$1048576,4,FALSE)</f>
        <v>3</v>
      </c>
      <c r="E23" s="162">
        <f>VLOOKUP(A23,'Variable Input'!$1:$1048576,5,FALSE)</f>
        <v>1</v>
      </c>
      <c r="F23" s="160">
        <f>VLOOKUP(A23,'Variable Input'!$1:$1048576,7,FALSE)</f>
        <v>22692.781590576982</v>
      </c>
      <c r="G23" s="162">
        <f>IFERROR((VLOOKUP(A23,'Variable Input'!$1:$1048576,24,FALSE)-VLOOKUP(A23,'DME22'!$1:$1048576,11,FALSE))*VLOOKUP(A23,Volume!A:K,11,FALSE),0)</f>
        <v>0</v>
      </c>
      <c r="H23" s="159">
        <f t="shared" si="0"/>
        <v>0</v>
      </c>
      <c r="I23" s="162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  <c r="IQ23" s="158"/>
      <c r="IR23" s="158"/>
      <c r="IS23" s="158"/>
      <c r="IT23" s="158"/>
      <c r="IU23" s="158"/>
    </row>
    <row r="24" spans="1:255" ht="15.3" x14ac:dyDescent="0.55000000000000004">
      <c r="A24" s="169">
        <f>'Variable Input'!A24</f>
        <v>210028</v>
      </c>
      <c r="B24" s="169" t="str">
        <f>'Variable Input'!B24</f>
        <v xml:space="preserve">MEDSTAR ST. MARY'S HOSPITAL </v>
      </c>
      <c r="C24" s="167">
        <f>VLOOKUP(A24,'Variable Input'!$1:$1048576,3,FALSE)</f>
        <v>1</v>
      </c>
      <c r="D24" s="167">
        <f>VLOOKUP(A24,'Variable Input'!$1:$1048576,4,FALSE)</f>
        <v>3</v>
      </c>
      <c r="E24" s="162">
        <f>VLOOKUP(A24,'Variable Input'!$1:$1048576,5,FALSE)</f>
        <v>1</v>
      </c>
      <c r="F24" s="160">
        <f>VLOOKUP(A24,'Variable Input'!$1:$1048576,7,FALSE)</f>
        <v>14672.575577466996</v>
      </c>
      <c r="G24" s="162">
        <f>IFERROR((VLOOKUP(A24,'Variable Input'!$1:$1048576,24,FALSE)-VLOOKUP(A24,'DME22'!$1:$1048576,11,FALSE))*VLOOKUP(A24,Volume!A:K,11,FALSE),0)</f>
        <v>0</v>
      </c>
      <c r="H24" s="159">
        <f t="shared" si="0"/>
        <v>0</v>
      </c>
      <c r="I24" s="162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8"/>
      <c r="HB24" s="158"/>
      <c r="HC24" s="158"/>
      <c r="HD24" s="158"/>
      <c r="HE24" s="158"/>
      <c r="HF24" s="158"/>
      <c r="HG24" s="158"/>
      <c r="HH24" s="158"/>
      <c r="HI24" s="158"/>
      <c r="HJ24" s="158"/>
      <c r="HK24" s="158"/>
      <c r="HL24" s="158"/>
      <c r="HM24" s="158"/>
      <c r="HN24" s="158"/>
      <c r="HO24" s="158"/>
      <c r="HP24" s="158"/>
      <c r="HQ24" s="158"/>
      <c r="HR24" s="158"/>
      <c r="HS24" s="158"/>
      <c r="HT24" s="158"/>
      <c r="HU24" s="158"/>
      <c r="HV24" s="158"/>
      <c r="HW24" s="158"/>
      <c r="HX24" s="158"/>
      <c r="HY24" s="158"/>
      <c r="HZ24" s="158"/>
      <c r="IA24" s="158"/>
      <c r="IB24" s="158"/>
      <c r="IC24" s="158"/>
      <c r="ID24" s="158"/>
      <c r="IE24" s="158"/>
      <c r="IF24" s="158"/>
      <c r="IG24" s="158"/>
      <c r="IH24" s="158"/>
      <c r="II24" s="158"/>
      <c r="IJ24" s="158"/>
      <c r="IK24" s="158"/>
      <c r="IL24" s="158"/>
      <c r="IM24" s="158"/>
      <c r="IN24" s="158"/>
      <c r="IO24" s="158"/>
      <c r="IP24" s="158"/>
      <c r="IQ24" s="158"/>
      <c r="IR24" s="158"/>
      <c r="IS24" s="158"/>
      <c r="IT24" s="158"/>
      <c r="IU24" s="158"/>
    </row>
    <row r="25" spans="1:255" ht="15.3" x14ac:dyDescent="0.55000000000000004">
      <c r="A25" s="169">
        <f>'Variable Input'!A25</f>
        <v>210029</v>
      </c>
      <c r="B25" s="169" t="str">
        <f>'Variable Input'!B25</f>
        <v>JOHNS HOPKINS BAYVIEW MEDICAL CENTER</v>
      </c>
      <c r="C25" s="167">
        <f>VLOOKUP(A25,'Variable Input'!$1:$1048576,3,FALSE)</f>
        <v>1</v>
      </c>
      <c r="D25" s="167">
        <f>VLOOKUP(A25,'Variable Input'!$1:$1048576,4,FALSE)</f>
        <v>5</v>
      </c>
      <c r="E25" s="162">
        <f>VLOOKUP(A25,'Variable Input'!$1:$1048576,5,FALSE)</f>
        <v>1</v>
      </c>
      <c r="F25" s="160">
        <f>VLOOKUP(A25,'Variable Input'!$1:$1048576,7,FALSE)</f>
        <v>35540.799933832066</v>
      </c>
      <c r="G25" s="162">
        <f>IFERROR((VLOOKUP(A25,'Variable Input'!$1:$1048576,24,FALSE)-VLOOKUP(A25,'DME22'!$1:$1048576,11,FALSE))*VLOOKUP(A25,Volume!A:K,11,FALSE),0)</f>
        <v>141.11220866622443</v>
      </c>
      <c r="H25" s="159">
        <f t="shared" si="0"/>
        <v>3.9704286039970822E-3</v>
      </c>
      <c r="I25" s="162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P25" s="158"/>
      <c r="GQ25" s="158"/>
      <c r="GR25" s="158"/>
      <c r="GS25" s="158"/>
      <c r="GT25" s="158"/>
      <c r="GU25" s="158"/>
      <c r="GV25" s="158"/>
      <c r="GW25" s="158"/>
      <c r="GX25" s="158"/>
      <c r="GY25" s="158"/>
      <c r="GZ25" s="158"/>
      <c r="HA25" s="158"/>
      <c r="HB25" s="158"/>
      <c r="HC25" s="158"/>
      <c r="HD25" s="158"/>
      <c r="HE25" s="158"/>
      <c r="HF25" s="158"/>
      <c r="HG25" s="158"/>
      <c r="HH25" s="158"/>
      <c r="HI25" s="158"/>
      <c r="HJ25" s="158"/>
      <c r="HK25" s="158"/>
      <c r="HL25" s="158"/>
      <c r="HM25" s="158"/>
      <c r="HN25" s="158"/>
      <c r="HO25" s="158"/>
      <c r="HP25" s="158"/>
      <c r="HQ25" s="158"/>
      <c r="HR25" s="158"/>
      <c r="HS25" s="158"/>
      <c r="HT25" s="158"/>
      <c r="HU25" s="158"/>
      <c r="HV25" s="158"/>
      <c r="HW25" s="158"/>
      <c r="HX25" s="158"/>
      <c r="HY25" s="158"/>
      <c r="HZ25" s="158"/>
      <c r="IA25" s="158"/>
      <c r="IB25" s="158"/>
      <c r="IC25" s="158"/>
      <c r="ID25" s="158"/>
      <c r="IE25" s="158"/>
      <c r="IF25" s="158"/>
      <c r="IG25" s="158"/>
      <c r="IH25" s="158"/>
      <c r="II25" s="158"/>
      <c r="IJ25" s="158"/>
      <c r="IK25" s="158"/>
      <c r="IL25" s="158"/>
      <c r="IM25" s="158"/>
      <c r="IN25" s="158"/>
      <c r="IO25" s="158"/>
      <c r="IP25" s="158"/>
      <c r="IQ25" s="158"/>
      <c r="IR25" s="158"/>
      <c r="IS25" s="158"/>
      <c r="IT25" s="158"/>
      <c r="IU25" s="158"/>
    </row>
    <row r="26" spans="1:255" ht="15.3" x14ac:dyDescent="0.55000000000000004">
      <c r="A26" s="169">
        <f>'Variable Input'!A26</f>
        <v>210030</v>
      </c>
      <c r="B26" s="169" t="str">
        <f>'Variable Input'!B26</f>
        <v>UM-SHORE REGIONAL HEALTH AT CHESTERTOWN</v>
      </c>
      <c r="C26" s="167">
        <f>VLOOKUP(A26,'Variable Input'!$1:$1048576,3,FALSE)</f>
        <v>1</v>
      </c>
      <c r="D26" s="167">
        <f>VLOOKUP(A26,'Variable Input'!$1:$1048576,4,FALSE)</f>
        <v>3</v>
      </c>
      <c r="E26" s="162">
        <f>VLOOKUP(A26,'Variable Input'!$1:$1048576,5,FALSE)</f>
        <v>1</v>
      </c>
      <c r="F26" s="160">
        <f>VLOOKUP(A26,'Variable Input'!$1:$1048576,7,FALSE)</f>
        <v>2175.2241478610003</v>
      </c>
      <c r="G26" s="162">
        <f>IFERROR((VLOOKUP(A26,'Variable Input'!$1:$1048576,24,FALSE)-VLOOKUP(A26,'DME22'!$1:$1048576,11,FALSE))*VLOOKUP(A26,Volume!A:K,11,FALSE),0)</f>
        <v>0</v>
      </c>
      <c r="H26" s="159">
        <f t="shared" si="0"/>
        <v>0</v>
      </c>
      <c r="I26" s="162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</row>
    <row r="27" spans="1:255" ht="15.3" x14ac:dyDescent="0.55000000000000004">
      <c r="A27" s="169">
        <f>'Variable Input'!A27</f>
        <v>210032</v>
      </c>
      <c r="B27" s="169" t="str">
        <f>'Variable Input'!B27</f>
        <v>UNION HOSPITAL OF CECIL COUNTY</v>
      </c>
      <c r="C27" s="167">
        <f>VLOOKUP(A27,'Variable Input'!$1:$1048576,3,FALSE)</f>
        <v>1</v>
      </c>
      <c r="D27" s="167">
        <f>VLOOKUP(A27,'Variable Input'!$1:$1048576,4,FALSE)</f>
        <v>3</v>
      </c>
      <c r="E27" s="162">
        <f>VLOOKUP(A27,'Variable Input'!$1:$1048576,5,FALSE)</f>
        <v>1</v>
      </c>
      <c r="F27" s="160">
        <f>VLOOKUP(A27,'Variable Input'!$1:$1048576,7,FALSE)</f>
        <v>10926.435215269013</v>
      </c>
      <c r="G27" s="162">
        <f>IFERROR((VLOOKUP(A27,'Variable Input'!$1:$1048576,24,FALSE)-VLOOKUP(A27,'DME22'!$1:$1048576,11,FALSE))*VLOOKUP(A27,Volume!A:K,11,FALSE),0)</f>
        <v>0</v>
      </c>
      <c r="H27" s="159">
        <f t="shared" si="0"/>
        <v>0</v>
      </c>
      <c r="I27" s="162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158"/>
      <c r="HJ27" s="158"/>
      <c r="HK27" s="158"/>
      <c r="HL27" s="158"/>
      <c r="HM27" s="158"/>
      <c r="HN27" s="158"/>
      <c r="HO27" s="158"/>
      <c r="HP27" s="158"/>
      <c r="HQ27" s="158"/>
      <c r="HR27" s="158"/>
      <c r="HS27" s="158"/>
      <c r="HT27" s="158"/>
      <c r="HU27" s="158"/>
      <c r="HV27" s="158"/>
      <c r="HW27" s="158"/>
      <c r="HX27" s="158"/>
      <c r="HY27" s="158"/>
      <c r="HZ27" s="158"/>
      <c r="IA27" s="158"/>
      <c r="IB27" s="158"/>
      <c r="IC27" s="158"/>
      <c r="ID27" s="158"/>
      <c r="IE27" s="158"/>
      <c r="IF27" s="158"/>
      <c r="IG27" s="158"/>
      <c r="IH27" s="158"/>
      <c r="II27" s="158"/>
      <c r="IJ27" s="158"/>
      <c r="IK27" s="158"/>
      <c r="IL27" s="158"/>
      <c r="IM27" s="158"/>
      <c r="IN27" s="158"/>
      <c r="IO27" s="158"/>
      <c r="IP27" s="158"/>
      <c r="IQ27" s="158"/>
      <c r="IR27" s="158"/>
      <c r="IS27" s="158"/>
      <c r="IT27" s="158"/>
      <c r="IU27" s="158"/>
    </row>
    <row r="28" spans="1:255" ht="15.3" x14ac:dyDescent="0.55000000000000004">
      <c r="A28" s="169">
        <f>'Variable Input'!A28</f>
        <v>210033</v>
      </c>
      <c r="B28" s="169" t="str">
        <f>'Variable Input'!B28</f>
        <v>CARROLL HOSPITAL CENTER</v>
      </c>
      <c r="C28" s="167">
        <f>VLOOKUP(A28,'Variable Input'!$1:$1048576,3,FALSE)</f>
        <v>1</v>
      </c>
      <c r="D28" s="167">
        <f>VLOOKUP(A28,'Variable Input'!$1:$1048576,4,FALSE)</f>
        <v>3</v>
      </c>
      <c r="E28" s="162">
        <f>VLOOKUP(A28,'Variable Input'!$1:$1048576,5,FALSE)</f>
        <v>1</v>
      </c>
      <c r="F28" s="160">
        <f>VLOOKUP(A28,'Variable Input'!$1:$1048576,7,FALSE)</f>
        <v>16462.876928917998</v>
      </c>
      <c r="G28" s="162">
        <f>IFERROR((VLOOKUP(A28,'Variable Input'!$1:$1048576,24,FALSE)-VLOOKUP(A28,'DME22'!$1:$1048576,11,FALSE))*VLOOKUP(A28,Volume!A:K,11,FALSE),0)</f>
        <v>0</v>
      </c>
      <c r="H28" s="159">
        <f t="shared" si="0"/>
        <v>0</v>
      </c>
      <c r="I28" s="162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  <c r="IQ28" s="158"/>
      <c r="IR28" s="158"/>
      <c r="IS28" s="158"/>
      <c r="IT28" s="158"/>
      <c r="IU28" s="158"/>
    </row>
    <row r="29" spans="1:255" ht="15.3" x14ac:dyDescent="0.55000000000000004">
      <c r="A29" s="169">
        <f>'Variable Input'!A29</f>
        <v>210034</v>
      </c>
      <c r="B29" s="169" t="str">
        <f>'Variable Input'!B29</f>
        <v>MEDSTAR HARBOR HOSPITAL CENTER</v>
      </c>
      <c r="C29" s="167">
        <f>VLOOKUP(A29,'Variable Input'!$1:$1048576,3,FALSE)</f>
        <v>1</v>
      </c>
      <c r="D29" s="167">
        <f>VLOOKUP(A29,'Variable Input'!$1:$1048576,4,FALSE)</f>
        <v>4</v>
      </c>
      <c r="E29" s="162">
        <f>VLOOKUP(A29,'Variable Input'!$1:$1048576,5,FALSE)</f>
        <v>1</v>
      </c>
      <c r="F29" s="160">
        <f>VLOOKUP(A29,'Variable Input'!$1:$1048576,7,FALSE)</f>
        <v>11637.098158323013</v>
      </c>
      <c r="G29" s="162">
        <f>IFERROR((VLOOKUP(A29,'Variable Input'!$1:$1048576,24,FALSE)-VLOOKUP(A29,'DME22'!$1:$1048576,11,FALSE))*VLOOKUP(A29,Volume!A:K,11,FALSE),0)</f>
        <v>19.353424657534262</v>
      </c>
      <c r="H29" s="159">
        <f t="shared" si="0"/>
        <v>1.6630799529427725E-3</v>
      </c>
      <c r="I29" s="162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</row>
    <row r="30" spans="1:255" ht="15.3" x14ac:dyDescent="0.55000000000000004">
      <c r="A30" s="169">
        <f>'Variable Input'!A30</f>
        <v>210035</v>
      </c>
      <c r="B30" s="169" t="str">
        <f>'Variable Input'!B30</f>
        <v>UM-CHARLES REGIONAL MEDICAL CENTER</v>
      </c>
      <c r="C30" s="167">
        <f>VLOOKUP(A30,'Variable Input'!$1:$1048576,3,FALSE)</f>
        <v>1</v>
      </c>
      <c r="D30" s="167">
        <f>VLOOKUP(A30,'Variable Input'!$1:$1048576,4,FALSE)</f>
        <v>3</v>
      </c>
      <c r="E30" s="162">
        <f>VLOOKUP(A30,'Variable Input'!$1:$1048576,5,FALSE)</f>
        <v>1</v>
      </c>
      <c r="F30" s="160">
        <f>VLOOKUP(A30,'Variable Input'!$1:$1048576,7,FALSE)</f>
        <v>12134.106723412984</v>
      </c>
      <c r="G30" s="162">
        <f>IFERROR((VLOOKUP(A30,'Variable Input'!$1:$1048576,24,FALSE)-VLOOKUP(A30,'DME22'!$1:$1048576,11,FALSE))*VLOOKUP(A30,Volume!A:K,11,FALSE),0)</f>
        <v>0</v>
      </c>
      <c r="H30" s="159">
        <f t="shared" si="0"/>
        <v>0</v>
      </c>
      <c r="I30" s="162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  <c r="ID30" s="158"/>
      <c r="IE30" s="158"/>
      <c r="IF30" s="158"/>
      <c r="IG30" s="158"/>
      <c r="IH30" s="158"/>
      <c r="II30" s="158"/>
      <c r="IJ30" s="158"/>
      <c r="IK30" s="158"/>
      <c r="IL30" s="158"/>
      <c r="IM30" s="158"/>
      <c r="IN30" s="158"/>
      <c r="IO30" s="158"/>
      <c r="IP30" s="158"/>
      <c r="IQ30" s="158"/>
      <c r="IR30" s="158"/>
      <c r="IS30" s="158"/>
      <c r="IT30" s="158"/>
      <c r="IU30" s="158"/>
    </row>
    <row r="31" spans="1:255" ht="15.3" x14ac:dyDescent="0.55000000000000004">
      <c r="A31" s="169">
        <f>'Variable Input'!A31</f>
        <v>210037</v>
      </c>
      <c r="B31" s="169" t="str">
        <f>'Variable Input'!B31</f>
        <v>UM-SHORE REGIONAL HEALTH AT EASTON</v>
      </c>
      <c r="C31" s="167">
        <f>VLOOKUP(A31,'Variable Input'!$1:$1048576,3,FALSE)</f>
        <v>1</v>
      </c>
      <c r="D31" s="167">
        <f>VLOOKUP(A31,'Variable Input'!$1:$1048576,4,FALSE)</f>
        <v>3</v>
      </c>
      <c r="E31" s="162">
        <f>VLOOKUP(A31,'Variable Input'!$1:$1048576,5,FALSE)</f>
        <v>1</v>
      </c>
      <c r="F31" s="160">
        <f>VLOOKUP(A31,'Variable Input'!$1:$1048576,7,FALSE)</f>
        <v>14334.792159748988</v>
      </c>
      <c r="G31" s="162">
        <f>IFERROR((VLOOKUP(A31,'Variable Input'!$1:$1048576,24,FALSE)-VLOOKUP(A31,'DME22'!$1:$1048576,11,FALSE))*VLOOKUP(A31,Volume!A:K,11,FALSE),0)</f>
        <v>0</v>
      </c>
      <c r="H31" s="159">
        <f t="shared" si="0"/>
        <v>0</v>
      </c>
      <c r="I31" s="162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158"/>
      <c r="HN31" s="158"/>
      <c r="HO31" s="158"/>
      <c r="HP31" s="158"/>
      <c r="HQ31" s="158"/>
      <c r="HR31" s="158"/>
      <c r="HS31" s="158"/>
      <c r="HT31" s="158"/>
      <c r="HU31" s="158"/>
      <c r="HV31" s="158"/>
      <c r="HW31" s="158"/>
      <c r="HX31" s="158"/>
      <c r="HY31" s="158"/>
      <c r="HZ31" s="158"/>
      <c r="IA31" s="158"/>
      <c r="IB31" s="158"/>
      <c r="IC31" s="158"/>
      <c r="ID31" s="158"/>
      <c r="IE31" s="158"/>
      <c r="IF31" s="158"/>
      <c r="IG31" s="158"/>
      <c r="IH31" s="158"/>
      <c r="II31" s="158"/>
      <c r="IJ31" s="158"/>
      <c r="IK31" s="158"/>
      <c r="IL31" s="158"/>
      <c r="IM31" s="158"/>
      <c r="IN31" s="158"/>
      <c r="IO31" s="158"/>
      <c r="IP31" s="158"/>
      <c r="IQ31" s="158"/>
      <c r="IR31" s="158"/>
      <c r="IS31" s="158"/>
      <c r="IT31" s="158"/>
      <c r="IU31" s="158"/>
    </row>
    <row r="32" spans="1:255" ht="15.3" x14ac:dyDescent="0.55000000000000004">
      <c r="A32" s="169">
        <f>'Variable Input'!A32</f>
        <v>210038</v>
      </c>
      <c r="B32" s="169" t="str">
        <f>'Variable Input'!B32</f>
        <v>UMMC MIDTOWN CAMPUS</v>
      </c>
      <c r="C32" s="167">
        <f>VLOOKUP(A32,'Variable Input'!$1:$1048576,3,FALSE)</f>
        <v>1</v>
      </c>
      <c r="D32" s="167">
        <f>VLOOKUP(A32,'Variable Input'!$1:$1048576,4,FALSE)</f>
        <v>4</v>
      </c>
      <c r="E32" s="162">
        <f>VLOOKUP(A32,'Variable Input'!$1:$1048576,5,FALSE)</f>
        <v>1</v>
      </c>
      <c r="F32" s="160">
        <f>VLOOKUP(A32,'Variable Input'!$1:$1048576,7,FALSE)</f>
        <v>10658.398211444006</v>
      </c>
      <c r="G32" s="162">
        <f>IFERROR((VLOOKUP(A32,'Variable Input'!$1:$1048576,24,FALSE)-VLOOKUP(A32,'DME22'!$1:$1048576,11,FALSE))*VLOOKUP(A32,Volume!A:K,11,FALSE),0)</f>
        <v>37.058169531804332</v>
      </c>
      <c r="H32" s="159">
        <f t="shared" si="0"/>
        <v>3.4768985729970833E-3</v>
      </c>
      <c r="I32" s="162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</row>
    <row r="33" spans="1:255" ht="15.3" x14ac:dyDescent="0.55000000000000004">
      <c r="A33" s="169">
        <f>'Variable Input'!A33</f>
        <v>210039</v>
      </c>
      <c r="B33" s="169" t="str">
        <f>'Variable Input'!B33</f>
        <v>CALVERT MEMORIAL HOSPITAL</v>
      </c>
      <c r="C33" s="167">
        <f>VLOOKUP(A33,'Variable Input'!$1:$1048576,3,FALSE)</f>
        <v>1</v>
      </c>
      <c r="D33" s="167">
        <f>VLOOKUP(A33,'Variable Input'!$1:$1048576,4,FALSE)</f>
        <v>3</v>
      </c>
      <c r="E33" s="162">
        <f>VLOOKUP(A33,'Variable Input'!$1:$1048576,5,FALSE)</f>
        <v>1</v>
      </c>
      <c r="F33" s="160">
        <f>VLOOKUP(A33,'Variable Input'!$1:$1048576,7,FALSE)</f>
        <v>10412.594138032973</v>
      </c>
      <c r="G33" s="162">
        <f>IFERROR((VLOOKUP(A33,'Variable Input'!$1:$1048576,24,FALSE)-VLOOKUP(A33,'DME22'!$1:$1048576,11,FALSE))*VLOOKUP(A33,Volume!A:K,11,FALSE),0)</f>
        <v>0</v>
      </c>
      <c r="H33" s="159">
        <f t="shared" si="0"/>
        <v>0</v>
      </c>
      <c r="I33" s="162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</row>
    <row r="34" spans="1:255" ht="15.3" x14ac:dyDescent="0.55000000000000004">
      <c r="A34" s="169">
        <f>'Variable Input'!A34</f>
        <v>210040</v>
      </c>
      <c r="B34" s="169" t="str">
        <f>'Variable Input'!B34</f>
        <v>NORTHWEST HOSPITAL CENTER</v>
      </c>
      <c r="C34" s="167">
        <f>VLOOKUP(A34,'Variable Input'!$1:$1048576,3,FALSE)</f>
        <v>1</v>
      </c>
      <c r="D34" s="167">
        <f>VLOOKUP(A34,'Variable Input'!$1:$1048576,4,FALSE)</f>
        <v>3</v>
      </c>
      <c r="E34" s="162">
        <f>VLOOKUP(A34,'Variable Input'!$1:$1048576,5,FALSE)</f>
        <v>1</v>
      </c>
      <c r="F34" s="160">
        <f>VLOOKUP(A34,'Variable Input'!$1:$1048576,7,FALSE)</f>
        <v>15965.725843327995</v>
      </c>
      <c r="G34" s="162">
        <f>IFERROR((VLOOKUP(A34,'Variable Input'!$1:$1048576,24,FALSE)-VLOOKUP(A34,'DME22'!$1:$1048576,11,FALSE))*VLOOKUP(A34,Volume!A:K,11,FALSE),0)</f>
        <v>0</v>
      </c>
      <c r="H34" s="159">
        <f t="shared" si="0"/>
        <v>0</v>
      </c>
      <c r="I34" s="162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</row>
    <row r="35" spans="1:255" ht="15.3" x14ac:dyDescent="0.55000000000000004">
      <c r="A35" s="169">
        <f>'Variable Input'!A35</f>
        <v>210043</v>
      </c>
      <c r="B35" s="169" t="str">
        <f>'Variable Input'!B35</f>
        <v>UM-BALTIMORE WASHINGTON MEDICAL CENTER</v>
      </c>
      <c r="C35" s="167">
        <f>VLOOKUP(A35,'Variable Input'!$1:$1048576,3,FALSE)</f>
        <v>1</v>
      </c>
      <c r="D35" s="167">
        <f>VLOOKUP(A35,'Variable Input'!$1:$1048576,4,FALSE)</f>
        <v>1</v>
      </c>
      <c r="E35" s="162">
        <f>VLOOKUP(A35,'Variable Input'!$1:$1048576,5,FALSE)</f>
        <v>1</v>
      </c>
      <c r="F35" s="160">
        <f>VLOOKUP(A35,'Variable Input'!$1:$1048576,7,FALSE)</f>
        <v>30943.516611114035</v>
      </c>
      <c r="G35" s="162">
        <f>IFERROR((VLOOKUP(A35,'Variable Input'!$1:$1048576,24,FALSE)-VLOOKUP(A35,'DME22'!$1:$1048576,11,FALSE))*VLOOKUP(A35,Volume!A:K,11,FALSE),0)</f>
        <v>4.9999999999999982</v>
      </c>
      <c r="H35" s="159">
        <f t="shared" ref="H35:H54" si="1">G35/F35</f>
        <v>1.6158473721128837E-4</v>
      </c>
      <c r="I35" s="162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</row>
    <row r="36" spans="1:255" ht="15.3" x14ac:dyDescent="0.55000000000000004">
      <c r="A36" s="169">
        <f>'Variable Input'!A36</f>
        <v>210044</v>
      </c>
      <c r="B36" s="169" t="str">
        <f>'Variable Input'!B36</f>
        <v>GREATER BALTIMORE MEDICAL CENTER</v>
      </c>
      <c r="C36" s="167">
        <f>VLOOKUP(A36,'Variable Input'!$1:$1048576,3,FALSE)</f>
        <v>1</v>
      </c>
      <c r="D36" s="167">
        <f>VLOOKUP(A36,'Variable Input'!$1:$1048576,4,FALSE)</f>
        <v>1</v>
      </c>
      <c r="E36" s="162">
        <f>VLOOKUP(A36,'Variable Input'!$1:$1048576,5,FALSE)</f>
        <v>1</v>
      </c>
      <c r="F36" s="160">
        <f>VLOOKUP(A36,'Variable Input'!$1:$1048576,7,FALSE)</f>
        <v>30637.922123716067</v>
      </c>
      <c r="G36" s="162">
        <f>IFERROR((VLOOKUP(A36,'Variable Input'!$1:$1048576,24,FALSE)-VLOOKUP(A36,'DME22'!$1:$1048576,11,FALSE))*VLOOKUP(A36,Volume!A:K,11,FALSE),0)</f>
        <v>58.000000000000014</v>
      </c>
      <c r="H36" s="159">
        <f t="shared" si="1"/>
        <v>1.893078772306939E-3</v>
      </c>
      <c r="I36" s="162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</row>
    <row r="37" spans="1:255" ht="15.3" x14ac:dyDescent="0.55000000000000004">
      <c r="A37" s="169">
        <f>'Variable Input'!A37</f>
        <v>210045</v>
      </c>
      <c r="B37" s="169" t="str">
        <f>'Variable Input'!B37</f>
        <v>MCCREADY MEMORIAL HOSPITAL</v>
      </c>
      <c r="C37" s="167" t="str">
        <f>VLOOKUP(A37,'Variable Input'!$1:$1048576,3,FALSE)</f>
        <v>NA</v>
      </c>
      <c r="D37" s="167">
        <f>VLOOKUP(A37,'Variable Input'!$1:$1048576,4,FALSE)</f>
        <v>3</v>
      </c>
      <c r="E37" s="162">
        <f>VLOOKUP(A37,'Variable Input'!$1:$1048576,5,FALSE)</f>
        <v>1</v>
      </c>
      <c r="F37" s="160">
        <f>VLOOKUP(A37,'Variable Input'!$1:$1048576,7,FALSE)</f>
        <v>566.52872944799947</v>
      </c>
      <c r="G37" s="162">
        <f>IFERROR((VLOOKUP(A37,'Variable Input'!$1:$1048576,24,FALSE)-VLOOKUP(A37,'DME22'!$1:$1048576,11,FALSE))*VLOOKUP(A37,Volume!A:K,11,FALSE),0)</f>
        <v>0</v>
      </c>
      <c r="H37" s="159">
        <f t="shared" si="1"/>
        <v>0</v>
      </c>
      <c r="I37" s="162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</row>
    <row r="38" spans="1:255" ht="15.3" x14ac:dyDescent="0.55000000000000004">
      <c r="A38" s="169">
        <f>'Variable Input'!A38</f>
        <v>210048</v>
      </c>
      <c r="B38" s="169" t="str">
        <f>'Variable Input'!B38</f>
        <v>HOWARD COUNTY GENERAL HOSPITAL</v>
      </c>
      <c r="C38" s="167">
        <f>VLOOKUP(A38,'Variable Input'!$1:$1048576,3,FALSE)</f>
        <v>1</v>
      </c>
      <c r="D38" s="167">
        <f>VLOOKUP(A38,'Variable Input'!$1:$1048576,4,FALSE)</f>
        <v>3</v>
      </c>
      <c r="E38" s="162">
        <f>VLOOKUP(A38,'Variable Input'!$1:$1048576,5,FALSE)</f>
        <v>1</v>
      </c>
      <c r="F38" s="160">
        <f>VLOOKUP(A38,'Variable Input'!$1:$1048576,7,FALSE)</f>
        <v>24559.146065829038</v>
      </c>
      <c r="G38" s="162">
        <f>IFERROR((VLOOKUP(A38,'Variable Input'!$1:$1048576,24,FALSE)-VLOOKUP(A38,'DME22'!$1:$1048576,11,FALSE))*VLOOKUP(A38,Volume!A:K,11,FALSE),0)</f>
        <v>0</v>
      </c>
      <c r="H38" s="159">
        <f t="shared" si="1"/>
        <v>0</v>
      </c>
      <c r="I38" s="162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</row>
    <row r="39" spans="1:255" ht="15.3" x14ac:dyDescent="0.55000000000000004">
      <c r="A39" s="169">
        <f>'Variable Input'!A39</f>
        <v>210049</v>
      </c>
      <c r="B39" s="169" t="str">
        <f>'Variable Input'!B39</f>
        <v>UM-UPPER CHESAPEAKE MEDICAL CENTER</v>
      </c>
      <c r="C39" s="167">
        <f>VLOOKUP(A39,'Variable Input'!$1:$1048576,3,FALSE)</f>
        <v>1</v>
      </c>
      <c r="D39" s="167">
        <f>VLOOKUP(A39,'Variable Input'!$1:$1048576,4,FALSE)</f>
        <v>3</v>
      </c>
      <c r="E39" s="162">
        <f>VLOOKUP(A39,'Variable Input'!$1:$1048576,5,FALSE)</f>
        <v>1</v>
      </c>
      <c r="F39" s="160">
        <f>VLOOKUP(A39,'Variable Input'!$1:$1048576,7,FALSE)</f>
        <v>24233.031990069048</v>
      </c>
      <c r="G39" s="162">
        <f>IFERROR((VLOOKUP(A39,'Variable Input'!$1:$1048576,24,FALSE)-VLOOKUP(A39,'DME22'!$1:$1048576,11,FALSE))*VLOOKUP(A39,Volume!A:K,11,FALSE),0)</f>
        <v>0</v>
      </c>
      <c r="H39" s="159">
        <f t="shared" si="1"/>
        <v>0</v>
      </c>
      <c r="I39" s="162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  <c r="ID39" s="158"/>
      <c r="IE39" s="158"/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  <c r="IQ39" s="158"/>
      <c r="IR39" s="158"/>
      <c r="IS39" s="158"/>
      <c r="IT39" s="158"/>
      <c r="IU39" s="158"/>
    </row>
    <row r="40" spans="1:255" ht="15.3" x14ac:dyDescent="0.55000000000000004">
      <c r="A40" s="169">
        <f>'Variable Input'!A40</f>
        <v>210051</v>
      </c>
      <c r="B40" s="169" t="str">
        <f>'Variable Input'!B40</f>
        <v>DOCTORS COMMUNITY HOSPITAL</v>
      </c>
      <c r="C40" s="167">
        <f>VLOOKUP(A40,'Variable Input'!$1:$1048576,3,FALSE)</f>
        <v>1</v>
      </c>
      <c r="D40" s="167">
        <f>VLOOKUP(A40,'Variable Input'!$1:$1048576,4,FALSE)</f>
        <v>3</v>
      </c>
      <c r="E40" s="162">
        <f>VLOOKUP(A40,'Variable Input'!$1:$1048576,5,FALSE)</f>
        <v>1</v>
      </c>
      <c r="F40" s="160">
        <f>VLOOKUP(A40,'Variable Input'!$1:$1048576,7,FALSE)</f>
        <v>15907.038226505023</v>
      </c>
      <c r="G40" s="162">
        <f>IFERROR((VLOOKUP(A40,'Variable Input'!$1:$1048576,24,FALSE)-VLOOKUP(A40,'DME22'!$1:$1048576,11,FALSE))*VLOOKUP(A40,Volume!A:K,11,FALSE),0)</f>
        <v>0</v>
      </c>
      <c r="H40" s="159">
        <f t="shared" si="1"/>
        <v>0</v>
      </c>
      <c r="I40" s="162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8"/>
      <c r="IO40" s="158"/>
      <c r="IP40" s="158"/>
      <c r="IQ40" s="158"/>
      <c r="IR40" s="158"/>
      <c r="IS40" s="158"/>
      <c r="IT40" s="158"/>
      <c r="IU40" s="158"/>
    </row>
    <row r="41" spans="1:255" ht="15.3" x14ac:dyDescent="0.55000000000000004">
      <c r="A41" s="169">
        <f>'Variable Input'!A41</f>
        <v>210055</v>
      </c>
      <c r="B41" s="169" t="str">
        <f>'Variable Input'!B41</f>
        <v>LAUREL REGIONAL HOSPITAL</v>
      </c>
      <c r="C41" s="167" t="str">
        <f>VLOOKUP(A41,'Variable Input'!$1:$1048576,3,FALSE)</f>
        <v>NA</v>
      </c>
      <c r="D41" s="167">
        <f>VLOOKUP(A41,'Variable Input'!$1:$1048576,4,FALSE)</f>
        <v>3</v>
      </c>
      <c r="E41" s="162">
        <f>VLOOKUP(A41,'Variable Input'!$1:$1048576,5,FALSE)</f>
        <v>1</v>
      </c>
      <c r="F41" s="160">
        <f>VLOOKUP(A41,'Variable Input'!$1:$1048576,7,FALSE)</f>
        <v>1984.4844588999965</v>
      </c>
      <c r="G41" s="162">
        <f>IFERROR((VLOOKUP(A41,'Variable Input'!$1:$1048576,24,FALSE)-VLOOKUP(A41,'DME22'!$1:$1048576,11,FALSE))*VLOOKUP(A41,Volume!A:K,11,FALSE),0)</f>
        <v>0</v>
      </c>
      <c r="H41" s="159">
        <f t="shared" si="1"/>
        <v>0</v>
      </c>
      <c r="I41" s="162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  <c r="ID41" s="158"/>
      <c r="IE41" s="158"/>
      <c r="IF41" s="158"/>
      <c r="IG41" s="158"/>
      <c r="IH41" s="158"/>
      <c r="II41" s="158"/>
      <c r="IJ41" s="158"/>
      <c r="IK41" s="158"/>
      <c r="IL41" s="158"/>
      <c r="IM41" s="158"/>
      <c r="IN41" s="158"/>
      <c r="IO41" s="158"/>
      <c r="IP41" s="158"/>
      <c r="IQ41" s="158"/>
      <c r="IR41" s="158"/>
      <c r="IS41" s="158"/>
      <c r="IT41" s="158"/>
      <c r="IU41" s="158"/>
    </row>
    <row r="42" spans="1:255" ht="15.3" x14ac:dyDescent="0.55000000000000004">
      <c r="A42" s="169">
        <f>'Variable Input'!A42</f>
        <v>210056</v>
      </c>
      <c r="B42" s="169" t="str">
        <f>'Variable Input'!B42</f>
        <v>MEDSTAR GOOD SAMARITAN</v>
      </c>
      <c r="C42" s="167">
        <f>VLOOKUP(A42,'Variable Input'!$1:$1048576,3,FALSE)</f>
        <v>1</v>
      </c>
      <c r="D42" s="167">
        <f>VLOOKUP(A42,'Variable Input'!$1:$1048576,4,FALSE)</f>
        <v>1</v>
      </c>
      <c r="E42" s="162">
        <f>VLOOKUP(A42,'Variable Input'!$1:$1048576,5,FALSE)</f>
        <v>1</v>
      </c>
      <c r="F42" s="160">
        <f>VLOOKUP(A42,'Variable Input'!$1:$1048576,7,FALSE)</f>
        <v>16881.552106553001</v>
      </c>
      <c r="G42" s="162">
        <f>IFERROR((VLOOKUP(A42,'Variable Input'!$1:$1048576,24,FALSE)-VLOOKUP(A42,'DME22'!$1:$1048576,11,FALSE))*VLOOKUP(A42,Volume!A:K,11,FALSE),0)</f>
        <v>15.125479452054776</v>
      </c>
      <c r="H42" s="159">
        <f t="shared" si="1"/>
        <v>8.9597682467736116E-4</v>
      </c>
      <c r="I42" s="162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  <c r="ID42" s="158"/>
      <c r="IE42" s="158"/>
      <c r="IF42" s="158"/>
      <c r="IG42" s="158"/>
      <c r="IH42" s="158"/>
      <c r="II42" s="158"/>
      <c r="IJ42" s="158"/>
      <c r="IK42" s="158"/>
      <c r="IL42" s="158"/>
      <c r="IM42" s="158"/>
      <c r="IN42" s="158"/>
      <c r="IO42" s="158"/>
      <c r="IP42" s="158"/>
      <c r="IQ42" s="158"/>
      <c r="IR42" s="158"/>
      <c r="IS42" s="158"/>
      <c r="IT42" s="158"/>
      <c r="IU42" s="158"/>
    </row>
    <row r="43" spans="1:255" ht="15.3" x14ac:dyDescent="0.55000000000000004">
      <c r="A43" s="169">
        <f>'Variable Input'!A43</f>
        <v>210057</v>
      </c>
      <c r="B43" s="169" t="str">
        <f>'Variable Input'!B43</f>
        <v>SHADY GROVE ADVENTIST HOSPITAL</v>
      </c>
      <c r="C43" s="167">
        <f>VLOOKUP(A43,'Variable Input'!$1:$1048576,3,FALSE)</f>
        <v>1</v>
      </c>
      <c r="D43" s="167">
        <f>VLOOKUP(A43,'Variable Input'!$1:$1048576,4,FALSE)</f>
        <v>3</v>
      </c>
      <c r="E43" s="162">
        <f>VLOOKUP(A43,'Variable Input'!$1:$1048576,5,FALSE)</f>
        <v>1</v>
      </c>
      <c r="F43" s="160">
        <f>VLOOKUP(A43,'Variable Input'!$1:$1048576,7,FALSE)</f>
        <v>29567.442541858047</v>
      </c>
      <c r="G43" s="162">
        <f>IFERROR((VLOOKUP(A43,'Variable Input'!$1:$1048576,24,FALSE)-VLOOKUP(A43,'DME22'!$1:$1048576,11,FALSE))*VLOOKUP(A43,Volume!A:K,11,FALSE),0)</f>
        <v>0</v>
      </c>
      <c r="H43" s="159">
        <f t="shared" si="1"/>
        <v>0</v>
      </c>
      <c r="I43" s="162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158"/>
      <c r="GR43" s="158"/>
      <c r="GS43" s="158"/>
      <c r="GT43" s="158"/>
      <c r="GU43" s="158"/>
      <c r="GV43" s="158"/>
      <c r="GW43" s="158"/>
      <c r="GX43" s="158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158"/>
      <c r="HJ43" s="158"/>
      <c r="HK43" s="158"/>
      <c r="HL43" s="158"/>
      <c r="HM43" s="158"/>
      <c r="HN43" s="158"/>
      <c r="HO43" s="158"/>
      <c r="HP43" s="158"/>
      <c r="HQ43" s="158"/>
      <c r="HR43" s="158"/>
      <c r="HS43" s="158"/>
      <c r="HT43" s="158"/>
      <c r="HU43" s="158"/>
      <c r="HV43" s="158"/>
      <c r="HW43" s="158"/>
      <c r="HX43" s="158"/>
      <c r="HY43" s="158"/>
      <c r="HZ43" s="158"/>
      <c r="IA43" s="158"/>
      <c r="IB43" s="158"/>
      <c r="IC43" s="158"/>
      <c r="ID43" s="158"/>
      <c r="IE43" s="158"/>
      <c r="IF43" s="158"/>
      <c r="IG43" s="158"/>
      <c r="IH43" s="158"/>
      <c r="II43" s="158"/>
      <c r="IJ43" s="158"/>
      <c r="IK43" s="158"/>
      <c r="IL43" s="158"/>
      <c r="IM43" s="158"/>
      <c r="IN43" s="158"/>
      <c r="IO43" s="158"/>
      <c r="IP43" s="158"/>
      <c r="IQ43" s="158"/>
      <c r="IR43" s="158"/>
      <c r="IS43" s="158"/>
      <c r="IT43" s="158"/>
      <c r="IU43" s="158"/>
    </row>
    <row r="44" spans="1:255" ht="15.3" x14ac:dyDescent="0.55000000000000004">
      <c r="A44" s="169">
        <f>'Variable Input'!A44</f>
        <v>210058</v>
      </c>
      <c r="B44" s="169" t="str">
        <f>'Variable Input'!B44</f>
        <v>UM-REHABILITATION &amp; ORTHOPAEDIC INSTITUTE</v>
      </c>
      <c r="C44" s="167">
        <f>VLOOKUP(A44,'Variable Input'!$1:$1048576,3,FALSE)</f>
        <v>1</v>
      </c>
      <c r="D44" s="167">
        <f>VLOOKUP(A44,'Variable Input'!$1:$1048576,4,FALSE)</f>
        <v>1</v>
      </c>
      <c r="E44" s="162">
        <f>VLOOKUP(A44,'Variable Input'!$1:$1048576,5,FALSE)</f>
        <v>1</v>
      </c>
      <c r="F44" s="160">
        <f>VLOOKUP(A44,'Variable Input'!$1:$1048576,7,FALSE)</f>
        <v>5264.4707007620054</v>
      </c>
      <c r="G44" s="162">
        <f>IFERROR((VLOOKUP(A44,'Variable Input'!$1:$1048576,24,FALSE)-VLOOKUP(A44,'DME22'!$1:$1048576,11,FALSE))*VLOOKUP(A44,Volume!A:K,11,FALSE),0)</f>
        <v>9.5171679308388679</v>
      </c>
      <c r="H44" s="159">
        <f t="shared" si="1"/>
        <v>1.8078109788817528E-3</v>
      </c>
      <c r="I44" s="162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158"/>
      <c r="DK44" s="158"/>
      <c r="DL44" s="158"/>
      <c r="DM44" s="158"/>
      <c r="DN44" s="158"/>
      <c r="DO44" s="158"/>
      <c r="DP44" s="158"/>
      <c r="DQ44" s="158"/>
      <c r="DR44" s="158"/>
      <c r="DS44" s="158"/>
      <c r="DT44" s="158"/>
      <c r="DU44" s="158"/>
      <c r="DV44" s="158"/>
      <c r="DW44" s="158"/>
      <c r="DX44" s="158"/>
      <c r="DY44" s="158"/>
      <c r="DZ44" s="158"/>
      <c r="EA44" s="158"/>
      <c r="EB44" s="158"/>
      <c r="EC44" s="158"/>
      <c r="ED44" s="158"/>
      <c r="EE44" s="158"/>
      <c r="EF44" s="158"/>
      <c r="EG44" s="158"/>
      <c r="EH44" s="158"/>
      <c r="EI44" s="158"/>
      <c r="EJ44" s="158"/>
      <c r="EK44" s="158"/>
      <c r="EL44" s="158"/>
      <c r="EM44" s="158"/>
      <c r="EN44" s="158"/>
      <c r="EO44" s="158"/>
      <c r="EP44" s="158"/>
      <c r="EQ44" s="158"/>
      <c r="ER44" s="158"/>
      <c r="ES44" s="158"/>
      <c r="ET44" s="158"/>
      <c r="EU44" s="158"/>
      <c r="EV44" s="158"/>
      <c r="EW44" s="158"/>
      <c r="EX44" s="158"/>
      <c r="EY44" s="158"/>
      <c r="EZ44" s="158"/>
      <c r="FA44" s="158"/>
      <c r="FB44" s="158"/>
      <c r="FC44" s="158"/>
      <c r="FD44" s="158"/>
      <c r="FE44" s="158"/>
      <c r="FF44" s="158"/>
      <c r="FG44" s="158"/>
      <c r="FH44" s="158"/>
      <c r="FI44" s="158"/>
      <c r="FJ44" s="158"/>
      <c r="FK44" s="158"/>
      <c r="FL44" s="158"/>
      <c r="FM44" s="158"/>
      <c r="FN44" s="158"/>
      <c r="FO44" s="158"/>
      <c r="FP44" s="158"/>
      <c r="FQ44" s="158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  <c r="GD44" s="158"/>
      <c r="GE44" s="158"/>
      <c r="GF44" s="158"/>
      <c r="GG44" s="158"/>
      <c r="GH44" s="158"/>
      <c r="GI44" s="158"/>
      <c r="GJ44" s="158"/>
      <c r="GK44" s="158"/>
      <c r="GL44" s="158"/>
      <c r="GM44" s="158"/>
      <c r="GN44" s="158"/>
      <c r="GO44" s="158"/>
      <c r="GP44" s="158"/>
      <c r="GQ44" s="158"/>
      <c r="GR44" s="158"/>
      <c r="GS44" s="158"/>
      <c r="GT44" s="158"/>
      <c r="GU44" s="158"/>
      <c r="GV44" s="158"/>
      <c r="GW44" s="158"/>
      <c r="GX44" s="158"/>
      <c r="GY44" s="158"/>
      <c r="GZ44" s="158"/>
      <c r="HA44" s="158"/>
      <c r="HB44" s="158"/>
      <c r="HC44" s="158"/>
      <c r="HD44" s="158"/>
      <c r="HE44" s="158"/>
      <c r="HF44" s="158"/>
      <c r="HG44" s="158"/>
      <c r="HH44" s="158"/>
      <c r="HI44" s="158"/>
      <c r="HJ44" s="158"/>
      <c r="HK44" s="158"/>
      <c r="HL44" s="158"/>
      <c r="HM44" s="158"/>
      <c r="HN44" s="158"/>
      <c r="HO44" s="158"/>
      <c r="HP44" s="158"/>
      <c r="HQ44" s="158"/>
      <c r="HR44" s="158"/>
      <c r="HS44" s="158"/>
      <c r="HT44" s="158"/>
      <c r="HU44" s="158"/>
      <c r="HV44" s="158"/>
      <c r="HW44" s="158"/>
      <c r="HX44" s="158"/>
      <c r="HY44" s="158"/>
      <c r="HZ44" s="158"/>
      <c r="IA44" s="158"/>
      <c r="IB44" s="158"/>
      <c r="IC44" s="158"/>
      <c r="ID44" s="158"/>
      <c r="IE44" s="158"/>
      <c r="IF44" s="158"/>
      <c r="IG44" s="158"/>
      <c r="IH44" s="158"/>
      <c r="II44" s="158"/>
      <c r="IJ44" s="158"/>
      <c r="IK44" s="158"/>
      <c r="IL44" s="158"/>
      <c r="IM44" s="158"/>
      <c r="IN44" s="158"/>
      <c r="IO44" s="158"/>
      <c r="IP44" s="158"/>
      <c r="IQ44" s="158"/>
      <c r="IR44" s="158"/>
      <c r="IS44" s="158"/>
      <c r="IT44" s="158"/>
      <c r="IU44" s="158"/>
    </row>
    <row r="45" spans="1:255" ht="15.3" x14ac:dyDescent="0.55000000000000004">
      <c r="A45" s="169">
        <f>'Variable Input'!A45</f>
        <v>210060</v>
      </c>
      <c r="B45" s="169" t="str">
        <f>'Variable Input'!B45</f>
        <v>FORT WASHINGTON MEDICAL CENTER</v>
      </c>
      <c r="C45" s="167">
        <f>VLOOKUP(A45,'Variable Input'!$1:$1048576,3,FALSE)</f>
        <v>1</v>
      </c>
      <c r="D45" s="167">
        <f>VLOOKUP(A45,'Variable Input'!$1:$1048576,4,FALSE)</f>
        <v>3</v>
      </c>
      <c r="E45" s="162">
        <f>VLOOKUP(A45,'Variable Input'!$1:$1048576,5,FALSE)</f>
        <v>1</v>
      </c>
      <c r="F45" s="160">
        <f>VLOOKUP(A45,'Variable Input'!$1:$1048576,7,FALSE)</f>
        <v>3719.0107248960016</v>
      </c>
      <c r="G45" s="162">
        <f>IFERROR((VLOOKUP(A45,'Variable Input'!$1:$1048576,24,FALSE)-VLOOKUP(A45,'DME22'!$1:$1048576,11,FALSE))*VLOOKUP(A45,Volume!A:K,11,FALSE),0)</f>
        <v>0</v>
      </c>
      <c r="H45" s="159">
        <f t="shared" si="1"/>
        <v>0</v>
      </c>
      <c r="I45" s="162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P45" s="158"/>
      <c r="GQ45" s="158"/>
      <c r="GR45" s="158"/>
      <c r="GS45" s="158"/>
      <c r="GT45" s="158"/>
      <c r="GU45" s="158"/>
      <c r="GV45" s="158"/>
      <c r="GW45" s="158"/>
      <c r="GX45" s="158"/>
      <c r="GY45" s="158"/>
      <c r="GZ45" s="158"/>
      <c r="HA45" s="158"/>
      <c r="HB45" s="158"/>
      <c r="HC45" s="158"/>
      <c r="HD45" s="158"/>
      <c r="HE45" s="158"/>
      <c r="HF45" s="158"/>
      <c r="HG45" s="158"/>
      <c r="HH45" s="158"/>
      <c r="HI45" s="158"/>
      <c r="HJ45" s="158"/>
      <c r="HK45" s="158"/>
      <c r="HL45" s="158"/>
      <c r="HM45" s="158"/>
      <c r="HN45" s="158"/>
      <c r="HO45" s="158"/>
      <c r="HP45" s="158"/>
      <c r="HQ45" s="158"/>
      <c r="HR45" s="158"/>
      <c r="HS45" s="158"/>
      <c r="HT45" s="158"/>
      <c r="HU45" s="158"/>
      <c r="HV45" s="158"/>
      <c r="HW45" s="158"/>
      <c r="HX45" s="158"/>
      <c r="HY45" s="158"/>
      <c r="HZ45" s="158"/>
      <c r="IA45" s="158"/>
      <c r="IB45" s="158"/>
      <c r="IC45" s="158"/>
      <c r="ID45" s="158"/>
      <c r="IE45" s="158"/>
      <c r="IF45" s="158"/>
      <c r="IG45" s="158"/>
      <c r="IH45" s="158"/>
      <c r="II45" s="158"/>
      <c r="IJ45" s="158"/>
      <c r="IK45" s="158"/>
      <c r="IL45" s="158"/>
      <c r="IM45" s="158"/>
      <c r="IN45" s="158"/>
      <c r="IO45" s="158"/>
      <c r="IP45" s="158"/>
      <c r="IQ45" s="158"/>
      <c r="IR45" s="158"/>
      <c r="IS45" s="158"/>
      <c r="IT45" s="158"/>
      <c r="IU45" s="158"/>
    </row>
    <row r="46" spans="1:255" ht="15.3" x14ac:dyDescent="0.55000000000000004">
      <c r="A46" s="169">
        <f>'Variable Input'!A46</f>
        <v>210061</v>
      </c>
      <c r="B46" s="169" t="str">
        <f>'Variable Input'!B46</f>
        <v>ATLANTIC GENERAL HOSPITAL</v>
      </c>
      <c r="C46" s="167">
        <f>VLOOKUP(A46,'Variable Input'!$1:$1048576,3,FALSE)</f>
        <v>1</v>
      </c>
      <c r="D46" s="167">
        <f>VLOOKUP(A46,'Variable Input'!$1:$1048576,4,FALSE)</f>
        <v>3</v>
      </c>
      <c r="E46" s="162">
        <f>VLOOKUP(A46,'Variable Input'!$1:$1048576,5,FALSE)</f>
        <v>1</v>
      </c>
      <c r="F46" s="160">
        <f>VLOOKUP(A46,'Variable Input'!$1:$1048576,7,FALSE)</f>
        <v>9011.8464937300014</v>
      </c>
      <c r="G46" s="162">
        <f>IFERROR((VLOOKUP(A46,'Variable Input'!$1:$1048576,24,FALSE)-VLOOKUP(A46,'DME22'!$1:$1048576,11,FALSE))*VLOOKUP(A46,Volume!A:K,11,FALSE),0)</f>
        <v>0</v>
      </c>
      <c r="H46" s="159">
        <f t="shared" si="1"/>
        <v>0</v>
      </c>
      <c r="I46" s="162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/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/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/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158"/>
      <c r="HJ46" s="158"/>
      <c r="HK46" s="158"/>
      <c r="HL46" s="158"/>
      <c r="HM46" s="158"/>
      <c r="HN46" s="158"/>
      <c r="HO46" s="158"/>
      <c r="HP46" s="158"/>
      <c r="HQ46" s="158"/>
      <c r="HR46" s="158"/>
      <c r="HS46" s="158"/>
      <c r="HT46" s="158"/>
      <c r="HU46" s="158"/>
      <c r="HV46" s="158"/>
      <c r="HW46" s="158"/>
      <c r="HX46" s="158"/>
      <c r="HY46" s="158"/>
      <c r="HZ46" s="158"/>
      <c r="IA46" s="158"/>
      <c r="IB46" s="158"/>
      <c r="IC46" s="158"/>
      <c r="ID46" s="158"/>
      <c r="IE46" s="158"/>
      <c r="IF46" s="158"/>
      <c r="IG46" s="158"/>
      <c r="IH46" s="158"/>
      <c r="II46" s="158"/>
      <c r="IJ46" s="158"/>
      <c r="IK46" s="158"/>
      <c r="IL46" s="158"/>
      <c r="IM46" s="158"/>
      <c r="IN46" s="158"/>
      <c r="IO46" s="158"/>
      <c r="IP46" s="158"/>
      <c r="IQ46" s="158"/>
      <c r="IR46" s="158"/>
      <c r="IS46" s="158"/>
      <c r="IT46" s="158"/>
      <c r="IU46" s="158"/>
    </row>
    <row r="47" spans="1:255" ht="15.3" x14ac:dyDescent="0.55000000000000004">
      <c r="A47" s="169">
        <f>'Variable Input'!A47</f>
        <v>210062</v>
      </c>
      <c r="B47" s="169" t="str">
        <f>'Variable Input'!B47</f>
        <v>MEDSTAR SOUTHERN MARYLAND HOSPITAL CENTER</v>
      </c>
      <c r="C47" s="167">
        <f>VLOOKUP(A47,'Variable Input'!$1:$1048576,3,FALSE)</f>
        <v>1</v>
      </c>
      <c r="D47" s="167">
        <f>VLOOKUP(A47,'Variable Input'!$1:$1048576,4,FALSE)</f>
        <v>3</v>
      </c>
      <c r="E47" s="162">
        <f>VLOOKUP(A47,'Variable Input'!$1:$1048576,5,FALSE)</f>
        <v>1</v>
      </c>
      <c r="F47" s="160">
        <f>VLOOKUP(A47,'Variable Input'!$1:$1048576,7,FALSE)</f>
        <v>17485.311336287028</v>
      </c>
      <c r="G47" s="162">
        <f>IFERROR((VLOOKUP(A47,'Variable Input'!$1:$1048576,24,FALSE)-VLOOKUP(A47,'DME22'!$1:$1048576,11,FALSE))*VLOOKUP(A47,Volume!A:K,11,FALSE),0)</f>
        <v>0</v>
      </c>
      <c r="H47" s="159">
        <f t="shared" si="1"/>
        <v>0</v>
      </c>
      <c r="I47" s="162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  <c r="GP47" s="158"/>
      <c r="GQ47" s="158"/>
      <c r="GR47" s="158"/>
      <c r="GS47" s="158"/>
      <c r="GT47" s="158"/>
      <c r="GU47" s="158"/>
      <c r="GV47" s="158"/>
      <c r="GW47" s="158"/>
      <c r="GX47" s="158"/>
      <c r="GY47" s="158"/>
      <c r="GZ47" s="158"/>
      <c r="HA47" s="158"/>
      <c r="HB47" s="158"/>
      <c r="HC47" s="158"/>
      <c r="HD47" s="158"/>
      <c r="HE47" s="158"/>
      <c r="HF47" s="158"/>
      <c r="HG47" s="158"/>
      <c r="HH47" s="158"/>
      <c r="HI47" s="158"/>
      <c r="HJ47" s="158"/>
      <c r="HK47" s="158"/>
      <c r="HL47" s="158"/>
      <c r="HM47" s="158"/>
      <c r="HN47" s="158"/>
      <c r="HO47" s="158"/>
      <c r="HP47" s="158"/>
      <c r="HQ47" s="158"/>
      <c r="HR47" s="158"/>
      <c r="HS47" s="158"/>
      <c r="HT47" s="158"/>
      <c r="HU47" s="158"/>
      <c r="HV47" s="158"/>
      <c r="HW47" s="158"/>
      <c r="HX47" s="158"/>
      <c r="HY47" s="158"/>
      <c r="HZ47" s="158"/>
      <c r="IA47" s="158"/>
      <c r="IB47" s="158"/>
      <c r="IC47" s="158"/>
      <c r="ID47" s="158"/>
      <c r="IE47" s="158"/>
      <c r="IF47" s="158"/>
      <c r="IG47" s="158"/>
      <c r="IH47" s="158"/>
      <c r="II47" s="158"/>
      <c r="IJ47" s="158"/>
      <c r="IK47" s="158"/>
      <c r="IL47" s="158"/>
      <c r="IM47" s="158"/>
      <c r="IN47" s="158"/>
      <c r="IO47" s="158"/>
      <c r="IP47" s="158"/>
      <c r="IQ47" s="158"/>
      <c r="IR47" s="158"/>
      <c r="IS47" s="158"/>
      <c r="IT47" s="158"/>
      <c r="IU47" s="158"/>
    </row>
    <row r="48" spans="1:255" ht="15.3" x14ac:dyDescent="0.55000000000000004">
      <c r="A48" s="169">
        <f>'Variable Input'!A48</f>
        <v>210063</v>
      </c>
      <c r="B48" s="169" t="str">
        <f>'Variable Input'!B48</f>
        <v>UM-ST. JOSEPH MEDICAL CENTER</v>
      </c>
      <c r="C48" s="167">
        <f>VLOOKUP(A48,'Variable Input'!$1:$1048576,3,FALSE)</f>
        <v>1</v>
      </c>
      <c r="D48" s="167">
        <f>VLOOKUP(A48,'Variable Input'!$1:$1048576,4,FALSE)</f>
        <v>3</v>
      </c>
      <c r="E48" s="162">
        <f>VLOOKUP(A48,'Variable Input'!$1:$1048576,5,FALSE)</f>
        <v>1</v>
      </c>
      <c r="F48" s="160">
        <f>VLOOKUP(A48,'Variable Input'!$1:$1048576,7,FALSE)</f>
        <v>30821.946526509015</v>
      </c>
      <c r="G48" s="162">
        <f>IFERROR((VLOOKUP(A48,'Variable Input'!$1:$1048576,24,FALSE)-VLOOKUP(A48,'DME22'!$1:$1048576,11,FALSE))*VLOOKUP(A48,Volume!A:K,11,FALSE),0)</f>
        <v>0</v>
      </c>
      <c r="H48" s="159">
        <f t="shared" si="1"/>
        <v>0</v>
      </c>
      <c r="I48" s="162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58"/>
      <c r="EH48" s="158"/>
      <c r="EI48" s="158"/>
      <c r="EJ48" s="158"/>
      <c r="EK48" s="158"/>
      <c r="EL48" s="158"/>
      <c r="EM48" s="158"/>
      <c r="EN48" s="158"/>
      <c r="EO48" s="158"/>
      <c r="EP48" s="158"/>
      <c r="EQ48" s="158"/>
      <c r="ER48" s="158"/>
      <c r="ES48" s="158"/>
      <c r="ET48" s="158"/>
      <c r="EU48" s="158"/>
      <c r="EV48" s="158"/>
      <c r="EW48" s="158"/>
      <c r="EX48" s="158"/>
      <c r="EY48" s="158"/>
      <c r="EZ48" s="158"/>
      <c r="FA48" s="158"/>
      <c r="FB48" s="158"/>
      <c r="FC48" s="158"/>
      <c r="FD48" s="158"/>
      <c r="FE48" s="158"/>
      <c r="FF48" s="158"/>
      <c r="FG48" s="158"/>
      <c r="FH48" s="158"/>
      <c r="FI48" s="158"/>
      <c r="FJ48" s="158"/>
      <c r="FK48" s="158"/>
      <c r="FL48" s="158"/>
      <c r="FM48" s="158"/>
      <c r="FN48" s="158"/>
      <c r="FO48" s="158"/>
      <c r="FP48" s="158"/>
      <c r="FQ48" s="158"/>
      <c r="FR48" s="158"/>
      <c r="FS48" s="158"/>
      <c r="FT48" s="158"/>
      <c r="FU48" s="158"/>
      <c r="FV48" s="158"/>
      <c r="FW48" s="158"/>
      <c r="FX48" s="158"/>
      <c r="FY48" s="158"/>
      <c r="FZ48" s="158"/>
      <c r="GA48" s="158"/>
      <c r="GB48" s="158"/>
      <c r="GC48" s="158"/>
      <c r="GD48" s="158"/>
      <c r="GE48" s="158"/>
      <c r="GF48" s="158"/>
      <c r="GG48" s="158"/>
      <c r="GH48" s="158"/>
      <c r="GI48" s="158"/>
      <c r="GJ48" s="158"/>
      <c r="GK48" s="158"/>
      <c r="GL48" s="158"/>
      <c r="GM48" s="158"/>
      <c r="GN48" s="158"/>
      <c r="GO48" s="158"/>
      <c r="GP48" s="158"/>
      <c r="GQ48" s="158"/>
      <c r="GR48" s="158"/>
      <c r="GS48" s="158"/>
      <c r="GT48" s="158"/>
      <c r="GU48" s="158"/>
      <c r="GV48" s="158"/>
      <c r="GW48" s="158"/>
      <c r="GX48" s="158"/>
      <c r="GY48" s="158"/>
      <c r="GZ48" s="158"/>
      <c r="HA48" s="158"/>
      <c r="HB48" s="158"/>
      <c r="HC48" s="158"/>
      <c r="HD48" s="158"/>
      <c r="HE48" s="158"/>
      <c r="HF48" s="158"/>
      <c r="HG48" s="158"/>
      <c r="HH48" s="158"/>
      <c r="HI48" s="158"/>
      <c r="HJ48" s="158"/>
      <c r="HK48" s="158"/>
      <c r="HL48" s="158"/>
      <c r="HM48" s="158"/>
      <c r="HN48" s="158"/>
      <c r="HO48" s="158"/>
      <c r="HP48" s="158"/>
      <c r="HQ48" s="158"/>
      <c r="HR48" s="158"/>
      <c r="HS48" s="158"/>
      <c r="HT48" s="158"/>
      <c r="HU48" s="158"/>
      <c r="HV48" s="158"/>
      <c r="HW48" s="158"/>
      <c r="HX48" s="158"/>
      <c r="HY48" s="158"/>
      <c r="HZ48" s="158"/>
      <c r="IA48" s="158"/>
      <c r="IB48" s="158"/>
      <c r="IC48" s="158"/>
      <c r="ID48" s="158"/>
      <c r="IE48" s="158"/>
      <c r="IF48" s="158"/>
      <c r="IG48" s="158"/>
      <c r="IH48" s="158"/>
      <c r="II48" s="158"/>
      <c r="IJ48" s="158"/>
      <c r="IK48" s="158"/>
      <c r="IL48" s="158"/>
      <c r="IM48" s="158"/>
      <c r="IN48" s="158"/>
      <c r="IO48" s="158"/>
      <c r="IP48" s="158"/>
      <c r="IQ48" s="158"/>
      <c r="IR48" s="158"/>
      <c r="IS48" s="158"/>
      <c r="IT48" s="158"/>
      <c r="IU48" s="158"/>
    </row>
    <row r="49" spans="1:255" ht="15.3" x14ac:dyDescent="0.55000000000000004">
      <c r="A49" s="158">
        <v>210065</v>
      </c>
      <c r="B49" s="158" t="s">
        <v>81</v>
      </c>
      <c r="C49" s="167">
        <f>VLOOKUP(A49,'Variable Input'!$1:$1048576,3,FALSE)</f>
        <v>1</v>
      </c>
      <c r="D49" s="167">
        <f>VLOOKUP(A49,'Variable Input'!$1:$1048576,4,FALSE)</f>
        <v>3</v>
      </c>
      <c r="E49" s="162">
        <f>VLOOKUP(A49,'Variable Input'!$1:$1048576,5,FALSE)</f>
        <v>1</v>
      </c>
      <c r="F49" s="160">
        <f>VLOOKUP(A49,'Variable Input'!$1:$1048576,7,FALSE)</f>
        <v>9743.687453664008</v>
      </c>
      <c r="G49" s="162">
        <f>IFERROR((VLOOKUP(A49,'Variable Input'!$1:$1048576,24,FALSE)-VLOOKUP(A49,'DME22'!$1:$1048576,11,FALSE))*VLOOKUP(A49,Volume!A:K,11,FALSE),0)</f>
        <v>0</v>
      </c>
      <c r="H49" s="159">
        <f t="shared" si="1"/>
        <v>0</v>
      </c>
      <c r="I49" s="162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P49" s="158"/>
      <c r="GQ49" s="158"/>
      <c r="GR49" s="158"/>
      <c r="GS49" s="158"/>
      <c r="GT49" s="158"/>
      <c r="GU49" s="158"/>
      <c r="GV49" s="158"/>
      <c r="GW49" s="158"/>
      <c r="GX49" s="158"/>
      <c r="GY49" s="158"/>
      <c r="GZ49" s="158"/>
      <c r="HA49" s="158"/>
      <c r="HB49" s="158"/>
      <c r="HC49" s="158"/>
      <c r="HD49" s="158"/>
      <c r="HE49" s="158"/>
      <c r="HF49" s="158"/>
      <c r="HG49" s="158"/>
      <c r="HH49" s="158"/>
      <c r="HI49" s="158"/>
      <c r="HJ49" s="158"/>
      <c r="HK49" s="158"/>
      <c r="HL49" s="158"/>
      <c r="HM49" s="158"/>
      <c r="HN49" s="158"/>
      <c r="HO49" s="158"/>
      <c r="HP49" s="158"/>
      <c r="HQ49" s="158"/>
      <c r="HR49" s="158"/>
      <c r="HS49" s="158"/>
      <c r="HT49" s="158"/>
      <c r="HU49" s="158"/>
      <c r="HV49" s="158"/>
      <c r="HW49" s="158"/>
      <c r="HX49" s="158"/>
      <c r="HY49" s="158"/>
      <c r="HZ49" s="158"/>
      <c r="IA49" s="158"/>
      <c r="IB49" s="158"/>
      <c r="IC49" s="158"/>
      <c r="ID49" s="158"/>
      <c r="IE49" s="158"/>
      <c r="IF49" s="158"/>
      <c r="IG49" s="158"/>
      <c r="IH49" s="158"/>
      <c r="II49" s="158"/>
      <c r="IJ49" s="158"/>
      <c r="IK49" s="158"/>
      <c r="IL49" s="158"/>
      <c r="IM49" s="158"/>
      <c r="IN49" s="158"/>
      <c r="IO49" s="158"/>
      <c r="IP49" s="158"/>
      <c r="IQ49" s="158"/>
      <c r="IR49" s="158"/>
      <c r="IS49" s="158"/>
      <c r="IT49" s="158"/>
      <c r="IU49" s="158"/>
    </row>
    <row r="50" spans="1:255" ht="17.7" x14ac:dyDescent="0.6">
      <c r="A50" s="169">
        <f>'Variable Input'!A50</f>
        <v>910003</v>
      </c>
      <c r="B50" s="169" t="str">
        <f>'Variable Input'!B50</f>
        <v>Prince Georges Hospital</v>
      </c>
      <c r="C50" s="364">
        <f>VLOOKUP(A50,'Variable Input'!$1:$1048576,4,FALSE)</f>
        <v>5</v>
      </c>
      <c r="D50" s="167">
        <f>VLOOKUP(A50,'Variable Input'!$1:$1048576,4,FALSE)</f>
        <v>5</v>
      </c>
      <c r="E50" s="162">
        <f>VLOOKUP(A50,'Variable Input'!$1:$1048576,5,FALSE)</f>
        <v>1</v>
      </c>
      <c r="F50" s="35">
        <f>SUMIF($A:$A,210003,F:F)</f>
        <v>16622.361523679996</v>
      </c>
      <c r="G50" s="162">
        <f>IFERROR((VLOOKUP(A50,'Variable Input'!$1:$1048576,24,FALSE)-VLOOKUP(A50,'DME22'!$1:$1048576,11,FALSE))*VLOOKUP(A50,Volume!A:K,11,FALSE),0)</f>
        <v>0</v>
      </c>
      <c r="H50" s="159">
        <f t="shared" si="1"/>
        <v>0</v>
      </c>
      <c r="I50" s="162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8"/>
      <c r="EF50" s="158"/>
      <c r="EG50" s="158"/>
      <c r="EH50" s="158"/>
      <c r="EI50" s="158"/>
      <c r="EJ50" s="158"/>
      <c r="EK50" s="158"/>
      <c r="EL50" s="158"/>
      <c r="EM50" s="158"/>
      <c r="EN50" s="158"/>
      <c r="EO50" s="158"/>
      <c r="EP50" s="158"/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8"/>
      <c r="FC50" s="158"/>
      <c r="FD50" s="158"/>
      <c r="FE50" s="158"/>
      <c r="FF50" s="158"/>
      <c r="FG50" s="158"/>
      <c r="FH50" s="158"/>
      <c r="FI50" s="158"/>
      <c r="FJ50" s="158"/>
      <c r="FK50" s="158"/>
      <c r="FL50" s="158"/>
      <c r="FM50" s="158"/>
      <c r="FN50" s="158"/>
      <c r="FO50" s="158"/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8"/>
      <c r="GC50" s="158"/>
      <c r="GD50" s="158"/>
      <c r="GE50" s="158"/>
      <c r="GF50" s="158"/>
      <c r="GG50" s="158"/>
      <c r="GH50" s="158"/>
      <c r="GI50" s="158"/>
      <c r="GJ50" s="158"/>
      <c r="GK50" s="158"/>
      <c r="GL50" s="158"/>
      <c r="GM50" s="158"/>
      <c r="GN50" s="158"/>
      <c r="GO50" s="158"/>
      <c r="GP50" s="158"/>
      <c r="GQ50" s="158"/>
      <c r="GR50" s="158"/>
      <c r="GS50" s="158"/>
      <c r="GT50" s="158"/>
      <c r="GU50" s="158"/>
      <c r="GV50" s="158"/>
      <c r="GW50" s="158"/>
      <c r="GX50" s="158"/>
      <c r="GY50" s="158"/>
      <c r="GZ50" s="158"/>
      <c r="HA50" s="158"/>
      <c r="HB50" s="158"/>
      <c r="HC50" s="158"/>
      <c r="HD50" s="158"/>
      <c r="HE50" s="158"/>
      <c r="HF50" s="158"/>
      <c r="HG50" s="158"/>
      <c r="HH50" s="158"/>
      <c r="HI50" s="158"/>
      <c r="HJ50" s="158"/>
      <c r="HK50" s="158"/>
      <c r="HL50" s="158"/>
      <c r="HM50" s="158"/>
      <c r="HN50" s="158"/>
      <c r="HO50" s="158"/>
      <c r="HP50" s="158"/>
      <c r="HQ50" s="158"/>
      <c r="HR50" s="158"/>
      <c r="HS50" s="158"/>
      <c r="HT50" s="158"/>
      <c r="HU50" s="158"/>
      <c r="HV50" s="158"/>
      <c r="HW50" s="158"/>
      <c r="HX50" s="158"/>
      <c r="HY50" s="158"/>
      <c r="HZ50" s="158"/>
      <c r="IA50" s="158"/>
      <c r="IB50" s="158"/>
      <c r="IC50" s="158"/>
      <c r="ID50" s="158"/>
      <c r="IE50" s="158"/>
      <c r="IF50" s="158"/>
      <c r="IG50" s="158"/>
      <c r="IH50" s="158"/>
      <c r="II50" s="158"/>
      <c r="IJ50" s="158"/>
      <c r="IK50" s="158"/>
      <c r="IL50" s="158"/>
      <c r="IM50" s="158"/>
      <c r="IN50" s="158"/>
      <c r="IO50" s="158"/>
      <c r="IP50" s="158"/>
      <c r="IQ50" s="158"/>
      <c r="IR50" s="158"/>
      <c r="IS50" s="158"/>
      <c r="IT50" s="158"/>
      <c r="IU50" s="158"/>
    </row>
    <row r="51" spans="1:255" ht="17.7" x14ac:dyDescent="0.6">
      <c r="A51" s="169">
        <f>'Variable Input'!A51</f>
        <v>910008</v>
      </c>
      <c r="B51" s="169" t="str">
        <f>'Variable Input'!B51</f>
        <v>Mercy Medical Center</v>
      </c>
      <c r="C51" s="364">
        <f>VLOOKUP(A51,'Variable Input'!$1:$1048576,4,FALSE)</f>
        <v>5</v>
      </c>
      <c r="D51" s="167">
        <f>VLOOKUP(A51,'Variable Input'!$1:$1048576,4,FALSE)</f>
        <v>5</v>
      </c>
      <c r="E51" s="162">
        <f>VLOOKUP(A51,'Variable Input'!$1:$1048576,5,FALSE)</f>
        <v>1</v>
      </c>
      <c r="F51" s="35">
        <f>SUMIF($A:$A,210008,F:F)</f>
        <v>37187.68418079293</v>
      </c>
      <c r="G51" s="162">
        <f>IFERROR((VLOOKUP(A51,'Variable Input'!$1:$1048576,24,FALSE)-VLOOKUP(A51,'DME22'!$1:$1048576,11,FALSE))*VLOOKUP(A51,Volume!A:K,11,FALSE),0)</f>
        <v>0</v>
      </c>
      <c r="H51" s="159">
        <f t="shared" si="1"/>
        <v>0</v>
      </c>
      <c r="I51" s="162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8"/>
      <c r="FC51" s="158"/>
      <c r="FD51" s="158"/>
      <c r="FE51" s="158"/>
      <c r="FF51" s="158"/>
      <c r="FG51" s="158"/>
      <c r="FH51" s="158"/>
      <c r="FI51" s="158"/>
      <c r="FJ51" s="158"/>
      <c r="FK51" s="158"/>
      <c r="FL51" s="158"/>
      <c r="FM51" s="158"/>
      <c r="FN51" s="158"/>
      <c r="FO51" s="158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8"/>
      <c r="GC51" s="158"/>
      <c r="GD51" s="158"/>
      <c r="GE51" s="158"/>
      <c r="GF51" s="158"/>
      <c r="GG51" s="158"/>
      <c r="GH51" s="158"/>
      <c r="GI51" s="158"/>
      <c r="GJ51" s="158"/>
      <c r="GK51" s="158"/>
      <c r="GL51" s="158"/>
      <c r="GM51" s="158"/>
      <c r="GN51" s="158"/>
      <c r="GO51" s="158"/>
      <c r="GP51" s="158"/>
      <c r="GQ51" s="158"/>
      <c r="GR51" s="158"/>
      <c r="GS51" s="158"/>
      <c r="GT51" s="158"/>
      <c r="GU51" s="158"/>
      <c r="GV51" s="158"/>
      <c r="GW51" s="158"/>
      <c r="GX51" s="158"/>
      <c r="GY51" s="158"/>
      <c r="GZ51" s="158"/>
      <c r="HA51" s="158"/>
      <c r="HB51" s="158"/>
      <c r="HC51" s="158"/>
      <c r="HD51" s="158"/>
      <c r="HE51" s="158"/>
      <c r="HF51" s="158"/>
      <c r="HG51" s="158"/>
      <c r="HH51" s="158"/>
      <c r="HI51" s="158"/>
      <c r="HJ51" s="158"/>
      <c r="HK51" s="158"/>
      <c r="HL51" s="158"/>
      <c r="HM51" s="158"/>
      <c r="HN51" s="158"/>
      <c r="HO51" s="158"/>
      <c r="HP51" s="158"/>
      <c r="HQ51" s="158"/>
      <c r="HR51" s="158"/>
      <c r="HS51" s="158"/>
      <c r="HT51" s="158"/>
      <c r="HU51" s="158"/>
      <c r="HV51" s="158"/>
      <c r="HW51" s="158"/>
      <c r="HX51" s="158"/>
      <c r="HY51" s="158"/>
      <c r="HZ51" s="158"/>
      <c r="IA51" s="158"/>
      <c r="IB51" s="158"/>
      <c r="IC51" s="158"/>
      <c r="ID51" s="158"/>
      <c r="IE51" s="158"/>
      <c r="IF51" s="158"/>
      <c r="IG51" s="158"/>
      <c r="IH51" s="158"/>
      <c r="II51" s="158"/>
      <c r="IJ51" s="158"/>
      <c r="IK51" s="158"/>
      <c r="IL51" s="158"/>
      <c r="IM51" s="158"/>
      <c r="IN51" s="158"/>
      <c r="IO51" s="158"/>
      <c r="IP51" s="158"/>
      <c r="IQ51" s="158"/>
      <c r="IR51" s="158"/>
      <c r="IS51" s="158"/>
      <c r="IT51" s="158"/>
      <c r="IU51" s="158"/>
    </row>
    <row r="52" spans="1:255" ht="17.7" x14ac:dyDescent="0.6">
      <c r="A52" s="169">
        <f>'Variable Input'!A52</f>
        <v>910012</v>
      </c>
      <c r="B52" s="169" t="str">
        <f>'Variable Input'!B52</f>
        <v>Sinai Hospital</v>
      </c>
      <c r="C52" s="364">
        <f>VLOOKUP(A52,'Variable Input'!$1:$1048576,4,FALSE)</f>
        <v>5</v>
      </c>
      <c r="D52" s="167">
        <f>VLOOKUP(A52,'Variable Input'!$1:$1048576,4,FALSE)</f>
        <v>5</v>
      </c>
      <c r="E52" s="162">
        <f>VLOOKUP(A52,'Variable Input'!$1:$1048576,5,FALSE)</f>
        <v>1</v>
      </c>
      <c r="F52" s="35">
        <f>SUMIF($A:$A,210012,F:F)</f>
        <v>39233.431532673072</v>
      </c>
      <c r="G52" s="162">
        <f>IFERROR((VLOOKUP(A52,'Variable Input'!$1:$1048576,24,FALSE)-VLOOKUP(A52,'DME22'!$1:$1048576,11,FALSE))*VLOOKUP(A52,Volume!A:K,11,FALSE),0)</f>
        <v>0</v>
      </c>
      <c r="H52" s="159">
        <f t="shared" si="1"/>
        <v>0</v>
      </c>
      <c r="I52" s="162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8"/>
      <c r="EO52" s="158"/>
      <c r="EP52" s="158"/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8"/>
      <c r="FC52" s="158"/>
      <c r="FD52" s="158"/>
      <c r="FE52" s="158"/>
      <c r="FF52" s="158"/>
      <c r="FG52" s="158"/>
      <c r="FH52" s="158"/>
      <c r="FI52" s="158"/>
      <c r="FJ52" s="158"/>
      <c r="FK52" s="158"/>
      <c r="FL52" s="158"/>
      <c r="FM52" s="158"/>
      <c r="FN52" s="158"/>
      <c r="FO52" s="158"/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8"/>
      <c r="GC52" s="158"/>
      <c r="GD52" s="158"/>
      <c r="GE52" s="158"/>
      <c r="GF52" s="158"/>
      <c r="GG52" s="158"/>
      <c r="GH52" s="158"/>
      <c r="GI52" s="158"/>
      <c r="GJ52" s="158"/>
      <c r="GK52" s="158"/>
      <c r="GL52" s="158"/>
      <c r="GM52" s="158"/>
      <c r="GN52" s="158"/>
      <c r="GO52" s="158"/>
      <c r="GP52" s="158"/>
      <c r="GQ52" s="158"/>
      <c r="GR52" s="158"/>
      <c r="GS52" s="158"/>
      <c r="GT52" s="158"/>
      <c r="GU52" s="158"/>
      <c r="GV52" s="158"/>
      <c r="GW52" s="158"/>
      <c r="GX52" s="158"/>
      <c r="GY52" s="158"/>
      <c r="GZ52" s="158"/>
      <c r="HA52" s="158"/>
      <c r="HB52" s="158"/>
      <c r="HC52" s="158"/>
      <c r="HD52" s="158"/>
      <c r="HE52" s="158"/>
      <c r="HF52" s="158"/>
      <c r="HG52" s="158"/>
      <c r="HH52" s="158"/>
      <c r="HI52" s="158"/>
      <c r="HJ52" s="158"/>
      <c r="HK52" s="158"/>
      <c r="HL52" s="158"/>
      <c r="HM52" s="158"/>
      <c r="HN52" s="158"/>
      <c r="HO52" s="158"/>
      <c r="HP52" s="158"/>
      <c r="HQ52" s="158"/>
      <c r="HR52" s="158"/>
      <c r="HS52" s="158"/>
      <c r="HT52" s="158"/>
      <c r="HU52" s="158"/>
      <c r="HV52" s="158"/>
      <c r="HW52" s="158"/>
      <c r="HX52" s="158"/>
      <c r="HY52" s="158"/>
      <c r="HZ52" s="158"/>
      <c r="IA52" s="158"/>
      <c r="IB52" s="158"/>
      <c r="IC52" s="158"/>
      <c r="ID52" s="158"/>
      <c r="IE52" s="158"/>
      <c r="IF52" s="158"/>
      <c r="IG52" s="158"/>
      <c r="IH52" s="158"/>
      <c r="II52" s="158"/>
      <c r="IJ52" s="158"/>
      <c r="IK52" s="158"/>
      <c r="IL52" s="158"/>
      <c r="IM52" s="158"/>
      <c r="IN52" s="158"/>
      <c r="IO52" s="158"/>
      <c r="IP52" s="158"/>
      <c r="IQ52" s="158"/>
      <c r="IR52" s="158"/>
      <c r="IS52" s="158"/>
      <c r="IT52" s="158"/>
      <c r="IU52" s="158"/>
    </row>
    <row r="53" spans="1:255" ht="17.7" x14ac:dyDescent="0.6">
      <c r="A53" s="169">
        <f>'Variable Input'!A53</f>
        <v>910024</v>
      </c>
      <c r="B53" s="169" t="str">
        <f>'Variable Input'!B53</f>
        <v>Union Memorial Hospital</v>
      </c>
      <c r="C53" s="364">
        <f>VLOOKUP(A53,'Variable Input'!$1:$1048576,4,FALSE)</f>
        <v>5</v>
      </c>
      <c r="D53" s="167">
        <f>VLOOKUP(A53,'Variable Input'!$1:$1048576,4,FALSE)</f>
        <v>5</v>
      </c>
      <c r="E53" s="162">
        <f>VLOOKUP(A53,'Variable Input'!$1:$1048576,5,FALSE)</f>
        <v>1</v>
      </c>
      <c r="F53" s="35">
        <f>SUMIF($A:$A,210024,F:F)</f>
        <v>26999.26188542712</v>
      </c>
      <c r="G53" s="162">
        <f>IFERROR((VLOOKUP(A53,'Variable Input'!$1:$1048576,24,FALSE)-VLOOKUP(A53,'DME22'!$1:$1048576,11,FALSE))*VLOOKUP(A53,Volume!A:K,11,FALSE),0)</f>
        <v>0</v>
      </c>
      <c r="H53" s="159">
        <f t="shared" si="1"/>
        <v>0</v>
      </c>
      <c r="I53" s="162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/>
      <c r="EF53" s="158"/>
      <c r="EG53" s="158"/>
      <c r="EH53" s="158"/>
      <c r="EI53" s="158"/>
      <c r="EJ53" s="158"/>
      <c r="EK53" s="158"/>
      <c r="EL53" s="158"/>
      <c r="EM53" s="158"/>
      <c r="EN53" s="158"/>
      <c r="EO53" s="158"/>
      <c r="EP53" s="158"/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8"/>
      <c r="FC53" s="158"/>
      <c r="FD53" s="158"/>
      <c r="FE53" s="158"/>
      <c r="FF53" s="158"/>
      <c r="FG53" s="158"/>
      <c r="FH53" s="158"/>
      <c r="FI53" s="158"/>
      <c r="FJ53" s="158"/>
      <c r="FK53" s="158"/>
      <c r="FL53" s="158"/>
      <c r="FM53" s="158"/>
      <c r="FN53" s="158"/>
      <c r="FO53" s="158"/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8"/>
      <c r="GC53" s="158"/>
      <c r="GD53" s="158"/>
      <c r="GE53" s="158"/>
      <c r="GF53" s="158"/>
      <c r="GG53" s="158"/>
      <c r="GH53" s="158"/>
      <c r="GI53" s="158"/>
      <c r="GJ53" s="158"/>
      <c r="GK53" s="158"/>
      <c r="GL53" s="158"/>
      <c r="GM53" s="158"/>
      <c r="GN53" s="158"/>
      <c r="GO53" s="158"/>
      <c r="GP53" s="158"/>
      <c r="GQ53" s="158"/>
      <c r="GR53" s="158"/>
      <c r="GS53" s="158"/>
      <c r="GT53" s="158"/>
      <c r="GU53" s="158"/>
      <c r="GV53" s="158"/>
      <c r="GW53" s="158"/>
      <c r="GX53" s="158"/>
      <c r="GY53" s="158"/>
      <c r="GZ53" s="158"/>
      <c r="HA53" s="158"/>
      <c r="HB53" s="158"/>
      <c r="HC53" s="158"/>
      <c r="HD53" s="158"/>
      <c r="HE53" s="158"/>
      <c r="HF53" s="158"/>
      <c r="HG53" s="158"/>
      <c r="HH53" s="158"/>
      <c r="HI53" s="158"/>
      <c r="HJ53" s="158"/>
      <c r="HK53" s="158"/>
      <c r="HL53" s="158"/>
      <c r="HM53" s="158"/>
      <c r="HN53" s="158"/>
      <c r="HO53" s="158"/>
      <c r="HP53" s="158"/>
      <c r="HQ53" s="158"/>
      <c r="HR53" s="158"/>
      <c r="HS53" s="158"/>
      <c r="HT53" s="158"/>
      <c r="HU53" s="158"/>
      <c r="HV53" s="158"/>
      <c r="HW53" s="158"/>
      <c r="HX53" s="158"/>
      <c r="HY53" s="158"/>
      <c r="HZ53" s="158"/>
      <c r="IA53" s="158"/>
      <c r="IB53" s="158"/>
      <c r="IC53" s="158"/>
      <c r="ID53" s="158"/>
      <c r="IE53" s="158"/>
      <c r="IF53" s="158"/>
      <c r="IG53" s="158"/>
      <c r="IH53" s="158"/>
      <c r="II53" s="158"/>
      <c r="IJ53" s="158"/>
      <c r="IK53" s="158"/>
      <c r="IL53" s="158"/>
      <c r="IM53" s="158"/>
      <c r="IN53" s="158"/>
      <c r="IO53" s="158"/>
      <c r="IP53" s="158"/>
      <c r="IQ53" s="158"/>
      <c r="IR53" s="158"/>
      <c r="IS53" s="158"/>
      <c r="IT53" s="158"/>
      <c r="IU53" s="158"/>
    </row>
    <row r="54" spans="1:255" ht="17.7" x14ac:dyDescent="0.6">
      <c r="A54" s="169">
        <f>'Variable Input'!A54</f>
        <v>910029</v>
      </c>
      <c r="B54" s="169" t="str">
        <f>'Variable Input'!B54</f>
        <v>Johns Hopkins Bayview Medical Center</v>
      </c>
      <c r="C54" s="364">
        <f>VLOOKUP(A54,'Variable Input'!$1:$1048576,4,FALSE)</f>
        <v>5</v>
      </c>
      <c r="D54" s="167">
        <f>VLOOKUP(A54,'Variable Input'!$1:$1048576,4,FALSE)</f>
        <v>5</v>
      </c>
      <c r="E54" s="162">
        <f>VLOOKUP(A54,'Variable Input'!$1:$1048576,5,FALSE)</f>
        <v>1</v>
      </c>
      <c r="F54" s="35">
        <f>SUMIF($A:$A,210029,F:F)</f>
        <v>35540.799933832066</v>
      </c>
      <c r="G54" s="162">
        <f>IFERROR((VLOOKUP(A54,'Variable Input'!$1:$1048576,24,FALSE)-VLOOKUP(A54,'DME22'!$1:$1048576,11,FALSE))*VLOOKUP(A54,Volume!A:K,11,FALSE),0)</f>
        <v>0</v>
      </c>
      <c r="H54" s="159">
        <f t="shared" si="1"/>
        <v>0</v>
      </c>
      <c r="I54" s="162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8"/>
      <c r="DM54" s="158"/>
      <c r="DN54" s="158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8"/>
      <c r="EF54" s="158"/>
      <c r="EG54" s="158"/>
      <c r="EH54" s="158"/>
      <c r="EI54" s="158"/>
      <c r="EJ54" s="158"/>
      <c r="EK54" s="158"/>
      <c r="EL54" s="158"/>
      <c r="EM54" s="158"/>
      <c r="EN54" s="158"/>
      <c r="EO54" s="158"/>
      <c r="EP54" s="158"/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8"/>
      <c r="FC54" s="158"/>
      <c r="FD54" s="158"/>
      <c r="FE54" s="158"/>
      <c r="FF54" s="158"/>
      <c r="FG54" s="158"/>
      <c r="FH54" s="158"/>
      <c r="FI54" s="158"/>
      <c r="FJ54" s="158"/>
      <c r="FK54" s="158"/>
      <c r="FL54" s="158"/>
      <c r="FM54" s="158"/>
      <c r="FN54" s="158"/>
      <c r="FO54" s="158"/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8"/>
      <c r="GC54" s="158"/>
      <c r="GD54" s="158"/>
      <c r="GE54" s="158"/>
      <c r="GF54" s="158"/>
      <c r="GG54" s="158"/>
      <c r="GH54" s="158"/>
      <c r="GI54" s="158"/>
      <c r="GJ54" s="158"/>
      <c r="GK54" s="158"/>
      <c r="GL54" s="158"/>
      <c r="GM54" s="158"/>
      <c r="GN54" s="158"/>
      <c r="GO54" s="158"/>
      <c r="GP54" s="158"/>
      <c r="GQ54" s="158"/>
      <c r="GR54" s="158"/>
      <c r="GS54" s="158"/>
      <c r="GT54" s="158"/>
      <c r="GU54" s="158"/>
      <c r="GV54" s="158"/>
      <c r="GW54" s="158"/>
      <c r="GX54" s="158"/>
      <c r="GY54" s="158"/>
      <c r="GZ54" s="158"/>
      <c r="HA54" s="158"/>
      <c r="HB54" s="158"/>
      <c r="HC54" s="158"/>
      <c r="HD54" s="158"/>
      <c r="HE54" s="158"/>
      <c r="HF54" s="158"/>
      <c r="HG54" s="158"/>
      <c r="HH54" s="158"/>
      <c r="HI54" s="158"/>
      <c r="HJ54" s="158"/>
      <c r="HK54" s="158"/>
      <c r="HL54" s="158"/>
      <c r="HM54" s="158"/>
      <c r="HN54" s="158"/>
      <c r="HO54" s="158"/>
      <c r="HP54" s="158"/>
      <c r="HQ54" s="158"/>
      <c r="HR54" s="158"/>
      <c r="HS54" s="158"/>
      <c r="HT54" s="158"/>
      <c r="HU54" s="158"/>
      <c r="HV54" s="158"/>
      <c r="HW54" s="158"/>
      <c r="HX54" s="158"/>
      <c r="HY54" s="158"/>
      <c r="HZ54" s="158"/>
      <c r="IA54" s="158"/>
      <c r="IB54" s="158"/>
      <c r="IC54" s="158"/>
      <c r="ID54" s="158"/>
      <c r="IE54" s="158"/>
      <c r="IF54" s="158"/>
      <c r="IG54" s="158"/>
      <c r="IH54" s="158"/>
      <c r="II54" s="158"/>
      <c r="IJ54" s="158"/>
      <c r="IK54" s="158"/>
      <c r="IL54" s="158"/>
      <c r="IM54" s="158"/>
      <c r="IN54" s="158"/>
      <c r="IO54" s="158"/>
      <c r="IP54" s="158"/>
      <c r="IQ54" s="158"/>
      <c r="IR54" s="158"/>
      <c r="IS54" s="158"/>
      <c r="IT54" s="158"/>
      <c r="IU54" s="158"/>
    </row>
    <row r="55" spans="1:255" ht="15.3" x14ac:dyDescent="0.55000000000000004">
      <c r="A55" s="158"/>
      <c r="B55" s="158"/>
      <c r="C55" s="158"/>
      <c r="D55" s="158"/>
      <c r="E55" s="158"/>
      <c r="F55" s="160"/>
      <c r="G55" s="158"/>
      <c r="H55" s="159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58"/>
      <c r="EH55" s="158"/>
      <c r="EI55" s="158"/>
      <c r="EJ55" s="158"/>
      <c r="EK55" s="158"/>
      <c r="EL55" s="158"/>
      <c r="EM55" s="158"/>
      <c r="EN55" s="158"/>
      <c r="EO55" s="158"/>
      <c r="EP55" s="158"/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8"/>
      <c r="FC55" s="158"/>
      <c r="FD55" s="158"/>
      <c r="FE55" s="158"/>
      <c r="FF55" s="158"/>
      <c r="FG55" s="158"/>
      <c r="FH55" s="158"/>
      <c r="FI55" s="158"/>
      <c r="FJ55" s="158"/>
      <c r="FK55" s="158"/>
      <c r="FL55" s="158"/>
      <c r="FM55" s="158"/>
      <c r="FN55" s="158"/>
      <c r="FO55" s="158"/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8"/>
      <c r="GC55" s="158"/>
      <c r="GD55" s="158"/>
      <c r="GE55" s="158"/>
      <c r="GF55" s="158"/>
      <c r="GG55" s="158"/>
      <c r="GH55" s="158"/>
      <c r="GI55" s="158"/>
      <c r="GJ55" s="158"/>
      <c r="GK55" s="158"/>
      <c r="GL55" s="158"/>
      <c r="GM55" s="158"/>
      <c r="GN55" s="158"/>
      <c r="GO55" s="158"/>
      <c r="GP55" s="158"/>
      <c r="GQ55" s="158"/>
      <c r="GR55" s="158"/>
      <c r="GS55" s="158"/>
      <c r="GT55" s="158"/>
      <c r="GU55" s="158"/>
      <c r="GV55" s="158"/>
      <c r="GW55" s="158"/>
      <c r="GX55" s="158"/>
      <c r="GY55" s="158"/>
      <c r="GZ55" s="158"/>
      <c r="HA55" s="158"/>
      <c r="HB55" s="158"/>
      <c r="HC55" s="158"/>
      <c r="HD55" s="158"/>
      <c r="HE55" s="158"/>
      <c r="HF55" s="158"/>
      <c r="HG55" s="158"/>
      <c r="HH55" s="158"/>
      <c r="HI55" s="158"/>
      <c r="HJ55" s="158"/>
      <c r="HK55" s="158"/>
      <c r="HL55" s="158"/>
      <c r="HM55" s="158"/>
      <c r="HN55" s="158"/>
      <c r="HO55" s="158"/>
      <c r="HP55" s="158"/>
      <c r="HQ55" s="158"/>
      <c r="HR55" s="158"/>
      <c r="HS55" s="158"/>
      <c r="HT55" s="158"/>
      <c r="HU55" s="158"/>
      <c r="HV55" s="158"/>
      <c r="HW55" s="158"/>
      <c r="HX55" s="158"/>
      <c r="HY55" s="158"/>
      <c r="HZ55" s="158"/>
      <c r="IA55" s="158"/>
      <c r="IB55" s="158"/>
      <c r="IC55" s="158"/>
      <c r="ID55" s="158"/>
      <c r="IE55" s="158"/>
      <c r="IF55" s="158"/>
      <c r="IG55" s="158"/>
      <c r="IH55" s="158"/>
      <c r="II55" s="158"/>
      <c r="IJ55" s="158"/>
      <c r="IK55" s="158"/>
      <c r="IL55" s="158"/>
      <c r="IM55" s="158"/>
      <c r="IN55" s="158"/>
      <c r="IO55" s="158"/>
      <c r="IP55" s="158"/>
      <c r="IQ55" s="158"/>
      <c r="IR55" s="158"/>
      <c r="IS55" s="158"/>
      <c r="IT55" s="158"/>
      <c r="IU55" s="158"/>
    </row>
    <row r="56" spans="1:255" ht="15.3" x14ac:dyDescent="0.55000000000000004">
      <c r="A56" s="158"/>
      <c r="B56" s="158"/>
      <c r="C56" s="158"/>
      <c r="D56" s="158"/>
      <c r="E56" s="158"/>
      <c r="F56" s="160"/>
      <c r="G56" s="158"/>
      <c r="H56" s="159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/>
      <c r="EM56" s="158"/>
      <c r="EN56" s="158"/>
      <c r="EO56" s="158"/>
      <c r="EP56" s="158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8"/>
      <c r="FC56" s="158"/>
      <c r="FD56" s="158"/>
      <c r="FE56" s="158"/>
      <c r="FF56" s="158"/>
      <c r="FG56" s="158"/>
      <c r="FH56" s="158"/>
      <c r="FI56" s="158"/>
      <c r="FJ56" s="158"/>
      <c r="FK56" s="158"/>
      <c r="FL56" s="158"/>
      <c r="FM56" s="158"/>
      <c r="FN56" s="158"/>
      <c r="FO56" s="158"/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8"/>
      <c r="GC56" s="158"/>
      <c r="GD56" s="158"/>
      <c r="GE56" s="158"/>
      <c r="GF56" s="158"/>
      <c r="GG56" s="158"/>
      <c r="GH56" s="158"/>
      <c r="GI56" s="158"/>
      <c r="GJ56" s="158"/>
      <c r="GK56" s="158"/>
      <c r="GL56" s="158"/>
      <c r="GM56" s="158"/>
      <c r="GN56" s="158"/>
      <c r="GO56" s="158"/>
      <c r="GP56" s="158"/>
      <c r="GQ56" s="158"/>
      <c r="GR56" s="158"/>
      <c r="GS56" s="158"/>
      <c r="GT56" s="158"/>
      <c r="GU56" s="158"/>
      <c r="GV56" s="158"/>
      <c r="GW56" s="158"/>
      <c r="GX56" s="158"/>
      <c r="GY56" s="158"/>
      <c r="GZ56" s="158"/>
      <c r="HA56" s="158"/>
      <c r="HB56" s="158"/>
      <c r="HC56" s="158"/>
      <c r="HD56" s="158"/>
      <c r="HE56" s="158"/>
      <c r="HF56" s="158"/>
      <c r="HG56" s="158"/>
      <c r="HH56" s="158"/>
      <c r="HI56" s="158"/>
      <c r="HJ56" s="158"/>
      <c r="HK56" s="158"/>
      <c r="HL56" s="158"/>
      <c r="HM56" s="158"/>
      <c r="HN56" s="158"/>
      <c r="HO56" s="158"/>
      <c r="HP56" s="158"/>
      <c r="HQ56" s="158"/>
      <c r="HR56" s="158"/>
      <c r="HS56" s="158"/>
      <c r="HT56" s="158"/>
      <c r="HU56" s="158"/>
      <c r="HV56" s="158"/>
      <c r="HW56" s="158"/>
      <c r="HX56" s="158"/>
      <c r="HY56" s="158"/>
      <c r="HZ56" s="158"/>
      <c r="IA56" s="158"/>
      <c r="IB56" s="158"/>
      <c r="IC56" s="158"/>
      <c r="ID56" s="158"/>
      <c r="IE56" s="158"/>
      <c r="IF56" s="158"/>
      <c r="IG56" s="158"/>
      <c r="IH56" s="158"/>
      <c r="II56" s="158"/>
      <c r="IJ56" s="158"/>
      <c r="IK56" s="158"/>
      <c r="IL56" s="158"/>
      <c r="IM56" s="158"/>
      <c r="IN56" s="158"/>
      <c r="IO56" s="158"/>
      <c r="IP56" s="158"/>
      <c r="IQ56" s="158"/>
      <c r="IR56" s="158"/>
      <c r="IS56" s="158"/>
      <c r="IT56" s="158"/>
      <c r="IU56" s="158"/>
    </row>
    <row r="57" spans="1:255" ht="15.3" x14ac:dyDescent="0.55000000000000004">
      <c r="A57" s="158"/>
      <c r="B57" s="158"/>
      <c r="C57" s="158"/>
      <c r="D57" s="158"/>
      <c r="E57" s="158"/>
      <c r="F57" s="160"/>
      <c r="G57" s="158"/>
      <c r="H57" s="159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8"/>
      <c r="DM57" s="158"/>
      <c r="DN57" s="158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8"/>
      <c r="EF57" s="158"/>
      <c r="EG57" s="158"/>
      <c r="EH57" s="158"/>
      <c r="EI57" s="158"/>
      <c r="EJ57" s="158"/>
      <c r="EK57" s="158"/>
      <c r="EL57" s="158"/>
      <c r="EM57" s="158"/>
      <c r="EN57" s="158"/>
      <c r="EO57" s="158"/>
      <c r="EP57" s="158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8"/>
      <c r="FC57" s="158"/>
      <c r="FD57" s="158"/>
      <c r="FE57" s="158"/>
      <c r="FF57" s="158"/>
      <c r="FG57" s="158"/>
      <c r="FH57" s="158"/>
      <c r="FI57" s="158"/>
      <c r="FJ57" s="158"/>
      <c r="FK57" s="158"/>
      <c r="FL57" s="158"/>
      <c r="FM57" s="158"/>
      <c r="FN57" s="158"/>
      <c r="FO57" s="158"/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8"/>
      <c r="GC57" s="158"/>
      <c r="GD57" s="158"/>
      <c r="GE57" s="158"/>
      <c r="GF57" s="158"/>
      <c r="GG57" s="158"/>
      <c r="GH57" s="158"/>
      <c r="GI57" s="158"/>
      <c r="GJ57" s="158"/>
      <c r="GK57" s="158"/>
      <c r="GL57" s="158"/>
      <c r="GM57" s="158"/>
      <c r="GN57" s="158"/>
      <c r="GO57" s="158"/>
      <c r="GP57" s="158"/>
      <c r="GQ57" s="158"/>
      <c r="GR57" s="158"/>
      <c r="GS57" s="158"/>
      <c r="GT57" s="158"/>
      <c r="GU57" s="158"/>
      <c r="GV57" s="158"/>
      <c r="GW57" s="158"/>
      <c r="GX57" s="158"/>
      <c r="GY57" s="158"/>
      <c r="GZ57" s="158"/>
      <c r="HA57" s="158"/>
      <c r="HB57" s="158"/>
      <c r="HC57" s="158"/>
      <c r="HD57" s="158"/>
      <c r="HE57" s="158"/>
      <c r="HF57" s="158"/>
      <c r="HG57" s="158"/>
      <c r="HH57" s="158"/>
      <c r="HI57" s="158"/>
      <c r="HJ57" s="158"/>
      <c r="HK57" s="158"/>
      <c r="HL57" s="158"/>
      <c r="HM57" s="158"/>
      <c r="HN57" s="158"/>
      <c r="HO57" s="158"/>
      <c r="HP57" s="158"/>
      <c r="HQ57" s="158"/>
      <c r="HR57" s="158"/>
      <c r="HS57" s="158"/>
      <c r="HT57" s="158"/>
      <c r="HU57" s="158"/>
      <c r="HV57" s="158"/>
      <c r="HW57" s="158"/>
      <c r="HX57" s="158"/>
      <c r="HY57" s="158"/>
      <c r="HZ57" s="158"/>
      <c r="IA57" s="158"/>
      <c r="IB57" s="158"/>
      <c r="IC57" s="158"/>
      <c r="ID57" s="158"/>
      <c r="IE57" s="158"/>
      <c r="IF57" s="158"/>
      <c r="IG57" s="158"/>
      <c r="IH57" s="158"/>
      <c r="II57" s="158"/>
      <c r="IJ57" s="158"/>
      <c r="IK57" s="158"/>
      <c r="IL57" s="158"/>
      <c r="IM57" s="158"/>
      <c r="IN57" s="158"/>
      <c r="IO57" s="158"/>
      <c r="IP57" s="158"/>
      <c r="IQ57" s="158"/>
      <c r="IR57" s="158"/>
      <c r="IS57" s="158"/>
      <c r="IT57" s="158"/>
      <c r="IU57" s="158"/>
    </row>
    <row r="58" spans="1:255" ht="15.3" x14ac:dyDescent="0.55000000000000004">
      <c r="A58" s="158"/>
      <c r="B58" s="158"/>
      <c r="C58" s="158"/>
      <c r="D58" s="158"/>
      <c r="E58" s="158"/>
      <c r="F58" s="160"/>
      <c r="G58" s="158"/>
      <c r="H58" s="159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8"/>
      <c r="EF58" s="158"/>
      <c r="EG58" s="158"/>
      <c r="EH58" s="158"/>
      <c r="EI58" s="158"/>
      <c r="EJ58" s="158"/>
      <c r="EK58" s="158"/>
      <c r="EL58" s="158"/>
      <c r="EM58" s="158"/>
      <c r="EN58" s="158"/>
      <c r="EO58" s="158"/>
      <c r="EP58" s="158"/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8"/>
      <c r="FC58" s="158"/>
      <c r="FD58" s="158"/>
      <c r="FE58" s="158"/>
      <c r="FF58" s="158"/>
      <c r="FG58" s="158"/>
      <c r="FH58" s="158"/>
      <c r="FI58" s="158"/>
      <c r="FJ58" s="158"/>
      <c r="FK58" s="158"/>
      <c r="FL58" s="158"/>
      <c r="FM58" s="158"/>
      <c r="FN58" s="158"/>
      <c r="FO58" s="158"/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8"/>
      <c r="GC58" s="158"/>
      <c r="GD58" s="158"/>
      <c r="GE58" s="158"/>
      <c r="GF58" s="158"/>
      <c r="GG58" s="158"/>
      <c r="GH58" s="158"/>
      <c r="GI58" s="158"/>
      <c r="GJ58" s="158"/>
      <c r="GK58" s="158"/>
      <c r="GL58" s="158"/>
      <c r="GM58" s="158"/>
      <c r="GN58" s="158"/>
      <c r="GO58" s="158"/>
      <c r="GP58" s="158"/>
      <c r="GQ58" s="158"/>
      <c r="GR58" s="158"/>
      <c r="GS58" s="158"/>
      <c r="GT58" s="158"/>
      <c r="GU58" s="158"/>
      <c r="GV58" s="158"/>
      <c r="GW58" s="158"/>
      <c r="GX58" s="158"/>
      <c r="GY58" s="158"/>
      <c r="GZ58" s="158"/>
      <c r="HA58" s="158"/>
      <c r="HB58" s="158"/>
      <c r="HC58" s="158"/>
      <c r="HD58" s="158"/>
      <c r="HE58" s="158"/>
      <c r="HF58" s="158"/>
      <c r="HG58" s="158"/>
      <c r="HH58" s="158"/>
      <c r="HI58" s="158"/>
      <c r="HJ58" s="158"/>
      <c r="HK58" s="158"/>
      <c r="HL58" s="158"/>
      <c r="HM58" s="158"/>
      <c r="HN58" s="158"/>
      <c r="HO58" s="158"/>
      <c r="HP58" s="158"/>
      <c r="HQ58" s="158"/>
      <c r="HR58" s="158"/>
      <c r="HS58" s="158"/>
      <c r="HT58" s="158"/>
      <c r="HU58" s="158"/>
      <c r="HV58" s="158"/>
      <c r="HW58" s="158"/>
      <c r="HX58" s="158"/>
      <c r="HY58" s="158"/>
      <c r="HZ58" s="158"/>
      <c r="IA58" s="158"/>
      <c r="IB58" s="158"/>
      <c r="IC58" s="158"/>
      <c r="ID58" s="158"/>
      <c r="IE58" s="158"/>
      <c r="IF58" s="158"/>
      <c r="IG58" s="158"/>
      <c r="IH58" s="158"/>
      <c r="II58" s="158"/>
      <c r="IJ58" s="158"/>
      <c r="IK58" s="158"/>
      <c r="IL58" s="158"/>
      <c r="IM58" s="158"/>
      <c r="IN58" s="158"/>
      <c r="IO58" s="158"/>
      <c r="IP58" s="158"/>
      <c r="IQ58" s="158"/>
      <c r="IR58" s="158"/>
      <c r="IS58" s="158"/>
      <c r="IT58" s="158"/>
      <c r="IU58" s="158"/>
    </row>
    <row r="59" spans="1:255" ht="15.3" x14ac:dyDescent="0.55000000000000004">
      <c r="A59" s="158"/>
      <c r="B59" s="158"/>
      <c r="C59" s="158"/>
      <c r="D59" s="158"/>
      <c r="E59" s="158"/>
      <c r="F59" s="160"/>
      <c r="G59" s="158"/>
      <c r="H59" s="159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8"/>
      <c r="DM59" s="158"/>
      <c r="DN59" s="158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8"/>
      <c r="EF59" s="158"/>
      <c r="EG59" s="158"/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8"/>
      <c r="FC59" s="158"/>
      <c r="FD59" s="158"/>
      <c r="FE59" s="158"/>
      <c r="FF59" s="158"/>
      <c r="FG59" s="158"/>
      <c r="FH59" s="158"/>
      <c r="FI59" s="158"/>
      <c r="FJ59" s="158"/>
      <c r="FK59" s="158"/>
      <c r="FL59" s="158"/>
      <c r="FM59" s="158"/>
      <c r="FN59" s="158"/>
      <c r="FO59" s="158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8"/>
      <c r="GC59" s="158"/>
      <c r="GD59" s="158"/>
      <c r="GE59" s="158"/>
      <c r="GF59" s="158"/>
      <c r="GG59" s="158"/>
      <c r="GH59" s="158"/>
      <c r="GI59" s="158"/>
      <c r="GJ59" s="158"/>
      <c r="GK59" s="158"/>
      <c r="GL59" s="158"/>
      <c r="GM59" s="158"/>
      <c r="GN59" s="158"/>
      <c r="GO59" s="158"/>
      <c r="GP59" s="158"/>
      <c r="GQ59" s="158"/>
      <c r="GR59" s="158"/>
      <c r="GS59" s="158"/>
      <c r="GT59" s="158"/>
      <c r="GU59" s="158"/>
      <c r="GV59" s="158"/>
      <c r="GW59" s="158"/>
      <c r="GX59" s="158"/>
      <c r="GY59" s="158"/>
      <c r="GZ59" s="158"/>
      <c r="HA59" s="158"/>
      <c r="HB59" s="158"/>
      <c r="HC59" s="158"/>
      <c r="HD59" s="158"/>
      <c r="HE59" s="158"/>
      <c r="HF59" s="158"/>
      <c r="HG59" s="158"/>
      <c r="HH59" s="158"/>
      <c r="HI59" s="158"/>
      <c r="HJ59" s="158"/>
      <c r="HK59" s="158"/>
      <c r="HL59" s="158"/>
      <c r="HM59" s="158"/>
      <c r="HN59" s="158"/>
      <c r="HO59" s="158"/>
      <c r="HP59" s="158"/>
      <c r="HQ59" s="158"/>
      <c r="HR59" s="158"/>
      <c r="HS59" s="158"/>
      <c r="HT59" s="158"/>
      <c r="HU59" s="158"/>
      <c r="HV59" s="158"/>
      <c r="HW59" s="158"/>
      <c r="HX59" s="158"/>
      <c r="HY59" s="158"/>
      <c r="HZ59" s="158"/>
      <c r="IA59" s="158"/>
      <c r="IB59" s="158"/>
      <c r="IC59" s="158"/>
      <c r="ID59" s="158"/>
      <c r="IE59" s="158"/>
      <c r="IF59" s="158"/>
      <c r="IG59" s="158"/>
      <c r="IH59" s="158"/>
      <c r="II59" s="158"/>
      <c r="IJ59" s="158"/>
      <c r="IK59" s="158"/>
      <c r="IL59" s="158"/>
      <c r="IM59" s="158"/>
      <c r="IN59" s="158"/>
      <c r="IO59" s="158"/>
      <c r="IP59" s="158"/>
      <c r="IQ59" s="158"/>
      <c r="IR59" s="158"/>
      <c r="IS59" s="158"/>
      <c r="IT59" s="158"/>
      <c r="IU59" s="158"/>
    </row>
    <row r="60" spans="1:255" ht="15.3" x14ac:dyDescent="0.55000000000000004">
      <c r="A60" s="158"/>
      <c r="B60" s="158"/>
      <c r="C60" s="158"/>
      <c r="D60" s="158"/>
      <c r="E60" s="158"/>
      <c r="F60" s="160"/>
      <c r="G60" s="158"/>
      <c r="H60" s="159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8"/>
      <c r="CY60" s="158"/>
      <c r="CZ60" s="158"/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8"/>
      <c r="DM60" s="158"/>
      <c r="DN60" s="158"/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8"/>
      <c r="EF60" s="158"/>
      <c r="EG60" s="158"/>
      <c r="EH60" s="158"/>
      <c r="EI60" s="158"/>
      <c r="EJ60" s="158"/>
      <c r="EK60" s="158"/>
      <c r="EL60" s="158"/>
      <c r="EM60" s="158"/>
      <c r="EN60" s="158"/>
      <c r="EO60" s="158"/>
      <c r="EP60" s="158"/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8"/>
      <c r="FC60" s="158"/>
      <c r="FD60" s="158"/>
      <c r="FE60" s="158"/>
      <c r="FF60" s="158"/>
      <c r="FG60" s="158"/>
      <c r="FH60" s="158"/>
      <c r="FI60" s="158"/>
      <c r="FJ60" s="158"/>
      <c r="FK60" s="158"/>
      <c r="FL60" s="158"/>
      <c r="FM60" s="158"/>
      <c r="FN60" s="158"/>
      <c r="FO60" s="158"/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8"/>
      <c r="GC60" s="158"/>
      <c r="GD60" s="158"/>
      <c r="GE60" s="158"/>
      <c r="GF60" s="158"/>
      <c r="GG60" s="158"/>
      <c r="GH60" s="158"/>
      <c r="GI60" s="158"/>
      <c r="GJ60" s="158"/>
      <c r="GK60" s="158"/>
      <c r="GL60" s="158"/>
      <c r="GM60" s="158"/>
      <c r="GN60" s="158"/>
      <c r="GO60" s="158"/>
      <c r="GP60" s="158"/>
      <c r="GQ60" s="158"/>
      <c r="GR60" s="158"/>
      <c r="GS60" s="158"/>
      <c r="GT60" s="158"/>
      <c r="GU60" s="158"/>
      <c r="GV60" s="158"/>
      <c r="GW60" s="158"/>
      <c r="GX60" s="158"/>
      <c r="GY60" s="158"/>
      <c r="GZ60" s="158"/>
      <c r="HA60" s="158"/>
      <c r="HB60" s="158"/>
      <c r="HC60" s="158"/>
      <c r="HD60" s="158"/>
      <c r="HE60" s="158"/>
      <c r="HF60" s="158"/>
      <c r="HG60" s="158"/>
      <c r="HH60" s="158"/>
      <c r="HI60" s="158"/>
      <c r="HJ60" s="158"/>
      <c r="HK60" s="158"/>
      <c r="HL60" s="158"/>
      <c r="HM60" s="158"/>
      <c r="HN60" s="158"/>
      <c r="HO60" s="158"/>
      <c r="HP60" s="158"/>
      <c r="HQ60" s="158"/>
      <c r="HR60" s="158"/>
      <c r="HS60" s="158"/>
      <c r="HT60" s="158"/>
      <c r="HU60" s="158"/>
      <c r="HV60" s="158"/>
      <c r="HW60" s="158"/>
      <c r="HX60" s="158"/>
      <c r="HY60" s="158"/>
      <c r="HZ60" s="158"/>
      <c r="IA60" s="158"/>
      <c r="IB60" s="158"/>
      <c r="IC60" s="158"/>
      <c r="ID60" s="158"/>
      <c r="IE60" s="158"/>
      <c r="IF60" s="158"/>
      <c r="IG60" s="158"/>
      <c r="IH60" s="158"/>
      <c r="II60" s="158"/>
      <c r="IJ60" s="158"/>
      <c r="IK60" s="158"/>
      <c r="IL60" s="158"/>
      <c r="IM60" s="158"/>
      <c r="IN60" s="158"/>
      <c r="IO60" s="158"/>
      <c r="IP60" s="158"/>
      <c r="IQ60" s="158"/>
      <c r="IR60" s="158"/>
      <c r="IS60" s="158"/>
      <c r="IT60" s="158"/>
      <c r="IU60" s="158"/>
    </row>
    <row r="61" spans="1:255" ht="15.3" x14ac:dyDescent="0.55000000000000004">
      <c r="A61" s="164" t="s">
        <v>255</v>
      </c>
      <c r="C61" s="166"/>
      <c r="D61" s="163" t="s">
        <v>255</v>
      </c>
      <c r="E61" s="165"/>
      <c r="F61" s="165">
        <f>SUBTOTAL(9,F3:F60)</f>
        <v>1166982.8882188969</v>
      </c>
      <c r="G61" s="165">
        <f>SUBTOTAL(9,G3:G60)</f>
        <v>2052.2445914940572</v>
      </c>
      <c r="H61" s="159">
        <f>G61/F61</f>
        <v>1.7585901320509398E-3</v>
      </c>
      <c r="I61" s="161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  <c r="CJ61" s="158"/>
      <c r="CK61" s="158"/>
      <c r="CL61" s="158"/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58"/>
      <c r="DG61" s="158"/>
      <c r="DH61" s="158"/>
      <c r="DI61" s="158"/>
      <c r="DJ61" s="158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/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8"/>
      <c r="EX61" s="158"/>
      <c r="EY61" s="158"/>
      <c r="EZ61" s="158"/>
      <c r="FA61" s="158"/>
      <c r="FB61" s="158"/>
      <c r="FC61" s="158"/>
      <c r="FD61" s="158"/>
      <c r="FE61" s="158"/>
      <c r="FF61" s="158"/>
      <c r="FG61" s="158"/>
      <c r="FH61" s="158"/>
      <c r="FI61" s="158"/>
      <c r="FJ61" s="158"/>
      <c r="FK61" s="158"/>
      <c r="FL61" s="158"/>
      <c r="FM61" s="158"/>
      <c r="FN61" s="158"/>
      <c r="FO61" s="158"/>
      <c r="FP61" s="158"/>
      <c r="FQ61" s="158"/>
      <c r="FR61" s="158"/>
      <c r="FS61" s="158"/>
      <c r="FT61" s="158"/>
      <c r="FU61" s="158"/>
      <c r="FV61" s="158"/>
      <c r="FW61" s="158"/>
      <c r="FX61" s="158"/>
      <c r="FY61" s="158"/>
      <c r="FZ61" s="158"/>
      <c r="GA61" s="158"/>
      <c r="GB61" s="158"/>
      <c r="GC61" s="158"/>
      <c r="GD61" s="158"/>
      <c r="GE61" s="158"/>
      <c r="GF61" s="158"/>
      <c r="GG61" s="158"/>
      <c r="GH61" s="158"/>
      <c r="GI61" s="158"/>
      <c r="GJ61" s="158"/>
      <c r="GK61" s="158"/>
      <c r="GL61" s="158"/>
      <c r="GM61" s="158"/>
      <c r="GN61" s="158"/>
      <c r="GO61" s="158"/>
      <c r="GP61" s="158"/>
      <c r="GQ61" s="158"/>
      <c r="GR61" s="158"/>
      <c r="GS61" s="158"/>
      <c r="GT61" s="158"/>
      <c r="GU61" s="158"/>
      <c r="GV61" s="158"/>
      <c r="GW61" s="158"/>
      <c r="GX61" s="158"/>
      <c r="GY61" s="158"/>
      <c r="GZ61" s="158"/>
      <c r="HA61" s="158"/>
      <c r="HB61" s="158"/>
      <c r="HC61" s="158"/>
      <c r="HD61" s="158"/>
      <c r="HE61" s="158"/>
      <c r="HF61" s="158"/>
      <c r="HG61" s="158"/>
      <c r="HH61" s="158"/>
      <c r="HI61" s="158"/>
      <c r="HJ61" s="158"/>
      <c r="HK61" s="158"/>
      <c r="HL61" s="158"/>
      <c r="HM61" s="158"/>
      <c r="HN61" s="158"/>
      <c r="HO61" s="158"/>
      <c r="HP61" s="158"/>
      <c r="HQ61" s="158"/>
      <c r="HR61" s="158"/>
      <c r="HS61" s="158"/>
      <c r="HT61" s="158"/>
      <c r="HU61" s="158"/>
      <c r="HV61" s="158"/>
      <c r="HW61" s="158"/>
      <c r="HX61" s="158"/>
      <c r="HY61" s="158"/>
      <c r="HZ61" s="158"/>
      <c r="IA61" s="158"/>
      <c r="IB61" s="158"/>
      <c r="IC61" s="158"/>
      <c r="ID61" s="158"/>
      <c r="IE61" s="158"/>
      <c r="IF61" s="158"/>
      <c r="IG61" s="158"/>
      <c r="IH61" s="158"/>
      <c r="II61" s="158"/>
      <c r="IJ61" s="158"/>
      <c r="IK61" s="158"/>
      <c r="IL61" s="158"/>
      <c r="IM61" s="158"/>
      <c r="IN61" s="158"/>
      <c r="IO61" s="158"/>
      <c r="IP61" s="158"/>
      <c r="IQ61" s="158"/>
      <c r="IR61" s="158"/>
      <c r="IS61" s="158"/>
      <c r="IT61" s="158"/>
      <c r="IU61" s="158"/>
    </row>
    <row r="62" spans="1:255" ht="15.3" x14ac:dyDescent="0.55000000000000004">
      <c r="A62" s="164" t="s">
        <v>254</v>
      </c>
      <c r="B62" s="158"/>
      <c r="C62" s="163"/>
      <c r="D62" s="163" t="s">
        <v>254</v>
      </c>
      <c r="E62" s="165"/>
      <c r="F62" s="165">
        <f>SUM(F3:F54)-SUMPRODUCT((LEFT($A$3:$A$54,1)+0=9)*F3:F54)</f>
        <v>1011399.3491624917</v>
      </c>
      <c r="G62" s="165">
        <f>SUM(G3:G53)-SUMPRODUCT((LEFT($A$3:$A$53,1)+0=9)*G3:G53)</f>
        <v>2052.2445914940572</v>
      </c>
      <c r="H62" s="159">
        <f>G62/F62</f>
        <v>2.0291140123764734E-3</v>
      </c>
      <c r="I62" s="161"/>
      <c r="J62" s="162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/>
      <c r="ER62" s="158"/>
      <c r="ES62" s="158"/>
      <c r="ET62" s="158"/>
      <c r="EU62" s="158"/>
      <c r="EV62" s="158"/>
      <c r="EW62" s="158"/>
      <c r="EX62" s="158"/>
      <c r="EY62" s="158"/>
      <c r="EZ62" s="158"/>
      <c r="FA62" s="158"/>
      <c r="FB62" s="158"/>
      <c r="FC62" s="158"/>
      <c r="FD62" s="158"/>
      <c r="FE62" s="158"/>
      <c r="FF62" s="158"/>
      <c r="FG62" s="158"/>
      <c r="FH62" s="158"/>
      <c r="FI62" s="158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158"/>
      <c r="FV62" s="158"/>
      <c r="FW62" s="158"/>
      <c r="FX62" s="158"/>
      <c r="FY62" s="158"/>
      <c r="FZ62" s="158"/>
      <c r="GA62" s="158"/>
      <c r="GB62" s="158"/>
      <c r="GC62" s="158"/>
      <c r="GD62" s="158"/>
      <c r="GE62" s="158"/>
      <c r="GF62" s="158"/>
      <c r="GG62" s="158"/>
      <c r="GH62" s="158"/>
      <c r="GI62" s="158"/>
      <c r="GJ62" s="158"/>
      <c r="GK62" s="158"/>
      <c r="GL62" s="158"/>
      <c r="GM62" s="158"/>
      <c r="GN62" s="158"/>
      <c r="GO62" s="158"/>
      <c r="GP62" s="158"/>
      <c r="GQ62" s="158"/>
      <c r="GR62" s="158"/>
      <c r="GS62" s="158"/>
      <c r="GT62" s="158"/>
      <c r="GU62" s="158"/>
      <c r="GV62" s="158"/>
      <c r="GW62" s="158"/>
      <c r="GX62" s="158"/>
      <c r="GY62" s="158"/>
      <c r="GZ62" s="158"/>
      <c r="HA62" s="158"/>
      <c r="HB62" s="158"/>
      <c r="HC62" s="158"/>
      <c r="HD62" s="158"/>
      <c r="HE62" s="158"/>
      <c r="HF62" s="158"/>
      <c r="HG62" s="158"/>
      <c r="HH62" s="158"/>
      <c r="HI62" s="158"/>
      <c r="HJ62" s="158"/>
      <c r="HK62" s="158"/>
      <c r="HL62" s="158"/>
      <c r="HM62" s="158"/>
      <c r="HN62" s="158"/>
      <c r="HO62" s="158"/>
      <c r="HP62" s="158"/>
      <c r="HQ62" s="158"/>
      <c r="HR62" s="158"/>
      <c r="HS62" s="158"/>
      <c r="HT62" s="158"/>
      <c r="HU62" s="158"/>
      <c r="HV62" s="158"/>
      <c r="HW62" s="158"/>
      <c r="HX62" s="158"/>
      <c r="HY62" s="158"/>
      <c r="HZ62" s="158"/>
      <c r="IA62" s="158"/>
      <c r="IB62" s="158"/>
      <c r="IC62" s="158"/>
      <c r="ID62" s="158"/>
      <c r="IE62" s="158"/>
      <c r="IF62" s="158"/>
      <c r="IG62" s="158"/>
      <c r="IH62" s="158"/>
      <c r="II62" s="158"/>
      <c r="IJ62" s="158"/>
      <c r="IK62" s="158"/>
      <c r="IL62" s="158"/>
      <c r="IM62" s="158"/>
      <c r="IN62" s="158"/>
      <c r="IO62" s="158"/>
      <c r="IP62" s="158"/>
      <c r="IQ62" s="158"/>
      <c r="IR62" s="158"/>
      <c r="IS62" s="158"/>
      <c r="IT62" s="158"/>
      <c r="IU62" s="158"/>
    </row>
    <row r="63" spans="1:255" s="158" customFormat="1" ht="15.3" x14ac:dyDescent="0.55000000000000004">
      <c r="A63" s="164"/>
      <c r="C63" s="163"/>
      <c r="D63" s="163"/>
      <c r="H63" s="159"/>
    </row>
    <row r="64" spans="1:255" s="158" customFormat="1" ht="15.3" x14ac:dyDescent="0.55000000000000004">
      <c r="A64" s="164" t="s">
        <v>253</v>
      </c>
      <c r="C64" s="163"/>
      <c r="D64" s="163" t="s">
        <v>253</v>
      </c>
      <c r="E64" s="162"/>
      <c r="F64" s="162">
        <f>SUMIF($C:$C,1,F:F)</f>
        <v>848536.38418973342</v>
      </c>
      <c r="G64" s="162">
        <f>SUMIF($C:$C,1,G:G)</f>
        <v>844.37697427691819</v>
      </c>
      <c r="H64" s="159">
        <f>G64/F64</f>
        <v>9.9509813604894862E-4</v>
      </c>
      <c r="I64" s="161"/>
    </row>
    <row r="65" spans="1:255" s="158" customFormat="1" ht="15.3" x14ac:dyDescent="0.55000000000000004">
      <c r="A65" s="164" t="s">
        <v>252</v>
      </c>
      <c r="C65" s="163"/>
      <c r="D65" s="163" t="s">
        <v>252</v>
      </c>
      <c r="E65" s="162"/>
      <c r="F65" s="162">
        <f>SUMIF($C:$C,3,F:F)</f>
        <v>0</v>
      </c>
      <c r="G65" s="162">
        <f>SUMIF($C:$C,3,G:G)</f>
        <v>0</v>
      </c>
      <c r="H65" s="159" t="e">
        <f>G65/F65</f>
        <v>#DIV/0!</v>
      </c>
      <c r="I65" s="161"/>
    </row>
    <row r="66" spans="1:255" s="158" customFormat="1" ht="15.3" x14ac:dyDescent="0.55000000000000004">
      <c r="A66" s="164" t="s">
        <v>251</v>
      </c>
      <c r="C66" s="163"/>
      <c r="D66" s="163" t="s">
        <v>251</v>
      </c>
      <c r="E66" s="162"/>
      <c r="F66" s="162">
        <f>SUMIF($C:$C,4,F:F)</f>
        <v>0</v>
      </c>
      <c r="G66" s="162">
        <f>SUMIF($C:$C,4,G:G)</f>
        <v>0</v>
      </c>
      <c r="H66" s="159" t="e">
        <f>G66/F66</f>
        <v>#DIV/0!</v>
      </c>
      <c r="I66" s="161"/>
    </row>
    <row r="67" spans="1:255" s="158" customFormat="1" ht="15.3" x14ac:dyDescent="0.55000000000000004">
      <c r="A67" s="164" t="s">
        <v>250</v>
      </c>
      <c r="C67" s="163"/>
      <c r="D67" s="163" t="s">
        <v>250</v>
      </c>
      <c r="E67" s="162"/>
      <c r="F67" s="162">
        <f>SUMIF($C:$C,5,F:F)</f>
        <v>313101.47436853946</v>
      </c>
      <c r="G67" s="162">
        <f>SUMIF($C:$C,5,G:G)</f>
        <v>1207.867617217139</v>
      </c>
      <c r="H67" s="159">
        <f>G67/F67</f>
        <v>3.8577512918237028E-3</v>
      </c>
      <c r="I67" s="161"/>
    </row>
    <row r="68" spans="1:255" ht="15.3" x14ac:dyDescent="0.55000000000000004">
      <c r="A68" s="158"/>
      <c r="B68" s="158"/>
      <c r="C68" s="158"/>
      <c r="D68" s="158"/>
      <c r="E68" s="158"/>
      <c r="F68" s="160"/>
      <c r="G68" s="158"/>
      <c r="H68" s="159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8"/>
      <c r="DM68" s="158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8"/>
      <c r="FC68" s="158"/>
      <c r="FD68" s="158"/>
      <c r="FE68" s="158"/>
      <c r="FF68" s="158"/>
      <c r="FG68" s="158"/>
      <c r="FH68" s="158"/>
      <c r="FI68" s="158"/>
      <c r="FJ68" s="158"/>
      <c r="FK68" s="158"/>
      <c r="FL68" s="158"/>
      <c r="FM68" s="158"/>
      <c r="FN68" s="158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8"/>
      <c r="GD68" s="158"/>
      <c r="GE68" s="158"/>
      <c r="GF68" s="158"/>
      <c r="GG68" s="158"/>
      <c r="GH68" s="158"/>
      <c r="GI68" s="158"/>
      <c r="GJ68" s="158"/>
      <c r="GK68" s="158"/>
      <c r="GL68" s="158"/>
      <c r="GM68" s="158"/>
      <c r="GN68" s="158"/>
      <c r="GO68" s="158"/>
      <c r="GP68" s="158"/>
      <c r="GQ68" s="158"/>
      <c r="GR68" s="158"/>
      <c r="GS68" s="158"/>
      <c r="GT68" s="158"/>
      <c r="GU68" s="158"/>
      <c r="GV68" s="158"/>
      <c r="GW68" s="158"/>
      <c r="GX68" s="158"/>
      <c r="GY68" s="158"/>
      <c r="GZ68" s="158"/>
      <c r="HA68" s="158"/>
      <c r="HB68" s="158"/>
      <c r="HC68" s="158"/>
      <c r="HD68" s="158"/>
      <c r="HE68" s="158"/>
      <c r="HF68" s="158"/>
      <c r="HG68" s="158"/>
      <c r="HH68" s="158"/>
      <c r="HI68" s="158"/>
      <c r="HJ68" s="158"/>
      <c r="HK68" s="158"/>
      <c r="HL68" s="158"/>
      <c r="HM68" s="158"/>
      <c r="HN68" s="158"/>
      <c r="HO68" s="158"/>
      <c r="HP68" s="158"/>
      <c r="HQ68" s="158"/>
      <c r="HR68" s="158"/>
      <c r="HS68" s="158"/>
      <c r="HT68" s="158"/>
      <c r="HU68" s="158"/>
      <c r="HV68" s="158"/>
      <c r="HW68" s="158"/>
      <c r="HX68" s="158"/>
      <c r="HY68" s="158"/>
      <c r="HZ68" s="158"/>
      <c r="IA68" s="158"/>
      <c r="IB68" s="158"/>
      <c r="IC68" s="158"/>
      <c r="ID68" s="158"/>
      <c r="IE68" s="158"/>
      <c r="IF68" s="158"/>
      <c r="IG68" s="158"/>
      <c r="IH68" s="158"/>
      <c r="II68" s="158"/>
      <c r="IJ68" s="158"/>
      <c r="IK68" s="158"/>
      <c r="IL68" s="158"/>
      <c r="IM68" s="158"/>
      <c r="IN68" s="158"/>
      <c r="IO68" s="158"/>
      <c r="IP68" s="158"/>
      <c r="IQ68" s="158"/>
      <c r="IR68" s="158"/>
      <c r="IS68" s="158"/>
      <c r="IT68" s="158"/>
      <c r="IU68" s="158"/>
    </row>
    <row r="69" spans="1:255" ht="15.3" x14ac:dyDescent="0.55000000000000004">
      <c r="A69" s="158">
        <v>990099</v>
      </c>
      <c r="B69" s="158" t="s">
        <v>79</v>
      </c>
      <c r="C69" s="158"/>
      <c r="D69" s="158"/>
      <c r="E69" s="158"/>
      <c r="F69" s="160">
        <f>SUMIF($A:$A,"210004",F:F)+SUMIF($A:$A,"210065",F:F)</f>
        <v>45132.860442440877</v>
      </c>
      <c r="G69" s="160">
        <f>SUMIF($A:$A,"210004",G:G)+SUMIF($A:$A,"210065",G:G)</f>
        <v>18.999999999999986</v>
      </c>
      <c r="H69" s="159">
        <f>G69/F69</f>
        <v>4.2097930008737615E-4</v>
      </c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8"/>
      <c r="EF69" s="158"/>
      <c r="EG69" s="158"/>
      <c r="EH69" s="158"/>
      <c r="EI69" s="158"/>
      <c r="EJ69" s="158"/>
      <c r="EK69" s="158"/>
      <c r="EL69" s="158"/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8"/>
      <c r="FC69" s="158"/>
      <c r="FD69" s="158"/>
      <c r="FE69" s="158"/>
      <c r="FF69" s="158"/>
      <c r="FG69" s="158"/>
      <c r="FH69" s="158"/>
      <c r="FI69" s="158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8"/>
      <c r="GD69" s="158"/>
      <c r="GE69" s="158"/>
      <c r="GF69" s="158"/>
      <c r="GG69" s="158"/>
      <c r="GH69" s="158"/>
      <c r="GI69" s="158"/>
      <c r="GJ69" s="158"/>
      <c r="GK69" s="158"/>
      <c r="GL69" s="158"/>
      <c r="GM69" s="158"/>
      <c r="GN69" s="158"/>
      <c r="GO69" s="158"/>
      <c r="GP69" s="158"/>
      <c r="GQ69" s="158"/>
      <c r="GR69" s="158"/>
      <c r="GS69" s="158"/>
      <c r="GT69" s="158"/>
      <c r="GU69" s="158"/>
      <c r="GV69" s="158"/>
      <c r="GW69" s="158"/>
      <c r="GX69" s="158"/>
      <c r="GY69" s="158"/>
      <c r="GZ69" s="158"/>
      <c r="HA69" s="158"/>
      <c r="HB69" s="158"/>
      <c r="HC69" s="158"/>
      <c r="HD69" s="158"/>
      <c r="HE69" s="158"/>
      <c r="HF69" s="158"/>
      <c r="HG69" s="158"/>
      <c r="HH69" s="158"/>
      <c r="HI69" s="158"/>
      <c r="HJ69" s="158"/>
      <c r="HK69" s="158"/>
      <c r="HL69" s="158"/>
      <c r="HM69" s="158"/>
      <c r="HN69" s="158"/>
      <c r="HO69" s="158"/>
      <c r="HP69" s="158"/>
      <c r="HQ69" s="158"/>
      <c r="HR69" s="158"/>
      <c r="HS69" s="158"/>
      <c r="HT69" s="158"/>
      <c r="HU69" s="158"/>
      <c r="HV69" s="158"/>
      <c r="HW69" s="158"/>
      <c r="HX69" s="158"/>
      <c r="HY69" s="158"/>
      <c r="HZ69" s="158"/>
      <c r="IA69" s="158"/>
      <c r="IB69" s="158"/>
      <c r="IC69" s="158"/>
      <c r="ID69" s="158"/>
      <c r="IE69" s="158"/>
      <c r="IF69" s="158"/>
      <c r="IG69" s="158"/>
      <c r="IH69" s="158"/>
      <c r="II69" s="158"/>
      <c r="IJ69" s="158"/>
      <c r="IK69" s="158"/>
      <c r="IL69" s="158"/>
      <c r="IM69" s="158"/>
      <c r="IN69" s="158"/>
      <c r="IO69" s="158"/>
      <c r="IP69" s="158"/>
      <c r="IQ69" s="158"/>
      <c r="IR69" s="158"/>
      <c r="IS69" s="158"/>
      <c r="IT69" s="158"/>
      <c r="IU69" s="158"/>
    </row>
    <row r="70" spans="1:255" ht="15.3" x14ac:dyDescent="0.55000000000000004">
      <c r="A70" s="158"/>
      <c r="B70" s="158"/>
      <c r="C70" s="158"/>
      <c r="D70" s="158"/>
      <c r="E70" s="158"/>
      <c r="F70" s="160"/>
      <c r="G70" s="158"/>
      <c r="H70" s="159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8"/>
      <c r="DM70" s="158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8"/>
      <c r="EF70" s="158"/>
      <c r="EG70" s="158"/>
      <c r="EH70" s="158"/>
      <c r="EI70" s="158"/>
      <c r="EJ70" s="158"/>
      <c r="EK70" s="158"/>
      <c r="EL70" s="158"/>
      <c r="EM70" s="158"/>
      <c r="EN70" s="158"/>
      <c r="EO70" s="158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8"/>
      <c r="FC70" s="158"/>
      <c r="FD70" s="158"/>
      <c r="FE70" s="158"/>
      <c r="FF70" s="158"/>
      <c r="FG70" s="158"/>
      <c r="FH70" s="158"/>
      <c r="FI70" s="158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8"/>
      <c r="GD70" s="158"/>
      <c r="GE70" s="158"/>
      <c r="GF70" s="158"/>
      <c r="GG70" s="158"/>
      <c r="GH70" s="158"/>
      <c r="GI70" s="158"/>
      <c r="GJ70" s="158"/>
      <c r="GK70" s="158"/>
      <c r="GL70" s="158"/>
      <c r="GM70" s="158"/>
      <c r="GN70" s="158"/>
      <c r="GO70" s="158"/>
      <c r="GP70" s="158"/>
      <c r="GQ70" s="158"/>
      <c r="GR70" s="158"/>
      <c r="GS70" s="158"/>
      <c r="GT70" s="158"/>
      <c r="GU70" s="158"/>
      <c r="GV70" s="158"/>
      <c r="GW70" s="158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58"/>
      <c r="HK70" s="158"/>
      <c r="HL70" s="158"/>
      <c r="HM70" s="158"/>
      <c r="HN70" s="158"/>
      <c r="HO70" s="158"/>
      <c r="HP70" s="158"/>
      <c r="HQ70" s="158"/>
      <c r="HR70" s="158"/>
      <c r="HS70" s="158"/>
      <c r="HT70" s="158"/>
      <c r="HU70" s="158"/>
      <c r="HV70" s="158"/>
      <c r="HW70" s="158"/>
      <c r="HX70" s="158"/>
      <c r="HY70" s="158"/>
      <c r="HZ70" s="158"/>
      <c r="IA70" s="158"/>
      <c r="IB70" s="158"/>
      <c r="IC70" s="158"/>
      <c r="ID70" s="158"/>
      <c r="IE70" s="158"/>
      <c r="IF70" s="158"/>
      <c r="IG70" s="158"/>
      <c r="IH70" s="158"/>
      <c r="II70" s="158"/>
      <c r="IJ70" s="158"/>
      <c r="IK70" s="158"/>
      <c r="IL70" s="158"/>
      <c r="IM70" s="158"/>
      <c r="IN70" s="158"/>
      <c r="IO70" s="158"/>
      <c r="IP70" s="158"/>
      <c r="IQ70" s="158"/>
      <c r="IR70" s="158"/>
      <c r="IS70" s="158"/>
      <c r="IT70" s="158"/>
      <c r="IU70" s="158"/>
    </row>
    <row r="71" spans="1:255" ht="15.3" x14ac:dyDescent="0.55000000000000004">
      <c r="A71" s="158"/>
      <c r="B71" s="158"/>
      <c r="C71" s="158"/>
      <c r="D71" s="158"/>
      <c r="E71" s="158"/>
      <c r="F71" s="160"/>
      <c r="G71" s="158"/>
      <c r="H71" s="159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8"/>
      <c r="EF71" s="158"/>
      <c r="EG71" s="158"/>
      <c r="EH71" s="158"/>
      <c r="EI71" s="158"/>
      <c r="EJ71" s="158"/>
      <c r="EK71" s="158"/>
      <c r="EL71" s="158"/>
      <c r="EM71" s="158"/>
      <c r="EN71" s="158"/>
      <c r="EO71" s="158"/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8"/>
      <c r="FC71" s="158"/>
      <c r="FD71" s="158"/>
      <c r="FE71" s="158"/>
      <c r="FF71" s="158"/>
      <c r="FG71" s="158"/>
      <c r="FH71" s="158"/>
      <c r="FI71" s="158"/>
      <c r="FJ71" s="158"/>
      <c r="FK71" s="158"/>
      <c r="FL71" s="158"/>
      <c r="FM71" s="158"/>
      <c r="FN71" s="158"/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8"/>
      <c r="GD71" s="158"/>
      <c r="GE71" s="158"/>
      <c r="GF71" s="158"/>
      <c r="GG71" s="158"/>
      <c r="GH71" s="158"/>
      <c r="GI71" s="158"/>
      <c r="GJ71" s="158"/>
      <c r="GK71" s="158"/>
      <c r="GL71" s="158"/>
      <c r="GM71" s="158"/>
      <c r="GN71" s="158"/>
      <c r="GO71" s="158"/>
      <c r="GP71" s="158"/>
      <c r="GQ71" s="158"/>
      <c r="GR71" s="158"/>
      <c r="GS71" s="158"/>
      <c r="GT71" s="158"/>
      <c r="GU71" s="158"/>
      <c r="GV71" s="158"/>
      <c r="GW71" s="158"/>
      <c r="GX71" s="158"/>
      <c r="GY71" s="158"/>
      <c r="GZ71" s="158"/>
      <c r="HA71" s="158"/>
      <c r="HB71" s="158"/>
      <c r="HC71" s="158"/>
      <c r="HD71" s="158"/>
      <c r="HE71" s="158"/>
      <c r="HF71" s="158"/>
      <c r="HG71" s="158"/>
      <c r="HH71" s="158"/>
      <c r="HI71" s="158"/>
      <c r="HJ71" s="158"/>
      <c r="HK71" s="158"/>
      <c r="HL71" s="158"/>
      <c r="HM71" s="158"/>
      <c r="HN71" s="158"/>
      <c r="HO71" s="158"/>
      <c r="HP71" s="158"/>
      <c r="HQ71" s="158"/>
      <c r="HR71" s="158"/>
      <c r="HS71" s="158"/>
      <c r="HT71" s="158"/>
      <c r="HU71" s="158"/>
      <c r="HV71" s="158"/>
      <c r="HW71" s="158"/>
      <c r="HX71" s="158"/>
      <c r="HY71" s="158"/>
      <c r="HZ71" s="158"/>
      <c r="IA71" s="158"/>
      <c r="IB71" s="158"/>
      <c r="IC71" s="158"/>
      <c r="ID71" s="158"/>
      <c r="IE71" s="158"/>
      <c r="IF71" s="158"/>
      <c r="IG71" s="158"/>
      <c r="IH71" s="158"/>
      <c r="II71" s="158"/>
      <c r="IJ71" s="158"/>
      <c r="IK71" s="158"/>
      <c r="IL71" s="158"/>
      <c r="IM71" s="158"/>
      <c r="IN71" s="158"/>
      <c r="IO71" s="158"/>
      <c r="IP71" s="158"/>
      <c r="IQ71" s="158"/>
      <c r="IR71" s="158"/>
      <c r="IS71" s="158"/>
      <c r="IT71" s="158"/>
      <c r="IU71" s="158"/>
    </row>
    <row r="72" spans="1:255" ht="15.3" x14ac:dyDescent="0.55000000000000004">
      <c r="A72" s="158"/>
      <c r="B72" s="158"/>
      <c r="C72" s="158"/>
      <c r="D72" s="158"/>
      <c r="E72" s="158"/>
      <c r="F72" s="160"/>
      <c r="G72" s="158"/>
      <c r="H72" s="159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8"/>
      <c r="DM72" s="158"/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8"/>
      <c r="EF72" s="158"/>
      <c r="EG72" s="158"/>
      <c r="EH72" s="158"/>
      <c r="EI72" s="158"/>
      <c r="EJ72" s="158"/>
      <c r="EK72" s="158"/>
      <c r="EL72" s="158"/>
      <c r="EM72" s="158"/>
      <c r="EN72" s="158"/>
      <c r="EO72" s="158"/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8"/>
      <c r="FC72" s="158"/>
      <c r="FD72" s="158"/>
      <c r="FE72" s="158"/>
      <c r="FF72" s="158"/>
      <c r="FG72" s="158"/>
      <c r="FH72" s="158"/>
      <c r="FI72" s="158"/>
      <c r="FJ72" s="158"/>
      <c r="FK72" s="158"/>
      <c r="FL72" s="158"/>
      <c r="FM72" s="158"/>
      <c r="FN72" s="158"/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8"/>
      <c r="GD72" s="158"/>
      <c r="GE72" s="158"/>
      <c r="GF72" s="158"/>
      <c r="GG72" s="158"/>
      <c r="GH72" s="158"/>
      <c r="GI72" s="158"/>
      <c r="GJ72" s="158"/>
      <c r="GK72" s="158"/>
      <c r="GL72" s="158"/>
      <c r="GM72" s="158"/>
      <c r="GN72" s="158"/>
      <c r="GO72" s="158"/>
      <c r="GP72" s="158"/>
      <c r="GQ72" s="158"/>
      <c r="GR72" s="158"/>
      <c r="GS72" s="158"/>
      <c r="GT72" s="158"/>
      <c r="GU72" s="158"/>
      <c r="GV72" s="158"/>
      <c r="GW72" s="158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58"/>
      <c r="HK72" s="158"/>
      <c r="HL72" s="158"/>
      <c r="HM72" s="158"/>
      <c r="HN72" s="158"/>
      <c r="HO72" s="158"/>
      <c r="HP72" s="158"/>
      <c r="HQ72" s="158"/>
      <c r="HR72" s="158"/>
      <c r="HS72" s="158"/>
      <c r="HT72" s="158"/>
      <c r="HU72" s="158"/>
      <c r="HV72" s="158"/>
      <c r="HW72" s="158"/>
      <c r="HX72" s="158"/>
      <c r="HY72" s="158"/>
      <c r="HZ72" s="158"/>
      <c r="IA72" s="158"/>
      <c r="IB72" s="158"/>
      <c r="IC72" s="158"/>
      <c r="ID72" s="158"/>
      <c r="IE72" s="158"/>
      <c r="IF72" s="158"/>
      <c r="IG72" s="158"/>
      <c r="IH72" s="158"/>
      <c r="II72" s="158"/>
      <c r="IJ72" s="158"/>
      <c r="IK72" s="158"/>
      <c r="IL72" s="158"/>
      <c r="IM72" s="158"/>
      <c r="IN72" s="158"/>
      <c r="IO72" s="158"/>
      <c r="IP72" s="158"/>
      <c r="IQ72" s="158"/>
      <c r="IR72" s="158"/>
      <c r="IS72" s="158"/>
      <c r="IT72" s="158"/>
      <c r="IU72" s="158"/>
    </row>
    <row r="73" spans="1:255" ht="15.3" x14ac:dyDescent="0.55000000000000004">
      <c r="A73" s="158"/>
      <c r="B73" s="158"/>
      <c r="C73" s="158"/>
      <c r="D73" s="158"/>
      <c r="E73" s="158"/>
      <c r="F73" s="160"/>
      <c r="G73" s="158"/>
      <c r="H73" s="159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8"/>
      <c r="CG73" s="158"/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8"/>
      <c r="CY73" s="158"/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8"/>
      <c r="DM73" s="158"/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8"/>
      <c r="EF73" s="158"/>
      <c r="EG73" s="158"/>
      <c r="EH73" s="158"/>
      <c r="EI73" s="158"/>
      <c r="EJ73" s="158"/>
      <c r="EK73" s="158"/>
      <c r="EL73" s="158"/>
      <c r="EM73" s="158"/>
      <c r="EN73" s="158"/>
      <c r="EO73" s="158"/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8"/>
      <c r="FC73" s="158"/>
      <c r="FD73" s="158"/>
      <c r="FE73" s="158"/>
      <c r="FF73" s="158"/>
      <c r="FG73" s="158"/>
      <c r="FH73" s="158"/>
      <c r="FI73" s="158"/>
      <c r="FJ73" s="158"/>
      <c r="FK73" s="158"/>
      <c r="FL73" s="158"/>
      <c r="FM73" s="158"/>
      <c r="FN73" s="158"/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8"/>
      <c r="GD73" s="158"/>
      <c r="GE73" s="158"/>
      <c r="GF73" s="158"/>
      <c r="GG73" s="158"/>
      <c r="GH73" s="158"/>
      <c r="GI73" s="158"/>
      <c r="GJ73" s="158"/>
      <c r="GK73" s="158"/>
      <c r="GL73" s="158"/>
      <c r="GM73" s="158"/>
      <c r="GN73" s="158"/>
      <c r="GO73" s="158"/>
      <c r="GP73" s="158"/>
      <c r="GQ73" s="158"/>
      <c r="GR73" s="158"/>
      <c r="GS73" s="158"/>
      <c r="GT73" s="158"/>
      <c r="GU73" s="158"/>
      <c r="GV73" s="158"/>
      <c r="GW73" s="158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58"/>
      <c r="HK73" s="158"/>
      <c r="HL73" s="158"/>
      <c r="HM73" s="158"/>
      <c r="HN73" s="158"/>
      <c r="HO73" s="158"/>
      <c r="HP73" s="158"/>
      <c r="HQ73" s="158"/>
      <c r="HR73" s="158"/>
      <c r="HS73" s="158"/>
      <c r="HT73" s="158"/>
      <c r="HU73" s="158"/>
      <c r="HV73" s="158"/>
      <c r="HW73" s="158"/>
      <c r="HX73" s="158"/>
      <c r="HY73" s="158"/>
      <c r="HZ73" s="158"/>
      <c r="IA73" s="158"/>
      <c r="IB73" s="158"/>
      <c r="IC73" s="158"/>
      <c r="ID73" s="158"/>
      <c r="IE73" s="158"/>
      <c r="IF73" s="158"/>
      <c r="IG73" s="158"/>
      <c r="IH73" s="158"/>
      <c r="II73" s="158"/>
      <c r="IJ73" s="158"/>
      <c r="IK73" s="158"/>
      <c r="IL73" s="158"/>
      <c r="IM73" s="158"/>
      <c r="IN73" s="158"/>
      <c r="IO73" s="158"/>
      <c r="IP73" s="158"/>
      <c r="IQ73" s="158"/>
      <c r="IR73" s="158"/>
      <c r="IS73" s="158"/>
      <c r="IT73" s="158"/>
      <c r="IU73" s="158"/>
    </row>
    <row r="74" spans="1:255" ht="15.3" x14ac:dyDescent="0.55000000000000004">
      <c r="A74" s="158"/>
      <c r="B74" s="158"/>
      <c r="C74" s="158"/>
      <c r="D74" s="158"/>
      <c r="E74" s="158"/>
      <c r="F74" s="160"/>
      <c r="G74" s="158"/>
      <c r="H74" s="159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8"/>
      <c r="EF74" s="158"/>
      <c r="EG74" s="158"/>
      <c r="EH74" s="158"/>
      <c r="EI74" s="158"/>
      <c r="EJ74" s="158"/>
      <c r="EK74" s="158"/>
      <c r="EL74" s="158"/>
      <c r="EM74" s="158"/>
      <c r="EN74" s="158"/>
      <c r="EO74" s="158"/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8"/>
      <c r="FC74" s="158"/>
      <c r="FD74" s="158"/>
      <c r="FE74" s="158"/>
      <c r="FF74" s="158"/>
      <c r="FG74" s="158"/>
      <c r="FH74" s="158"/>
      <c r="FI74" s="158"/>
      <c r="FJ74" s="158"/>
      <c r="FK74" s="158"/>
      <c r="FL74" s="158"/>
      <c r="FM74" s="158"/>
      <c r="FN74" s="158"/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8"/>
      <c r="GD74" s="158"/>
      <c r="GE74" s="158"/>
      <c r="GF74" s="158"/>
      <c r="GG74" s="158"/>
      <c r="GH74" s="158"/>
      <c r="GI74" s="158"/>
      <c r="GJ74" s="158"/>
      <c r="GK74" s="158"/>
      <c r="GL74" s="158"/>
      <c r="GM74" s="158"/>
      <c r="GN74" s="158"/>
      <c r="GO74" s="158"/>
      <c r="GP74" s="158"/>
      <c r="GQ74" s="158"/>
      <c r="GR74" s="158"/>
      <c r="GS74" s="158"/>
      <c r="GT74" s="158"/>
      <c r="GU74" s="158"/>
      <c r="GV74" s="158"/>
      <c r="GW74" s="158"/>
      <c r="GX74" s="158"/>
      <c r="GY74" s="158"/>
      <c r="GZ74" s="158"/>
      <c r="HA74" s="158"/>
      <c r="HB74" s="158"/>
      <c r="HC74" s="158"/>
      <c r="HD74" s="158"/>
      <c r="HE74" s="158"/>
      <c r="HF74" s="158"/>
      <c r="HG74" s="158"/>
      <c r="HH74" s="158"/>
      <c r="HI74" s="158"/>
      <c r="HJ74" s="158"/>
      <c r="HK74" s="158"/>
      <c r="HL74" s="158"/>
      <c r="HM74" s="158"/>
      <c r="HN74" s="158"/>
      <c r="HO74" s="158"/>
      <c r="HP74" s="158"/>
      <c r="HQ74" s="158"/>
      <c r="HR74" s="158"/>
      <c r="HS74" s="158"/>
      <c r="HT74" s="158"/>
      <c r="HU74" s="158"/>
      <c r="HV74" s="158"/>
      <c r="HW74" s="158"/>
      <c r="HX74" s="158"/>
      <c r="HY74" s="158"/>
      <c r="HZ74" s="158"/>
      <c r="IA74" s="158"/>
      <c r="IB74" s="158"/>
      <c r="IC74" s="158"/>
      <c r="ID74" s="158"/>
      <c r="IE74" s="158"/>
      <c r="IF74" s="158"/>
      <c r="IG74" s="158"/>
      <c r="IH74" s="158"/>
      <c r="II74" s="158"/>
      <c r="IJ74" s="158"/>
      <c r="IK74" s="158"/>
      <c r="IL74" s="158"/>
      <c r="IM74" s="158"/>
      <c r="IN74" s="158"/>
      <c r="IO74" s="158"/>
      <c r="IP74" s="158"/>
      <c r="IQ74" s="158"/>
      <c r="IR74" s="158"/>
      <c r="IS74" s="158"/>
      <c r="IT74" s="158"/>
      <c r="IU74" s="158"/>
    </row>
    <row r="75" spans="1:255" ht="15.3" x14ac:dyDescent="0.55000000000000004">
      <c r="A75" s="158"/>
      <c r="B75" s="158"/>
      <c r="C75" s="158"/>
      <c r="D75" s="158"/>
      <c r="E75" s="158"/>
      <c r="F75" s="160"/>
      <c r="G75" s="158"/>
      <c r="H75" s="159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8"/>
      <c r="CG75" s="158"/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8"/>
      <c r="DM75" s="158"/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8"/>
      <c r="EF75" s="158"/>
      <c r="EG75" s="158"/>
      <c r="EH75" s="158"/>
      <c r="EI75" s="158"/>
      <c r="EJ75" s="158"/>
      <c r="EK75" s="158"/>
      <c r="EL75" s="158"/>
      <c r="EM75" s="158"/>
      <c r="EN75" s="158"/>
      <c r="EO75" s="158"/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8"/>
      <c r="FC75" s="158"/>
      <c r="FD75" s="158"/>
      <c r="FE75" s="158"/>
      <c r="FF75" s="158"/>
      <c r="FG75" s="158"/>
      <c r="FH75" s="158"/>
      <c r="FI75" s="158"/>
      <c r="FJ75" s="158"/>
      <c r="FK75" s="158"/>
      <c r="FL75" s="158"/>
      <c r="FM75" s="158"/>
      <c r="FN75" s="158"/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8"/>
      <c r="GD75" s="158"/>
      <c r="GE75" s="158"/>
      <c r="GF75" s="158"/>
      <c r="GG75" s="158"/>
      <c r="GH75" s="158"/>
      <c r="GI75" s="158"/>
      <c r="GJ75" s="158"/>
      <c r="GK75" s="158"/>
      <c r="GL75" s="158"/>
      <c r="GM75" s="158"/>
      <c r="GN75" s="158"/>
      <c r="GO75" s="158"/>
      <c r="GP75" s="158"/>
      <c r="GQ75" s="158"/>
      <c r="GR75" s="158"/>
      <c r="GS75" s="158"/>
      <c r="GT75" s="158"/>
      <c r="GU75" s="158"/>
      <c r="GV75" s="158"/>
      <c r="GW75" s="158"/>
      <c r="GX75" s="158"/>
      <c r="GY75" s="158"/>
      <c r="GZ75" s="158"/>
      <c r="HA75" s="158"/>
      <c r="HB75" s="158"/>
      <c r="HC75" s="158"/>
      <c r="HD75" s="158"/>
      <c r="HE75" s="158"/>
      <c r="HF75" s="158"/>
      <c r="HG75" s="158"/>
      <c r="HH75" s="158"/>
      <c r="HI75" s="158"/>
      <c r="HJ75" s="158"/>
      <c r="HK75" s="158"/>
      <c r="HL75" s="158"/>
      <c r="HM75" s="158"/>
      <c r="HN75" s="158"/>
      <c r="HO75" s="158"/>
      <c r="HP75" s="158"/>
      <c r="HQ75" s="158"/>
      <c r="HR75" s="158"/>
      <c r="HS75" s="158"/>
      <c r="HT75" s="158"/>
      <c r="HU75" s="158"/>
      <c r="HV75" s="158"/>
      <c r="HW75" s="158"/>
      <c r="HX75" s="158"/>
      <c r="HY75" s="158"/>
      <c r="HZ75" s="158"/>
      <c r="IA75" s="158"/>
      <c r="IB75" s="158"/>
      <c r="IC75" s="158"/>
      <c r="ID75" s="158"/>
      <c r="IE75" s="158"/>
      <c r="IF75" s="158"/>
      <c r="IG75" s="158"/>
      <c r="IH75" s="158"/>
      <c r="II75" s="158"/>
      <c r="IJ75" s="158"/>
      <c r="IK75" s="158"/>
      <c r="IL75" s="158"/>
      <c r="IM75" s="158"/>
      <c r="IN75" s="158"/>
      <c r="IO75" s="158"/>
      <c r="IP75" s="158"/>
      <c r="IQ75" s="158"/>
      <c r="IR75" s="158"/>
      <c r="IS75" s="158"/>
      <c r="IT75" s="158"/>
      <c r="IU75" s="158"/>
    </row>
    <row r="76" spans="1:255" ht="15.3" x14ac:dyDescent="0.55000000000000004">
      <c r="A76" s="158"/>
      <c r="B76" s="158"/>
      <c r="C76" s="158"/>
      <c r="D76" s="158"/>
      <c r="E76" s="158"/>
      <c r="F76" s="160"/>
      <c r="G76" s="158"/>
      <c r="H76" s="159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8"/>
      <c r="CY76" s="158"/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8"/>
      <c r="DM76" s="158"/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8"/>
      <c r="EF76" s="158"/>
      <c r="EG76" s="158"/>
      <c r="EH76" s="158"/>
      <c r="EI76" s="158"/>
      <c r="EJ76" s="158"/>
      <c r="EK76" s="158"/>
      <c r="EL76" s="158"/>
      <c r="EM76" s="158"/>
      <c r="EN76" s="158"/>
      <c r="EO76" s="158"/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8"/>
      <c r="FC76" s="158"/>
      <c r="FD76" s="158"/>
      <c r="FE76" s="158"/>
      <c r="FF76" s="158"/>
      <c r="FG76" s="158"/>
      <c r="FH76" s="158"/>
      <c r="FI76" s="158"/>
      <c r="FJ76" s="158"/>
      <c r="FK76" s="158"/>
      <c r="FL76" s="158"/>
      <c r="FM76" s="158"/>
      <c r="FN76" s="158"/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8"/>
      <c r="GD76" s="158"/>
      <c r="GE76" s="158"/>
      <c r="GF76" s="158"/>
      <c r="GG76" s="158"/>
      <c r="GH76" s="158"/>
      <c r="GI76" s="158"/>
      <c r="GJ76" s="158"/>
      <c r="GK76" s="158"/>
      <c r="GL76" s="158"/>
      <c r="GM76" s="158"/>
      <c r="GN76" s="158"/>
      <c r="GO76" s="158"/>
      <c r="GP76" s="158"/>
      <c r="GQ76" s="158"/>
      <c r="GR76" s="158"/>
      <c r="GS76" s="158"/>
      <c r="GT76" s="158"/>
      <c r="GU76" s="158"/>
      <c r="GV76" s="158"/>
      <c r="GW76" s="158"/>
      <c r="GX76" s="158"/>
      <c r="GY76" s="158"/>
      <c r="GZ76" s="158"/>
      <c r="HA76" s="158"/>
      <c r="HB76" s="158"/>
      <c r="HC76" s="158"/>
      <c r="HD76" s="158"/>
      <c r="HE76" s="158"/>
      <c r="HF76" s="158"/>
      <c r="HG76" s="158"/>
      <c r="HH76" s="158"/>
      <c r="HI76" s="158"/>
      <c r="HJ76" s="158"/>
      <c r="HK76" s="158"/>
      <c r="HL76" s="158"/>
      <c r="HM76" s="158"/>
      <c r="HN76" s="158"/>
      <c r="HO76" s="158"/>
      <c r="HP76" s="158"/>
      <c r="HQ76" s="158"/>
      <c r="HR76" s="158"/>
      <c r="HS76" s="158"/>
      <c r="HT76" s="158"/>
      <c r="HU76" s="158"/>
      <c r="HV76" s="158"/>
      <c r="HW76" s="158"/>
      <c r="HX76" s="158"/>
      <c r="HY76" s="158"/>
      <c r="HZ76" s="158"/>
      <c r="IA76" s="158"/>
      <c r="IB76" s="158"/>
      <c r="IC76" s="158"/>
      <c r="ID76" s="158"/>
      <c r="IE76" s="158"/>
      <c r="IF76" s="158"/>
      <c r="IG76" s="158"/>
      <c r="IH76" s="158"/>
      <c r="II76" s="158"/>
      <c r="IJ76" s="158"/>
      <c r="IK76" s="158"/>
      <c r="IL76" s="158"/>
      <c r="IM76" s="158"/>
      <c r="IN76" s="158"/>
      <c r="IO76" s="158"/>
      <c r="IP76" s="158"/>
      <c r="IQ76" s="158"/>
      <c r="IR76" s="158"/>
      <c r="IS76" s="158"/>
      <c r="IT76" s="158"/>
      <c r="IU76" s="158"/>
    </row>
    <row r="77" spans="1:255" ht="15.3" x14ac:dyDescent="0.55000000000000004">
      <c r="A77" s="158"/>
      <c r="B77" s="158"/>
      <c r="C77" s="158"/>
      <c r="D77" s="158"/>
      <c r="E77" s="158"/>
      <c r="F77" s="160"/>
      <c r="G77" s="158"/>
      <c r="H77" s="159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8"/>
      <c r="CN77" s="158"/>
      <c r="CO77" s="158"/>
      <c r="CP77" s="158"/>
      <c r="CQ77" s="158"/>
      <c r="CR77" s="158"/>
      <c r="CS77" s="158"/>
      <c r="CT77" s="158"/>
      <c r="CU77" s="158"/>
      <c r="CV77" s="158"/>
      <c r="CW77" s="158"/>
      <c r="CX77" s="158"/>
      <c r="CY77" s="158"/>
      <c r="CZ77" s="158"/>
      <c r="DA77" s="158"/>
      <c r="DB77" s="158"/>
      <c r="DC77" s="158"/>
      <c r="DD77" s="158"/>
      <c r="DE77" s="158"/>
      <c r="DF77" s="158"/>
      <c r="DG77" s="158"/>
      <c r="DH77" s="158"/>
      <c r="DI77" s="158"/>
      <c r="DJ77" s="158"/>
      <c r="DK77" s="158"/>
      <c r="DL77" s="158"/>
      <c r="DM77" s="158"/>
      <c r="DN77" s="158"/>
      <c r="DO77" s="158"/>
      <c r="DP77" s="158"/>
      <c r="DQ77" s="158"/>
      <c r="DR77" s="158"/>
      <c r="DS77" s="158"/>
      <c r="DT77" s="158"/>
      <c r="DU77" s="158"/>
      <c r="DV77" s="158"/>
      <c r="DW77" s="158"/>
      <c r="DX77" s="158"/>
      <c r="DY77" s="158"/>
      <c r="DZ77" s="158"/>
      <c r="EA77" s="158"/>
      <c r="EB77" s="158"/>
      <c r="EC77" s="158"/>
      <c r="ED77" s="158"/>
      <c r="EE77" s="158"/>
      <c r="EF77" s="158"/>
      <c r="EG77" s="158"/>
      <c r="EH77" s="158"/>
      <c r="EI77" s="158"/>
      <c r="EJ77" s="158"/>
      <c r="EK77" s="158"/>
      <c r="EL77" s="158"/>
      <c r="EM77" s="158"/>
      <c r="EN77" s="158"/>
      <c r="EO77" s="158"/>
      <c r="EP77" s="158"/>
      <c r="EQ77" s="158"/>
      <c r="ER77" s="158"/>
      <c r="ES77" s="158"/>
      <c r="ET77" s="158"/>
      <c r="EU77" s="158"/>
      <c r="EV77" s="158"/>
      <c r="EW77" s="158"/>
      <c r="EX77" s="158"/>
      <c r="EY77" s="158"/>
      <c r="EZ77" s="158"/>
      <c r="FA77" s="158"/>
      <c r="FB77" s="158"/>
      <c r="FC77" s="158"/>
      <c r="FD77" s="158"/>
      <c r="FE77" s="158"/>
      <c r="FF77" s="158"/>
      <c r="FG77" s="158"/>
      <c r="FH77" s="158"/>
      <c r="FI77" s="158"/>
      <c r="FJ77" s="158"/>
      <c r="FK77" s="158"/>
      <c r="FL77" s="158"/>
      <c r="FM77" s="158"/>
      <c r="FN77" s="158"/>
      <c r="FO77" s="158"/>
      <c r="FP77" s="158"/>
      <c r="FQ77" s="158"/>
      <c r="FR77" s="158"/>
      <c r="FS77" s="158"/>
      <c r="FT77" s="158"/>
      <c r="FU77" s="158"/>
      <c r="FV77" s="158"/>
      <c r="FW77" s="158"/>
      <c r="FX77" s="158"/>
      <c r="FY77" s="158"/>
      <c r="FZ77" s="158"/>
      <c r="GA77" s="158"/>
      <c r="GB77" s="158"/>
      <c r="GC77" s="158"/>
      <c r="GD77" s="158"/>
      <c r="GE77" s="158"/>
      <c r="GF77" s="158"/>
      <c r="GG77" s="158"/>
      <c r="GH77" s="158"/>
      <c r="GI77" s="158"/>
      <c r="GJ77" s="158"/>
      <c r="GK77" s="158"/>
      <c r="GL77" s="158"/>
      <c r="GM77" s="158"/>
      <c r="GN77" s="158"/>
      <c r="GO77" s="158"/>
      <c r="GP77" s="158"/>
      <c r="GQ77" s="158"/>
      <c r="GR77" s="158"/>
      <c r="GS77" s="158"/>
      <c r="GT77" s="158"/>
      <c r="GU77" s="158"/>
      <c r="GV77" s="158"/>
      <c r="GW77" s="158"/>
      <c r="GX77" s="158"/>
      <c r="GY77" s="158"/>
      <c r="GZ77" s="158"/>
      <c r="HA77" s="158"/>
      <c r="HB77" s="158"/>
      <c r="HC77" s="158"/>
      <c r="HD77" s="158"/>
      <c r="HE77" s="158"/>
      <c r="HF77" s="158"/>
      <c r="HG77" s="158"/>
      <c r="HH77" s="158"/>
      <c r="HI77" s="158"/>
      <c r="HJ77" s="158"/>
      <c r="HK77" s="158"/>
      <c r="HL77" s="158"/>
      <c r="HM77" s="158"/>
      <c r="HN77" s="158"/>
      <c r="HO77" s="158"/>
      <c r="HP77" s="158"/>
      <c r="HQ77" s="158"/>
      <c r="HR77" s="158"/>
      <c r="HS77" s="158"/>
      <c r="HT77" s="158"/>
      <c r="HU77" s="158"/>
      <c r="HV77" s="158"/>
      <c r="HW77" s="158"/>
      <c r="HX77" s="158"/>
      <c r="HY77" s="158"/>
      <c r="HZ77" s="158"/>
      <c r="IA77" s="158"/>
      <c r="IB77" s="158"/>
      <c r="IC77" s="158"/>
      <c r="ID77" s="158"/>
      <c r="IE77" s="158"/>
      <c r="IF77" s="158"/>
      <c r="IG77" s="158"/>
      <c r="IH77" s="158"/>
      <c r="II77" s="158"/>
      <c r="IJ77" s="158"/>
      <c r="IK77" s="158"/>
      <c r="IL77" s="158"/>
      <c r="IM77" s="158"/>
      <c r="IN77" s="158"/>
      <c r="IO77" s="158"/>
      <c r="IP77" s="158"/>
      <c r="IQ77" s="158"/>
      <c r="IR77" s="158"/>
      <c r="IS77" s="158"/>
      <c r="IT77" s="158"/>
      <c r="IU77" s="158"/>
    </row>
    <row r="78" spans="1:255" ht="15.3" x14ac:dyDescent="0.55000000000000004">
      <c r="A78" s="158"/>
      <c r="B78" s="158"/>
      <c r="C78" s="158"/>
      <c r="D78" s="158"/>
      <c r="E78" s="158"/>
      <c r="F78" s="160"/>
      <c r="G78" s="158"/>
      <c r="H78" s="159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8"/>
      <c r="DJ78" s="158"/>
      <c r="DK78" s="158"/>
      <c r="DL78" s="158"/>
      <c r="DM78" s="158"/>
      <c r="DN78" s="158"/>
      <c r="DO78" s="158"/>
      <c r="DP78" s="158"/>
      <c r="DQ78" s="158"/>
      <c r="DR78" s="158"/>
      <c r="DS78" s="158"/>
      <c r="DT78" s="158"/>
      <c r="DU78" s="158"/>
      <c r="DV78" s="158"/>
      <c r="DW78" s="158"/>
      <c r="DX78" s="158"/>
      <c r="DY78" s="158"/>
      <c r="DZ78" s="158"/>
      <c r="EA78" s="158"/>
      <c r="EB78" s="158"/>
      <c r="EC78" s="158"/>
      <c r="ED78" s="158"/>
      <c r="EE78" s="158"/>
      <c r="EF78" s="158"/>
      <c r="EG78" s="158"/>
      <c r="EH78" s="158"/>
      <c r="EI78" s="158"/>
      <c r="EJ78" s="158"/>
      <c r="EK78" s="158"/>
      <c r="EL78" s="158"/>
      <c r="EM78" s="158"/>
      <c r="EN78" s="158"/>
      <c r="EO78" s="158"/>
      <c r="EP78" s="158"/>
      <c r="EQ78" s="158"/>
      <c r="ER78" s="158"/>
      <c r="ES78" s="158"/>
      <c r="ET78" s="158"/>
      <c r="EU78" s="158"/>
      <c r="EV78" s="158"/>
      <c r="EW78" s="158"/>
      <c r="EX78" s="158"/>
      <c r="EY78" s="158"/>
      <c r="EZ78" s="158"/>
      <c r="FA78" s="158"/>
      <c r="FB78" s="158"/>
      <c r="FC78" s="158"/>
      <c r="FD78" s="158"/>
      <c r="FE78" s="158"/>
      <c r="FF78" s="158"/>
      <c r="FG78" s="158"/>
      <c r="FH78" s="158"/>
      <c r="FI78" s="158"/>
      <c r="FJ78" s="158"/>
      <c r="FK78" s="158"/>
      <c r="FL78" s="158"/>
      <c r="FM78" s="158"/>
      <c r="FN78" s="158"/>
      <c r="FO78" s="158"/>
      <c r="FP78" s="158"/>
      <c r="FQ78" s="158"/>
      <c r="FR78" s="158"/>
      <c r="FS78" s="158"/>
      <c r="FT78" s="158"/>
      <c r="FU78" s="158"/>
      <c r="FV78" s="158"/>
      <c r="FW78" s="158"/>
      <c r="FX78" s="158"/>
      <c r="FY78" s="158"/>
      <c r="FZ78" s="158"/>
      <c r="GA78" s="158"/>
      <c r="GB78" s="158"/>
      <c r="GC78" s="158"/>
      <c r="GD78" s="158"/>
      <c r="GE78" s="158"/>
      <c r="GF78" s="158"/>
      <c r="GG78" s="158"/>
      <c r="GH78" s="158"/>
      <c r="GI78" s="158"/>
      <c r="GJ78" s="158"/>
      <c r="GK78" s="158"/>
      <c r="GL78" s="158"/>
      <c r="GM78" s="158"/>
      <c r="GN78" s="158"/>
      <c r="GO78" s="158"/>
      <c r="GP78" s="158"/>
      <c r="GQ78" s="158"/>
      <c r="GR78" s="158"/>
      <c r="GS78" s="158"/>
      <c r="GT78" s="158"/>
      <c r="GU78" s="158"/>
      <c r="GV78" s="158"/>
      <c r="GW78" s="158"/>
      <c r="GX78" s="158"/>
      <c r="GY78" s="158"/>
      <c r="GZ78" s="158"/>
      <c r="HA78" s="158"/>
      <c r="HB78" s="158"/>
      <c r="HC78" s="158"/>
      <c r="HD78" s="158"/>
      <c r="HE78" s="158"/>
      <c r="HF78" s="158"/>
      <c r="HG78" s="158"/>
      <c r="HH78" s="158"/>
      <c r="HI78" s="158"/>
      <c r="HJ78" s="158"/>
      <c r="HK78" s="158"/>
      <c r="HL78" s="158"/>
      <c r="HM78" s="158"/>
      <c r="HN78" s="158"/>
      <c r="HO78" s="158"/>
      <c r="HP78" s="158"/>
      <c r="HQ78" s="158"/>
      <c r="HR78" s="158"/>
      <c r="HS78" s="158"/>
      <c r="HT78" s="158"/>
      <c r="HU78" s="158"/>
      <c r="HV78" s="158"/>
      <c r="HW78" s="158"/>
      <c r="HX78" s="158"/>
      <c r="HY78" s="158"/>
      <c r="HZ78" s="158"/>
      <c r="IA78" s="158"/>
      <c r="IB78" s="158"/>
      <c r="IC78" s="158"/>
      <c r="ID78" s="158"/>
      <c r="IE78" s="158"/>
      <c r="IF78" s="158"/>
      <c r="IG78" s="158"/>
      <c r="IH78" s="158"/>
      <c r="II78" s="158"/>
      <c r="IJ78" s="158"/>
      <c r="IK78" s="158"/>
      <c r="IL78" s="158"/>
      <c r="IM78" s="158"/>
      <c r="IN78" s="158"/>
      <c r="IO78" s="158"/>
      <c r="IP78" s="158"/>
      <c r="IQ78" s="158"/>
      <c r="IR78" s="158"/>
      <c r="IS78" s="158"/>
      <c r="IT78" s="158"/>
      <c r="IU78" s="158"/>
    </row>
    <row r="79" spans="1:255" ht="15.3" x14ac:dyDescent="0.55000000000000004">
      <c r="A79" s="158"/>
      <c r="B79" s="158"/>
      <c r="C79" s="158"/>
      <c r="D79" s="158"/>
      <c r="E79" s="158"/>
      <c r="F79" s="160"/>
      <c r="G79" s="158"/>
      <c r="H79" s="159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158"/>
      <c r="BU79" s="158"/>
      <c r="BV79" s="158"/>
      <c r="BW79" s="158"/>
      <c r="BX79" s="158"/>
      <c r="BY79" s="158"/>
      <c r="BZ79" s="158"/>
      <c r="CA79" s="158"/>
      <c r="CB79" s="158"/>
      <c r="CC79" s="158"/>
      <c r="CD79" s="158"/>
      <c r="CE79" s="158"/>
      <c r="CF79" s="158"/>
      <c r="CG79" s="158"/>
      <c r="CH79" s="158"/>
      <c r="CI79" s="158"/>
      <c r="CJ79" s="158"/>
      <c r="CK79" s="158"/>
      <c r="CL79" s="158"/>
      <c r="CM79" s="158"/>
      <c r="CN79" s="158"/>
      <c r="CO79" s="158"/>
      <c r="CP79" s="158"/>
      <c r="CQ79" s="158"/>
      <c r="CR79" s="158"/>
      <c r="CS79" s="158"/>
      <c r="CT79" s="158"/>
      <c r="CU79" s="158"/>
      <c r="CV79" s="158"/>
      <c r="CW79" s="158"/>
      <c r="CX79" s="158"/>
      <c r="CY79" s="158"/>
      <c r="CZ79" s="158"/>
      <c r="DA79" s="158"/>
      <c r="DB79" s="158"/>
      <c r="DC79" s="158"/>
      <c r="DD79" s="158"/>
      <c r="DE79" s="158"/>
      <c r="DF79" s="158"/>
      <c r="DG79" s="158"/>
      <c r="DH79" s="158"/>
      <c r="DI79" s="158"/>
      <c r="DJ79" s="158"/>
      <c r="DK79" s="158"/>
      <c r="DL79" s="158"/>
      <c r="DM79" s="158"/>
      <c r="DN79" s="158"/>
      <c r="DO79" s="158"/>
      <c r="DP79" s="158"/>
      <c r="DQ79" s="158"/>
      <c r="DR79" s="158"/>
      <c r="DS79" s="158"/>
      <c r="DT79" s="158"/>
      <c r="DU79" s="158"/>
      <c r="DV79" s="158"/>
      <c r="DW79" s="158"/>
      <c r="DX79" s="158"/>
      <c r="DY79" s="158"/>
      <c r="DZ79" s="158"/>
      <c r="EA79" s="158"/>
      <c r="EB79" s="158"/>
      <c r="EC79" s="158"/>
      <c r="ED79" s="158"/>
      <c r="EE79" s="158"/>
      <c r="EF79" s="158"/>
      <c r="EG79" s="158"/>
      <c r="EH79" s="158"/>
      <c r="EI79" s="158"/>
      <c r="EJ79" s="158"/>
      <c r="EK79" s="158"/>
      <c r="EL79" s="158"/>
      <c r="EM79" s="158"/>
      <c r="EN79" s="158"/>
      <c r="EO79" s="158"/>
      <c r="EP79" s="158"/>
      <c r="EQ79" s="158"/>
      <c r="ER79" s="158"/>
      <c r="ES79" s="158"/>
      <c r="ET79" s="158"/>
      <c r="EU79" s="158"/>
      <c r="EV79" s="158"/>
      <c r="EW79" s="158"/>
      <c r="EX79" s="158"/>
      <c r="EY79" s="158"/>
      <c r="EZ79" s="158"/>
      <c r="FA79" s="158"/>
      <c r="FB79" s="158"/>
      <c r="FC79" s="158"/>
      <c r="FD79" s="158"/>
      <c r="FE79" s="158"/>
      <c r="FF79" s="158"/>
      <c r="FG79" s="158"/>
      <c r="FH79" s="158"/>
      <c r="FI79" s="158"/>
      <c r="FJ79" s="158"/>
      <c r="FK79" s="158"/>
      <c r="FL79" s="158"/>
      <c r="FM79" s="158"/>
      <c r="FN79" s="158"/>
      <c r="FO79" s="158"/>
      <c r="FP79" s="158"/>
      <c r="FQ79" s="158"/>
      <c r="FR79" s="158"/>
      <c r="FS79" s="158"/>
      <c r="FT79" s="158"/>
      <c r="FU79" s="158"/>
      <c r="FV79" s="158"/>
      <c r="FW79" s="158"/>
      <c r="FX79" s="158"/>
      <c r="FY79" s="158"/>
      <c r="FZ79" s="158"/>
      <c r="GA79" s="158"/>
      <c r="GB79" s="158"/>
      <c r="GC79" s="158"/>
      <c r="GD79" s="158"/>
      <c r="GE79" s="158"/>
      <c r="GF79" s="158"/>
      <c r="GG79" s="158"/>
      <c r="GH79" s="158"/>
      <c r="GI79" s="158"/>
      <c r="GJ79" s="158"/>
      <c r="GK79" s="158"/>
      <c r="GL79" s="158"/>
      <c r="GM79" s="158"/>
      <c r="GN79" s="158"/>
      <c r="GO79" s="158"/>
      <c r="GP79" s="158"/>
      <c r="GQ79" s="158"/>
      <c r="GR79" s="158"/>
      <c r="GS79" s="158"/>
      <c r="GT79" s="158"/>
      <c r="GU79" s="158"/>
      <c r="GV79" s="158"/>
      <c r="GW79" s="158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58"/>
      <c r="HK79" s="158"/>
      <c r="HL79" s="158"/>
      <c r="HM79" s="158"/>
      <c r="HN79" s="158"/>
      <c r="HO79" s="158"/>
      <c r="HP79" s="158"/>
      <c r="HQ79" s="158"/>
      <c r="HR79" s="158"/>
      <c r="HS79" s="158"/>
      <c r="HT79" s="158"/>
      <c r="HU79" s="158"/>
      <c r="HV79" s="158"/>
      <c r="HW79" s="158"/>
      <c r="HX79" s="158"/>
      <c r="HY79" s="158"/>
      <c r="HZ79" s="158"/>
      <c r="IA79" s="158"/>
      <c r="IB79" s="158"/>
      <c r="IC79" s="158"/>
      <c r="ID79" s="158"/>
      <c r="IE79" s="158"/>
      <c r="IF79" s="158"/>
      <c r="IG79" s="158"/>
      <c r="IH79" s="158"/>
      <c r="II79" s="158"/>
      <c r="IJ79" s="158"/>
      <c r="IK79" s="158"/>
      <c r="IL79" s="158"/>
      <c r="IM79" s="158"/>
      <c r="IN79" s="158"/>
      <c r="IO79" s="158"/>
      <c r="IP79" s="158"/>
      <c r="IQ79" s="158"/>
      <c r="IR79" s="158"/>
      <c r="IS79" s="158"/>
      <c r="IT79" s="158"/>
      <c r="IU79" s="158"/>
    </row>
    <row r="80" spans="1:255" ht="15.3" x14ac:dyDescent="0.55000000000000004">
      <c r="A80" s="158"/>
      <c r="B80" s="158"/>
      <c r="C80" s="158"/>
      <c r="D80" s="158"/>
      <c r="E80" s="158"/>
      <c r="F80" s="160"/>
      <c r="G80" s="158"/>
      <c r="H80" s="159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58"/>
      <c r="DG80" s="158"/>
      <c r="DH80" s="158"/>
      <c r="DI80" s="158"/>
      <c r="DJ80" s="158"/>
      <c r="DK80" s="158"/>
      <c r="DL80" s="158"/>
      <c r="DM80" s="158"/>
      <c r="DN80" s="158"/>
      <c r="DO80" s="158"/>
      <c r="DP80" s="158"/>
      <c r="DQ80" s="158"/>
      <c r="DR80" s="158"/>
      <c r="DS80" s="158"/>
      <c r="DT80" s="158"/>
      <c r="DU80" s="158"/>
      <c r="DV80" s="158"/>
      <c r="DW80" s="158"/>
      <c r="DX80" s="158"/>
      <c r="DY80" s="158"/>
      <c r="DZ80" s="158"/>
      <c r="EA80" s="158"/>
      <c r="EB80" s="158"/>
      <c r="EC80" s="158"/>
      <c r="ED80" s="158"/>
      <c r="EE80" s="158"/>
      <c r="EF80" s="158"/>
      <c r="EG80" s="158"/>
      <c r="EH80" s="158"/>
      <c r="EI80" s="158"/>
      <c r="EJ80" s="158"/>
      <c r="EK80" s="158"/>
      <c r="EL80" s="158"/>
      <c r="EM80" s="158"/>
      <c r="EN80" s="158"/>
      <c r="EO80" s="158"/>
      <c r="EP80" s="158"/>
      <c r="EQ80" s="158"/>
      <c r="ER80" s="158"/>
      <c r="ES80" s="158"/>
      <c r="ET80" s="158"/>
      <c r="EU80" s="158"/>
      <c r="EV80" s="158"/>
      <c r="EW80" s="158"/>
      <c r="EX80" s="158"/>
      <c r="EY80" s="158"/>
      <c r="EZ80" s="158"/>
      <c r="FA80" s="158"/>
      <c r="FB80" s="158"/>
      <c r="FC80" s="158"/>
      <c r="FD80" s="158"/>
      <c r="FE80" s="158"/>
      <c r="FF80" s="158"/>
      <c r="FG80" s="158"/>
      <c r="FH80" s="158"/>
      <c r="FI80" s="158"/>
      <c r="FJ80" s="158"/>
      <c r="FK80" s="158"/>
      <c r="FL80" s="158"/>
      <c r="FM80" s="158"/>
      <c r="FN80" s="158"/>
      <c r="FO80" s="158"/>
      <c r="FP80" s="158"/>
      <c r="FQ80" s="158"/>
      <c r="FR80" s="158"/>
      <c r="FS80" s="158"/>
      <c r="FT80" s="158"/>
      <c r="FU80" s="158"/>
      <c r="FV80" s="158"/>
      <c r="FW80" s="158"/>
      <c r="FX80" s="158"/>
      <c r="FY80" s="158"/>
      <c r="FZ80" s="158"/>
      <c r="GA80" s="158"/>
      <c r="GB80" s="158"/>
      <c r="GC80" s="158"/>
      <c r="GD80" s="158"/>
      <c r="GE80" s="158"/>
      <c r="GF80" s="158"/>
      <c r="GG80" s="158"/>
      <c r="GH80" s="158"/>
      <c r="GI80" s="158"/>
      <c r="GJ80" s="158"/>
      <c r="GK80" s="158"/>
      <c r="GL80" s="158"/>
      <c r="GM80" s="158"/>
      <c r="GN80" s="158"/>
      <c r="GO80" s="158"/>
      <c r="GP80" s="158"/>
      <c r="GQ80" s="158"/>
      <c r="GR80" s="158"/>
      <c r="GS80" s="158"/>
      <c r="GT80" s="158"/>
      <c r="GU80" s="158"/>
      <c r="GV80" s="158"/>
      <c r="GW80" s="158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58"/>
      <c r="HK80" s="158"/>
      <c r="HL80" s="158"/>
      <c r="HM80" s="158"/>
      <c r="HN80" s="158"/>
      <c r="HO80" s="158"/>
      <c r="HP80" s="158"/>
      <c r="HQ80" s="158"/>
      <c r="HR80" s="158"/>
      <c r="HS80" s="158"/>
      <c r="HT80" s="158"/>
      <c r="HU80" s="158"/>
      <c r="HV80" s="158"/>
      <c r="HW80" s="158"/>
      <c r="HX80" s="158"/>
      <c r="HY80" s="158"/>
      <c r="HZ80" s="158"/>
      <c r="IA80" s="158"/>
      <c r="IB80" s="158"/>
      <c r="IC80" s="158"/>
      <c r="ID80" s="158"/>
      <c r="IE80" s="158"/>
      <c r="IF80" s="158"/>
      <c r="IG80" s="158"/>
      <c r="IH80" s="158"/>
      <c r="II80" s="158"/>
      <c r="IJ80" s="158"/>
      <c r="IK80" s="158"/>
      <c r="IL80" s="158"/>
      <c r="IM80" s="158"/>
      <c r="IN80" s="158"/>
      <c r="IO80" s="158"/>
      <c r="IP80" s="158"/>
      <c r="IQ80" s="158"/>
      <c r="IR80" s="158"/>
      <c r="IS80" s="158"/>
      <c r="IT80" s="158"/>
      <c r="IU80" s="158"/>
    </row>
    <row r="81" spans="1:255" ht="15.3" x14ac:dyDescent="0.55000000000000004">
      <c r="A81" s="158"/>
      <c r="B81" s="158"/>
      <c r="C81" s="158"/>
      <c r="D81" s="158"/>
      <c r="E81" s="158"/>
      <c r="F81" s="160"/>
      <c r="G81" s="158"/>
      <c r="H81" s="159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8"/>
      <c r="CE81" s="158"/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8"/>
      <c r="CV81" s="158"/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8"/>
      <c r="DL81" s="158"/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8"/>
      <c r="EB81" s="158"/>
      <c r="EC81" s="158"/>
      <c r="ED81" s="158"/>
      <c r="EE81" s="158"/>
      <c r="EF81" s="158"/>
      <c r="EG81" s="158"/>
      <c r="EH81" s="158"/>
      <c r="EI81" s="158"/>
      <c r="EJ81" s="158"/>
      <c r="EK81" s="158"/>
      <c r="EL81" s="158"/>
      <c r="EM81" s="158"/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8"/>
      <c r="FA81" s="158"/>
      <c r="FB81" s="158"/>
      <c r="FC81" s="158"/>
      <c r="FD81" s="158"/>
      <c r="FE81" s="158"/>
      <c r="FF81" s="158"/>
      <c r="FG81" s="158"/>
      <c r="FH81" s="158"/>
      <c r="FI81" s="158"/>
      <c r="FJ81" s="158"/>
      <c r="FK81" s="158"/>
      <c r="FL81" s="158"/>
      <c r="FM81" s="158"/>
      <c r="FN81" s="158"/>
      <c r="FO81" s="158"/>
      <c r="FP81" s="158"/>
      <c r="FQ81" s="158"/>
      <c r="FR81" s="158"/>
      <c r="FS81" s="158"/>
      <c r="FT81" s="158"/>
      <c r="FU81" s="158"/>
      <c r="FV81" s="158"/>
      <c r="FW81" s="158"/>
      <c r="FX81" s="158"/>
      <c r="FY81" s="158"/>
      <c r="FZ81" s="158"/>
      <c r="GA81" s="158"/>
      <c r="GB81" s="158"/>
      <c r="GC81" s="158"/>
      <c r="GD81" s="158"/>
      <c r="GE81" s="158"/>
      <c r="GF81" s="158"/>
      <c r="GG81" s="158"/>
      <c r="GH81" s="158"/>
      <c r="GI81" s="158"/>
      <c r="GJ81" s="158"/>
      <c r="GK81" s="158"/>
      <c r="GL81" s="158"/>
      <c r="GM81" s="158"/>
      <c r="GN81" s="158"/>
      <c r="GO81" s="158"/>
      <c r="GP81" s="158"/>
      <c r="GQ81" s="158"/>
      <c r="GR81" s="158"/>
      <c r="GS81" s="158"/>
      <c r="GT81" s="158"/>
      <c r="GU81" s="158"/>
      <c r="GV81" s="158"/>
      <c r="GW81" s="158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58"/>
      <c r="HK81" s="158"/>
      <c r="HL81" s="158"/>
      <c r="HM81" s="158"/>
      <c r="HN81" s="158"/>
      <c r="HO81" s="158"/>
      <c r="HP81" s="158"/>
      <c r="HQ81" s="158"/>
      <c r="HR81" s="158"/>
      <c r="HS81" s="158"/>
      <c r="HT81" s="158"/>
      <c r="HU81" s="158"/>
      <c r="HV81" s="158"/>
      <c r="HW81" s="158"/>
      <c r="HX81" s="158"/>
      <c r="HY81" s="158"/>
      <c r="HZ81" s="158"/>
      <c r="IA81" s="158"/>
      <c r="IB81" s="158"/>
      <c r="IC81" s="158"/>
      <c r="ID81" s="158"/>
      <c r="IE81" s="158"/>
      <c r="IF81" s="158"/>
      <c r="IG81" s="158"/>
      <c r="IH81" s="158"/>
      <c r="II81" s="158"/>
      <c r="IJ81" s="158"/>
      <c r="IK81" s="158"/>
      <c r="IL81" s="158"/>
      <c r="IM81" s="158"/>
      <c r="IN81" s="158"/>
      <c r="IO81" s="158"/>
      <c r="IP81" s="158"/>
      <c r="IQ81" s="158"/>
      <c r="IR81" s="158"/>
      <c r="IS81" s="158"/>
      <c r="IT81" s="158"/>
      <c r="IU81" s="158"/>
    </row>
    <row r="82" spans="1:255" ht="15.3" x14ac:dyDescent="0.55000000000000004">
      <c r="A82" s="158"/>
      <c r="B82" s="158"/>
      <c r="C82" s="158"/>
      <c r="D82" s="158"/>
      <c r="E82" s="158"/>
      <c r="F82" s="160"/>
      <c r="G82" s="158"/>
      <c r="H82" s="159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8"/>
      <c r="CV82" s="158"/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8"/>
      <c r="DL82" s="158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8"/>
      <c r="EB82" s="158"/>
      <c r="EC82" s="158"/>
      <c r="ED82" s="158"/>
      <c r="EE82" s="158"/>
      <c r="EF82" s="158"/>
      <c r="EG82" s="158"/>
      <c r="EH82" s="158"/>
      <c r="EI82" s="158"/>
      <c r="EJ82" s="158"/>
      <c r="EK82" s="158"/>
      <c r="EL82" s="158"/>
      <c r="EM82" s="158"/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8"/>
      <c r="FA82" s="158"/>
      <c r="FB82" s="158"/>
      <c r="FC82" s="158"/>
      <c r="FD82" s="158"/>
      <c r="FE82" s="158"/>
      <c r="FF82" s="158"/>
      <c r="FG82" s="158"/>
      <c r="FH82" s="158"/>
      <c r="FI82" s="158"/>
      <c r="FJ82" s="158"/>
      <c r="FK82" s="158"/>
      <c r="FL82" s="158"/>
      <c r="FM82" s="158"/>
      <c r="FN82" s="158"/>
      <c r="FO82" s="158"/>
      <c r="FP82" s="158"/>
      <c r="FQ82" s="158"/>
      <c r="FR82" s="158"/>
      <c r="FS82" s="158"/>
      <c r="FT82" s="158"/>
      <c r="FU82" s="158"/>
      <c r="FV82" s="158"/>
      <c r="FW82" s="158"/>
      <c r="FX82" s="158"/>
      <c r="FY82" s="158"/>
      <c r="FZ82" s="158"/>
      <c r="GA82" s="158"/>
      <c r="GB82" s="158"/>
      <c r="GC82" s="158"/>
      <c r="GD82" s="158"/>
      <c r="GE82" s="158"/>
      <c r="GF82" s="158"/>
      <c r="GG82" s="158"/>
      <c r="GH82" s="158"/>
      <c r="GI82" s="158"/>
      <c r="GJ82" s="158"/>
      <c r="GK82" s="158"/>
      <c r="GL82" s="158"/>
      <c r="GM82" s="158"/>
      <c r="GN82" s="158"/>
      <c r="GO82" s="158"/>
      <c r="GP82" s="158"/>
      <c r="GQ82" s="158"/>
      <c r="GR82" s="158"/>
      <c r="GS82" s="158"/>
      <c r="GT82" s="158"/>
      <c r="GU82" s="158"/>
      <c r="GV82" s="158"/>
      <c r="GW82" s="158"/>
      <c r="GX82" s="158"/>
      <c r="GY82" s="158"/>
      <c r="GZ82" s="158"/>
      <c r="HA82" s="158"/>
      <c r="HB82" s="158"/>
      <c r="HC82" s="158"/>
      <c r="HD82" s="158"/>
      <c r="HE82" s="158"/>
      <c r="HF82" s="158"/>
      <c r="HG82" s="158"/>
      <c r="HH82" s="158"/>
      <c r="HI82" s="158"/>
      <c r="HJ82" s="158"/>
      <c r="HK82" s="158"/>
      <c r="HL82" s="158"/>
      <c r="HM82" s="158"/>
      <c r="HN82" s="158"/>
      <c r="HO82" s="158"/>
      <c r="HP82" s="158"/>
      <c r="HQ82" s="158"/>
      <c r="HR82" s="158"/>
      <c r="HS82" s="158"/>
      <c r="HT82" s="158"/>
      <c r="HU82" s="158"/>
      <c r="HV82" s="158"/>
      <c r="HW82" s="158"/>
      <c r="HX82" s="158"/>
      <c r="HY82" s="158"/>
      <c r="HZ82" s="158"/>
      <c r="IA82" s="158"/>
      <c r="IB82" s="158"/>
      <c r="IC82" s="158"/>
      <c r="ID82" s="158"/>
      <c r="IE82" s="158"/>
      <c r="IF82" s="158"/>
      <c r="IG82" s="158"/>
      <c r="IH82" s="158"/>
      <c r="II82" s="158"/>
      <c r="IJ82" s="158"/>
      <c r="IK82" s="158"/>
      <c r="IL82" s="158"/>
      <c r="IM82" s="158"/>
      <c r="IN82" s="158"/>
      <c r="IO82" s="158"/>
      <c r="IP82" s="158"/>
      <c r="IQ82" s="158"/>
      <c r="IR82" s="158"/>
      <c r="IS82" s="158"/>
      <c r="IT82" s="158"/>
      <c r="IU82" s="158"/>
    </row>
    <row r="83" spans="1:255" ht="15.3" x14ac:dyDescent="0.55000000000000004">
      <c r="A83" s="158"/>
      <c r="B83" s="158"/>
      <c r="C83" s="158"/>
      <c r="D83" s="158"/>
      <c r="E83" s="158"/>
      <c r="F83" s="160"/>
      <c r="G83" s="158"/>
      <c r="H83" s="159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158"/>
      <c r="FV83" s="158"/>
      <c r="FW83" s="158"/>
      <c r="FX83" s="158"/>
      <c r="FY83" s="158"/>
      <c r="FZ83" s="158"/>
      <c r="GA83" s="158"/>
      <c r="GB83" s="158"/>
      <c r="GC83" s="158"/>
      <c r="GD83" s="158"/>
      <c r="GE83" s="158"/>
      <c r="GF83" s="158"/>
      <c r="GG83" s="158"/>
      <c r="GH83" s="158"/>
      <c r="GI83" s="158"/>
      <c r="GJ83" s="158"/>
      <c r="GK83" s="158"/>
      <c r="GL83" s="158"/>
      <c r="GM83" s="158"/>
      <c r="GN83" s="158"/>
      <c r="GO83" s="158"/>
      <c r="GP83" s="158"/>
      <c r="GQ83" s="158"/>
      <c r="GR83" s="158"/>
      <c r="GS83" s="158"/>
      <c r="GT83" s="158"/>
      <c r="GU83" s="158"/>
      <c r="GV83" s="158"/>
      <c r="GW83" s="158"/>
      <c r="GX83" s="158"/>
      <c r="GY83" s="158"/>
      <c r="GZ83" s="158"/>
      <c r="HA83" s="158"/>
      <c r="HB83" s="158"/>
      <c r="HC83" s="158"/>
      <c r="HD83" s="158"/>
      <c r="HE83" s="158"/>
      <c r="HF83" s="158"/>
      <c r="HG83" s="158"/>
      <c r="HH83" s="158"/>
      <c r="HI83" s="158"/>
      <c r="HJ83" s="158"/>
      <c r="HK83" s="158"/>
      <c r="HL83" s="158"/>
      <c r="HM83" s="158"/>
      <c r="HN83" s="158"/>
      <c r="HO83" s="158"/>
      <c r="HP83" s="158"/>
      <c r="HQ83" s="158"/>
      <c r="HR83" s="158"/>
      <c r="HS83" s="158"/>
      <c r="HT83" s="158"/>
      <c r="HU83" s="158"/>
      <c r="HV83" s="158"/>
      <c r="HW83" s="158"/>
      <c r="HX83" s="158"/>
      <c r="HY83" s="158"/>
      <c r="HZ83" s="158"/>
      <c r="IA83" s="158"/>
      <c r="IB83" s="158"/>
      <c r="IC83" s="158"/>
      <c r="ID83" s="158"/>
      <c r="IE83" s="158"/>
      <c r="IF83" s="158"/>
      <c r="IG83" s="158"/>
      <c r="IH83" s="158"/>
      <c r="II83" s="158"/>
      <c r="IJ83" s="158"/>
      <c r="IK83" s="158"/>
      <c r="IL83" s="158"/>
      <c r="IM83" s="158"/>
      <c r="IN83" s="158"/>
      <c r="IO83" s="158"/>
      <c r="IP83" s="158"/>
      <c r="IQ83" s="158"/>
      <c r="IR83" s="158"/>
      <c r="IS83" s="158"/>
      <c r="IT83" s="158"/>
      <c r="IU83" s="158"/>
    </row>
    <row r="84" spans="1:255" ht="15.3" x14ac:dyDescent="0.55000000000000004">
      <c r="A84" s="158"/>
      <c r="B84" s="158"/>
      <c r="C84" s="158"/>
      <c r="D84" s="158"/>
      <c r="E84" s="158"/>
      <c r="F84" s="160"/>
      <c r="G84" s="158"/>
      <c r="H84" s="159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158"/>
      <c r="FV84" s="158"/>
      <c r="FW84" s="158"/>
      <c r="FX84" s="158"/>
      <c r="FY84" s="158"/>
      <c r="FZ84" s="158"/>
      <c r="GA84" s="158"/>
      <c r="GB84" s="158"/>
      <c r="GC84" s="158"/>
      <c r="GD84" s="158"/>
      <c r="GE84" s="158"/>
      <c r="GF84" s="158"/>
      <c r="GG84" s="158"/>
      <c r="GH84" s="158"/>
      <c r="GI84" s="158"/>
      <c r="GJ84" s="158"/>
      <c r="GK84" s="158"/>
      <c r="GL84" s="158"/>
      <c r="GM84" s="158"/>
      <c r="GN84" s="158"/>
      <c r="GO84" s="158"/>
      <c r="GP84" s="158"/>
      <c r="GQ84" s="158"/>
      <c r="GR84" s="158"/>
      <c r="GS84" s="158"/>
      <c r="GT84" s="158"/>
      <c r="GU84" s="158"/>
      <c r="GV84" s="158"/>
      <c r="GW84" s="158"/>
      <c r="GX84" s="158"/>
      <c r="GY84" s="158"/>
      <c r="GZ84" s="158"/>
      <c r="HA84" s="158"/>
      <c r="HB84" s="158"/>
      <c r="HC84" s="158"/>
      <c r="HD84" s="158"/>
      <c r="HE84" s="158"/>
      <c r="HF84" s="158"/>
      <c r="HG84" s="158"/>
      <c r="HH84" s="158"/>
      <c r="HI84" s="158"/>
      <c r="HJ84" s="158"/>
      <c r="HK84" s="158"/>
      <c r="HL84" s="158"/>
      <c r="HM84" s="158"/>
      <c r="HN84" s="158"/>
      <c r="HO84" s="158"/>
      <c r="HP84" s="158"/>
      <c r="HQ84" s="158"/>
      <c r="HR84" s="158"/>
      <c r="HS84" s="158"/>
      <c r="HT84" s="158"/>
      <c r="HU84" s="158"/>
      <c r="HV84" s="158"/>
      <c r="HW84" s="158"/>
      <c r="HX84" s="158"/>
      <c r="HY84" s="158"/>
      <c r="HZ84" s="158"/>
      <c r="IA84" s="158"/>
      <c r="IB84" s="158"/>
      <c r="IC84" s="158"/>
      <c r="ID84" s="158"/>
      <c r="IE84" s="158"/>
      <c r="IF84" s="158"/>
      <c r="IG84" s="158"/>
      <c r="IH84" s="158"/>
      <c r="II84" s="158"/>
      <c r="IJ84" s="158"/>
      <c r="IK84" s="158"/>
      <c r="IL84" s="158"/>
      <c r="IM84" s="158"/>
      <c r="IN84" s="158"/>
      <c r="IO84" s="158"/>
      <c r="IP84" s="158"/>
      <c r="IQ84" s="158"/>
      <c r="IR84" s="158"/>
      <c r="IS84" s="158"/>
      <c r="IT84" s="158"/>
      <c r="IU84" s="158"/>
    </row>
    <row r="85" spans="1:255" ht="15.3" x14ac:dyDescent="0.55000000000000004">
      <c r="A85" s="158"/>
      <c r="B85" s="158"/>
      <c r="C85" s="158"/>
      <c r="D85" s="158"/>
      <c r="E85" s="158"/>
      <c r="F85" s="160"/>
      <c r="G85" s="158"/>
      <c r="H85" s="159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</row>
    <row r="86" spans="1:255" ht="15.3" x14ac:dyDescent="0.55000000000000004">
      <c r="A86" s="158"/>
      <c r="B86" s="158"/>
      <c r="C86" s="158"/>
      <c r="D86" s="158"/>
      <c r="E86" s="158"/>
      <c r="F86" s="160"/>
      <c r="G86" s="158"/>
      <c r="H86" s="159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58"/>
      <c r="EH86" s="158"/>
      <c r="EI86" s="158"/>
      <c r="EJ86" s="158"/>
      <c r="EK86" s="158"/>
      <c r="EL86" s="158"/>
      <c r="EM86" s="158"/>
      <c r="EN86" s="158"/>
      <c r="EO86" s="158"/>
      <c r="EP86" s="158"/>
      <c r="EQ86" s="158"/>
      <c r="ER86" s="158"/>
      <c r="ES86" s="158"/>
      <c r="ET86" s="158"/>
      <c r="EU86" s="158"/>
      <c r="EV86" s="158"/>
      <c r="EW86" s="158"/>
      <c r="EX86" s="158"/>
      <c r="EY86" s="158"/>
      <c r="EZ86" s="158"/>
      <c r="FA86" s="158"/>
      <c r="FB86" s="158"/>
      <c r="FC86" s="158"/>
      <c r="FD86" s="158"/>
      <c r="FE86" s="158"/>
      <c r="FF86" s="158"/>
      <c r="FG86" s="158"/>
      <c r="FH86" s="158"/>
      <c r="FI86" s="158"/>
      <c r="FJ86" s="158"/>
      <c r="FK86" s="158"/>
      <c r="FL86" s="158"/>
      <c r="FM86" s="158"/>
      <c r="FN86" s="158"/>
      <c r="FO86" s="158"/>
      <c r="FP86" s="158"/>
      <c r="FQ86" s="158"/>
      <c r="FR86" s="158"/>
      <c r="FS86" s="158"/>
      <c r="FT86" s="158"/>
      <c r="FU86" s="158"/>
      <c r="FV86" s="158"/>
      <c r="FW86" s="158"/>
      <c r="FX86" s="158"/>
      <c r="FY86" s="158"/>
      <c r="FZ86" s="158"/>
      <c r="GA86" s="158"/>
      <c r="GB86" s="158"/>
      <c r="GC86" s="158"/>
      <c r="GD86" s="158"/>
      <c r="GE86" s="158"/>
      <c r="GF86" s="158"/>
      <c r="GG86" s="158"/>
      <c r="GH86" s="158"/>
      <c r="GI86" s="158"/>
      <c r="GJ86" s="158"/>
      <c r="GK86" s="158"/>
      <c r="GL86" s="158"/>
      <c r="GM86" s="158"/>
      <c r="GN86" s="158"/>
      <c r="GO86" s="158"/>
      <c r="GP86" s="158"/>
      <c r="GQ86" s="158"/>
      <c r="GR86" s="158"/>
      <c r="GS86" s="158"/>
      <c r="GT86" s="158"/>
      <c r="GU86" s="158"/>
      <c r="GV86" s="158"/>
      <c r="GW86" s="158"/>
      <c r="GX86" s="158"/>
      <c r="GY86" s="158"/>
      <c r="GZ86" s="158"/>
      <c r="HA86" s="158"/>
      <c r="HB86" s="158"/>
      <c r="HC86" s="158"/>
      <c r="HD86" s="158"/>
      <c r="HE86" s="158"/>
      <c r="HF86" s="158"/>
      <c r="HG86" s="158"/>
      <c r="HH86" s="158"/>
      <c r="HI86" s="158"/>
      <c r="HJ86" s="158"/>
      <c r="HK86" s="158"/>
      <c r="HL86" s="158"/>
      <c r="HM86" s="158"/>
      <c r="HN86" s="158"/>
      <c r="HO86" s="158"/>
      <c r="HP86" s="158"/>
      <c r="HQ86" s="158"/>
      <c r="HR86" s="158"/>
      <c r="HS86" s="158"/>
      <c r="HT86" s="158"/>
      <c r="HU86" s="158"/>
      <c r="HV86" s="158"/>
      <c r="HW86" s="158"/>
      <c r="HX86" s="158"/>
      <c r="HY86" s="158"/>
      <c r="HZ86" s="158"/>
      <c r="IA86" s="158"/>
      <c r="IB86" s="158"/>
      <c r="IC86" s="158"/>
      <c r="ID86" s="158"/>
      <c r="IE86" s="158"/>
      <c r="IF86" s="158"/>
      <c r="IG86" s="158"/>
      <c r="IH86" s="158"/>
      <c r="II86" s="158"/>
      <c r="IJ86" s="158"/>
      <c r="IK86" s="158"/>
      <c r="IL86" s="158"/>
      <c r="IM86" s="158"/>
      <c r="IN86" s="158"/>
      <c r="IO86" s="158"/>
      <c r="IP86" s="158"/>
      <c r="IQ86" s="158"/>
      <c r="IR86" s="158"/>
      <c r="IS86" s="158"/>
      <c r="IT86" s="158"/>
      <c r="IU86" s="158"/>
    </row>
    <row r="87" spans="1:255" ht="15.3" x14ac:dyDescent="0.55000000000000004">
      <c r="A87" s="158"/>
      <c r="B87" s="158"/>
      <c r="C87" s="158"/>
      <c r="D87" s="158"/>
      <c r="E87" s="158"/>
      <c r="F87" s="160"/>
      <c r="G87" s="158"/>
      <c r="H87" s="159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58"/>
      <c r="EH87" s="158"/>
      <c r="EI87" s="158"/>
      <c r="EJ87" s="158"/>
      <c r="EK87" s="158"/>
      <c r="EL87" s="158"/>
      <c r="EM87" s="158"/>
      <c r="EN87" s="158"/>
      <c r="EO87" s="158"/>
      <c r="EP87" s="158"/>
      <c r="EQ87" s="158"/>
      <c r="ER87" s="158"/>
      <c r="ES87" s="158"/>
      <c r="ET87" s="158"/>
      <c r="EU87" s="158"/>
      <c r="EV87" s="158"/>
      <c r="EW87" s="158"/>
      <c r="EX87" s="158"/>
      <c r="EY87" s="158"/>
      <c r="EZ87" s="158"/>
      <c r="FA87" s="158"/>
      <c r="FB87" s="158"/>
      <c r="FC87" s="158"/>
      <c r="FD87" s="158"/>
      <c r="FE87" s="158"/>
      <c r="FF87" s="158"/>
      <c r="FG87" s="158"/>
      <c r="FH87" s="158"/>
      <c r="FI87" s="158"/>
      <c r="FJ87" s="158"/>
      <c r="FK87" s="158"/>
      <c r="FL87" s="158"/>
      <c r="FM87" s="158"/>
      <c r="FN87" s="158"/>
      <c r="FO87" s="158"/>
      <c r="FP87" s="158"/>
      <c r="FQ87" s="158"/>
      <c r="FR87" s="158"/>
      <c r="FS87" s="158"/>
      <c r="FT87" s="158"/>
      <c r="FU87" s="158"/>
      <c r="FV87" s="158"/>
      <c r="FW87" s="158"/>
      <c r="FX87" s="158"/>
      <c r="FY87" s="158"/>
      <c r="FZ87" s="158"/>
      <c r="GA87" s="158"/>
      <c r="GB87" s="158"/>
      <c r="GC87" s="158"/>
      <c r="GD87" s="158"/>
      <c r="GE87" s="158"/>
      <c r="GF87" s="158"/>
      <c r="GG87" s="158"/>
      <c r="GH87" s="158"/>
      <c r="GI87" s="158"/>
      <c r="GJ87" s="158"/>
      <c r="GK87" s="158"/>
      <c r="GL87" s="158"/>
      <c r="GM87" s="158"/>
      <c r="GN87" s="158"/>
      <c r="GO87" s="158"/>
      <c r="GP87" s="158"/>
      <c r="GQ87" s="158"/>
      <c r="GR87" s="158"/>
      <c r="GS87" s="158"/>
      <c r="GT87" s="158"/>
      <c r="GU87" s="158"/>
      <c r="GV87" s="158"/>
      <c r="GW87" s="158"/>
      <c r="GX87" s="158"/>
      <c r="GY87" s="158"/>
      <c r="GZ87" s="158"/>
      <c r="HA87" s="158"/>
      <c r="HB87" s="158"/>
      <c r="HC87" s="158"/>
      <c r="HD87" s="158"/>
      <c r="HE87" s="158"/>
      <c r="HF87" s="158"/>
      <c r="HG87" s="158"/>
      <c r="HH87" s="158"/>
      <c r="HI87" s="158"/>
      <c r="HJ87" s="158"/>
      <c r="HK87" s="158"/>
      <c r="HL87" s="158"/>
      <c r="HM87" s="158"/>
      <c r="HN87" s="158"/>
      <c r="HO87" s="158"/>
      <c r="HP87" s="158"/>
      <c r="HQ87" s="158"/>
      <c r="HR87" s="158"/>
      <c r="HS87" s="158"/>
      <c r="HT87" s="158"/>
      <c r="HU87" s="158"/>
      <c r="HV87" s="158"/>
      <c r="HW87" s="158"/>
      <c r="HX87" s="158"/>
      <c r="HY87" s="158"/>
      <c r="HZ87" s="158"/>
      <c r="IA87" s="158"/>
      <c r="IB87" s="158"/>
      <c r="IC87" s="158"/>
      <c r="ID87" s="158"/>
      <c r="IE87" s="158"/>
      <c r="IF87" s="158"/>
      <c r="IG87" s="158"/>
      <c r="IH87" s="158"/>
      <c r="II87" s="158"/>
      <c r="IJ87" s="158"/>
      <c r="IK87" s="158"/>
      <c r="IL87" s="158"/>
      <c r="IM87" s="158"/>
      <c r="IN87" s="158"/>
      <c r="IO87" s="158"/>
      <c r="IP87" s="158"/>
      <c r="IQ87" s="158"/>
      <c r="IR87" s="158"/>
      <c r="IS87" s="158"/>
      <c r="IT87" s="158"/>
      <c r="IU87" s="158"/>
    </row>
    <row r="88" spans="1:255" ht="15.3" x14ac:dyDescent="0.55000000000000004">
      <c r="A88" s="158"/>
      <c r="B88" s="158"/>
      <c r="C88" s="158"/>
      <c r="D88" s="158"/>
      <c r="E88" s="158"/>
      <c r="F88" s="160"/>
      <c r="G88" s="158"/>
      <c r="H88" s="159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/>
      <c r="FD88" s="158"/>
      <c r="FE88" s="158"/>
      <c r="FF88" s="158"/>
      <c r="FG88" s="158"/>
      <c r="FH88" s="158"/>
      <c r="FI88" s="158"/>
      <c r="FJ88" s="158"/>
      <c r="FK88" s="158"/>
      <c r="FL88" s="158"/>
      <c r="FM88" s="158"/>
      <c r="FN88" s="158"/>
      <c r="FO88" s="158"/>
      <c r="FP88" s="158"/>
      <c r="FQ88" s="158"/>
      <c r="FR88" s="158"/>
      <c r="FS88" s="158"/>
      <c r="FT88" s="158"/>
      <c r="FU88" s="158"/>
      <c r="FV88" s="158"/>
      <c r="FW88" s="158"/>
      <c r="FX88" s="158"/>
      <c r="FY88" s="158"/>
      <c r="FZ88" s="158"/>
      <c r="GA88" s="158"/>
      <c r="GB88" s="158"/>
      <c r="GC88" s="158"/>
      <c r="GD88" s="158"/>
      <c r="GE88" s="158"/>
      <c r="GF88" s="158"/>
      <c r="GG88" s="158"/>
      <c r="GH88" s="158"/>
      <c r="GI88" s="158"/>
      <c r="GJ88" s="158"/>
      <c r="GK88" s="158"/>
      <c r="GL88" s="158"/>
      <c r="GM88" s="158"/>
      <c r="GN88" s="158"/>
      <c r="GO88" s="158"/>
      <c r="GP88" s="158"/>
      <c r="GQ88" s="158"/>
      <c r="GR88" s="158"/>
      <c r="GS88" s="158"/>
      <c r="GT88" s="158"/>
      <c r="GU88" s="158"/>
      <c r="GV88" s="158"/>
      <c r="GW88" s="158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58"/>
      <c r="HK88" s="158"/>
      <c r="HL88" s="158"/>
      <c r="HM88" s="158"/>
      <c r="HN88" s="158"/>
      <c r="HO88" s="158"/>
      <c r="HP88" s="158"/>
      <c r="HQ88" s="158"/>
      <c r="HR88" s="158"/>
      <c r="HS88" s="158"/>
      <c r="HT88" s="158"/>
      <c r="HU88" s="158"/>
      <c r="HV88" s="158"/>
      <c r="HW88" s="158"/>
      <c r="HX88" s="158"/>
      <c r="HY88" s="158"/>
      <c r="HZ88" s="158"/>
      <c r="IA88" s="158"/>
      <c r="IB88" s="158"/>
      <c r="IC88" s="158"/>
      <c r="ID88" s="158"/>
      <c r="IE88" s="158"/>
      <c r="IF88" s="158"/>
      <c r="IG88" s="158"/>
      <c r="IH88" s="158"/>
      <c r="II88" s="158"/>
      <c r="IJ88" s="158"/>
      <c r="IK88" s="158"/>
      <c r="IL88" s="158"/>
      <c r="IM88" s="158"/>
      <c r="IN88" s="158"/>
      <c r="IO88" s="158"/>
      <c r="IP88" s="158"/>
      <c r="IQ88" s="158"/>
      <c r="IR88" s="158"/>
      <c r="IS88" s="158"/>
      <c r="IT88" s="158"/>
      <c r="IU88" s="158"/>
    </row>
    <row r="89" spans="1:255" ht="15.3" x14ac:dyDescent="0.55000000000000004">
      <c r="A89" s="158"/>
      <c r="B89" s="158"/>
      <c r="C89" s="158"/>
      <c r="D89" s="158"/>
      <c r="E89" s="158"/>
      <c r="F89" s="160"/>
      <c r="G89" s="158"/>
      <c r="H89" s="159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8"/>
      <c r="EX89" s="158"/>
      <c r="EY89" s="158"/>
      <c r="EZ89" s="158"/>
      <c r="FA89" s="158"/>
      <c r="FB89" s="158"/>
      <c r="FC89" s="158"/>
      <c r="FD89" s="158"/>
      <c r="FE89" s="158"/>
      <c r="FF89" s="158"/>
      <c r="FG89" s="158"/>
      <c r="FH89" s="158"/>
      <c r="FI89" s="158"/>
      <c r="FJ89" s="158"/>
      <c r="FK89" s="158"/>
      <c r="FL89" s="158"/>
      <c r="FM89" s="158"/>
      <c r="FN89" s="158"/>
      <c r="FO89" s="158"/>
      <c r="FP89" s="158"/>
      <c r="FQ89" s="158"/>
      <c r="FR89" s="158"/>
      <c r="FS89" s="158"/>
      <c r="FT89" s="158"/>
      <c r="FU89" s="158"/>
      <c r="FV89" s="158"/>
      <c r="FW89" s="158"/>
      <c r="FX89" s="158"/>
      <c r="FY89" s="158"/>
      <c r="FZ89" s="158"/>
      <c r="GA89" s="158"/>
      <c r="GB89" s="158"/>
      <c r="GC89" s="158"/>
      <c r="GD89" s="158"/>
      <c r="GE89" s="158"/>
      <c r="GF89" s="158"/>
      <c r="GG89" s="158"/>
      <c r="GH89" s="158"/>
      <c r="GI89" s="158"/>
      <c r="GJ89" s="158"/>
      <c r="GK89" s="158"/>
      <c r="GL89" s="158"/>
      <c r="GM89" s="158"/>
      <c r="GN89" s="158"/>
      <c r="GO89" s="158"/>
      <c r="GP89" s="158"/>
      <c r="GQ89" s="158"/>
      <c r="GR89" s="158"/>
      <c r="GS89" s="158"/>
      <c r="GT89" s="158"/>
      <c r="GU89" s="158"/>
      <c r="GV89" s="158"/>
      <c r="GW89" s="158"/>
      <c r="GX89" s="158"/>
      <c r="GY89" s="158"/>
      <c r="GZ89" s="158"/>
      <c r="HA89" s="158"/>
      <c r="HB89" s="158"/>
      <c r="HC89" s="158"/>
      <c r="HD89" s="158"/>
      <c r="HE89" s="158"/>
      <c r="HF89" s="158"/>
      <c r="HG89" s="158"/>
      <c r="HH89" s="158"/>
      <c r="HI89" s="158"/>
      <c r="HJ89" s="158"/>
      <c r="HK89" s="158"/>
      <c r="HL89" s="158"/>
      <c r="HM89" s="158"/>
      <c r="HN89" s="158"/>
      <c r="HO89" s="158"/>
      <c r="HP89" s="158"/>
      <c r="HQ89" s="158"/>
      <c r="HR89" s="158"/>
      <c r="HS89" s="158"/>
      <c r="HT89" s="158"/>
      <c r="HU89" s="158"/>
      <c r="HV89" s="158"/>
      <c r="HW89" s="158"/>
      <c r="HX89" s="158"/>
      <c r="HY89" s="158"/>
      <c r="HZ89" s="158"/>
      <c r="IA89" s="158"/>
      <c r="IB89" s="158"/>
      <c r="IC89" s="158"/>
      <c r="ID89" s="158"/>
      <c r="IE89" s="158"/>
      <c r="IF89" s="158"/>
      <c r="IG89" s="158"/>
      <c r="IH89" s="158"/>
      <c r="II89" s="158"/>
      <c r="IJ89" s="158"/>
      <c r="IK89" s="158"/>
      <c r="IL89" s="158"/>
      <c r="IM89" s="158"/>
      <c r="IN89" s="158"/>
      <c r="IO89" s="158"/>
      <c r="IP89" s="158"/>
      <c r="IQ89" s="158"/>
      <c r="IR89" s="158"/>
      <c r="IS89" s="158"/>
      <c r="IT89" s="158"/>
      <c r="IU89" s="158"/>
    </row>
    <row r="90" spans="1:255" ht="15.3" x14ac:dyDescent="0.55000000000000004">
      <c r="A90" s="158"/>
      <c r="B90" s="158"/>
      <c r="C90" s="158"/>
      <c r="D90" s="158"/>
      <c r="E90" s="158"/>
      <c r="F90" s="160"/>
      <c r="G90" s="158"/>
      <c r="H90" s="159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8"/>
      <c r="HF90" s="158"/>
      <c r="HG90" s="158"/>
      <c r="HH90" s="158"/>
      <c r="HI90" s="158"/>
      <c r="HJ90" s="158"/>
      <c r="HK90" s="158"/>
      <c r="HL90" s="158"/>
      <c r="HM90" s="158"/>
      <c r="HN90" s="158"/>
      <c r="HO90" s="158"/>
      <c r="HP90" s="158"/>
      <c r="HQ90" s="158"/>
      <c r="HR90" s="158"/>
      <c r="HS90" s="158"/>
      <c r="HT90" s="158"/>
      <c r="HU90" s="158"/>
      <c r="HV90" s="158"/>
      <c r="HW90" s="158"/>
      <c r="HX90" s="158"/>
      <c r="HY90" s="158"/>
      <c r="HZ90" s="158"/>
      <c r="IA90" s="158"/>
      <c r="IB90" s="158"/>
      <c r="IC90" s="158"/>
      <c r="ID90" s="158"/>
      <c r="IE90" s="158"/>
      <c r="IF90" s="158"/>
      <c r="IG90" s="158"/>
      <c r="IH90" s="158"/>
      <c r="II90" s="158"/>
      <c r="IJ90" s="158"/>
      <c r="IK90" s="158"/>
      <c r="IL90" s="158"/>
      <c r="IM90" s="158"/>
      <c r="IN90" s="158"/>
      <c r="IO90" s="158"/>
      <c r="IP90" s="158"/>
      <c r="IQ90" s="158"/>
      <c r="IR90" s="158"/>
      <c r="IS90" s="158"/>
      <c r="IT90" s="158"/>
      <c r="IU90" s="158"/>
    </row>
    <row r="91" spans="1:255" ht="15.3" x14ac:dyDescent="0.55000000000000004">
      <c r="A91" s="158"/>
      <c r="B91" s="158"/>
      <c r="C91" s="158"/>
      <c r="D91" s="158"/>
      <c r="E91" s="158"/>
      <c r="F91" s="160"/>
      <c r="G91" s="158"/>
      <c r="H91" s="159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8"/>
      <c r="EZ91" s="158"/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8"/>
      <c r="GL91" s="158"/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8"/>
      <c r="HF91" s="158"/>
      <c r="HG91" s="158"/>
      <c r="HH91" s="158"/>
      <c r="HI91" s="158"/>
      <c r="HJ91" s="158"/>
      <c r="HK91" s="158"/>
      <c r="HL91" s="158"/>
      <c r="HM91" s="158"/>
      <c r="HN91" s="158"/>
      <c r="HO91" s="158"/>
      <c r="HP91" s="158"/>
      <c r="HQ91" s="158"/>
      <c r="HR91" s="158"/>
      <c r="HS91" s="158"/>
      <c r="HT91" s="158"/>
      <c r="HU91" s="158"/>
      <c r="HV91" s="158"/>
      <c r="HW91" s="158"/>
      <c r="HX91" s="158"/>
      <c r="HY91" s="158"/>
      <c r="HZ91" s="158"/>
      <c r="IA91" s="158"/>
      <c r="IB91" s="158"/>
      <c r="IC91" s="158"/>
      <c r="ID91" s="158"/>
      <c r="IE91" s="158"/>
      <c r="IF91" s="158"/>
      <c r="IG91" s="158"/>
      <c r="IH91" s="158"/>
      <c r="II91" s="158"/>
      <c r="IJ91" s="158"/>
      <c r="IK91" s="158"/>
      <c r="IL91" s="158"/>
      <c r="IM91" s="158"/>
      <c r="IN91" s="158"/>
      <c r="IO91" s="158"/>
      <c r="IP91" s="158"/>
      <c r="IQ91" s="158"/>
      <c r="IR91" s="158"/>
      <c r="IS91" s="158"/>
      <c r="IT91" s="158"/>
      <c r="IU91" s="158"/>
    </row>
    <row r="92" spans="1:255" ht="15.3" x14ac:dyDescent="0.55000000000000004">
      <c r="A92" s="158"/>
      <c r="B92" s="158"/>
      <c r="C92" s="158"/>
      <c r="D92" s="158"/>
      <c r="E92" s="158"/>
      <c r="F92" s="160"/>
      <c r="G92" s="158"/>
      <c r="H92" s="159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8"/>
      <c r="EZ92" s="158"/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8"/>
      <c r="FQ92" s="158"/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8"/>
      <c r="GL92" s="158"/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58"/>
      <c r="HK92" s="158"/>
      <c r="HL92" s="158"/>
      <c r="HM92" s="158"/>
      <c r="HN92" s="158"/>
      <c r="HO92" s="158"/>
      <c r="HP92" s="158"/>
      <c r="HQ92" s="158"/>
      <c r="HR92" s="158"/>
      <c r="HS92" s="158"/>
      <c r="HT92" s="158"/>
      <c r="HU92" s="158"/>
      <c r="HV92" s="158"/>
      <c r="HW92" s="158"/>
      <c r="HX92" s="158"/>
      <c r="HY92" s="158"/>
      <c r="HZ92" s="158"/>
      <c r="IA92" s="158"/>
      <c r="IB92" s="158"/>
      <c r="IC92" s="158"/>
      <c r="ID92" s="158"/>
      <c r="IE92" s="158"/>
      <c r="IF92" s="158"/>
      <c r="IG92" s="158"/>
      <c r="IH92" s="158"/>
      <c r="II92" s="158"/>
      <c r="IJ92" s="158"/>
      <c r="IK92" s="158"/>
      <c r="IL92" s="158"/>
      <c r="IM92" s="158"/>
      <c r="IN92" s="158"/>
      <c r="IO92" s="158"/>
      <c r="IP92" s="158"/>
      <c r="IQ92" s="158"/>
      <c r="IR92" s="158"/>
      <c r="IS92" s="158"/>
      <c r="IT92" s="158"/>
      <c r="IU92" s="158"/>
    </row>
    <row r="93" spans="1:255" ht="15.3" x14ac:dyDescent="0.55000000000000004">
      <c r="A93" s="158"/>
      <c r="B93" s="158"/>
      <c r="C93" s="158"/>
      <c r="D93" s="158"/>
      <c r="E93" s="158"/>
      <c r="F93" s="160"/>
      <c r="G93" s="158"/>
      <c r="H93" s="159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8"/>
      <c r="EK93" s="158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8"/>
      <c r="EZ93" s="158"/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8"/>
      <c r="FQ93" s="158"/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8"/>
      <c r="GL93" s="158"/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8"/>
      <c r="GZ93" s="158"/>
      <c r="HA93" s="158"/>
      <c r="HB93" s="158"/>
      <c r="HC93" s="158"/>
      <c r="HD93" s="158"/>
      <c r="HE93" s="158"/>
      <c r="HF93" s="158"/>
      <c r="HG93" s="158"/>
      <c r="HH93" s="158"/>
      <c r="HI93" s="158"/>
      <c r="HJ93" s="158"/>
      <c r="HK93" s="158"/>
      <c r="HL93" s="158"/>
      <c r="HM93" s="158"/>
      <c r="HN93" s="158"/>
      <c r="HO93" s="158"/>
      <c r="HP93" s="158"/>
      <c r="HQ93" s="158"/>
      <c r="HR93" s="158"/>
      <c r="HS93" s="158"/>
      <c r="HT93" s="158"/>
      <c r="HU93" s="158"/>
      <c r="HV93" s="158"/>
      <c r="HW93" s="158"/>
      <c r="HX93" s="158"/>
      <c r="HY93" s="158"/>
      <c r="HZ93" s="158"/>
      <c r="IA93" s="158"/>
      <c r="IB93" s="158"/>
      <c r="IC93" s="158"/>
      <c r="ID93" s="158"/>
      <c r="IE93" s="158"/>
      <c r="IF93" s="158"/>
      <c r="IG93" s="158"/>
      <c r="IH93" s="158"/>
      <c r="II93" s="158"/>
      <c r="IJ93" s="158"/>
      <c r="IK93" s="158"/>
      <c r="IL93" s="158"/>
      <c r="IM93" s="158"/>
      <c r="IN93" s="158"/>
      <c r="IO93" s="158"/>
      <c r="IP93" s="158"/>
      <c r="IQ93" s="158"/>
      <c r="IR93" s="158"/>
      <c r="IS93" s="158"/>
      <c r="IT93" s="158"/>
      <c r="IU93" s="158"/>
    </row>
    <row r="94" spans="1:255" ht="15.3" x14ac:dyDescent="0.55000000000000004">
      <c r="A94" s="158"/>
      <c r="B94" s="158"/>
      <c r="C94" s="158"/>
      <c r="D94" s="158"/>
      <c r="E94" s="158"/>
      <c r="F94" s="160"/>
      <c r="G94" s="158"/>
      <c r="H94" s="159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158"/>
      <c r="DK94" s="158"/>
      <c r="DL94" s="158"/>
      <c r="DM94" s="158"/>
      <c r="DN94" s="158"/>
      <c r="DO94" s="158"/>
      <c r="DP94" s="158"/>
      <c r="DQ94" s="158"/>
      <c r="DR94" s="158"/>
      <c r="DS94" s="158"/>
      <c r="DT94" s="158"/>
      <c r="DU94" s="158"/>
      <c r="DV94" s="158"/>
      <c r="DW94" s="158"/>
      <c r="DX94" s="158"/>
      <c r="DY94" s="158"/>
      <c r="DZ94" s="158"/>
      <c r="EA94" s="158"/>
      <c r="EB94" s="158"/>
      <c r="EC94" s="158"/>
      <c r="ED94" s="158"/>
      <c r="EE94" s="158"/>
      <c r="EF94" s="158"/>
      <c r="EG94" s="158"/>
      <c r="EH94" s="158"/>
      <c r="EI94" s="158"/>
      <c r="EJ94" s="158"/>
      <c r="EK94" s="158"/>
      <c r="EL94" s="158"/>
      <c r="EM94" s="158"/>
      <c r="EN94" s="158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/>
      <c r="FD94" s="158"/>
      <c r="FE94" s="158"/>
      <c r="FF94" s="158"/>
      <c r="FG94" s="158"/>
      <c r="FH94" s="158"/>
      <c r="FI94" s="158"/>
      <c r="FJ94" s="158"/>
      <c r="FK94" s="158"/>
      <c r="FL94" s="158"/>
      <c r="FM94" s="158"/>
      <c r="FN94" s="158"/>
      <c r="FO94" s="158"/>
      <c r="FP94" s="158"/>
      <c r="FQ94" s="158"/>
      <c r="FR94" s="158"/>
      <c r="FS94" s="158"/>
      <c r="FT94" s="158"/>
      <c r="FU94" s="158"/>
      <c r="FV94" s="158"/>
      <c r="FW94" s="158"/>
      <c r="FX94" s="158"/>
      <c r="FY94" s="158"/>
      <c r="FZ94" s="158"/>
      <c r="GA94" s="158"/>
      <c r="GB94" s="158"/>
      <c r="GC94" s="158"/>
      <c r="GD94" s="158"/>
      <c r="GE94" s="158"/>
      <c r="GF94" s="158"/>
      <c r="GG94" s="158"/>
      <c r="GH94" s="158"/>
      <c r="GI94" s="158"/>
      <c r="GJ94" s="158"/>
      <c r="GK94" s="158"/>
      <c r="GL94" s="158"/>
      <c r="GM94" s="158"/>
      <c r="GN94" s="158"/>
      <c r="GO94" s="158"/>
      <c r="GP94" s="158"/>
      <c r="GQ94" s="158"/>
      <c r="GR94" s="158"/>
      <c r="GS94" s="158"/>
      <c r="GT94" s="158"/>
      <c r="GU94" s="158"/>
      <c r="GV94" s="158"/>
      <c r="GW94" s="158"/>
      <c r="GX94" s="158"/>
      <c r="GY94" s="158"/>
      <c r="GZ94" s="158"/>
      <c r="HA94" s="158"/>
      <c r="HB94" s="158"/>
      <c r="HC94" s="158"/>
      <c r="HD94" s="158"/>
      <c r="HE94" s="158"/>
      <c r="HF94" s="158"/>
      <c r="HG94" s="158"/>
      <c r="HH94" s="158"/>
      <c r="HI94" s="158"/>
      <c r="HJ94" s="158"/>
      <c r="HK94" s="158"/>
      <c r="HL94" s="158"/>
      <c r="HM94" s="158"/>
      <c r="HN94" s="158"/>
      <c r="HO94" s="158"/>
      <c r="HP94" s="158"/>
      <c r="HQ94" s="158"/>
      <c r="HR94" s="158"/>
      <c r="HS94" s="158"/>
      <c r="HT94" s="158"/>
      <c r="HU94" s="158"/>
      <c r="HV94" s="158"/>
      <c r="HW94" s="158"/>
      <c r="HX94" s="158"/>
      <c r="HY94" s="158"/>
      <c r="HZ94" s="158"/>
      <c r="IA94" s="158"/>
      <c r="IB94" s="158"/>
      <c r="IC94" s="158"/>
      <c r="ID94" s="158"/>
      <c r="IE94" s="158"/>
      <c r="IF94" s="158"/>
      <c r="IG94" s="158"/>
      <c r="IH94" s="158"/>
      <c r="II94" s="158"/>
      <c r="IJ94" s="158"/>
      <c r="IK94" s="158"/>
      <c r="IL94" s="158"/>
      <c r="IM94" s="158"/>
      <c r="IN94" s="158"/>
      <c r="IO94" s="158"/>
      <c r="IP94" s="158"/>
      <c r="IQ94" s="158"/>
      <c r="IR94" s="158"/>
      <c r="IS94" s="158"/>
      <c r="IT94" s="158"/>
      <c r="IU94" s="158"/>
    </row>
    <row r="95" spans="1:255" ht="15.3" x14ac:dyDescent="0.55000000000000004">
      <c r="A95" s="158"/>
      <c r="B95" s="158"/>
      <c r="C95" s="158"/>
      <c r="D95" s="158"/>
      <c r="E95" s="158"/>
      <c r="F95" s="160"/>
      <c r="G95" s="158"/>
      <c r="H95" s="159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158"/>
      <c r="DK95" s="158"/>
      <c r="DL95" s="158"/>
      <c r="DM95" s="158"/>
      <c r="DN95" s="158"/>
      <c r="DO95" s="158"/>
      <c r="DP95" s="158"/>
      <c r="DQ95" s="158"/>
      <c r="DR95" s="158"/>
      <c r="DS95" s="158"/>
      <c r="DT95" s="158"/>
      <c r="DU95" s="158"/>
      <c r="DV95" s="158"/>
      <c r="DW95" s="158"/>
      <c r="DX95" s="158"/>
      <c r="DY95" s="158"/>
      <c r="DZ95" s="158"/>
      <c r="EA95" s="158"/>
      <c r="EB95" s="158"/>
      <c r="EC95" s="158"/>
      <c r="ED95" s="158"/>
      <c r="EE95" s="158"/>
      <c r="EF95" s="158"/>
      <c r="EG95" s="158"/>
      <c r="EH95" s="158"/>
      <c r="EI95" s="158"/>
      <c r="EJ95" s="158"/>
      <c r="EK95" s="158"/>
      <c r="EL95" s="158"/>
      <c r="EM95" s="158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/>
      <c r="FD95" s="158"/>
      <c r="FE95" s="158"/>
      <c r="FF95" s="158"/>
      <c r="FG95" s="158"/>
      <c r="FH95" s="158"/>
      <c r="FI95" s="158"/>
      <c r="FJ95" s="158"/>
      <c r="FK95" s="158"/>
      <c r="FL95" s="158"/>
      <c r="FM95" s="158"/>
      <c r="FN95" s="158"/>
      <c r="FO95" s="158"/>
      <c r="FP95" s="158"/>
      <c r="FQ95" s="158"/>
      <c r="FR95" s="158"/>
      <c r="FS95" s="158"/>
      <c r="FT95" s="158"/>
      <c r="FU95" s="158"/>
      <c r="FV95" s="158"/>
      <c r="FW95" s="158"/>
      <c r="FX95" s="158"/>
      <c r="FY95" s="158"/>
      <c r="FZ95" s="158"/>
      <c r="GA95" s="158"/>
      <c r="GB95" s="158"/>
      <c r="GC95" s="158"/>
      <c r="GD95" s="158"/>
      <c r="GE95" s="158"/>
      <c r="GF95" s="158"/>
      <c r="GG95" s="158"/>
      <c r="GH95" s="158"/>
      <c r="GI95" s="158"/>
      <c r="GJ95" s="158"/>
      <c r="GK95" s="158"/>
      <c r="GL95" s="158"/>
      <c r="GM95" s="158"/>
      <c r="GN95" s="158"/>
      <c r="GO95" s="158"/>
      <c r="GP95" s="158"/>
      <c r="GQ95" s="158"/>
      <c r="GR95" s="158"/>
      <c r="GS95" s="158"/>
      <c r="GT95" s="158"/>
      <c r="GU95" s="158"/>
      <c r="GV95" s="158"/>
      <c r="GW95" s="158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58"/>
      <c r="HK95" s="158"/>
      <c r="HL95" s="158"/>
      <c r="HM95" s="158"/>
      <c r="HN95" s="158"/>
      <c r="HO95" s="158"/>
      <c r="HP95" s="158"/>
      <c r="HQ95" s="158"/>
      <c r="HR95" s="158"/>
      <c r="HS95" s="158"/>
      <c r="HT95" s="158"/>
      <c r="HU95" s="158"/>
      <c r="HV95" s="158"/>
      <c r="HW95" s="158"/>
      <c r="HX95" s="158"/>
      <c r="HY95" s="158"/>
      <c r="HZ95" s="158"/>
      <c r="IA95" s="158"/>
      <c r="IB95" s="158"/>
      <c r="IC95" s="158"/>
      <c r="ID95" s="158"/>
      <c r="IE95" s="158"/>
      <c r="IF95" s="158"/>
      <c r="IG95" s="158"/>
      <c r="IH95" s="158"/>
      <c r="II95" s="158"/>
      <c r="IJ95" s="158"/>
      <c r="IK95" s="158"/>
      <c r="IL95" s="158"/>
      <c r="IM95" s="158"/>
      <c r="IN95" s="158"/>
      <c r="IO95" s="158"/>
      <c r="IP95" s="158"/>
      <c r="IQ95" s="158"/>
      <c r="IR95" s="158"/>
      <c r="IS95" s="158"/>
      <c r="IT95" s="158"/>
      <c r="IU95" s="158"/>
    </row>
    <row r="96" spans="1:255" ht="15.3" x14ac:dyDescent="0.55000000000000004">
      <c r="A96" s="158"/>
      <c r="B96" s="158"/>
      <c r="C96" s="158"/>
      <c r="D96" s="158"/>
      <c r="E96" s="158"/>
      <c r="F96" s="160"/>
      <c r="G96" s="158"/>
      <c r="H96" s="159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B96" s="158"/>
      <c r="FC96" s="158"/>
      <c r="FD96" s="158"/>
      <c r="FE96" s="158"/>
      <c r="FF96" s="158"/>
      <c r="FG96" s="158"/>
      <c r="FH96" s="158"/>
      <c r="FI96" s="158"/>
      <c r="FJ96" s="158"/>
      <c r="FK96" s="158"/>
      <c r="FL96" s="158"/>
      <c r="FM96" s="158"/>
      <c r="FN96" s="158"/>
      <c r="FO96" s="158"/>
      <c r="FP96" s="158"/>
      <c r="FQ96" s="158"/>
      <c r="FR96" s="158"/>
      <c r="FS96" s="158"/>
      <c r="FT96" s="158"/>
      <c r="FU96" s="158"/>
      <c r="FV96" s="158"/>
      <c r="FW96" s="158"/>
      <c r="FX96" s="158"/>
      <c r="FY96" s="158"/>
      <c r="FZ96" s="158"/>
      <c r="GA96" s="158"/>
      <c r="GB96" s="158"/>
      <c r="GC96" s="158"/>
      <c r="GD96" s="158"/>
      <c r="GE96" s="158"/>
      <c r="GF96" s="158"/>
      <c r="GG96" s="158"/>
      <c r="GH96" s="158"/>
      <c r="GI96" s="158"/>
      <c r="GJ96" s="158"/>
      <c r="GK96" s="158"/>
      <c r="GL96" s="158"/>
      <c r="GM96" s="158"/>
      <c r="GN96" s="158"/>
      <c r="GO96" s="158"/>
      <c r="GP96" s="158"/>
      <c r="GQ96" s="158"/>
      <c r="GR96" s="158"/>
      <c r="GS96" s="158"/>
      <c r="GT96" s="158"/>
      <c r="GU96" s="158"/>
      <c r="GV96" s="158"/>
      <c r="GW96" s="158"/>
      <c r="GX96" s="158"/>
      <c r="GY96" s="158"/>
      <c r="GZ96" s="158"/>
      <c r="HA96" s="158"/>
      <c r="HB96" s="158"/>
      <c r="HC96" s="158"/>
      <c r="HD96" s="158"/>
      <c r="HE96" s="158"/>
      <c r="HF96" s="158"/>
      <c r="HG96" s="158"/>
      <c r="HH96" s="158"/>
      <c r="HI96" s="158"/>
      <c r="HJ96" s="158"/>
      <c r="HK96" s="158"/>
      <c r="HL96" s="158"/>
      <c r="HM96" s="158"/>
      <c r="HN96" s="158"/>
      <c r="HO96" s="158"/>
      <c r="HP96" s="158"/>
      <c r="HQ96" s="158"/>
      <c r="HR96" s="158"/>
      <c r="HS96" s="158"/>
      <c r="HT96" s="158"/>
      <c r="HU96" s="158"/>
      <c r="HV96" s="158"/>
      <c r="HW96" s="158"/>
      <c r="HX96" s="158"/>
      <c r="HY96" s="158"/>
      <c r="HZ96" s="158"/>
      <c r="IA96" s="158"/>
      <c r="IB96" s="158"/>
      <c r="IC96" s="158"/>
      <c r="ID96" s="158"/>
      <c r="IE96" s="158"/>
      <c r="IF96" s="158"/>
      <c r="IG96" s="158"/>
      <c r="IH96" s="158"/>
      <c r="II96" s="158"/>
      <c r="IJ96" s="158"/>
      <c r="IK96" s="158"/>
      <c r="IL96" s="158"/>
      <c r="IM96" s="158"/>
      <c r="IN96" s="158"/>
      <c r="IO96" s="158"/>
      <c r="IP96" s="158"/>
      <c r="IQ96" s="158"/>
      <c r="IR96" s="158"/>
      <c r="IS96" s="158"/>
      <c r="IT96" s="158"/>
      <c r="IU96" s="158"/>
    </row>
    <row r="97" spans="1:255" ht="15.3" x14ac:dyDescent="0.55000000000000004">
      <c r="A97" s="158"/>
      <c r="B97" s="158"/>
      <c r="C97" s="158"/>
      <c r="D97" s="158"/>
      <c r="E97" s="158"/>
      <c r="F97" s="160"/>
      <c r="G97" s="158"/>
      <c r="H97" s="159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  <c r="CH97" s="158"/>
      <c r="CI97" s="158"/>
      <c r="CJ97" s="158"/>
      <c r="CK97" s="158"/>
      <c r="CL97" s="158"/>
      <c r="CM97" s="158"/>
      <c r="CN97" s="158"/>
      <c r="CO97" s="158"/>
      <c r="CP97" s="158"/>
      <c r="CQ97" s="158"/>
      <c r="CR97" s="158"/>
      <c r="CS97" s="158"/>
      <c r="CT97" s="158"/>
      <c r="CU97" s="158"/>
      <c r="CV97" s="158"/>
      <c r="CW97" s="158"/>
      <c r="CX97" s="158"/>
      <c r="CY97" s="158"/>
      <c r="CZ97" s="158"/>
      <c r="DA97" s="158"/>
      <c r="DB97" s="158"/>
      <c r="DC97" s="158"/>
      <c r="DD97" s="158"/>
      <c r="DE97" s="158"/>
      <c r="DF97" s="158"/>
      <c r="DG97" s="158"/>
      <c r="DH97" s="158"/>
      <c r="DI97" s="158"/>
      <c r="DJ97" s="158"/>
      <c r="DK97" s="158"/>
      <c r="DL97" s="158"/>
      <c r="DM97" s="158"/>
      <c r="DN97" s="158"/>
      <c r="DO97" s="158"/>
      <c r="DP97" s="158"/>
      <c r="DQ97" s="158"/>
      <c r="DR97" s="158"/>
      <c r="DS97" s="158"/>
      <c r="DT97" s="158"/>
      <c r="DU97" s="158"/>
      <c r="DV97" s="158"/>
      <c r="DW97" s="158"/>
      <c r="DX97" s="158"/>
      <c r="DY97" s="158"/>
      <c r="DZ97" s="158"/>
      <c r="EA97" s="158"/>
      <c r="EB97" s="158"/>
      <c r="EC97" s="158"/>
      <c r="ED97" s="158"/>
      <c r="EE97" s="158"/>
      <c r="EF97" s="158"/>
      <c r="EG97" s="158"/>
      <c r="EH97" s="158"/>
      <c r="EI97" s="158"/>
      <c r="EJ97" s="158"/>
      <c r="EK97" s="158"/>
      <c r="EL97" s="158"/>
      <c r="EM97" s="158"/>
      <c r="EN97" s="158"/>
      <c r="EO97" s="158"/>
      <c r="EP97" s="158"/>
      <c r="EQ97" s="158"/>
      <c r="ER97" s="158"/>
      <c r="ES97" s="158"/>
      <c r="ET97" s="158"/>
      <c r="EU97" s="158"/>
      <c r="EV97" s="158"/>
      <c r="EW97" s="158"/>
      <c r="EX97" s="158"/>
      <c r="EY97" s="158"/>
      <c r="EZ97" s="158"/>
      <c r="FA97" s="158"/>
      <c r="FB97" s="158"/>
      <c r="FC97" s="158"/>
      <c r="FD97" s="158"/>
      <c r="FE97" s="158"/>
      <c r="FF97" s="158"/>
      <c r="FG97" s="158"/>
      <c r="FH97" s="158"/>
      <c r="FI97" s="158"/>
      <c r="FJ97" s="158"/>
      <c r="FK97" s="158"/>
      <c r="FL97" s="158"/>
      <c r="FM97" s="158"/>
      <c r="FN97" s="158"/>
      <c r="FO97" s="158"/>
      <c r="FP97" s="158"/>
      <c r="FQ97" s="158"/>
      <c r="FR97" s="158"/>
      <c r="FS97" s="158"/>
      <c r="FT97" s="158"/>
      <c r="FU97" s="158"/>
      <c r="FV97" s="158"/>
      <c r="FW97" s="158"/>
      <c r="FX97" s="158"/>
      <c r="FY97" s="158"/>
      <c r="FZ97" s="158"/>
      <c r="GA97" s="158"/>
      <c r="GB97" s="158"/>
      <c r="GC97" s="158"/>
      <c r="GD97" s="158"/>
      <c r="GE97" s="158"/>
      <c r="GF97" s="158"/>
      <c r="GG97" s="158"/>
      <c r="GH97" s="158"/>
      <c r="GI97" s="158"/>
      <c r="GJ97" s="158"/>
      <c r="GK97" s="158"/>
      <c r="GL97" s="158"/>
      <c r="GM97" s="158"/>
      <c r="GN97" s="158"/>
      <c r="GO97" s="158"/>
      <c r="GP97" s="158"/>
      <c r="GQ97" s="158"/>
      <c r="GR97" s="158"/>
      <c r="GS97" s="158"/>
      <c r="GT97" s="158"/>
      <c r="GU97" s="158"/>
      <c r="GV97" s="158"/>
      <c r="GW97" s="158"/>
      <c r="GX97" s="158"/>
      <c r="GY97" s="158"/>
      <c r="GZ97" s="158"/>
      <c r="HA97" s="158"/>
      <c r="HB97" s="158"/>
      <c r="HC97" s="158"/>
      <c r="HD97" s="158"/>
      <c r="HE97" s="158"/>
      <c r="HF97" s="158"/>
      <c r="HG97" s="158"/>
      <c r="HH97" s="158"/>
      <c r="HI97" s="158"/>
      <c r="HJ97" s="158"/>
      <c r="HK97" s="158"/>
      <c r="HL97" s="158"/>
      <c r="HM97" s="158"/>
      <c r="HN97" s="158"/>
      <c r="HO97" s="158"/>
      <c r="HP97" s="158"/>
      <c r="HQ97" s="158"/>
      <c r="HR97" s="158"/>
      <c r="HS97" s="158"/>
      <c r="HT97" s="158"/>
      <c r="HU97" s="158"/>
      <c r="HV97" s="158"/>
      <c r="HW97" s="158"/>
      <c r="HX97" s="158"/>
      <c r="HY97" s="158"/>
      <c r="HZ97" s="158"/>
      <c r="IA97" s="158"/>
      <c r="IB97" s="158"/>
      <c r="IC97" s="158"/>
      <c r="ID97" s="158"/>
      <c r="IE97" s="158"/>
      <c r="IF97" s="158"/>
      <c r="IG97" s="158"/>
      <c r="IH97" s="158"/>
      <c r="II97" s="158"/>
      <c r="IJ97" s="158"/>
      <c r="IK97" s="158"/>
      <c r="IL97" s="158"/>
      <c r="IM97" s="158"/>
      <c r="IN97" s="158"/>
      <c r="IO97" s="158"/>
      <c r="IP97" s="158"/>
      <c r="IQ97" s="158"/>
      <c r="IR97" s="158"/>
      <c r="IS97" s="158"/>
      <c r="IT97" s="158"/>
      <c r="IU97" s="158"/>
    </row>
    <row r="98" spans="1:255" ht="15.3" x14ac:dyDescent="0.55000000000000004">
      <c r="A98" s="158"/>
      <c r="B98" s="158"/>
      <c r="C98" s="158"/>
      <c r="D98" s="158"/>
      <c r="E98" s="158"/>
      <c r="F98" s="160"/>
      <c r="G98" s="158"/>
      <c r="H98" s="159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158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/>
      <c r="DW98" s="158"/>
      <c r="DX98" s="158"/>
      <c r="DY98" s="158"/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8"/>
      <c r="EX98" s="158"/>
      <c r="EY98" s="158"/>
      <c r="EZ98" s="158"/>
      <c r="FA98" s="158"/>
      <c r="FB98" s="158"/>
      <c r="FC98" s="158"/>
      <c r="FD98" s="158"/>
      <c r="FE98" s="158"/>
      <c r="FF98" s="158"/>
      <c r="FG98" s="158"/>
      <c r="FH98" s="158"/>
      <c r="FI98" s="158"/>
      <c r="FJ98" s="158"/>
      <c r="FK98" s="158"/>
      <c r="FL98" s="158"/>
      <c r="FM98" s="158"/>
      <c r="FN98" s="158"/>
      <c r="FO98" s="158"/>
      <c r="FP98" s="158"/>
      <c r="FQ98" s="158"/>
      <c r="FR98" s="158"/>
      <c r="FS98" s="158"/>
      <c r="FT98" s="158"/>
      <c r="FU98" s="158"/>
      <c r="FV98" s="158"/>
      <c r="FW98" s="158"/>
      <c r="FX98" s="158"/>
      <c r="FY98" s="158"/>
      <c r="FZ98" s="158"/>
      <c r="GA98" s="158"/>
      <c r="GB98" s="158"/>
      <c r="GC98" s="158"/>
      <c r="GD98" s="158"/>
      <c r="GE98" s="158"/>
      <c r="GF98" s="158"/>
      <c r="GG98" s="158"/>
      <c r="GH98" s="158"/>
      <c r="GI98" s="158"/>
      <c r="GJ98" s="158"/>
      <c r="GK98" s="158"/>
      <c r="GL98" s="158"/>
      <c r="GM98" s="158"/>
      <c r="GN98" s="158"/>
      <c r="GO98" s="158"/>
      <c r="GP98" s="158"/>
      <c r="GQ98" s="158"/>
      <c r="GR98" s="158"/>
      <c r="GS98" s="158"/>
      <c r="GT98" s="158"/>
      <c r="GU98" s="158"/>
      <c r="GV98" s="158"/>
      <c r="GW98" s="158"/>
      <c r="GX98" s="158"/>
      <c r="GY98" s="158"/>
      <c r="GZ98" s="158"/>
      <c r="HA98" s="158"/>
      <c r="HB98" s="158"/>
      <c r="HC98" s="158"/>
      <c r="HD98" s="158"/>
      <c r="HE98" s="158"/>
      <c r="HF98" s="158"/>
      <c r="HG98" s="158"/>
      <c r="HH98" s="158"/>
      <c r="HI98" s="158"/>
      <c r="HJ98" s="158"/>
      <c r="HK98" s="158"/>
      <c r="HL98" s="158"/>
      <c r="HM98" s="158"/>
      <c r="HN98" s="158"/>
      <c r="HO98" s="158"/>
      <c r="HP98" s="158"/>
      <c r="HQ98" s="158"/>
      <c r="HR98" s="158"/>
      <c r="HS98" s="158"/>
      <c r="HT98" s="158"/>
      <c r="HU98" s="158"/>
      <c r="HV98" s="158"/>
      <c r="HW98" s="158"/>
      <c r="HX98" s="158"/>
      <c r="HY98" s="158"/>
      <c r="HZ98" s="158"/>
      <c r="IA98" s="158"/>
      <c r="IB98" s="158"/>
      <c r="IC98" s="158"/>
      <c r="ID98" s="158"/>
      <c r="IE98" s="158"/>
      <c r="IF98" s="158"/>
      <c r="IG98" s="158"/>
      <c r="IH98" s="158"/>
      <c r="II98" s="158"/>
      <c r="IJ98" s="158"/>
      <c r="IK98" s="158"/>
      <c r="IL98" s="158"/>
      <c r="IM98" s="158"/>
      <c r="IN98" s="158"/>
      <c r="IO98" s="158"/>
      <c r="IP98" s="158"/>
      <c r="IQ98" s="158"/>
      <c r="IR98" s="158"/>
      <c r="IS98" s="158"/>
      <c r="IT98" s="158"/>
      <c r="IU98" s="158"/>
    </row>
    <row r="99" spans="1:255" ht="15.3" x14ac:dyDescent="0.55000000000000004">
      <c r="A99" s="158"/>
      <c r="B99" s="158"/>
      <c r="C99" s="158"/>
      <c r="D99" s="158"/>
      <c r="E99" s="158"/>
      <c r="F99" s="160"/>
      <c r="G99" s="158"/>
      <c r="H99" s="159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8"/>
      <c r="GQ99" s="158"/>
      <c r="GR99" s="158"/>
      <c r="GS99" s="158"/>
      <c r="GT99" s="158"/>
      <c r="GU99" s="158"/>
      <c r="GV99" s="158"/>
      <c r="GW99" s="158"/>
      <c r="GX99" s="158"/>
      <c r="GY99" s="158"/>
      <c r="GZ99" s="158"/>
      <c r="HA99" s="158"/>
      <c r="HB99" s="158"/>
      <c r="HC99" s="158"/>
      <c r="HD99" s="158"/>
      <c r="HE99" s="158"/>
      <c r="HF99" s="158"/>
      <c r="HG99" s="158"/>
      <c r="HH99" s="158"/>
      <c r="HI99" s="158"/>
      <c r="HJ99" s="158"/>
      <c r="HK99" s="158"/>
      <c r="HL99" s="158"/>
      <c r="HM99" s="158"/>
      <c r="HN99" s="158"/>
      <c r="HO99" s="158"/>
      <c r="HP99" s="158"/>
      <c r="HQ99" s="158"/>
      <c r="HR99" s="158"/>
      <c r="HS99" s="158"/>
      <c r="HT99" s="158"/>
      <c r="HU99" s="158"/>
      <c r="HV99" s="158"/>
      <c r="HW99" s="158"/>
      <c r="HX99" s="158"/>
      <c r="HY99" s="158"/>
      <c r="HZ99" s="158"/>
      <c r="IA99" s="158"/>
      <c r="IB99" s="158"/>
      <c r="IC99" s="158"/>
      <c r="ID99" s="158"/>
      <c r="IE99" s="158"/>
      <c r="IF99" s="158"/>
      <c r="IG99" s="158"/>
      <c r="IH99" s="158"/>
      <c r="II99" s="158"/>
      <c r="IJ99" s="158"/>
      <c r="IK99" s="158"/>
      <c r="IL99" s="158"/>
      <c r="IM99" s="158"/>
      <c r="IN99" s="158"/>
      <c r="IO99" s="158"/>
      <c r="IP99" s="158"/>
      <c r="IQ99" s="158"/>
      <c r="IR99" s="158"/>
      <c r="IS99" s="158"/>
      <c r="IT99" s="158"/>
      <c r="IU99" s="158"/>
    </row>
    <row r="100" spans="1:255" ht="15.3" x14ac:dyDescent="0.55000000000000004">
      <c r="A100" s="158"/>
      <c r="B100" s="158"/>
      <c r="C100" s="158"/>
      <c r="D100" s="158"/>
      <c r="E100" s="158"/>
      <c r="F100" s="160"/>
      <c r="G100" s="158"/>
      <c r="H100" s="159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8"/>
      <c r="FY100" s="158"/>
      <c r="FZ100" s="158"/>
      <c r="GA100" s="158"/>
      <c r="GB100" s="158"/>
      <c r="GC100" s="158"/>
      <c r="GD100" s="158"/>
      <c r="GE100" s="158"/>
      <c r="GF100" s="158"/>
      <c r="GG100" s="158"/>
      <c r="GH100" s="158"/>
      <c r="GI100" s="158"/>
      <c r="GJ100" s="158"/>
      <c r="GK100" s="158"/>
      <c r="GL100" s="158"/>
      <c r="GM100" s="158"/>
      <c r="GN100" s="158"/>
      <c r="GO100" s="158"/>
      <c r="GP100" s="158"/>
      <c r="GQ100" s="158"/>
      <c r="GR100" s="158"/>
      <c r="GS100" s="158"/>
      <c r="GT100" s="158"/>
      <c r="GU100" s="158"/>
      <c r="GV100" s="158"/>
      <c r="GW100" s="158"/>
      <c r="GX100" s="158"/>
      <c r="GY100" s="158"/>
      <c r="GZ100" s="158"/>
      <c r="HA100" s="158"/>
      <c r="HB100" s="158"/>
      <c r="HC100" s="158"/>
      <c r="HD100" s="158"/>
      <c r="HE100" s="158"/>
      <c r="HF100" s="158"/>
      <c r="HG100" s="158"/>
      <c r="HH100" s="158"/>
      <c r="HI100" s="158"/>
      <c r="HJ100" s="158"/>
      <c r="HK100" s="158"/>
      <c r="HL100" s="158"/>
      <c r="HM100" s="158"/>
      <c r="HN100" s="158"/>
      <c r="HO100" s="158"/>
      <c r="HP100" s="158"/>
      <c r="HQ100" s="158"/>
      <c r="HR100" s="158"/>
      <c r="HS100" s="158"/>
      <c r="HT100" s="158"/>
      <c r="HU100" s="158"/>
      <c r="HV100" s="158"/>
      <c r="HW100" s="158"/>
      <c r="HX100" s="158"/>
      <c r="HY100" s="158"/>
      <c r="HZ100" s="158"/>
      <c r="IA100" s="158"/>
      <c r="IB100" s="158"/>
      <c r="IC100" s="158"/>
      <c r="ID100" s="158"/>
      <c r="IE100" s="158"/>
      <c r="IF100" s="158"/>
      <c r="IG100" s="158"/>
      <c r="IH100" s="158"/>
      <c r="II100" s="158"/>
      <c r="IJ100" s="158"/>
      <c r="IK100" s="158"/>
      <c r="IL100" s="158"/>
      <c r="IM100" s="158"/>
      <c r="IN100" s="158"/>
      <c r="IO100" s="158"/>
      <c r="IP100" s="158"/>
      <c r="IQ100" s="158"/>
      <c r="IR100" s="158"/>
      <c r="IS100" s="158"/>
      <c r="IT100" s="158"/>
      <c r="IU100" s="158"/>
    </row>
    <row r="101" spans="1:255" ht="15.3" x14ac:dyDescent="0.55000000000000004">
      <c r="A101" s="158"/>
      <c r="B101" s="158"/>
      <c r="C101" s="158"/>
      <c r="D101" s="158"/>
      <c r="E101" s="158"/>
      <c r="F101" s="160"/>
      <c r="G101" s="158"/>
      <c r="H101" s="159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  <c r="GD101" s="158"/>
      <c r="GE101" s="158"/>
      <c r="GF101" s="158"/>
      <c r="GG101" s="158"/>
      <c r="GH101" s="158"/>
      <c r="GI101" s="158"/>
      <c r="GJ101" s="158"/>
      <c r="GK101" s="158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  <c r="ID101" s="158"/>
      <c r="IE101" s="158"/>
      <c r="IF101" s="158"/>
      <c r="IG101" s="158"/>
      <c r="IH101" s="158"/>
      <c r="II101" s="158"/>
      <c r="IJ101" s="158"/>
      <c r="IK101" s="158"/>
      <c r="IL101" s="158"/>
      <c r="IM101" s="158"/>
      <c r="IN101" s="158"/>
      <c r="IO101" s="158"/>
      <c r="IP101" s="158"/>
      <c r="IQ101" s="158"/>
      <c r="IR101" s="158"/>
      <c r="IS101" s="158"/>
      <c r="IT101" s="158"/>
      <c r="IU101" s="158"/>
    </row>
    <row r="102" spans="1:255" ht="15.3" x14ac:dyDescent="0.55000000000000004">
      <c r="A102" s="158"/>
      <c r="B102" s="158"/>
      <c r="C102" s="158"/>
      <c r="D102" s="158"/>
      <c r="E102" s="158"/>
      <c r="F102" s="160"/>
      <c r="G102" s="158"/>
      <c r="H102" s="159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8"/>
      <c r="DD102" s="158"/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8"/>
      <c r="DS102" s="158"/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8"/>
      <c r="EI102" s="158"/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8"/>
      <c r="EV102" s="158"/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8"/>
      <c r="FL102" s="158"/>
      <c r="FM102" s="158"/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8"/>
      <c r="FY102" s="158"/>
      <c r="FZ102" s="158"/>
      <c r="GA102" s="158"/>
      <c r="GB102" s="158"/>
      <c r="GC102" s="158"/>
      <c r="GD102" s="158"/>
      <c r="GE102" s="158"/>
      <c r="GF102" s="158"/>
      <c r="GG102" s="158"/>
      <c r="GH102" s="158"/>
      <c r="GI102" s="158"/>
      <c r="GJ102" s="158"/>
      <c r="GK102" s="158"/>
      <c r="GL102" s="158"/>
      <c r="GM102" s="158"/>
      <c r="GN102" s="158"/>
      <c r="GO102" s="158"/>
      <c r="GP102" s="158"/>
      <c r="GQ102" s="158"/>
      <c r="GR102" s="158"/>
      <c r="GS102" s="158"/>
      <c r="GT102" s="158"/>
      <c r="GU102" s="158"/>
      <c r="GV102" s="158"/>
      <c r="GW102" s="158"/>
      <c r="GX102" s="158"/>
      <c r="GY102" s="158"/>
      <c r="GZ102" s="158"/>
      <c r="HA102" s="158"/>
      <c r="HB102" s="158"/>
      <c r="HC102" s="158"/>
      <c r="HD102" s="158"/>
      <c r="HE102" s="158"/>
      <c r="HF102" s="158"/>
      <c r="HG102" s="158"/>
      <c r="HH102" s="158"/>
      <c r="HI102" s="158"/>
      <c r="HJ102" s="158"/>
      <c r="HK102" s="158"/>
      <c r="HL102" s="158"/>
      <c r="HM102" s="158"/>
      <c r="HN102" s="158"/>
      <c r="HO102" s="158"/>
      <c r="HP102" s="158"/>
      <c r="HQ102" s="158"/>
      <c r="HR102" s="158"/>
      <c r="HS102" s="158"/>
      <c r="HT102" s="158"/>
      <c r="HU102" s="158"/>
      <c r="HV102" s="158"/>
      <c r="HW102" s="158"/>
      <c r="HX102" s="158"/>
      <c r="HY102" s="158"/>
      <c r="HZ102" s="158"/>
      <c r="IA102" s="158"/>
      <c r="IB102" s="158"/>
      <c r="IC102" s="158"/>
      <c r="ID102" s="158"/>
      <c r="IE102" s="158"/>
      <c r="IF102" s="158"/>
      <c r="IG102" s="158"/>
      <c r="IH102" s="158"/>
      <c r="II102" s="158"/>
      <c r="IJ102" s="158"/>
      <c r="IK102" s="158"/>
      <c r="IL102" s="158"/>
      <c r="IM102" s="158"/>
      <c r="IN102" s="158"/>
      <c r="IO102" s="158"/>
      <c r="IP102" s="158"/>
      <c r="IQ102" s="158"/>
      <c r="IR102" s="158"/>
      <c r="IS102" s="158"/>
      <c r="IT102" s="158"/>
      <c r="IU102" s="158"/>
    </row>
    <row r="103" spans="1:255" ht="15.3" x14ac:dyDescent="0.55000000000000004">
      <c r="A103" s="158"/>
      <c r="B103" s="158"/>
      <c r="C103" s="158"/>
      <c r="D103" s="158"/>
      <c r="E103" s="158"/>
      <c r="F103" s="160"/>
      <c r="G103" s="158"/>
      <c r="H103" s="159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8"/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158"/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8"/>
      <c r="EI103" s="158"/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8"/>
      <c r="EV103" s="158"/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8"/>
      <c r="FL103" s="158"/>
      <c r="FM103" s="158"/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8"/>
      <c r="FY103" s="158"/>
      <c r="FZ103" s="158"/>
      <c r="GA103" s="158"/>
      <c r="GB103" s="158"/>
      <c r="GC103" s="158"/>
      <c r="GD103" s="158"/>
      <c r="GE103" s="158"/>
      <c r="GF103" s="158"/>
      <c r="GG103" s="158"/>
      <c r="GH103" s="158"/>
      <c r="GI103" s="158"/>
      <c r="GJ103" s="158"/>
      <c r="GK103" s="158"/>
      <c r="GL103" s="158"/>
      <c r="GM103" s="158"/>
      <c r="GN103" s="158"/>
      <c r="GO103" s="158"/>
      <c r="GP103" s="158"/>
      <c r="GQ103" s="158"/>
      <c r="GR103" s="158"/>
      <c r="GS103" s="158"/>
      <c r="GT103" s="158"/>
      <c r="GU103" s="158"/>
      <c r="GV103" s="158"/>
      <c r="GW103" s="158"/>
      <c r="GX103" s="158"/>
      <c r="GY103" s="158"/>
      <c r="GZ103" s="158"/>
      <c r="HA103" s="158"/>
      <c r="HB103" s="158"/>
      <c r="HC103" s="158"/>
      <c r="HD103" s="158"/>
      <c r="HE103" s="158"/>
      <c r="HF103" s="158"/>
      <c r="HG103" s="158"/>
      <c r="HH103" s="158"/>
      <c r="HI103" s="158"/>
      <c r="HJ103" s="158"/>
      <c r="HK103" s="158"/>
      <c r="HL103" s="158"/>
      <c r="HM103" s="158"/>
      <c r="HN103" s="158"/>
      <c r="HO103" s="158"/>
      <c r="HP103" s="158"/>
      <c r="HQ103" s="158"/>
      <c r="HR103" s="158"/>
      <c r="HS103" s="158"/>
      <c r="HT103" s="158"/>
      <c r="HU103" s="158"/>
      <c r="HV103" s="158"/>
      <c r="HW103" s="158"/>
      <c r="HX103" s="158"/>
      <c r="HY103" s="158"/>
      <c r="HZ103" s="158"/>
      <c r="IA103" s="158"/>
      <c r="IB103" s="158"/>
      <c r="IC103" s="158"/>
      <c r="ID103" s="158"/>
      <c r="IE103" s="158"/>
      <c r="IF103" s="158"/>
      <c r="IG103" s="158"/>
      <c r="IH103" s="158"/>
      <c r="II103" s="158"/>
      <c r="IJ103" s="158"/>
      <c r="IK103" s="158"/>
      <c r="IL103" s="158"/>
      <c r="IM103" s="158"/>
      <c r="IN103" s="158"/>
      <c r="IO103" s="158"/>
      <c r="IP103" s="158"/>
      <c r="IQ103" s="158"/>
      <c r="IR103" s="158"/>
      <c r="IS103" s="158"/>
      <c r="IT103" s="158"/>
      <c r="IU103" s="158"/>
    </row>
  </sheetData>
  <sheetCalcPr fullCalcOnLoad="1"/>
  <autoFilter ref="A2:IU54"/>
  <printOptions horizontalCentered="1"/>
  <pageMargins left="0.25" right="0.25" top="0.55000000000000004" bottom="0.2" header="0" footer="0"/>
  <pageSetup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O151"/>
  <sheetViews>
    <sheetView zoomScale="94" zoomScaleNormal="94" workbookViewId="0">
      <selection activeCell="L26" sqref="L26"/>
    </sheetView>
  </sheetViews>
  <sheetFormatPr defaultRowHeight="14.4" x14ac:dyDescent="0.55000000000000004"/>
  <cols>
    <col min="2" max="6" width="17.83984375" bestFit="1" customWidth="1"/>
    <col min="7" max="7" width="18" bestFit="1" customWidth="1"/>
    <col min="8" max="12" width="18" customWidth="1"/>
    <col min="13" max="13" width="16.26171875" style="93" customWidth="1"/>
    <col min="14" max="14" width="14.26171875" customWidth="1"/>
    <col min="15" max="15" width="12.83984375" bestFit="1" customWidth="1"/>
    <col min="16" max="16" width="29.83984375" bestFit="1" customWidth="1"/>
    <col min="18" max="18" width="18" hidden="1" customWidth="1"/>
    <col min="19" max="19" width="12" hidden="1" customWidth="1"/>
    <col min="20" max="20" width="14.578125" hidden="1" customWidth="1"/>
    <col min="21" max="22" width="12" hidden="1" customWidth="1"/>
    <col min="23" max="23" width="13.41796875" hidden="1" customWidth="1"/>
    <col min="24" max="24" width="12" hidden="1" customWidth="1"/>
    <col min="25" max="25" width="12.68359375" hidden="1" customWidth="1"/>
    <col min="26" max="26" width="12.578125" hidden="1" customWidth="1"/>
    <col min="28" max="28" width="17.15625" customWidth="1"/>
    <col min="29" max="29" width="9.83984375" bestFit="1" customWidth="1"/>
    <col min="30" max="30" width="24.578125" style="95" bestFit="1" customWidth="1"/>
    <col min="31" max="31" width="15" style="95" bestFit="1" customWidth="1"/>
    <col min="32" max="32" width="22.41796875" style="95" bestFit="1" customWidth="1"/>
    <col min="33" max="33" width="18.26171875" style="95" bestFit="1" customWidth="1"/>
    <col min="34" max="34" width="12.41796875" style="95" bestFit="1" customWidth="1"/>
    <col min="35" max="35" width="15" style="95" bestFit="1" customWidth="1"/>
    <col min="36" max="36" width="13.578125" style="95" bestFit="1" customWidth="1"/>
    <col min="37" max="37" width="12.26171875" bestFit="1" customWidth="1"/>
  </cols>
  <sheetData>
    <row r="1" spans="1:36" s="354" customFormat="1" ht="28.8" x14ac:dyDescent="0.55000000000000004">
      <c r="B1" s="354" t="s">
        <v>594</v>
      </c>
      <c r="C1" s="354" t="s">
        <v>545</v>
      </c>
      <c r="D1" s="354" t="s">
        <v>578</v>
      </c>
      <c r="E1" s="354" t="s">
        <v>577</v>
      </c>
      <c r="F1" s="354" t="s">
        <v>608</v>
      </c>
      <c r="G1" s="355" t="s">
        <v>610</v>
      </c>
      <c r="H1" s="354" t="s">
        <v>595</v>
      </c>
      <c r="I1" s="354" t="s">
        <v>505</v>
      </c>
      <c r="J1" s="354" t="s">
        <v>579</v>
      </c>
      <c r="K1" s="354" t="s">
        <v>580</v>
      </c>
      <c r="L1" s="354" t="s">
        <v>609</v>
      </c>
      <c r="M1" s="357" t="s">
        <v>611</v>
      </c>
      <c r="N1" s="355" t="s">
        <v>542</v>
      </c>
      <c r="O1" s="354" t="s">
        <v>541</v>
      </c>
      <c r="P1" s="355" t="s">
        <v>544</v>
      </c>
      <c r="AB1" s="354" t="s">
        <v>511</v>
      </c>
      <c r="AD1" s="382" t="s">
        <v>597</v>
      </c>
      <c r="AE1" s="382"/>
      <c r="AF1" s="382"/>
      <c r="AG1" s="382"/>
      <c r="AH1" s="382"/>
      <c r="AI1" s="382"/>
      <c r="AJ1" s="382"/>
    </row>
    <row r="2" spans="1:36" x14ac:dyDescent="0.55000000000000004">
      <c r="A2">
        <v>210001</v>
      </c>
      <c r="B2" s="2">
        <v>334142764.26999998</v>
      </c>
      <c r="C2" s="320">
        <f>VLOOKUP(A2,'[6]TOTAL DSH FOR FISCAL YEAR 2019 '!$A:$IV,8,FALSE)</f>
        <v>369036976</v>
      </c>
      <c r="D2" s="92">
        <f>VLOOKUP(A2,'[7]TOTAL DSH FOR FISCAL YEAR 2020 '!$A:$IV,8,FALSE)</f>
        <v>362989191</v>
      </c>
      <c r="E2" s="2">
        <f>VLOOKUP(A2,'[8]TOTAL DSH FOR FISCAL YEAR 2021 '!$A:$IV,8,FALSE)</f>
        <v>429296230.60000002</v>
      </c>
      <c r="F2" s="2">
        <f>VLOOKUP(A2,'[9]TOTAL DSH FOR FISCAL YEAR 2022 '!$A:$IV,8,FALSE)</f>
        <v>428440468</v>
      </c>
      <c r="G2" s="2">
        <f>B2+C2+F2</f>
        <v>1131620208.27</v>
      </c>
      <c r="H2" s="93">
        <v>0.31953926343168154</v>
      </c>
      <c r="I2" s="93">
        <f>VLOOKUP(A2,'[6]TOTAL DSH FOR FISCAL YEAR 2019 '!$A:$IV,17,FALSE)</f>
        <v>0.28914501491579536</v>
      </c>
      <c r="J2" s="93">
        <f>VLOOKUP(A2,'[7]TOTAL DSH FOR FISCAL YEAR 2020 '!$A:$IV,17,FALSE)</f>
        <v>0.28888738565771782</v>
      </c>
      <c r="K2" s="93">
        <f>VLOOKUP(A2,'[8]TOTAL DSH FOR FISCAL YEAR 2021 '!$A:$IV,17,FALSE)</f>
        <v>0.30133828980794219</v>
      </c>
      <c r="L2" s="93">
        <f>VLOOKUP(A2,'[10]TOTAL DSH FOR FISCAL YEAR 2022 '!$A:$IV,17,FALSE)</f>
        <v>0.30615219016063022</v>
      </c>
      <c r="M2" s="93">
        <f>(B2/G2*H2)+(C2/G2*I2)+(F2/G2*L2)</f>
        <v>0.30455882620229446</v>
      </c>
      <c r="N2" s="281">
        <v>0</v>
      </c>
      <c r="O2" s="315">
        <f>IFERROR(IF(VLOOKUP(A2,'Variable Input'!$1:$1048576,3,FALSE)=1,1,0),0)</f>
        <v>1</v>
      </c>
      <c r="P2" s="92">
        <f>IFERROR(VLOOKUP(A2,'Rate Appl - DSH 18,19,22'!$1:$1048576,25,FALSE),0)</f>
        <v>10799.501464713981</v>
      </c>
      <c r="Q2" s="95"/>
      <c r="R2" s="338"/>
      <c r="S2" s="338"/>
      <c r="U2" s="338"/>
      <c r="V2" s="338"/>
      <c r="W2" s="338"/>
      <c r="X2" s="338"/>
      <c r="Y2" s="338"/>
      <c r="Z2" s="338"/>
      <c r="AA2" s="338"/>
      <c r="AB2" s="356">
        <f>AC24</f>
        <v>9836.1472453950009</v>
      </c>
      <c r="AC2" s="338"/>
      <c r="AD2" s="383">
        <f>6314.39336593016*(IME!K4+1)*(IME!L4+1)*(IME!M4+1)</f>
        <v>6910.5514674252981</v>
      </c>
    </row>
    <row r="3" spans="1:36" x14ac:dyDescent="0.55000000000000004">
      <c r="A3">
        <v>210003</v>
      </c>
      <c r="B3" s="2">
        <v>292335445.13999999</v>
      </c>
      <c r="C3" s="320">
        <f>VLOOKUP(A3,'[6]TOTAL DSH FOR FISCAL YEAR 2019 '!$A:$IV,8,FALSE)</f>
        <v>322114788.79999995</v>
      </c>
      <c r="D3" s="92">
        <f>VLOOKUP(A3,'[7]TOTAL DSH FOR FISCAL YEAR 2020 '!$A:$IV,8,FALSE)</f>
        <v>336031402.86000001</v>
      </c>
      <c r="E3" s="2">
        <f>VLOOKUP(A3,'[8]TOTAL DSH FOR FISCAL YEAR 2021 '!$A:$IV,8,FALSE)</f>
        <v>349402044.65999997</v>
      </c>
      <c r="F3" s="2">
        <f>VLOOKUP(A3,'[9]TOTAL DSH FOR FISCAL YEAR 2022 '!$A:$IV,8,FALSE)</f>
        <v>389265489</v>
      </c>
      <c r="G3" s="2">
        <f t="shared" ref="G3:G54" si="0">B3+C3+F3</f>
        <v>1003715722.9399999</v>
      </c>
      <c r="H3" s="93">
        <v>0.53170204761244655</v>
      </c>
      <c r="I3" s="93">
        <f>VLOOKUP(A3,'[6]TOTAL DSH FOR FISCAL YEAR 2019 '!$A:$IV,17,FALSE)</f>
        <v>0.52311786555265416</v>
      </c>
      <c r="J3" s="93">
        <f>VLOOKUP(A3,'[7]TOTAL DSH FOR FISCAL YEAR 2020 '!$A:$IV,17,FALSE)</f>
        <v>0.51852689786434558</v>
      </c>
      <c r="K3" s="93">
        <f>VLOOKUP(A3,'[8]TOTAL DSH FOR FISCAL YEAR 2021 '!$A:$IV,17,FALSE)</f>
        <v>0.50134752754654932</v>
      </c>
      <c r="L3" s="93">
        <f>VLOOKUP(A3,'[10]TOTAL DSH FOR FISCAL YEAR 2022 '!$A:$IV,17,FALSE)</f>
        <v>0.42950509937321685</v>
      </c>
      <c r="M3" s="93">
        <f t="shared" ref="M3:M54" si="1">(B3/G3*H3)+(C3/G3*I3)+(F3/G3*L3)</f>
        <v>0.48931271759653572</v>
      </c>
      <c r="N3" s="281">
        <v>0</v>
      </c>
      <c r="O3" s="315">
        <f>IFERROR(IF(VLOOKUP(A3,'Variable Input'!$1:$1048576,3,FALSE)=1,1,0),0)</f>
        <v>1</v>
      </c>
      <c r="P3" s="92">
        <f>IFERROR(VLOOKUP(A3,'Rate Appl - DSH 18,19,22'!$1:$1048576,25,FALSE),0)</f>
        <v>13924.98264293278</v>
      </c>
      <c r="Q3" s="95"/>
      <c r="R3" s="338"/>
      <c r="S3" s="338"/>
      <c r="T3" s="338"/>
      <c r="U3" s="338"/>
      <c r="V3" s="338"/>
      <c r="W3" s="338"/>
      <c r="X3" s="338"/>
      <c r="Y3" s="338"/>
      <c r="Z3" s="338"/>
      <c r="AA3" s="338"/>
    </row>
    <row r="4" spans="1:36" x14ac:dyDescent="0.55000000000000004">
      <c r="A4">
        <v>210004</v>
      </c>
      <c r="B4" s="2">
        <v>515722263.63999999</v>
      </c>
      <c r="C4" s="320">
        <f>VLOOKUP(A4,'[6]TOTAL DSH FOR FISCAL YEAR 2019 '!$A:$IV,8,FALSE)</f>
        <v>518520702.89999998</v>
      </c>
      <c r="D4" s="92">
        <f>VLOOKUP(A4,'[7]TOTAL DSH FOR FISCAL YEAR 2020 '!$A:$IV,8,FALSE)</f>
        <v>511271414.80000001</v>
      </c>
      <c r="E4" s="2">
        <f>VLOOKUP(A4,'[8]TOTAL DSH FOR FISCAL YEAR 2021 '!$A:$IV,8,FALSE)</f>
        <v>557655797.39999998</v>
      </c>
      <c r="F4" s="2">
        <f>VLOOKUP(A4,'[9]TOTAL DSH FOR FISCAL YEAR 2022 '!$A:$IV,8,FALSE)</f>
        <v>576291851</v>
      </c>
      <c r="G4" s="2">
        <f t="shared" si="0"/>
        <v>1610534817.54</v>
      </c>
      <c r="H4" s="93">
        <v>0.33005751804800154</v>
      </c>
      <c r="I4" s="93">
        <f>VLOOKUP(A4,'[6]TOTAL DSH FOR FISCAL YEAR 2019 '!$A:$IV,17,FALSE)</f>
        <v>0.33237394533355286</v>
      </c>
      <c r="J4" s="93">
        <f>VLOOKUP(A4,'[7]TOTAL DSH FOR FISCAL YEAR 2020 '!$A:$IV,17,FALSE)</f>
        <v>0.36538351654781376</v>
      </c>
      <c r="K4" s="93">
        <f>VLOOKUP(A4,'[8]TOTAL DSH FOR FISCAL YEAR 2021 '!$A:$IV,17,FALSE)</f>
        <v>0.35623258555941623</v>
      </c>
      <c r="L4" s="93">
        <f>VLOOKUP(A4,'[10]TOTAL DSH FOR FISCAL YEAR 2022 '!$A:$IV,17,FALSE)</f>
        <v>0.36647196656082409</v>
      </c>
      <c r="M4" s="93">
        <f t="shared" si="1"/>
        <v>0.34383335524151726</v>
      </c>
      <c r="N4" s="281">
        <v>0</v>
      </c>
      <c r="O4" s="315">
        <f>IFERROR(IF(VLOOKUP(A4,'Variable Input'!$1:$1048576,3,FALSE)=1,1,0),0)</f>
        <v>1</v>
      </c>
      <c r="P4" s="92">
        <f>IFERROR(VLOOKUP(A4,'Rate Appl - DSH 18,19,22'!$1:$1048576,25,FALSE),0)</f>
        <v>10694.83168009526</v>
      </c>
      <c r="Q4" s="95"/>
      <c r="R4" s="338"/>
      <c r="S4" s="338"/>
      <c r="T4" s="338"/>
      <c r="U4" s="338"/>
      <c r="V4" s="338"/>
      <c r="W4" s="338"/>
      <c r="X4" s="338"/>
      <c r="Y4" s="338"/>
      <c r="Z4" s="338"/>
      <c r="AA4" s="338"/>
    </row>
    <row r="5" spans="1:36" x14ac:dyDescent="0.55000000000000004">
      <c r="A5">
        <v>210005</v>
      </c>
      <c r="B5" s="2">
        <v>355889159.21000004</v>
      </c>
      <c r="C5" s="320">
        <f>VLOOKUP(A5,'[6]TOTAL DSH FOR FISCAL YEAR 2019 '!$A:$IV,8,FALSE)</f>
        <v>352965587.5</v>
      </c>
      <c r="D5" s="92">
        <f>VLOOKUP(A5,'[7]TOTAL DSH FOR FISCAL YEAR 2020 '!$A:$IV,8,FALSE)</f>
        <v>359679258.39999998</v>
      </c>
      <c r="E5" s="2">
        <f>VLOOKUP(A5,'[8]TOTAL DSH FOR FISCAL YEAR 2021 '!$A:$IV,8,FALSE)</f>
        <v>382799362.89999998</v>
      </c>
      <c r="F5" s="2">
        <f>VLOOKUP(A5,'[9]TOTAL DSH FOR FISCAL YEAR 2022 '!$A:$IV,8,FALSE)</f>
        <v>395399478</v>
      </c>
      <c r="G5" s="2">
        <f t="shared" si="0"/>
        <v>1104254224.71</v>
      </c>
      <c r="H5" s="93">
        <v>0.15222334112892708</v>
      </c>
      <c r="I5" s="93">
        <f>VLOOKUP(A5,'[6]TOTAL DSH FOR FISCAL YEAR 2019 '!$A:$IV,17,FALSE)</f>
        <v>0.14789034803569912</v>
      </c>
      <c r="J5" s="93">
        <f>VLOOKUP(A5,'[7]TOTAL DSH FOR FISCAL YEAR 2020 '!$A:$IV,17,FALSE)</f>
        <v>0.15746629581017843</v>
      </c>
      <c r="K5" s="93">
        <f>VLOOKUP(A5,'[8]TOTAL DSH FOR FISCAL YEAR 2021 '!$A:$IV,17,FALSE)</f>
        <v>0.15257361116679125</v>
      </c>
      <c r="L5" s="93">
        <f>VLOOKUP(A5,'[10]TOTAL DSH FOR FISCAL YEAR 2022 '!$A:$IV,17,FALSE)</f>
        <v>0.23277252367075577</v>
      </c>
      <c r="M5" s="93">
        <f t="shared" si="1"/>
        <v>0.17968052136796461</v>
      </c>
      <c r="N5" s="281">
        <v>0</v>
      </c>
      <c r="O5" s="315">
        <f>IFERROR(IF(VLOOKUP(A5,'Variable Input'!$1:$1048576,3,FALSE)=1,1,0),0)</f>
        <v>1</v>
      </c>
      <c r="P5" s="92">
        <f>IFERROR(VLOOKUP(A5,'Rate Appl - DSH 18,19,22'!$1:$1048576,25,FALSE),0)</f>
        <v>11213.987740860712</v>
      </c>
      <c r="Q5" s="95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t="s">
        <v>512</v>
      </c>
      <c r="AC5" t="s">
        <v>596</v>
      </c>
    </row>
    <row r="6" spans="1:36" x14ac:dyDescent="0.55000000000000004">
      <c r="A6">
        <v>210006</v>
      </c>
      <c r="B6" s="2">
        <v>105634065.31999999</v>
      </c>
      <c r="C6" s="320">
        <f>VLOOKUP(A6,'[6]TOTAL DSH FOR FISCAL YEAR 2019 '!$A:$IV,8,FALSE)</f>
        <v>107480495.89</v>
      </c>
      <c r="D6" s="92">
        <f>VLOOKUP(A6,'[7]TOTAL DSH FOR FISCAL YEAR 2020 '!$A:$IV,8,FALSE)</f>
        <v>100457115.52000001</v>
      </c>
      <c r="E6" s="2">
        <f>VLOOKUP(A6,'[8]TOTAL DSH FOR FISCAL YEAR 2021 '!$A:$IV,8,FALSE)</f>
        <v>108950160.92</v>
      </c>
      <c r="F6" s="2">
        <f>VLOOKUP(A6,'[9]TOTAL DSH FOR FISCAL YEAR 2022 '!$A:$IV,8,FALSE)</f>
        <v>119042127</v>
      </c>
      <c r="G6" s="2">
        <f t="shared" si="0"/>
        <v>332156688.20999998</v>
      </c>
      <c r="H6" s="93">
        <v>0.30817883752238978</v>
      </c>
      <c r="I6" s="93">
        <f>VLOOKUP(A6,'[6]TOTAL DSH FOR FISCAL YEAR 2019 '!$A:$IV,17,FALSE)</f>
        <v>0.29999871728355115</v>
      </c>
      <c r="J6" s="93">
        <f>VLOOKUP(A6,'[7]TOTAL DSH FOR FISCAL YEAR 2020 '!$A:$IV,17,FALSE)</f>
        <v>0.32126124837393694</v>
      </c>
      <c r="K6" s="93">
        <f>VLOOKUP(A6,'[8]TOTAL DSH FOR FISCAL YEAR 2021 '!$A:$IV,17,FALSE)</f>
        <v>0.34992993996580135</v>
      </c>
      <c r="L6" s="93">
        <f>VLOOKUP(A6,'[10]TOTAL DSH FOR FISCAL YEAR 2022 '!$A:$IV,17,FALSE)</f>
        <v>0.35791698260517257</v>
      </c>
      <c r="M6" s="93">
        <f t="shared" si="1"/>
        <v>0.32335761122449064</v>
      </c>
      <c r="N6" s="281">
        <v>0</v>
      </c>
      <c r="O6" s="315">
        <f>IFERROR(IF(VLOOKUP(A6,'Variable Input'!$1:$1048576,3,FALSE)=1,1,0),0)</f>
        <v>1</v>
      </c>
      <c r="P6" s="92">
        <f>IFERROR(VLOOKUP(A6,'Rate Appl - DSH 18,19,22'!$1:$1048576,25,FALSE),0)</f>
        <v>12856.817809207572</v>
      </c>
      <c r="Q6" s="95"/>
      <c r="R6" s="338"/>
      <c r="S6" s="338"/>
      <c r="T6" s="338"/>
      <c r="U6" s="338"/>
      <c r="V6" s="338"/>
      <c r="W6" s="338"/>
      <c r="X6" s="338"/>
      <c r="Y6" s="338"/>
      <c r="Z6" s="338"/>
      <c r="AA6" s="338"/>
    </row>
    <row r="7" spans="1:36" x14ac:dyDescent="0.55000000000000004">
      <c r="A7">
        <v>210008</v>
      </c>
      <c r="B7" s="2">
        <v>540307673.35000002</v>
      </c>
      <c r="C7" s="320">
        <f>VLOOKUP(A7,'[6]TOTAL DSH FOR FISCAL YEAR 2019 '!$A:$IV,8,FALSE)</f>
        <v>553175818</v>
      </c>
      <c r="D7" s="92">
        <f>VLOOKUP(A7,'[7]TOTAL DSH FOR FISCAL YEAR 2020 '!$A:$IV,8,FALSE)</f>
        <v>548551613.5</v>
      </c>
      <c r="E7" s="2">
        <f>VLOOKUP(A7,'[8]TOTAL DSH FOR FISCAL YEAR 2021 '!$A:$IV,8,FALSE)</f>
        <v>619672235.5</v>
      </c>
      <c r="F7" s="2">
        <f>VLOOKUP(A7,'[9]TOTAL DSH FOR FISCAL YEAR 2022 '!$A:$IV,8,FALSE)</f>
        <v>627665746</v>
      </c>
      <c r="G7" s="2">
        <f t="shared" si="0"/>
        <v>1721149237.3499999</v>
      </c>
      <c r="H7" s="93">
        <v>0.29945193532555936</v>
      </c>
      <c r="I7" s="93">
        <f>VLOOKUP(A7,'[6]TOTAL DSH FOR FISCAL YEAR 2019 '!$A:$IV,17,FALSE)</f>
        <v>0.29734118827659961</v>
      </c>
      <c r="J7" s="93">
        <f>VLOOKUP(A7,'[7]TOTAL DSH FOR FISCAL YEAR 2020 '!$A:$IV,17,FALSE)</f>
        <v>0.30578362586477015</v>
      </c>
      <c r="K7" s="93">
        <f>VLOOKUP(A7,'[8]TOTAL DSH FOR FISCAL YEAR 2021 '!$A:$IV,17,FALSE)</f>
        <v>0.29683202545226828</v>
      </c>
      <c r="L7" s="93">
        <f>VLOOKUP(A7,'[10]TOTAL DSH FOR FISCAL YEAR 2022 '!$A:$IV,17,FALSE)</f>
        <v>0.29495909318088726</v>
      </c>
      <c r="M7" s="93">
        <f t="shared" si="1"/>
        <v>0.29713510116890318</v>
      </c>
      <c r="N7" s="281">
        <v>1</v>
      </c>
      <c r="O7" s="315">
        <f>IFERROR(IF(VLOOKUP(A7,'Variable Input'!$1:$1048576,3,FALSE)=1,1,0),0)</f>
        <v>1</v>
      </c>
      <c r="P7" s="92">
        <f>IFERROR(VLOOKUP(A7,'Rate Appl - DSH 18,19,22'!$1:$1048576,25,FALSE),0)</f>
        <v>12428.619071004789</v>
      </c>
      <c r="Q7" s="95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t="s">
        <v>512</v>
      </c>
      <c r="AD7"/>
      <c r="AE7"/>
      <c r="AF7"/>
      <c r="AG7"/>
      <c r="AH7"/>
      <c r="AI7"/>
      <c r="AJ7"/>
    </row>
    <row r="8" spans="1:36" ht="14.7" thickBot="1" x14ac:dyDescent="0.6">
      <c r="A8">
        <v>210011</v>
      </c>
      <c r="B8" s="2">
        <v>438439050.35000002</v>
      </c>
      <c r="C8" s="320">
        <f>VLOOKUP(A8,'[6]TOTAL DSH FOR FISCAL YEAR 2019 '!$A:$IV,8,FALSE)</f>
        <v>429347315.10000002</v>
      </c>
      <c r="D8" s="92">
        <f>VLOOKUP(A8,'[7]TOTAL DSH FOR FISCAL YEAR 2020 '!$A:$IV,8,FALSE)</f>
        <v>419501571.39999998</v>
      </c>
      <c r="E8" s="2">
        <f>VLOOKUP(A8,'[8]TOTAL DSH FOR FISCAL YEAR 2021 '!$A:$IV,8,FALSE)</f>
        <v>434651035.30000001</v>
      </c>
      <c r="F8" s="2">
        <f>VLOOKUP(A8,'[9]TOTAL DSH FOR FISCAL YEAR 2022 '!$A:$IV,8,FALSE)</f>
        <v>465580403</v>
      </c>
      <c r="G8" s="2">
        <f t="shared" si="0"/>
        <v>1333366768.45</v>
      </c>
      <c r="H8" s="93">
        <v>0.35433185215788893</v>
      </c>
      <c r="I8" s="93">
        <f>VLOOKUP(A8,'[6]TOTAL DSH FOR FISCAL YEAR 2019 '!$A:$IV,17,FALSE)</f>
        <v>0.36331381702868831</v>
      </c>
      <c r="J8" s="93">
        <f>VLOOKUP(A8,'[7]TOTAL DSH FOR FISCAL YEAR 2020 '!$A:$IV,17,FALSE)</f>
        <v>0.38916786784651364</v>
      </c>
      <c r="K8" s="93">
        <f>VLOOKUP(A8,'[8]TOTAL DSH FOR FISCAL YEAR 2021 '!$A:$IV,17,FALSE)</f>
        <v>0.36633512410731855</v>
      </c>
      <c r="L8" s="93">
        <f>VLOOKUP(A8,'[10]TOTAL DSH FOR FISCAL YEAR 2022 '!$A:$IV,17,FALSE)</f>
        <v>0.36690896716728466</v>
      </c>
      <c r="M8" s="93">
        <f t="shared" si="1"/>
        <v>0.36161570008784899</v>
      </c>
      <c r="N8" s="281">
        <v>1</v>
      </c>
      <c r="O8" s="315">
        <f>IFERROR(IF(VLOOKUP(A8,'Variable Input'!$1:$1048576,3,FALSE)=1,1,0),0)</f>
        <v>1</v>
      </c>
      <c r="P8" s="92">
        <f>IFERROR(VLOOKUP(A8,'Rate Appl - DSH 18,19,22'!$1:$1048576,25,FALSE),0)</f>
        <v>11693.789131162368</v>
      </c>
      <c r="Q8" s="95"/>
      <c r="R8" s="338"/>
      <c r="S8" s="338"/>
      <c r="T8" s="338"/>
      <c r="U8" s="338"/>
      <c r="V8" s="338"/>
      <c r="W8" s="338"/>
      <c r="X8" s="338"/>
      <c r="Y8" s="338"/>
      <c r="Z8" s="338"/>
      <c r="AA8" s="338"/>
      <c r="AD8"/>
      <c r="AE8"/>
      <c r="AF8"/>
      <c r="AG8"/>
      <c r="AH8"/>
      <c r="AI8"/>
      <c r="AJ8"/>
    </row>
    <row r="9" spans="1:36" x14ac:dyDescent="0.55000000000000004">
      <c r="A9">
        <v>210012</v>
      </c>
      <c r="B9" s="2">
        <v>779488259.24000001</v>
      </c>
      <c r="C9" s="320">
        <f>VLOOKUP(A9,'[6]TOTAL DSH FOR FISCAL YEAR 2019 '!$A:$IV,8,FALSE)</f>
        <v>786008811.10000002</v>
      </c>
      <c r="D9" s="92">
        <f>VLOOKUP(A9,'[7]TOTAL DSH FOR FISCAL YEAR 2020 '!$A:$IV,8,FALSE)</f>
        <v>818167825.39999998</v>
      </c>
      <c r="E9" s="2">
        <f>VLOOKUP(A9,'[8]TOTAL DSH FOR FISCAL YEAR 2021 '!$A:$IV,8,FALSE)</f>
        <v>891357239.60000002</v>
      </c>
      <c r="F9" s="2">
        <f>VLOOKUP(A9,'[9]TOTAL DSH FOR FISCAL YEAR 2022 '!$A:$IV,8,FALSE)</f>
        <v>935895786</v>
      </c>
      <c r="G9" s="2">
        <f t="shared" si="0"/>
        <v>2501392856.3400002</v>
      </c>
      <c r="H9" s="93">
        <v>0.34918245802291509</v>
      </c>
      <c r="I9" s="93">
        <f>VLOOKUP(A9,'[6]TOTAL DSH FOR FISCAL YEAR 2019 '!$A:$IV,17,FALSE)</f>
        <v>0.35721007096226931</v>
      </c>
      <c r="J9" s="93">
        <f>VLOOKUP(A9,'[7]TOTAL DSH FOR FISCAL YEAR 2020 '!$A:$IV,17,FALSE)</f>
        <v>0.35506649862205636</v>
      </c>
      <c r="K9" s="93">
        <f>VLOOKUP(A9,'[8]TOTAL DSH FOR FISCAL YEAR 2021 '!$A:$IV,17,FALSE)</f>
        <v>0.36287177035230983</v>
      </c>
      <c r="L9" s="93">
        <f>VLOOKUP(A9,'[10]TOTAL DSH FOR FISCAL YEAR 2022 '!$A:$IV,17,FALSE)</f>
        <v>0.38605628540758175</v>
      </c>
      <c r="M9" s="93">
        <f t="shared" si="1"/>
        <v>0.36550129976821399</v>
      </c>
      <c r="N9" s="281">
        <v>1</v>
      </c>
      <c r="O9" s="315">
        <f>IFERROR(IF(VLOOKUP(A9,'Variable Input'!$1:$1048576,3,FALSE)=1,1,0),0)</f>
        <v>1</v>
      </c>
      <c r="P9" s="92">
        <f>IFERROR(VLOOKUP(A9,'Rate Appl - DSH 18,19,22'!$1:$1048576,25,FALSE),0)</f>
        <v>14232.346415126622</v>
      </c>
      <c r="Q9" s="95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48" t="s">
        <v>513</v>
      </c>
      <c r="AC9" s="348"/>
      <c r="AD9"/>
      <c r="AE9"/>
      <c r="AF9"/>
      <c r="AG9"/>
      <c r="AH9"/>
      <c r="AI9"/>
      <c r="AJ9"/>
    </row>
    <row r="10" spans="1:36" x14ac:dyDescent="0.55000000000000004">
      <c r="A10">
        <v>210015</v>
      </c>
      <c r="B10" s="2">
        <v>533723809.75999999</v>
      </c>
      <c r="C10" s="320">
        <f>VLOOKUP(A10,'[6]TOTAL DSH FOR FISCAL YEAR 2019 '!$A:$IV,8,FALSE)</f>
        <v>555788495.89999998</v>
      </c>
      <c r="D10" s="92">
        <f>VLOOKUP(A10,'[7]TOTAL DSH FOR FISCAL YEAR 2020 '!$A:$IV,8,FALSE)</f>
        <v>588915485.39999998</v>
      </c>
      <c r="E10" s="2">
        <f>VLOOKUP(A10,'[8]TOTAL DSH FOR FISCAL YEAR 2021 '!$A:$IV,8,FALSE)</f>
        <v>603996827.79999995</v>
      </c>
      <c r="F10" s="2">
        <f>VLOOKUP(A10,'[9]TOTAL DSH FOR FISCAL YEAR 2022 '!$A:$IV,8,FALSE)</f>
        <v>608313463</v>
      </c>
      <c r="G10" s="2">
        <f t="shared" si="0"/>
        <v>1697825768.6599998</v>
      </c>
      <c r="H10" s="93">
        <v>0.36751283297284248</v>
      </c>
      <c r="I10" s="93">
        <f>VLOOKUP(A10,'[6]TOTAL DSH FOR FISCAL YEAR 2019 '!$A:$IV,17,FALSE)</f>
        <v>0.36187937953683008</v>
      </c>
      <c r="J10" s="93">
        <f>VLOOKUP(A10,'[7]TOTAL DSH FOR FISCAL YEAR 2020 '!$A:$IV,17,FALSE)</f>
        <v>0.37790265312660087</v>
      </c>
      <c r="K10" s="93">
        <f>VLOOKUP(A10,'[8]TOTAL DSH FOR FISCAL YEAR 2021 '!$A:$IV,17,FALSE)</f>
        <v>0.36901006927771818</v>
      </c>
      <c r="L10" s="93">
        <f>VLOOKUP(A10,'[10]TOTAL DSH FOR FISCAL YEAR 2022 '!$A:$IV,17,FALSE)</f>
        <v>0.37924322015660394</v>
      </c>
      <c r="M10" s="93">
        <f t="shared" si="1"/>
        <v>0.36987158138630394</v>
      </c>
      <c r="N10" s="281">
        <v>0</v>
      </c>
      <c r="O10" s="315">
        <f>IFERROR(IF(VLOOKUP(A10,'Variable Input'!$1:$1048576,3,FALSE)=1,1,0),0)</f>
        <v>1</v>
      </c>
      <c r="P10" s="92">
        <f>IFERROR(VLOOKUP(A10,'Rate Appl - DSH 18,19,22'!$1:$1048576,25,FALSE),0)</f>
        <v>11922.525779966109</v>
      </c>
      <c r="Q10" s="95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t="s">
        <v>514</v>
      </c>
      <c r="AC10">
        <v>0.73175749822255631</v>
      </c>
      <c r="AD10"/>
      <c r="AE10"/>
      <c r="AF10"/>
      <c r="AG10"/>
      <c r="AH10"/>
      <c r="AI10"/>
      <c r="AJ10"/>
    </row>
    <row r="11" spans="1:36" x14ac:dyDescent="0.55000000000000004">
      <c r="A11">
        <v>210016</v>
      </c>
      <c r="B11" s="2">
        <v>279086877.48000002</v>
      </c>
      <c r="C11" s="320">
        <f>VLOOKUP(A11,'[6]TOTAL DSH FOR FISCAL YEAR 2019 '!$A:$IV,8,FALSE)</f>
        <v>283496544.30000001</v>
      </c>
      <c r="D11" s="92">
        <f>VLOOKUP(A11,'[7]TOTAL DSH FOR FISCAL YEAR 2020 '!$A:$IV,8,FALSE)</f>
        <v>305251723.19999999</v>
      </c>
      <c r="E11" s="2">
        <f>VLOOKUP(A11,'[8]TOTAL DSH FOR FISCAL YEAR 2021 '!$A:$IV,8,FALSE)</f>
        <v>366929396.89999998</v>
      </c>
      <c r="F11" s="2">
        <f>VLOOKUP(A11,'[9]TOTAL DSH FOR FISCAL YEAR 2022 '!$A:$IV,8,FALSE)</f>
        <v>376750153</v>
      </c>
      <c r="G11" s="2">
        <f t="shared" si="0"/>
        <v>939333574.77999997</v>
      </c>
      <c r="H11" s="93">
        <v>0.4062608830595601</v>
      </c>
      <c r="I11" s="93">
        <f>VLOOKUP(A11,'[6]TOTAL DSH FOR FISCAL YEAR 2019 '!$A:$IV,17,FALSE)</f>
        <v>0.41181472496700205</v>
      </c>
      <c r="J11" s="93">
        <f>VLOOKUP(A11,'[7]TOTAL DSH FOR FISCAL YEAR 2020 '!$A:$IV,17,FALSE)</f>
        <v>0.3832800946494378</v>
      </c>
      <c r="K11" s="93">
        <f>VLOOKUP(A11,'[8]TOTAL DSH FOR FISCAL YEAR 2021 '!$A:$IV,17,FALSE)</f>
        <v>0.36379574500644213</v>
      </c>
      <c r="L11" s="93">
        <f>VLOOKUP(A11,'[10]TOTAL DSH FOR FISCAL YEAR 2022 '!$A:$IV,17,FALSE)</f>
        <v>0.3578259961285733</v>
      </c>
      <c r="M11" s="93">
        <f t="shared" si="1"/>
        <v>0.3885106859825061</v>
      </c>
      <c r="N11" s="281">
        <v>0</v>
      </c>
      <c r="O11" s="315">
        <f>IFERROR(IF(VLOOKUP(A11,'Variable Input'!$1:$1048576,3,FALSE)=1,1,0),0)</f>
        <v>1</v>
      </c>
      <c r="P11" s="92">
        <f>IFERROR(VLOOKUP(A11,'Rate Appl - DSH 18,19,22'!$1:$1048576,25,FALSE),0)</f>
        <v>12478.659256208666</v>
      </c>
      <c r="Q11" s="95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t="s">
        <v>515</v>
      </c>
      <c r="AC11">
        <v>0.53546903620493458</v>
      </c>
      <c r="AD11"/>
      <c r="AE11"/>
      <c r="AF11"/>
      <c r="AG11"/>
      <c r="AH11"/>
      <c r="AI11"/>
      <c r="AJ11"/>
    </row>
    <row r="12" spans="1:36" x14ac:dyDescent="0.55000000000000004">
      <c r="A12">
        <v>210017</v>
      </c>
      <c r="B12" s="2">
        <v>55907843.439999998</v>
      </c>
      <c r="C12" s="320">
        <f>VLOOKUP(A12,'[6]TOTAL DSH FOR FISCAL YEAR 2019 '!$A:$IV,8,FALSE)</f>
        <v>65237466.329999998</v>
      </c>
      <c r="D12" s="92">
        <f>VLOOKUP(A12,'[7]TOTAL DSH FOR FISCAL YEAR 2020 '!$A:$IV,8,FALSE)</f>
        <v>59760227.209999993</v>
      </c>
      <c r="E12" s="2">
        <f>VLOOKUP(A12,'[8]TOTAL DSH FOR FISCAL YEAR 2021 '!$A:$IV,8,FALSE)</f>
        <v>66029356.229999997</v>
      </c>
      <c r="F12" s="2">
        <f>VLOOKUP(A12,'[9]TOTAL DSH FOR FISCAL YEAR 2022 '!$A:$IV,8,FALSE)</f>
        <v>70503453</v>
      </c>
      <c r="G12" s="2">
        <f t="shared" si="0"/>
        <v>191648762.76999998</v>
      </c>
      <c r="H12" s="93">
        <v>0.27557119044069617</v>
      </c>
      <c r="I12" s="93">
        <f>VLOOKUP(A12,'[6]TOTAL DSH FOR FISCAL YEAR 2019 '!$A:$IV,17,FALSE)</f>
        <v>0.2726013754127351</v>
      </c>
      <c r="J12" s="93">
        <f>VLOOKUP(A12,'[7]TOTAL DSH FOR FISCAL YEAR 2020 '!$A:$IV,17,FALSE)</f>
        <v>0.28144528652637968</v>
      </c>
      <c r="K12" s="93">
        <f>VLOOKUP(A12,'[8]TOTAL DSH FOR FISCAL YEAR 2021 '!$A:$IV,17,FALSE)</f>
        <v>0.25567037139050419</v>
      </c>
      <c r="L12" s="93">
        <f>VLOOKUP(A12,'[10]TOTAL DSH FOR FISCAL YEAR 2022 '!$A:$IV,17,FALSE)</f>
        <v>0.27810405540658112</v>
      </c>
      <c r="M12" s="93">
        <f t="shared" si="1"/>
        <v>0.27549204836017294</v>
      </c>
      <c r="N12" s="281">
        <v>0</v>
      </c>
      <c r="O12" s="315">
        <f>IFERROR(IF(VLOOKUP(A12,'Variable Input'!$1:$1048576,3,FALSE)=1,1,0),0)</f>
        <v>1</v>
      </c>
      <c r="P12" s="92">
        <f>IFERROR(VLOOKUP(A12,'Rate Appl - DSH 18,19,22'!$1:$1048576,25,FALSE),0)</f>
        <v>9537.9447500197166</v>
      </c>
      <c r="Q12" s="95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t="s">
        <v>516</v>
      </c>
      <c r="AC12">
        <v>0.51102003811045749</v>
      </c>
      <c r="AD12"/>
      <c r="AE12"/>
      <c r="AF12"/>
      <c r="AG12"/>
      <c r="AH12"/>
      <c r="AI12"/>
      <c r="AJ12"/>
    </row>
    <row r="13" spans="1:36" x14ac:dyDescent="0.55000000000000004">
      <c r="A13">
        <v>210018</v>
      </c>
      <c r="B13" s="2">
        <v>183111538.73000002</v>
      </c>
      <c r="C13" s="320">
        <f>VLOOKUP(A13,'[6]TOTAL DSH FOR FISCAL YEAR 2019 '!$A:$IV,8,FALSE)</f>
        <v>179639251.28</v>
      </c>
      <c r="D13" s="92">
        <f>VLOOKUP(A13,'[7]TOTAL DSH FOR FISCAL YEAR 2020 '!$A:$IV,8,FALSE)</f>
        <v>184099601.94999999</v>
      </c>
      <c r="E13" s="2">
        <f>VLOOKUP(A13,'[8]TOTAL DSH FOR FISCAL YEAR 2021 '!$A:$IV,8,FALSE)</f>
        <v>189122853.05000001</v>
      </c>
      <c r="F13" s="2">
        <f>VLOOKUP(A13,'[9]TOTAL DSH FOR FISCAL YEAR 2022 '!$A:$IV,8,FALSE)</f>
        <v>191782995</v>
      </c>
      <c r="G13" s="2">
        <f t="shared" si="0"/>
        <v>554533785.00999999</v>
      </c>
      <c r="H13" s="93">
        <v>0.22485804875012605</v>
      </c>
      <c r="I13" s="93">
        <f>VLOOKUP(A13,'[6]TOTAL DSH FOR FISCAL YEAR 2019 '!$A:$IV,17,FALSE)</f>
        <v>0.22568477446395202</v>
      </c>
      <c r="J13" s="93">
        <f>VLOOKUP(A13,'[7]TOTAL DSH FOR FISCAL YEAR 2020 '!$A:$IV,17,FALSE)</f>
        <v>0.2401973334087375</v>
      </c>
      <c r="K13" s="93">
        <f>VLOOKUP(A13,'[8]TOTAL DSH FOR FISCAL YEAR 2021 '!$A:$IV,17,FALSE)</f>
        <v>0.27053593584733621</v>
      </c>
      <c r="L13" s="93">
        <f>VLOOKUP(A13,'[10]TOTAL DSH FOR FISCAL YEAR 2022 '!$A:$IV,17,FALSE)</f>
        <v>0.26163215744240681</v>
      </c>
      <c r="M13" s="93">
        <f t="shared" si="1"/>
        <v>0.23784402234878949</v>
      </c>
      <c r="N13" s="281">
        <v>0</v>
      </c>
      <c r="O13" s="315">
        <f>IFERROR(IF(VLOOKUP(A13,'Variable Input'!$1:$1048576,3,FALSE)=1,1,0),0)</f>
        <v>1</v>
      </c>
      <c r="P13" s="92">
        <f>IFERROR(VLOOKUP(A13,'Rate Appl - DSH 18,19,22'!$1:$1048576,25,FALSE),0)</f>
        <v>12767.635243061384</v>
      </c>
      <c r="Q13" s="95"/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t="s">
        <v>517</v>
      </c>
      <c r="AC13">
        <v>1107.641753607498</v>
      </c>
      <c r="AD13"/>
      <c r="AE13"/>
      <c r="AF13"/>
      <c r="AG13"/>
      <c r="AH13"/>
      <c r="AI13"/>
      <c r="AJ13"/>
    </row>
    <row r="14" spans="1:36" ht="14.7" thickBot="1" x14ac:dyDescent="0.6">
      <c r="A14">
        <v>210019</v>
      </c>
      <c r="B14" s="2">
        <v>449363230.52999997</v>
      </c>
      <c r="C14" s="320">
        <f>VLOOKUP(A14,'[6]TOTAL DSH FOR FISCAL YEAR 2019 '!$A:$IV,8,FALSE)</f>
        <v>456040357.39999998</v>
      </c>
      <c r="D14" s="92">
        <f>VLOOKUP(A14,'[7]TOTAL DSH FOR FISCAL YEAR 2020 '!$A:$IV,8,FALSE)</f>
        <v>457824421.10000002</v>
      </c>
      <c r="E14" s="2">
        <f>VLOOKUP(A14,'[8]TOTAL DSH FOR FISCAL YEAR 2021 '!$A:$IV,8,FALSE)</f>
        <v>505015288</v>
      </c>
      <c r="F14" s="2">
        <f>VLOOKUP(A14,'[9]TOTAL DSH FOR FISCAL YEAR 2022 '!$A:$IV,8,FALSE)</f>
        <v>519451697</v>
      </c>
      <c r="G14" s="2">
        <f t="shared" si="0"/>
        <v>1424855284.9299998</v>
      </c>
      <c r="H14" s="93">
        <v>0.2723684066883289</v>
      </c>
      <c r="I14" s="93">
        <f>VLOOKUP(A14,'[6]TOTAL DSH FOR FISCAL YEAR 2019 '!$A:$IV,17,FALSE)</f>
        <v>0.24351318436625716</v>
      </c>
      <c r="J14" s="93">
        <f>VLOOKUP(A14,'[7]TOTAL DSH FOR FISCAL YEAR 2020 '!$A:$IV,17,FALSE)</f>
        <v>0.29024179022764673</v>
      </c>
      <c r="K14" s="93">
        <f>VLOOKUP(A14,'[8]TOTAL DSH FOR FISCAL YEAR 2021 '!$A:$IV,17,FALSE)</f>
        <v>0.29258540436502589</v>
      </c>
      <c r="L14" s="93">
        <f>VLOOKUP(A14,'[10]TOTAL DSH FOR FISCAL YEAR 2022 '!$A:$IV,17,FALSE)</f>
        <v>0.31406387086194382</v>
      </c>
      <c r="M14" s="93">
        <f t="shared" si="1"/>
        <v>0.27833366773025325</v>
      </c>
      <c r="N14" s="281">
        <v>0</v>
      </c>
      <c r="O14" s="315">
        <f>IFERROR(IF(VLOOKUP(A14,'Variable Input'!$1:$1048576,3,FALSE)=1,1,0),0)</f>
        <v>1</v>
      </c>
      <c r="P14" s="92">
        <f>IFERROR(VLOOKUP(A14,'Rate Appl - DSH 18,19,22'!$1:$1048576,25,FALSE),0)</f>
        <v>10535.156272885897</v>
      </c>
      <c r="Q14" s="95"/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46" t="s">
        <v>518</v>
      </c>
      <c r="AC14" s="346">
        <v>41</v>
      </c>
      <c r="AD14"/>
      <c r="AE14"/>
      <c r="AF14"/>
      <c r="AG14"/>
      <c r="AH14"/>
      <c r="AI14"/>
      <c r="AJ14"/>
    </row>
    <row r="15" spans="1:36" x14ac:dyDescent="0.55000000000000004">
      <c r="A15">
        <v>210022</v>
      </c>
      <c r="B15" s="2">
        <v>327950124.69</v>
      </c>
      <c r="C15" s="320">
        <f>VLOOKUP(A15,'[6]TOTAL DSH FOR FISCAL YEAR 2019 '!$A:$IV,8,FALSE)</f>
        <v>336195043</v>
      </c>
      <c r="D15" s="92">
        <f>VLOOKUP(A15,'[7]TOTAL DSH FOR FISCAL YEAR 2020 '!$A:$IV,8,FALSE)</f>
        <v>321763218.5</v>
      </c>
      <c r="E15" s="2">
        <f>VLOOKUP(A15,'[8]TOTAL DSH FOR FISCAL YEAR 2021 '!$A:$IV,8,FALSE)</f>
        <v>370346576.30000001</v>
      </c>
      <c r="F15" s="2">
        <f>VLOOKUP(A15,'[9]TOTAL DSH FOR FISCAL YEAR 2022 '!$A:$IV,8,FALSE)</f>
        <v>391429111</v>
      </c>
      <c r="G15" s="2">
        <f t="shared" si="0"/>
        <v>1055574278.6900001</v>
      </c>
      <c r="H15" s="93">
        <v>0.15353592965646451</v>
      </c>
      <c r="I15" s="93">
        <f>VLOOKUP(A15,'[6]TOTAL DSH FOR FISCAL YEAR 2019 '!$A:$IV,17,FALSE)</f>
        <v>0.16187195969453957</v>
      </c>
      <c r="J15" s="93">
        <f>VLOOKUP(A15,'[7]TOTAL DSH FOR FISCAL YEAR 2020 '!$A:$IV,17,FALSE)</f>
        <v>0.17254850019471696</v>
      </c>
      <c r="K15" s="93">
        <f>VLOOKUP(A15,'[8]TOTAL DSH FOR FISCAL YEAR 2021 '!$A:$IV,17,FALSE)</f>
        <v>0.17554869476459095</v>
      </c>
      <c r="L15" s="93">
        <f>VLOOKUP(A15,'[10]TOTAL DSH FOR FISCAL YEAR 2022 '!$A:$IV,17,FALSE)</f>
        <v>0.16582709424504294</v>
      </c>
      <c r="M15" s="93">
        <f t="shared" si="1"/>
        <v>0.16074873481747187</v>
      </c>
      <c r="N15" s="281">
        <v>0</v>
      </c>
      <c r="O15" s="315">
        <f>IFERROR(IF(VLOOKUP(A15,'Variable Input'!$1:$1048576,3,FALSE)=1,1,0),0)</f>
        <v>1</v>
      </c>
      <c r="P15" s="92">
        <f>IFERROR(VLOOKUP(A15,'Rate Appl - DSH 18,19,22'!$1:$1048576,25,FALSE),0)</f>
        <v>11184.43545865817</v>
      </c>
      <c r="Q15" s="95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D15"/>
      <c r="AE15"/>
      <c r="AF15"/>
      <c r="AG15"/>
      <c r="AH15"/>
      <c r="AI15"/>
      <c r="AJ15"/>
    </row>
    <row r="16" spans="1:36" ht="14.7" thickBot="1" x14ac:dyDescent="0.6">
      <c r="A16">
        <v>210023</v>
      </c>
      <c r="B16" s="2">
        <v>631578741.10000002</v>
      </c>
      <c r="C16" s="320">
        <f>VLOOKUP(A16,'[6]TOTAL DSH FOR FISCAL YEAR 2019 '!$A:$IV,8,FALSE)</f>
        <v>638915947.20000005</v>
      </c>
      <c r="D16" s="92">
        <f>VLOOKUP(A16,'[7]TOTAL DSH FOR FISCAL YEAR 2020 '!$A:$IV,8,FALSE)</f>
        <v>639384459.89999998</v>
      </c>
      <c r="E16" s="2">
        <f>VLOOKUP(A16,'[8]TOTAL DSH FOR FISCAL YEAR 2021 '!$A:$IV,8,FALSE)</f>
        <v>697354672.79999995</v>
      </c>
      <c r="F16" s="2">
        <f>VLOOKUP(A16,'[9]TOTAL DSH FOR FISCAL YEAR 2022 '!$A:$IV,8,FALSE)</f>
        <v>722271839</v>
      </c>
      <c r="G16" s="2">
        <f t="shared" si="0"/>
        <v>1992766527.3000002</v>
      </c>
      <c r="H16" s="93">
        <v>0.14825879675122217</v>
      </c>
      <c r="I16" s="93">
        <f>VLOOKUP(A16,'[6]TOTAL DSH FOR FISCAL YEAR 2019 '!$A:$IV,17,FALSE)</f>
        <v>0.14741949562031531</v>
      </c>
      <c r="J16" s="93">
        <f>VLOOKUP(A16,'[7]TOTAL DSH FOR FISCAL YEAR 2020 '!$A:$IV,17,FALSE)</f>
        <v>0.16231182609009792</v>
      </c>
      <c r="K16" s="93">
        <f>VLOOKUP(A16,'[8]TOTAL DSH FOR FISCAL YEAR 2021 '!$A:$IV,17,FALSE)</f>
        <v>0.16474736797662426</v>
      </c>
      <c r="L16" s="93">
        <f>VLOOKUP(A16,'[10]TOTAL DSH FOR FISCAL YEAR 2022 '!$A:$IV,17,FALSE)</f>
        <v>0.1782780680154884</v>
      </c>
      <c r="M16" s="93">
        <f t="shared" si="1"/>
        <v>0.15887009069597369</v>
      </c>
      <c r="N16" s="281">
        <v>0</v>
      </c>
      <c r="O16" s="315">
        <f>IFERROR(IF(VLOOKUP(A16,'Variable Input'!$1:$1048576,3,FALSE)=1,1,0),0)</f>
        <v>1</v>
      </c>
      <c r="P16" s="92">
        <f>IFERROR(VLOOKUP(A16,'Rate Appl - DSH 18,19,22'!$1:$1048576,25,FALSE),0)</f>
        <v>10692.403628443331</v>
      </c>
      <c r="Q16" s="95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t="s">
        <v>519</v>
      </c>
      <c r="AD16"/>
      <c r="AE16"/>
      <c r="AF16"/>
      <c r="AG16"/>
      <c r="AH16"/>
      <c r="AI16"/>
      <c r="AJ16"/>
    </row>
    <row r="17" spans="1:36" x14ac:dyDescent="0.55000000000000004">
      <c r="A17">
        <v>210024</v>
      </c>
      <c r="B17" s="2">
        <v>439759085.90999997</v>
      </c>
      <c r="C17" s="320">
        <f>VLOOKUP(A17,'[6]TOTAL DSH FOR FISCAL YEAR 2019 '!$A:$IV,8,FALSE)</f>
        <v>421423509.39999998</v>
      </c>
      <c r="D17" s="92">
        <f>VLOOKUP(A17,'[7]TOTAL DSH FOR FISCAL YEAR 2020 '!$A:$IV,8,FALSE)</f>
        <v>429928966.60000002</v>
      </c>
      <c r="E17" s="2">
        <f>VLOOKUP(A17,'[8]TOTAL DSH FOR FISCAL YEAR 2021 '!$A:$IV,8,FALSE)</f>
        <v>453453853.69999999</v>
      </c>
      <c r="F17" s="2">
        <f>VLOOKUP(A17,'[9]TOTAL DSH FOR FISCAL YEAR 2022 '!$A:$IV,8,FALSE)</f>
        <v>440966332</v>
      </c>
      <c r="G17" s="2">
        <f t="shared" si="0"/>
        <v>1302148927.3099999</v>
      </c>
      <c r="H17" s="93">
        <v>0.31466614509858581</v>
      </c>
      <c r="I17" s="93">
        <f>VLOOKUP(A17,'[6]TOTAL DSH FOR FISCAL YEAR 2019 '!$A:$IV,17,FALSE)</f>
        <v>0.32573842699341354</v>
      </c>
      <c r="J17" s="93">
        <f>VLOOKUP(A17,'[7]TOTAL DSH FOR FISCAL YEAR 2020 '!$A:$IV,17,FALSE)</f>
        <v>0.32657392157209436</v>
      </c>
      <c r="K17" s="93">
        <f>VLOOKUP(A17,'[8]TOTAL DSH FOR FISCAL YEAR 2021 '!$A:$IV,17,FALSE)</f>
        <v>0.34484015860509604</v>
      </c>
      <c r="L17" s="93">
        <f>VLOOKUP(A17,'[10]TOTAL DSH FOR FISCAL YEAR 2022 '!$A:$IV,17,FALSE)</f>
        <v>0.33333499988535825</v>
      </c>
      <c r="M17" s="93">
        <f t="shared" si="1"/>
        <v>0.32457166054357711</v>
      </c>
      <c r="N17" s="281">
        <v>1</v>
      </c>
      <c r="O17" s="315">
        <f>IFERROR(IF(VLOOKUP(A17,'Variable Input'!$1:$1048576,3,FALSE)=1,1,0),0)</f>
        <v>1</v>
      </c>
      <c r="P17" s="92">
        <f>IFERROR(VLOOKUP(A17,'Rate Appl - DSH 18,19,22'!$1:$1048576,25,FALSE),0)</f>
        <v>12769.440655783261</v>
      </c>
      <c r="Q17" s="95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47"/>
      <c r="AC17" s="347" t="s">
        <v>523</v>
      </c>
      <c r="AD17" s="347" t="s">
        <v>524</v>
      </c>
      <c r="AE17" s="347" t="s">
        <v>525</v>
      </c>
      <c r="AF17" s="347" t="s">
        <v>526</v>
      </c>
      <c r="AG17" s="347" t="s">
        <v>527</v>
      </c>
      <c r="AH17"/>
      <c r="AI17"/>
      <c r="AJ17"/>
    </row>
    <row r="18" spans="1:36" x14ac:dyDescent="0.55000000000000004">
      <c r="A18">
        <v>210027</v>
      </c>
      <c r="B18" s="2">
        <v>332302569.49000001</v>
      </c>
      <c r="C18" s="320">
        <f>VLOOKUP(A18,'[6]TOTAL DSH FOR FISCAL YEAR 2019 '!$A:$IV,8,FALSE)</f>
        <v>336104673.5</v>
      </c>
      <c r="D18" s="92">
        <f>VLOOKUP(A18,'[7]TOTAL DSH FOR FISCAL YEAR 2020 '!$A:$IV,8,FALSE)</f>
        <v>337971374</v>
      </c>
      <c r="E18" s="2">
        <f>VLOOKUP(A18,'[8]TOTAL DSH FOR FISCAL YEAR 2021 '!$A:$IV,8,FALSE)</f>
        <v>352856671.19999999</v>
      </c>
      <c r="F18" s="2">
        <f>VLOOKUP(A18,'[9]TOTAL DSH FOR FISCAL YEAR 2022 '!$A:$IV,8,FALSE)</f>
        <v>361916508</v>
      </c>
      <c r="G18" s="2">
        <f t="shared" si="0"/>
        <v>1030323750.99</v>
      </c>
      <c r="H18" s="93">
        <v>0.25701254891537606</v>
      </c>
      <c r="I18" s="93">
        <f>VLOOKUP(A18,'[6]TOTAL DSH FOR FISCAL YEAR 2019 '!$A:$IV,17,FALSE)</f>
        <v>0.24632078042199551</v>
      </c>
      <c r="J18" s="93">
        <f>VLOOKUP(A18,'[7]TOTAL DSH FOR FISCAL YEAR 2020 '!$A:$IV,17,FALSE)</f>
        <v>0.2491604201958241</v>
      </c>
      <c r="K18" s="93">
        <f>VLOOKUP(A18,'[8]TOTAL DSH FOR FISCAL YEAR 2021 '!$A:$IV,17,FALSE)</f>
        <v>0.25682885048426429</v>
      </c>
      <c r="L18" s="93">
        <f>VLOOKUP(A18,'[10]TOTAL DSH FOR FISCAL YEAR 2022 '!$A:$IV,17,FALSE)</f>
        <v>0.25949901424974464</v>
      </c>
      <c r="M18" s="93">
        <f t="shared" si="1"/>
        <v>0.25439816629540901</v>
      </c>
      <c r="N18" s="281">
        <v>0</v>
      </c>
      <c r="O18" s="315">
        <f>IFERROR(IF(VLOOKUP(A18,'Variable Input'!$1:$1048576,3,FALSE)=1,1,0),0)</f>
        <v>1</v>
      </c>
      <c r="P18" s="92">
        <f>IFERROR(VLOOKUP(A18,'Rate Appl - DSH 18,19,22'!$1:$1048576,25,FALSE),0)</f>
        <v>10764.674798752714</v>
      </c>
      <c r="Q18" s="95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t="s">
        <v>520</v>
      </c>
      <c r="AC18">
        <v>2</v>
      </c>
      <c r="AD18">
        <v>53740527.942983672</v>
      </c>
      <c r="AE18">
        <v>26870263.971491836</v>
      </c>
      <c r="AF18">
        <v>21.90147155052107</v>
      </c>
      <c r="AG18">
        <v>4.7127964790210757E-7</v>
      </c>
      <c r="AH18"/>
      <c r="AI18"/>
      <c r="AJ18"/>
    </row>
    <row r="19" spans="1:36" x14ac:dyDescent="0.55000000000000004">
      <c r="A19">
        <v>210028</v>
      </c>
      <c r="B19" s="2">
        <v>197009986.55000001</v>
      </c>
      <c r="C19" s="320">
        <f>VLOOKUP(A19,'[6]TOTAL DSH FOR FISCAL YEAR 2019 '!$A:$IV,8,FALSE)</f>
        <v>190543452.30000001</v>
      </c>
      <c r="D19" s="92">
        <f>VLOOKUP(A19,'[7]TOTAL DSH FOR FISCAL YEAR 2020 '!$A:$IV,8,FALSE)</f>
        <v>199337590.55000001</v>
      </c>
      <c r="E19" s="2">
        <f>VLOOKUP(A19,'[8]TOTAL DSH FOR FISCAL YEAR 2021 '!$A:$IV,8,FALSE)</f>
        <v>207197712.87</v>
      </c>
      <c r="F19" s="2">
        <f>VLOOKUP(A19,'[9]TOTAL DSH FOR FISCAL YEAR 2022 '!$A:$IV,8,FALSE)</f>
        <v>204496808</v>
      </c>
      <c r="G19" s="2">
        <f t="shared" si="0"/>
        <v>592050246.85000002</v>
      </c>
      <c r="H19" s="93">
        <v>0.28673637685144215</v>
      </c>
      <c r="I19" s="93">
        <f>VLOOKUP(A19,'[6]TOTAL DSH FOR FISCAL YEAR 2019 '!$A:$IV,17,FALSE)</f>
        <v>0.27146653718942826</v>
      </c>
      <c r="J19" s="93">
        <f>VLOOKUP(A19,'[7]TOTAL DSH FOR FISCAL YEAR 2020 '!$A:$IV,17,FALSE)</f>
        <v>0.26392311527816842</v>
      </c>
      <c r="K19" s="93">
        <f>VLOOKUP(A19,'[8]TOTAL DSH FOR FISCAL YEAR 2021 '!$A:$IV,17,FALSE)</f>
        <v>0.27099222284962665</v>
      </c>
      <c r="L19" s="93">
        <f>VLOOKUP(A19,'[10]TOTAL DSH FOR FISCAL YEAR 2022 '!$A:$IV,17,FALSE)</f>
        <v>0.27909902604042863</v>
      </c>
      <c r="M19" s="93">
        <f t="shared" si="1"/>
        <v>0.27918400802550886</v>
      </c>
      <c r="N19" s="281">
        <v>0</v>
      </c>
      <c r="O19" s="315">
        <f>IFERROR(IF(VLOOKUP(A19,'Variable Input'!$1:$1048576,3,FALSE)=1,1,0),0)</f>
        <v>1</v>
      </c>
      <c r="P19" s="92">
        <f>IFERROR(VLOOKUP(A19,'Rate Appl - DSH 18,19,22'!$1:$1048576,25,FALSE),0)</f>
        <v>10603.041808628117</v>
      </c>
      <c r="Q19" s="95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t="s">
        <v>521</v>
      </c>
      <c r="AC19">
        <v>38</v>
      </c>
      <c r="AD19">
        <v>46621069.664718345</v>
      </c>
      <c r="AE19">
        <v>1226870.2543346933</v>
      </c>
      <c r="AF19"/>
      <c r="AG19"/>
      <c r="AH19"/>
      <c r="AI19"/>
      <c r="AJ19"/>
    </row>
    <row r="20" spans="1:36" ht="14.7" thickBot="1" x14ac:dyDescent="0.6">
      <c r="A20">
        <v>210029</v>
      </c>
      <c r="B20" s="2">
        <v>657067448.45000005</v>
      </c>
      <c r="C20" s="320">
        <f>VLOOKUP(A20,'[6]TOTAL DSH FOR FISCAL YEAR 2019 '!$A:$IV,8,FALSE)</f>
        <v>676879971.29999995</v>
      </c>
      <c r="D20" s="92">
        <f>VLOOKUP(A20,'[7]TOTAL DSH FOR FISCAL YEAR 2020 '!$A:$IV,8,FALSE)</f>
        <v>654894624.5</v>
      </c>
      <c r="E20" s="2">
        <f>VLOOKUP(A20,'[8]TOTAL DSH FOR FISCAL YEAR 2021 '!$A:$IV,8,FALSE)</f>
        <v>743246968.79999995</v>
      </c>
      <c r="F20" s="2">
        <f>VLOOKUP(A20,'[9]TOTAL DSH FOR FISCAL YEAR 2022 '!$A:$IV,8,FALSE)</f>
        <v>769802233</v>
      </c>
      <c r="G20" s="2">
        <f t="shared" si="0"/>
        <v>2103749652.75</v>
      </c>
      <c r="H20" s="93">
        <v>0.38513280346502771</v>
      </c>
      <c r="I20" s="93">
        <f>VLOOKUP(A20,'[6]TOTAL DSH FOR FISCAL YEAR 2019 '!$A:$IV,17,FALSE)</f>
        <v>0.37499904156197927</v>
      </c>
      <c r="J20" s="93">
        <f>VLOOKUP(A20,'[7]TOTAL DSH FOR FISCAL YEAR 2020 '!$A:$IV,17,FALSE)</f>
        <v>0.36750743442695644</v>
      </c>
      <c r="K20" s="93">
        <f>VLOOKUP(A20,'[8]TOTAL DSH FOR FISCAL YEAR 2021 '!$A:$IV,17,FALSE)</f>
        <v>0.35078234582098444</v>
      </c>
      <c r="L20" s="93">
        <f>VLOOKUP(A20,'[10]TOTAL DSH FOR FISCAL YEAR 2022 '!$A:$IV,17,FALSE)</f>
        <v>0.33965357235914839</v>
      </c>
      <c r="M20" s="93">
        <f t="shared" si="1"/>
        <v>0.36523055222910034</v>
      </c>
      <c r="N20" s="281">
        <v>1</v>
      </c>
      <c r="O20" s="315">
        <f>IFERROR(IF(VLOOKUP(A20,'Variable Input'!$1:$1048576,3,FALSE)=1,1,0),0)</f>
        <v>1</v>
      </c>
      <c r="P20" s="92">
        <f>IFERROR(VLOOKUP(A20,'Rate Appl - DSH 18,19,22'!$1:$1048576,25,FALSE),0)</f>
        <v>14562.029527565275</v>
      </c>
      <c r="Q20" s="95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46" t="s">
        <v>302</v>
      </c>
      <c r="AC20" s="346">
        <v>40</v>
      </c>
      <c r="AD20" s="346">
        <v>100361597.60770202</v>
      </c>
      <c r="AE20" s="346"/>
      <c r="AF20" s="346"/>
      <c r="AG20" s="346"/>
      <c r="AH20"/>
      <c r="AI20"/>
      <c r="AJ20"/>
    </row>
    <row r="21" spans="1:36" ht="14.7" thickBot="1" x14ac:dyDescent="0.6">
      <c r="A21">
        <v>210030</v>
      </c>
      <c r="B21" s="2">
        <v>56121712.200000003</v>
      </c>
      <c r="C21" s="320">
        <f>VLOOKUP(A21,'[6]TOTAL DSH FOR FISCAL YEAR 2019 '!$A:$IV,8,FALSE)</f>
        <v>46771763.340000004</v>
      </c>
      <c r="D21" s="92">
        <f>VLOOKUP(A21,'[7]TOTAL DSH FOR FISCAL YEAR 2020 '!$A:$IV,8,FALSE)</f>
        <v>41883891.25</v>
      </c>
      <c r="E21" s="2">
        <f>VLOOKUP(A21,'[8]TOTAL DSH FOR FISCAL YEAR 2021 '!$A:$IV,8,FALSE)</f>
        <v>42056371.369999997</v>
      </c>
      <c r="F21" s="2">
        <f>VLOOKUP(A21,'[9]TOTAL DSH FOR FISCAL YEAR 2022 '!$A:$IV,8,FALSE)</f>
        <v>52352201</v>
      </c>
      <c r="G21" s="2">
        <f t="shared" si="0"/>
        <v>155245676.54000002</v>
      </c>
      <c r="H21" s="93">
        <v>0.31497701032627912</v>
      </c>
      <c r="I21" s="93">
        <f>VLOOKUP(A21,'[6]TOTAL DSH FOR FISCAL YEAR 2019 '!$A:$IV,17,FALSE)</f>
        <v>0.35094928922557911</v>
      </c>
      <c r="J21" s="93">
        <f>VLOOKUP(A21,'[7]TOTAL DSH FOR FISCAL YEAR 2020 '!$A:$IV,17,FALSE)</f>
        <v>0.34179284905864615</v>
      </c>
      <c r="K21" s="93">
        <f>VLOOKUP(A21,'[8]TOTAL DSH FOR FISCAL YEAR 2021 '!$A:$IV,17,FALSE)</f>
        <v>0.30512148271435624</v>
      </c>
      <c r="L21" s="93">
        <f>VLOOKUP(A21,'[10]TOTAL DSH FOR FISCAL YEAR 2022 '!$A:$IV,17,FALSE)</f>
        <v>0.31185776298078211</v>
      </c>
      <c r="M21" s="93">
        <f t="shared" si="1"/>
        <v>0.32476270926061901</v>
      </c>
      <c r="N21" s="281">
        <v>0</v>
      </c>
      <c r="O21" s="315">
        <f>IFERROR(IF(VLOOKUP(A21,'Variable Input'!$1:$1048576,3,FALSE)=1,1,0),0)</f>
        <v>1</v>
      </c>
      <c r="P21" s="92">
        <f>IFERROR(VLOOKUP(A21,'Rate Appl - DSH 18,19,22'!$1:$1048576,25,FALSE),0)</f>
        <v>14256.211259837612</v>
      </c>
      <c r="Q21" s="95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D21"/>
      <c r="AE21"/>
      <c r="AF21"/>
      <c r="AG21"/>
      <c r="AH21"/>
      <c r="AI21"/>
      <c r="AJ21"/>
    </row>
    <row r="22" spans="1:36" x14ac:dyDescent="0.55000000000000004">
      <c r="A22">
        <v>210032</v>
      </c>
      <c r="B22" s="2">
        <v>166136041.44999999</v>
      </c>
      <c r="C22" s="320">
        <f>VLOOKUP(A22,'[6]TOTAL DSH FOR FISCAL YEAR 2019 '!$A:$IV,8,FALSE)</f>
        <v>163540393.90000001</v>
      </c>
      <c r="D22" s="92">
        <f>VLOOKUP(A22,'[7]TOTAL DSH FOR FISCAL YEAR 2020 '!$A:$IV,8,FALSE)</f>
        <v>163599166.62</v>
      </c>
      <c r="E22" s="2">
        <f>VLOOKUP(A22,'[8]TOTAL DSH FOR FISCAL YEAR 2021 '!$A:$IV,8,FALSE)</f>
        <v>179194497.31</v>
      </c>
      <c r="F22" s="2">
        <f>VLOOKUP(A22,'[9]TOTAL DSH FOR FISCAL YEAR 2022 '!$A:$IV,8,FALSE)</f>
        <v>178274625</v>
      </c>
      <c r="G22" s="2">
        <f t="shared" si="0"/>
        <v>507951060.35000002</v>
      </c>
      <c r="H22" s="93">
        <v>0.37925420308725427</v>
      </c>
      <c r="I22" s="93">
        <f>VLOOKUP(A22,'[6]TOTAL DSH FOR FISCAL YEAR 2019 '!$A:$IV,17,FALSE)</f>
        <v>0.37054172516579709</v>
      </c>
      <c r="J22" s="93">
        <f>VLOOKUP(A22,'[7]TOTAL DSH FOR FISCAL YEAR 2020 '!$A:$IV,17,FALSE)</f>
        <v>0.36369284843732291</v>
      </c>
      <c r="K22" s="93">
        <f>VLOOKUP(A22,'[8]TOTAL DSH FOR FISCAL YEAR 2021 '!$A:$IV,17,FALSE)</f>
        <v>0.33724890656353607</v>
      </c>
      <c r="L22" s="93">
        <f>VLOOKUP(A22,'[10]TOTAL DSH FOR FISCAL YEAR 2022 '!$A:$IV,17,FALSE)</f>
        <v>0.29763800822617226</v>
      </c>
      <c r="M22" s="93">
        <f t="shared" si="1"/>
        <v>0.34780444374843317</v>
      </c>
      <c r="N22" s="281">
        <v>0</v>
      </c>
      <c r="O22" s="315">
        <f>IFERROR(IF(VLOOKUP(A22,'Variable Input'!$1:$1048576,3,FALSE)=1,1,0),0)</f>
        <v>1</v>
      </c>
      <c r="P22" s="92">
        <f>IFERROR(VLOOKUP(A22,'Rate Appl - DSH 18,19,22'!$1:$1048576,25,FALSE),0)</f>
        <v>14447.132038681386</v>
      </c>
      <c r="Q22" s="95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47"/>
      <c r="AC22" s="347" t="s">
        <v>528</v>
      </c>
      <c r="AD22" s="347" t="s">
        <v>517</v>
      </c>
      <c r="AE22" s="347" t="s">
        <v>529</v>
      </c>
      <c r="AF22" s="347" t="s">
        <v>530</v>
      </c>
      <c r="AG22" s="347" t="s">
        <v>531</v>
      </c>
      <c r="AH22" s="347" t="s">
        <v>532</v>
      </c>
      <c r="AI22" s="347" t="s">
        <v>533</v>
      </c>
      <c r="AJ22" s="347" t="s">
        <v>534</v>
      </c>
    </row>
    <row r="23" spans="1:36" x14ac:dyDescent="0.55000000000000004">
      <c r="A23">
        <v>210033</v>
      </c>
      <c r="B23" s="2">
        <v>233811714.13999999</v>
      </c>
      <c r="C23" s="320">
        <f>VLOOKUP(A23,'[6]TOTAL DSH FOR FISCAL YEAR 2019 '!$A:$IV,8,FALSE)</f>
        <v>234141186.45999998</v>
      </c>
      <c r="D23" s="92">
        <f>VLOOKUP(A23,'[7]TOTAL DSH FOR FISCAL YEAR 2020 '!$A:$IV,8,FALSE)</f>
        <v>231088487.00999999</v>
      </c>
      <c r="E23" s="2">
        <f>VLOOKUP(A23,'[8]TOTAL DSH FOR FISCAL YEAR 2021 '!$A:$IV,8,FALSE)</f>
        <v>250444673.39999998</v>
      </c>
      <c r="F23" s="2">
        <f>VLOOKUP(A23,'[9]TOTAL DSH FOR FISCAL YEAR 2022 '!$A:$IV,8,FALSE)</f>
        <v>257385662</v>
      </c>
      <c r="G23" s="2">
        <f t="shared" si="0"/>
        <v>725338562.5999999</v>
      </c>
      <c r="H23" s="93">
        <v>0.21432222773175602</v>
      </c>
      <c r="I23" s="93">
        <f>VLOOKUP(A23,'[6]TOTAL DSH FOR FISCAL YEAR 2019 '!$A:$IV,17,FALSE)</f>
        <v>0.21510250238953205</v>
      </c>
      <c r="J23" s="93">
        <f>VLOOKUP(A23,'[7]TOTAL DSH FOR FISCAL YEAR 2020 '!$A:$IV,17,FALSE)</f>
        <v>0.21387307926708296</v>
      </c>
      <c r="K23" s="93">
        <f>VLOOKUP(A23,'[8]TOTAL DSH FOR FISCAL YEAR 2021 '!$A:$IV,17,FALSE)</f>
        <v>0.20958954010638586</v>
      </c>
      <c r="L23" s="93">
        <f>VLOOKUP(A23,'[10]TOTAL DSH FOR FISCAL YEAR 2022 '!$A:$IV,17,FALSE)</f>
        <v>0.22214940720193138</v>
      </c>
      <c r="M23" s="93">
        <f t="shared" si="1"/>
        <v>0.21735156922407095</v>
      </c>
      <c r="N23" s="281">
        <v>0</v>
      </c>
      <c r="O23" s="315">
        <f>IFERROR(IF(VLOOKUP(A23,'Variable Input'!$1:$1048576,3,FALSE)=1,1,0),0)</f>
        <v>1</v>
      </c>
      <c r="P23" s="92">
        <f>IFERROR(VLOOKUP(A23,'Rate Appl - DSH 18,19,22'!$1:$1048576,25,FALSE),0)</f>
        <v>12013.19613829869</v>
      </c>
      <c r="Q23" s="95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t="s">
        <v>522</v>
      </c>
      <c r="AC23" s="422">
        <v>9025.3081252450902</v>
      </c>
      <c r="AD23" s="422">
        <v>645.04873579582079</v>
      </c>
      <c r="AE23" s="422">
        <v>13.991668573864004</v>
      </c>
      <c r="AF23" s="422">
        <v>1.4277240863553499E-16</v>
      </c>
      <c r="AG23" s="422">
        <v>7719.475229061236</v>
      </c>
      <c r="AH23" s="422">
        <v>10331.141021428944</v>
      </c>
      <c r="AI23" s="422">
        <v>7719.475229061236</v>
      </c>
      <c r="AJ23" s="422">
        <v>10331.141021428944</v>
      </c>
    </row>
    <row r="24" spans="1:36" x14ac:dyDescent="0.55000000000000004">
      <c r="A24">
        <v>210034</v>
      </c>
      <c r="B24" s="2">
        <v>194617953.31999999</v>
      </c>
      <c r="C24" s="320">
        <f>VLOOKUP(A24,'[6]TOTAL DSH FOR FISCAL YEAR 2019 '!$A:$IV,8,FALSE)</f>
        <v>188007591.56</v>
      </c>
      <c r="D24" s="92">
        <f>VLOOKUP(A24,'[7]TOTAL DSH FOR FISCAL YEAR 2020 '!$A:$IV,8,FALSE)</f>
        <v>184394008.16999999</v>
      </c>
      <c r="E24" s="2">
        <f>VLOOKUP(A24,'[8]TOTAL DSH FOR FISCAL YEAR 2021 '!$A:$IV,8,FALSE)</f>
        <v>199942726.5</v>
      </c>
      <c r="F24" s="2">
        <f>VLOOKUP(A24,'[9]TOTAL DSH FOR FISCAL YEAR 2022 '!$A:$IV,8,FALSE)</f>
        <v>201446777</v>
      </c>
      <c r="G24" s="2">
        <f t="shared" si="0"/>
        <v>584072321.88</v>
      </c>
      <c r="H24" s="93">
        <v>0.48906429013906455</v>
      </c>
      <c r="I24" s="93">
        <f>VLOOKUP(A24,'[6]TOTAL DSH FOR FISCAL YEAR 2019 '!$A:$IV,17,FALSE)</f>
        <v>0.49891142331912336</v>
      </c>
      <c r="J24" s="93">
        <f>VLOOKUP(A24,'[7]TOTAL DSH FOR FISCAL YEAR 2020 '!$A:$IV,17,FALSE)</f>
        <v>0.53900574908252452</v>
      </c>
      <c r="K24" s="93">
        <f>VLOOKUP(A24,'[8]TOTAL DSH FOR FISCAL YEAR 2021 '!$A:$IV,17,FALSE)</f>
        <v>0.52364687604677629</v>
      </c>
      <c r="L24" s="93">
        <f>VLOOKUP(A24,'[10]TOTAL DSH FOR FISCAL YEAR 2022 '!$A:$IV,17,FALSE)</f>
        <v>0.50603606278282753</v>
      </c>
      <c r="M24" s="93">
        <f t="shared" si="1"/>
        <v>0.49808756430321688</v>
      </c>
      <c r="N24" s="281">
        <v>1</v>
      </c>
      <c r="O24" s="315">
        <f>IFERROR(IF(VLOOKUP(A24,'Variable Input'!$1:$1048576,3,FALSE)=1,1,0),0)</f>
        <v>1</v>
      </c>
      <c r="P24" s="92">
        <f>IFERROR(VLOOKUP(A24,'Rate Appl - DSH 18,19,22'!$1:$1048576,25,FALSE),0)</f>
        <v>12804.253796212388</v>
      </c>
      <c r="Q24" s="95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t="s">
        <v>535</v>
      </c>
      <c r="AC24" s="422">
        <v>9836.1472453950009</v>
      </c>
      <c r="AD24" s="422">
        <v>2189.2213768929291</v>
      </c>
      <c r="AE24" s="422">
        <v>4.4929888540349605</v>
      </c>
      <c r="AF24" s="422">
        <v>6.3786526690038658E-5</v>
      </c>
      <c r="AG24" s="422">
        <v>5404.3002665016274</v>
      </c>
      <c r="AH24" s="422">
        <v>14267.994224288374</v>
      </c>
      <c r="AI24" s="422">
        <v>5404.3002665016274</v>
      </c>
      <c r="AJ24" s="422">
        <v>14267.994224288374</v>
      </c>
    </row>
    <row r="25" spans="1:36" ht="14.7" thickBot="1" x14ac:dyDescent="0.6">
      <c r="A25">
        <v>210035</v>
      </c>
      <c r="B25" s="2">
        <v>155718936.07999998</v>
      </c>
      <c r="C25" s="320">
        <f>VLOOKUP(A25,'[6]TOTAL DSH FOR FISCAL YEAR 2019 '!$A:$IV,8,FALSE)</f>
        <v>154875318.02999997</v>
      </c>
      <c r="D25" s="92">
        <f>VLOOKUP(A25,'[7]TOTAL DSH FOR FISCAL YEAR 2020 '!$A:$IV,8,FALSE)</f>
        <v>155083765.78999999</v>
      </c>
      <c r="E25" s="2">
        <f>VLOOKUP(A25,'[8]TOTAL DSH FOR FISCAL YEAR 2021 '!$A:$IV,8,FALSE)</f>
        <v>169142509.34</v>
      </c>
      <c r="F25" s="2">
        <f>VLOOKUP(A25,'[9]TOTAL DSH FOR FISCAL YEAR 2022 '!$A:$IV,8,FALSE)</f>
        <v>175266910</v>
      </c>
      <c r="G25" s="2">
        <f t="shared" si="0"/>
        <v>485861164.10999995</v>
      </c>
      <c r="H25" s="93">
        <v>0.26617973193297079</v>
      </c>
      <c r="I25" s="93">
        <f>VLOOKUP(A25,'[6]TOTAL DSH FOR FISCAL YEAR 2019 '!$A:$IV,17,FALSE)</f>
        <v>0.26966902926333258</v>
      </c>
      <c r="J25" s="93">
        <f>VLOOKUP(A25,'[7]TOTAL DSH FOR FISCAL YEAR 2020 '!$A:$IV,17,FALSE)</f>
        <v>0.26911887003385621</v>
      </c>
      <c r="K25" s="93">
        <f>VLOOKUP(A25,'[8]TOTAL DSH FOR FISCAL YEAR 2021 '!$A:$IV,17,FALSE)</f>
        <v>0.2820599746696415</v>
      </c>
      <c r="L25" s="93">
        <f>VLOOKUP(A25,'[10]TOTAL DSH FOR FISCAL YEAR 2022 '!$A:$IV,17,FALSE)</f>
        <v>0.2830056274806102</v>
      </c>
      <c r="M25" s="93">
        <f t="shared" si="1"/>
        <v>0.2733616781598327</v>
      </c>
      <c r="N25" s="281">
        <v>0</v>
      </c>
      <c r="O25" s="315">
        <f>IFERROR(IF(VLOOKUP(A25,'Variable Input'!$1:$1048576,3,FALSE)=1,1,0),0)</f>
        <v>1</v>
      </c>
      <c r="P25" s="92">
        <f>IFERROR(VLOOKUP(A25,'Rate Appl - DSH 18,19,22'!$1:$1048576,25,FALSE),0)</f>
        <v>11180.320997789082</v>
      </c>
      <c r="Q25" s="95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46" t="s">
        <v>543</v>
      </c>
      <c r="AC25" s="423">
        <v>869.59781268924155</v>
      </c>
      <c r="AD25" s="423">
        <v>491.39641282460269</v>
      </c>
      <c r="AE25" s="423">
        <v>1.7696462367128283</v>
      </c>
      <c r="AF25" s="423">
        <v>8.4810674777082248E-2</v>
      </c>
      <c r="AG25" s="423">
        <v>-125.18221760016138</v>
      </c>
      <c r="AH25" s="423">
        <v>1864.3778429786444</v>
      </c>
      <c r="AI25" s="423">
        <v>-125.18221760016138</v>
      </c>
      <c r="AJ25" s="423">
        <v>1864.3778429786444</v>
      </c>
    </row>
    <row r="26" spans="1:36" x14ac:dyDescent="0.55000000000000004">
      <c r="A26">
        <v>210037</v>
      </c>
      <c r="B26" s="2">
        <v>209635416.44999999</v>
      </c>
      <c r="C26" s="320">
        <f>VLOOKUP(A26,'[6]TOTAL DSH FOR FISCAL YEAR 2019 '!$A:$IV,8,FALSE)</f>
        <v>230782936.19999999</v>
      </c>
      <c r="D26" s="92">
        <f>VLOOKUP(A26,'[7]TOTAL DSH FOR FISCAL YEAR 2020 '!$A:$IV,8,FALSE)</f>
        <v>238382455.69999999</v>
      </c>
      <c r="E26" s="2">
        <f>VLOOKUP(A26,'[8]TOTAL DSH FOR FISCAL YEAR 2021 '!$A:$IV,8,FALSE)</f>
        <v>247794589.60000002</v>
      </c>
      <c r="F26" s="2">
        <f>VLOOKUP(A26,'[9]TOTAL DSH FOR FISCAL YEAR 2022 '!$A:$IV,8,FALSE)</f>
        <v>287354593</v>
      </c>
      <c r="G26" s="2">
        <f t="shared" si="0"/>
        <v>727772945.64999998</v>
      </c>
      <c r="H26" s="93">
        <v>0.29909787526773629</v>
      </c>
      <c r="I26" s="93">
        <f>VLOOKUP(A26,'[6]TOTAL DSH FOR FISCAL YEAR 2019 '!$A:$IV,17,FALSE)</f>
        <v>0.30501894208069269</v>
      </c>
      <c r="J26" s="93">
        <f>VLOOKUP(A26,'[7]TOTAL DSH FOR FISCAL YEAR 2020 '!$A:$IV,17,FALSE)</f>
        <v>0.3017205458715308</v>
      </c>
      <c r="K26" s="93">
        <f>VLOOKUP(A26,'[8]TOTAL DSH FOR FISCAL YEAR 2021 '!$A:$IV,17,FALSE)</f>
        <v>0.29416972782847228</v>
      </c>
      <c r="L26" s="93">
        <f>VLOOKUP(A26,'[10]TOTAL DSH FOR FISCAL YEAR 2022 '!$A:$IV,17,FALSE)</f>
        <v>0.2940576373137419</v>
      </c>
      <c r="M26" s="93">
        <f t="shared" si="1"/>
        <v>0.29898540290688252</v>
      </c>
      <c r="N26" s="281">
        <v>0</v>
      </c>
      <c r="O26" s="315">
        <f>IFERROR(IF(VLOOKUP(A26,'Variable Input'!$1:$1048576,3,FALSE)=1,1,0),0)</f>
        <v>1</v>
      </c>
      <c r="P26" s="92">
        <f>IFERROR(VLOOKUP(A26,'Rate Appl - DSH 18,19,22'!$1:$1048576,25,FALSE),0)</f>
        <v>11389.022613523606</v>
      </c>
      <c r="Q26" s="95"/>
      <c r="AA26" s="338"/>
    </row>
    <row r="27" spans="1:36" x14ac:dyDescent="0.55000000000000004">
      <c r="A27">
        <v>210038</v>
      </c>
      <c r="B27" s="2">
        <v>220601321.38</v>
      </c>
      <c r="C27" s="320">
        <f>VLOOKUP(A27,'[6]TOTAL DSH FOR FISCAL YEAR 2019 '!$A:$IV,8,FALSE)</f>
        <v>216362184.09</v>
      </c>
      <c r="D27" s="92">
        <f>VLOOKUP(A27,'[7]TOTAL DSH FOR FISCAL YEAR 2020 '!$A:$IV,8,FALSE)</f>
        <v>198376018.54000002</v>
      </c>
      <c r="E27" s="2">
        <f>VLOOKUP(A27,'[8]TOTAL DSH FOR FISCAL YEAR 2021 '!$A:$IV,8,FALSE)</f>
        <v>221889769.5</v>
      </c>
      <c r="F27" s="2">
        <f>VLOOKUP(A27,'[9]TOTAL DSH FOR FISCAL YEAR 2022 '!$A:$IV,8,FALSE)</f>
        <v>224470800</v>
      </c>
      <c r="G27" s="2">
        <f t="shared" si="0"/>
        <v>661434305.47000003</v>
      </c>
      <c r="H27" s="93">
        <v>0.62533245925129022</v>
      </c>
      <c r="I27" s="93">
        <f>VLOOKUP(A27,'[6]TOTAL DSH FOR FISCAL YEAR 2019 '!$A:$IV,17,FALSE)</f>
        <v>0.62252422495408355</v>
      </c>
      <c r="J27" s="93">
        <f>VLOOKUP(A27,'[7]TOTAL DSH FOR FISCAL YEAR 2020 '!$A:$IV,17,FALSE)</f>
        <v>0.62333384408088943</v>
      </c>
      <c r="K27" s="93">
        <f>VLOOKUP(A27,'[8]TOTAL DSH FOR FISCAL YEAR 2021 '!$A:$IV,17,FALSE)</f>
        <v>0.58438923327648062</v>
      </c>
      <c r="L27" s="93">
        <f>VLOOKUP(A27,'[10]TOTAL DSH FOR FISCAL YEAR 2022 '!$A:$IV,17,FALSE)</f>
        <v>0.56946437133406813</v>
      </c>
      <c r="M27" s="93">
        <f t="shared" si="1"/>
        <v>0.60545391653511471</v>
      </c>
      <c r="N27" s="281">
        <v>1</v>
      </c>
      <c r="O27" s="315">
        <f>IFERROR(IF(VLOOKUP(A27,'Variable Input'!$1:$1048576,3,FALSE)=1,1,0),0)</f>
        <v>1</v>
      </c>
      <c r="P27" s="92">
        <f>IFERROR(VLOOKUP(A27,'Rate Appl - DSH 18,19,22'!$1:$1048576,25,FALSE),0)</f>
        <v>16829.930186201087</v>
      </c>
      <c r="Q27" s="95"/>
      <c r="AA27" s="338"/>
    </row>
    <row r="28" spans="1:36" x14ac:dyDescent="0.55000000000000004">
      <c r="A28">
        <v>210039</v>
      </c>
      <c r="B28" s="2">
        <v>147056207.47</v>
      </c>
      <c r="C28" s="320">
        <f>VLOOKUP(A28,'[6]TOTAL DSH FOR FISCAL YEAR 2019 '!$A:$IV,8,FALSE)</f>
        <v>152440160.59</v>
      </c>
      <c r="D28" s="92">
        <f>VLOOKUP(A28,'[7]TOTAL DSH FOR FISCAL YEAR 2020 '!$A:$IV,8,FALSE)</f>
        <v>156986093.41</v>
      </c>
      <c r="E28" s="2">
        <f>VLOOKUP(A28,'[8]TOTAL DSH FOR FISCAL YEAR 2021 '!$A:$IV,8,FALSE)</f>
        <v>163431696.22</v>
      </c>
      <c r="F28" s="2">
        <f>VLOOKUP(A28,'[9]TOTAL DSH FOR FISCAL YEAR 2022 '!$A:$IV,8,FALSE)</f>
        <v>170282075</v>
      </c>
      <c r="G28" s="2">
        <f t="shared" si="0"/>
        <v>469778443.06</v>
      </c>
      <c r="H28" s="93">
        <v>0.23687631800135889</v>
      </c>
      <c r="I28" s="93">
        <f>VLOOKUP(A28,'[6]TOTAL DSH FOR FISCAL YEAR 2019 '!$A:$IV,17,FALSE)</f>
        <v>0.23499352868268977</v>
      </c>
      <c r="J28" s="93">
        <f>VLOOKUP(A28,'[7]TOTAL DSH FOR FISCAL YEAR 2020 '!$A:$IV,17,FALSE)</f>
        <v>0.24099374841561638</v>
      </c>
      <c r="K28" s="93">
        <f>VLOOKUP(A28,'[8]TOTAL DSH FOR FISCAL YEAR 2021 '!$A:$IV,17,FALSE)</f>
        <v>0.23573522114179282</v>
      </c>
      <c r="L28" s="93">
        <f>VLOOKUP(A28,'[10]TOTAL DSH FOR FISCAL YEAR 2022 '!$A:$IV,17,FALSE)</f>
        <v>0.22826227792402987</v>
      </c>
      <c r="M28" s="93">
        <f t="shared" si="1"/>
        <v>0.23314300637221755</v>
      </c>
      <c r="N28" s="281">
        <v>0</v>
      </c>
      <c r="O28" s="315">
        <f>IFERROR(IF(VLOOKUP(A28,'Variable Input'!$1:$1048576,3,FALSE)=1,1,0),0)</f>
        <v>1</v>
      </c>
      <c r="P28" s="92">
        <f>IFERROR(VLOOKUP(A28,'Rate Appl - DSH 18,19,22'!$1:$1048576,25,FALSE),0)</f>
        <v>12126.132632524917</v>
      </c>
      <c r="Q28" s="95"/>
      <c r="AA28" s="338"/>
    </row>
    <row r="29" spans="1:36" x14ac:dyDescent="0.55000000000000004">
      <c r="A29">
        <v>210040</v>
      </c>
      <c r="B29" s="2">
        <v>266399747.58000001</v>
      </c>
      <c r="C29" s="320">
        <f>VLOOKUP(A29,'[6]TOTAL DSH FOR FISCAL YEAR 2019 '!$A:$IV,8,FALSE)</f>
        <v>270436111.10000002</v>
      </c>
      <c r="D29" s="92">
        <f>VLOOKUP(A29,'[7]TOTAL DSH FOR FISCAL YEAR 2020 '!$A:$IV,8,FALSE)</f>
        <v>266740312.10000002</v>
      </c>
      <c r="E29" s="2">
        <f>VLOOKUP(A29,'[8]TOTAL DSH FOR FISCAL YEAR 2021 '!$A:$IV,8,FALSE)</f>
        <v>272444317.19999999</v>
      </c>
      <c r="F29" s="2">
        <f>VLOOKUP(A29,'[9]TOTAL DSH FOR FISCAL YEAR 2022 '!$A:$IV,8,FALSE)</f>
        <v>301284039</v>
      </c>
      <c r="G29" s="2">
        <f t="shared" si="0"/>
        <v>838119897.68000007</v>
      </c>
      <c r="H29" s="93">
        <v>0.35626173268474659</v>
      </c>
      <c r="I29" s="93">
        <f>VLOOKUP(A29,'[6]TOTAL DSH FOR FISCAL YEAR 2019 '!$A:$IV,17,FALSE)</f>
        <v>0.36080079536389986</v>
      </c>
      <c r="J29" s="93">
        <f>VLOOKUP(A29,'[7]TOTAL DSH FOR FISCAL YEAR 2020 '!$A:$IV,17,FALSE)</f>
        <v>0.37297426263302325</v>
      </c>
      <c r="K29" s="93">
        <f>VLOOKUP(A29,'[8]TOTAL DSH FOR FISCAL YEAR 2021 '!$A:$IV,17,FALSE)</f>
        <v>0.36859332171821863</v>
      </c>
      <c r="L29" s="93">
        <f>VLOOKUP(A29,'[10]TOTAL DSH FOR FISCAL YEAR 2022 '!$A:$IV,17,FALSE)</f>
        <v>0.36423158359109969</v>
      </c>
      <c r="M29" s="93">
        <f t="shared" si="1"/>
        <v>0.36059132244908443</v>
      </c>
      <c r="N29" s="281">
        <v>0</v>
      </c>
      <c r="O29" s="315">
        <f>IFERROR(IF(VLOOKUP(A29,'Variable Input'!$1:$1048576,3,FALSE)=1,1,0),0)</f>
        <v>1</v>
      </c>
      <c r="P29" s="92">
        <f>IFERROR(VLOOKUP(A29,'Rate Appl - DSH 18,19,22'!$1:$1048576,25,FALSE),0)</f>
        <v>12562.451366810254</v>
      </c>
      <c r="Q29" s="95"/>
      <c r="AA29" s="338"/>
    </row>
    <row r="30" spans="1:36" x14ac:dyDescent="0.55000000000000004">
      <c r="A30">
        <v>210043</v>
      </c>
      <c r="B30" s="2">
        <v>427472828.83000004</v>
      </c>
      <c r="C30" s="320">
        <f>VLOOKUP(A30,'[6]TOTAL DSH FOR FISCAL YEAR 2019 '!$A:$IV,8,FALSE)</f>
        <v>446838258.70000005</v>
      </c>
      <c r="D30" s="92">
        <f>VLOOKUP(A30,'[7]TOTAL DSH FOR FISCAL YEAR 2020 '!$A:$IV,8,FALSE)</f>
        <v>438316007</v>
      </c>
      <c r="E30" s="2">
        <f>VLOOKUP(A30,'[8]TOTAL DSH FOR FISCAL YEAR 2021 '!$A:$IV,8,FALSE)</f>
        <v>476591102.10000002</v>
      </c>
      <c r="F30" s="2">
        <f>VLOOKUP(A30,'[9]TOTAL DSH FOR FISCAL YEAR 2022 '!$A:$IV,8,FALSE)</f>
        <v>511630556</v>
      </c>
      <c r="G30" s="2">
        <f t="shared" si="0"/>
        <v>1385941643.5300002</v>
      </c>
      <c r="H30" s="93">
        <v>0.28736557628330645</v>
      </c>
      <c r="I30" s="93">
        <f>VLOOKUP(A30,'[6]TOTAL DSH FOR FISCAL YEAR 2019 '!$A:$IV,17,FALSE)</f>
        <v>0.27831170909985464</v>
      </c>
      <c r="J30" s="93">
        <f>VLOOKUP(A30,'[7]TOTAL DSH FOR FISCAL YEAR 2020 '!$A:$IV,17,FALSE)</f>
        <v>0.28912640032788034</v>
      </c>
      <c r="K30" s="93">
        <f>VLOOKUP(A30,'[8]TOTAL DSH FOR FISCAL YEAR 2021 '!$A:$IV,17,FALSE)</f>
        <v>0.28078705126962544</v>
      </c>
      <c r="L30" s="93">
        <f>VLOOKUP(A30,'[10]TOTAL DSH FOR FISCAL YEAR 2022 '!$A:$IV,17,FALSE)</f>
        <v>0.28568875984580649</v>
      </c>
      <c r="M30" s="93">
        <f t="shared" si="1"/>
        <v>0.28382753065499738</v>
      </c>
      <c r="N30" s="281">
        <v>0</v>
      </c>
      <c r="O30" s="315">
        <f>IFERROR(IF(VLOOKUP(A30,'Variable Input'!$1:$1048576,3,FALSE)=1,1,0),0)</f>
        <v>1</v>
      </c>
      <c r="P30" s="92">
        <f>IFERROR(VLOOKUP(A30,'Rate Appl - DSH 18,19,22'!$1:$1048576,25,FALSE),0)</f>
        <v>11559.450683542856</v>
      </c>
      <c r="Q30" s="95"/>
      <c r="AA30" s="338"/>
    </row>
    <row r="31" spans="1:36" x14ac:dyDescent="0.55000000000000004">
      <c r="A31">
        <v>210044</v>
      </c>
      <c r="B31" s="2">
        <v>463878497.75</v>
      </c>
      <c r="C31" s="320">
        <f>VLOOKUP(A31,'[6]TOTAL DSH FOR FISCAL YEAR 2019 '!$A:$IV,8,FALSE)</f>
        <v>476405567.89999998</v>
      </c>
      <c r="D31" s="92">
        <f>VLOOKUP(A31,'[7]TOTAL DSH FOR FISCAL YEAR 2020 '!$A:$IV,8,FALSE)</f>
        <v>470195107.80000001</v>
      </c>
      <c r="E31" s="2">
        <f>VLOOKUP(A31,'[8]TOTAL DSH FOR FISCAL YEAR 2021 '!$A:$IV,8,FALSE)</f>
        <v>524457617.60000002</v>
      </c>
      <c r="F31" s="2">
        <f>VLOOKUP(A31,'[9]TOTAL DSH FOR FISCAL YEAR 2022 '!$A:$IV,8,FALSE)</f>
        <v>492220624</v>
      </c>
      <c r="G31" s="2">
        <f t="shared" si="0"/>
        <v>1432504689.6500001</v>
      </c>
      <c r="H31" s="93">
        <v>0.15861892220453802</v>
      </c>
      <c r="I31" s="93">
        <f>VLOOKUP(A31,'[6]TOTAL DSH FOR FISCAL YEAR 2019 '!$A:$IV,17,FALSE)</f>
        <v>0.16148337509806002</v>
      </c>
      <c r="J31" s="93">
        <f>VLOOKUP(A31,'[7]TOTAL DSH FOR FISCAL YEAR 2020 '!$A:$IV,17,FALSE)</f>
        <v>0.16412787077067073</v>
      </c>
      <c r="K31" s="93">
        <f>VLOOKUP(A31,'[8]TOTAL DSH FOR FISCAL YEAR 2021 '!$A:$IV,17,FALSE)</f>
        <v>0.18236755459417697</v>
      </c>
      <c r="L31" s="93">
        <f>VLOOKUP(A31,'[10]TOTAL DSH FOR FISCAL YEAR 2022 '!$A:$IV,17,FALSE)</f>
        <v>0.20472331817019998</v>
      </c>
      <c r="M31" s="93">
        <f t="shared" si="1"/>
        <v>0.17541340534490413</v>
      </c>
      <c r="N31" s="281">
        <v>0</v>
      </c>
      <c r="O31" s="315">
        <f>IFERROR(IF(VLOOKUP(A31,'Variable Input'!$1:$1048576,3,FALSE)=1,1,0),0)</f>
        <v>1</v>
      </c>
      <c r="P31" s="92">
        <f>IFERROR(VLOOKUP(A31,'Rate Appl - DSH 18,19,22'!$1:$1048576,25,FALSE),0)</f>
        <v>11370.659638967376</v>
      </c>
      <c r="Q31" s="95"/>
      <c r="AA31" s="338"/>
    </row>
    <row r="32" spans="1:36" x14ac:dyDescent="0.55000000000000004">
      <c r="A32">
        <v>210048</v>
      </c>
      <c r="B32" s="2">
        <v>311903143.87</v>
      </c>
      <c r="C32" s="320">
        <f>VLOOKUP(A32,'[6]TOTAL DSH FOR FISCAL YEAR 2019 '!$A:$IV,8,FALSE)</f>
        <v>307874350.69999999</v>
      </c>
      <c r="D32" s="92">
        <f>VLOOKUP(A32,'[7]TOTAL DSH FOR FISCAL YEAR 2020 '!$A:$IV,8,FALSE)</f>
        <v>300110296.10000002</v>
      </c>
      <c r="E32" s="2">
        <f>VLOOKUP(A32,'[8]TOTAL DSH FOR FISCAL YEAR 2021 '!$A:$IV,8,FALSE)</f>
        <v>318841236.39999998</v>
      </c>
      <c r="F32" s="2">
        <f>VLOOKUP(A32,'[9]TOTAL DSH FOR FISCAL YEAR 2022 '!$A:$IV,8,FALSE)</f>
        <v>345110523</v>
      </c>
      <c r="G32" s="2">
        <f t="shared" si="0"/>
        <v>964888017.56999993</v>
      </c>
      <c r="H32" s="93">
        <v>0.2399541390746345</v>
      </c>
      <c r="I32" s="93">
        <f>VLOOKUP(A32,'[6]TOTAL DSH FOR FISCAL YEAR 2019 '!$A:$IV,17,FALSE)</f>
        <v>0.22875305964875889</v>
      </c>
      <c r="J32" s="93">
        <f>VLOOKUP(A32,'[7]TOTAL DSH FOR FISCAL YEAR 2020 '!$A:$IV,17,FALSE)</f>
        <v>0.24324172185574003</v>
      </c>
      <c r="K32" s="93">
        <f>VLOOKUP(A32,'[8]TOTAL DSH FOR FISCAL YEAR 2021 '!$A:$IV,17,FALSE)</f>
        <v>0.23347154794184585</v>
      </c>
      <c r="L32" s="93">
        <f>VLOOKUP(A32,'[10]TOTAL DSH FOR FISCAL YEAR 2022 '!$A:$IV,17,FALSE)</f>
        <v>0.22381221686079783</v>
      </c>
      <c r="M32" s="93">
        <f t="shared" si="1"/>
        <v>0.2306066582182161</v>
      </c>
      <c r="N32" s="281">
        <v>0</v>
      </c>
      <c r="O32" s="315">
        <f>IFERROR(IF(VLOOKUP(A32,'Variable Input'!$1:$1048576,3,FALSE)=1,1,0),0)</f>
        <v>1</v>
      </c>
      <c r="P32" s="92">
        <f>IFERROR(VLOOKUP(A32,'Rate Appl - DSH 18,19,22'!$1:$1048576,25,FALSE),0)</f>
        <v>11580.475354130947</v>
      </c>
      <c r="Q32" s="95"/>
      <c r="AA32" s="338"/>
    </row>
    <row r="33" spans="1:36" x14ac:dyDescent="0.55000000000000004">
      <c r="A33">
        <v>210049</v>
      </c>
      <c r="B33" s="2">
        <v>342205078.97000003</v>
      </c>
      <c r="C33" s="320">
        <f>VLOOKUP(A33,'[6]TOTAL DSH FOR FISCAL YEAR 2019 '!$A:$IV,8,FALSE)</f>
        <v>323542686.10000002</v>
      </c>
      <c r="D33" s="92">
        <f>VLOOKUP(A33,'[7]TOTAL DSH FOR FISCAL YEAR 2020 '!$A:$IV,8,FALSE)</f>
        <v>311152322.60000002</v>
      </c>
      <c r="E33" s="2">
        <f>VLOOKUP(A33,'[8]TOTAL DSH FOR FISCAL YEAR 2021 '!$A:$IV,8,FALSE)</f>
        <v>346058239.5</v>
      </c>
      <c r="F33" s="2">
        <f>VLOOKUP(A33,'[9]TOTAL DSH FOR FISCAL YEAR 2022 '!$A:$IV,8,FALSE)</f>
        <v>366648304</v>
      </c>
      <c r="G33" s="2">
        <f t="shared" si="0"/>
        <v>1032396069.0700001</v>
      </c>
      <c r="H33" s="93">
        <v>0.1694493280297471</v>
      </c>
      <c r="I33" s="93">
        <f>VLOOKUP(A33,'[6]TOTAL DSH FOR FISCAL YEAR 2019 '!$A:$IV,17,FALSE)</f>
        <v>0.17969123496746536</v>
      </c>
      <c r="J33" s="93">
        <f>VLOOKUP(A33,'[7]TOTAL DSH FOR FISCAL YEAR 2020 '!$A:$IV,17,FALSE)</f>
        <v>0.19676293237478151</v>
      </c>
      <c r="K33" s="93">
        <f>VLOOKUP(A33,'[8]TOTAL DSH FOR FISCAL YEAR 2021 '!$A:$IV,17,FALSE)</f>
        <v>0.21763906968035071</v>
      </c>
      <c r="L33" s="93">
        <f>VLOOKUP(A33,'[10]TOTAL DSH FOR FISCAL YEAR 2022 '!$A:$IV,17,FALSE)</f>
        <v>0.21644816402676983</v>
      </c>
      <c r="M33" s="93">
        <f t="shared" si="1"/>
        <v>0.18935035071400247</v>
      </c>
      <c r="N33" s="281">
        <v>0</v>
      </c>
      <c r="O33" s="315">
        <f>IFERROR(IF(VLOOKUP(A33,'Variable Input'!$1:$1048576,3,FALSE)=1,1,0),0)</f>
        <v>1</v>
      </c>
      <c r="P33" s="92">
        <f>IFERROR(VLOOKUP(A33,'Rate Appl - DSH 18,19,22'!$1:$1048576,25,FALSE),0)</f>
        <v>10532.881308207932</v>
      </c>
      <c r="Q33" s="95"/>
      <c r="AA33" s="338"/>
    </row>
    <row r="34" spans="1:36" x14ac:dyDescent="0.55000000000000004">
      <c r="A34">
        <v>210051</v>
      </c>
      <c r="B34" s="2">
        <v>247458999.84999999</v>
      </c>
      <c r="C34" s="320">
        <f>VLOOKUP(A34,'[6]TOTAL DSH FOR FISCAL YEAR 2019 '!$A:$IV,8,FALSE)</f>
        <v>256571881</v>
      </c>
      <c r="D34" s="92">
        <f>VLOOKUP(A34,'[7]TOTAL DSH FOR FISCAL YEAR 2020 '!$A:$IV,8,FALSE)</f>
        <v>255559576.87</v>
      </c>
      <c r="E34" s="2">
        <f>VLOOKUP(A34,'[8]TOTAL DSH FOR FISCAL YEAR 2021 '!$A:$IV,8,FALSE)</f>
        <v>252300061.42000002</v>
      </c>
      <c r="F34" s="2">
        <f>VLOOKUP(A34,'[9]TOTAL DSH FOR FISCAL YEAR 2022 '!$A:$IV,8,FALSE)</f>
        <v>259236438</v>
      </c>
      <c r="G34" s="2">
        <f t="shared" si="0"/>
        <v>763267318.85000002</v>
      </c>
      <c r="H34" s="93">
        <v>0.31599682245511218</v>
      </c>
      <c r="I34" s="93">
        <f>VLOOKUP(A34,'[6]TOTAL DSH FOR FISCAL YEAR 2019 '!$A:$IV,17,FALSE)</f>
        <v>0.29774836171544455</v>
      </c>
      <c r="J34" s="93">
        <f>VLOOKUP(A34,'[7]TOTAL DSH FOR FISCAL YEAR 2020 '!$A:$IV,17,FALSE)</f>
        <v>0.31823468588449927</v>
      </c>
      <c r="K34" s="93">
        <f>VLOOKUP(A34,'[8]TOTAL DSH FOR FISCAL YEAR 2021 '!$A:$IV,17,FALSE)</f>
        <v>0.33342018355660846</v>
      </c>
      <c r="L34" s="93">
        <f>VLOOKUP(A34,'[10]TOTAL DSH FOR FISCAL YEAR 2022 '!$A:$IV,17,FALSE)</f>
        <v>0.34874972026178824</v>
      </c>
      <c r="M34" s="93">
        <f t="shared" si="1"/>
        <v>0.32098682080849117</v>
      </c>
      <c r="N34" s="281">
        <v>0</v>
      </c>
      <c r="O34" s="315">
        <f>IFERROR(IF(VLOOKUP(A34,'Variable Input'!$1:$1048576,3,FALSE)=1,1,0),0)</f>
        <v>1</v>
      </c>
      <c r="P34" s="92">
        <f>IFERROR(VLOOKUP(A34,'Rate Appl - DSH 18,19,22'!$1:$1048576,25,FALSE),0)</f>
        <v>12559.925010037638</v>
      </c>
      <c r="Q34" s="95"/>
      <c r="AA34" s="338"/>
    </row>
    <row r="35" spans="1:36" x14ac:dyDescent="0.55000000000000004">
      <c r="A35">
        <v>210056</v>
      </c>
      <c r="B35" s="2">
        <v>275030155.93000001</v>
      </c>
      <c r="C35" s="320">
        <f>VLOOKUP(A35,'[6]TOTAL DSH FOR FISCAL YEAR 2019 '!$A:$IV,8,FALSE)</f>
        <v>258226367.89999998</v>
      </c>
      <c r="D35" s="92">
        <f>VLOOKUP(A35,'[7]TOTAL DSH FOR FISCAL YEAR 2020 '!$A:$IV,8,FALSE)</f>
        <v>267308949.20000002</v>
      </c>
      <c r="E35" s="2">
        <f>VLOOKUP(A35,'[8]TOTAL DSH FOR FISCAL YEAR 2021 '!$A:$IV,8,FALSE)</f>
        <v>287190695.5</v>
      </c>
      <c r="F35" s="2">
        <f>VLOOKUP(A35,'[9]TOTAL DSH FOR FISCAL YEAR 2022 '!$A:$IV,8,FALSE)</f>
        <v>289014931</v>
      </c>
      <c r="G35" s="2">
        <f t="shared" si="0"/>
        <v>822271454.82999992</v>
      </c>
      <c r="H35" s="93">
        <v>0.40842321604543963</v>
      </c>
      <c r="I35" s="93">
        <f>VLOOKUP(A35,'[6]TOTAL DSH FOR FISCAL YEAR 2019 '!$A:$IV,17,FALSE)</f>
        <v>0.42029445448432845</v>
      </c>
      <c r="J35" s="93">
        <f>VLOOKUP(A35,'[7]TOTAL DSH FOR FISCAL YEAR 2020 '!$A:$IV,17,FALSE)</f>
        <v>0.41709905666712338</v>
      </c>
      <c r="K35" s="93">
        <f>VLOOKUP(A35,'[8]TOTAL DSH FOR FISCAL YEAR 2021 '!$A:$IV,17,FALSE)</f>
        <v>0.4183538746644388</v>
      </c>
      <c r="L35" s="93">
        <f>VLOOKUP(A35,'[10]TOTAL DSH FOR FISCAL YEAR 2022 '!$A:$IV,17,FALSE)</f>
        <v>0.4359139097726169</v>
      </c>
      <c r="M35" s="93">
        <f t="shared" si="1"/>
        <v>0.42181379122663432</v>
      </c>
      <c r="N35" s="281">
        <v>1</v>
      </c>
      <c r="O35" s="315">
        <f>IFERROR(IF(VLOOKUP(A35,'Variable Input'!$1:$1048576,3,FALSE)=1,1,0),0)</f>
        <v>1</v>
      </c>
      <c r="P35" s="92">
        <f>IFERROR(VLOOKUP(A35,'Rate Appl - DSH 18,19,22'!$1:$1048576,25,FALSE),0)</f>
        <v>13616.218533545032</v>
      </c>
      <c r="Q35" s="95"/>
      <c r="AA35" s="338"/>
    </row>
    <row r="36" spans="1:36" x14ac:dyDescent="0.55000000000000004">
      <c r="A36">
        <v>210057</v>
      </c>
      <c r="B36" s="2">
        <v>409367515.33000004</v>
      </c>
      <c r="C36" s="320">
        <f>VLOOKUP(A36,'[6]TOTAL DSH FOR FISCAL YEAR 2019 '!$A:$IV,8,FALSE)</f>
        <v>445836157.39999998</v>
      </c>
      <c r="D36" s="92">
        <f>VLOOKUP(A36,'[7]TOTAL DSH FOR FISCAL YEAR 2020 '!$A:$IV,8,FALSE)</f>
        <v>458711466.19999999</v>
      </c>
      <c r="E36" s="2">
        <f>VLOOKUP(A36,'[8]TOTAL DSH FOR FISCAL YEAR 2021 '!$A:$IV,8,FALSE)</f>
        <v>496288718.29999995</v>
      </c>
      <c r="F36" s="2">
        <f>VLOOKUP(A36,'[9]TOTAL DSH FOR FISCAL YEAR 2022 '!$A:$IV,8,FALSE)</f>
        <v>507227768</v>
      </c>
      <c r="G36" s="2">
        <f t="shared" si="0"/>
        <v>1362431440.73</v>
      </c>
      <c r="H36" s="93">
        <v>0.2763395227208954</v>
      </c>
      <c r="I36" s="93">
        <f>VLOOKUP(A36,'[6]TOTAL DSH FOR FISCAL YEAR 2019 '!$A:$IV,17,FALSE)</f>
        <v>0.30217713642980548</v>
      </c>
      <c r="J36" s="93">
        <f>VLOOKUP(A36,'[7]TOTAL DSH FOR FISCAL YEAR 2020 '!$A:$IV,17,FALSE)</f>
        <v>0.30692978827482381</v>
      </c>
      <c r="K36" s="93">
        <f>VLOOKUP(A36,'[8]TOTAL DSH FOR FISCAL YEAR 2021 '!$A:$IV,17,FALSE)</f>
        <v>0.30409732999163364</v>
      </c>
      <c r="L36" s="93">
        <f>VLOOKUP(A36,'[10]TOTAL DSH FOR FISCAL YEAR 2022 '!$A:$IV,17,FALSE)</f>
        <v>0.26556217668375581</v>
      </c>
      <c r="M36" s="93">
        <f t="shared" si="1"/>
        <v>0.28078214864395901</v>
      </c>
      <c r="N36" s="281">
        <v>0</v>
      </c>
      <c r="O36" s="315">
        <f>IFERROR(IF(VLOOKUP(A36,'Variable Input'!$1:$1048576,3,FALSE)=1,1,0),0)</f>
        <v>1</v>
      </c>
      <c r="P36" s="92">
        <f>IFERROR(VLOOKUP(A36,'Rate Appl - DSH 18,19,22'!$1:$1048576,25,FALSE),0)</f>
        <v>11946.229481238011</v>
      </c>
      <c r="Q36" s="95"/>
      <c r="AA36" s="338"/>
    </row>
    <row r="37" spans="1:36" x14ac:dyDescent="0.55000000000000004">
      <c r="A37">
        <v>210058</v>
      </c>
      <c r="B37" s="2">
        <v>106592523.59</v>
      </c>
      <c r="C37" s="320">
        <f>VLOOKUP(A37,'[6]TOTAL DSH FOR FISCAL YEAR 2019 '!$A:$IV,8,FALSE)</f>
        <v>111437684.87</v>
      </c>
      <c r="D37" s="92">
        <f>VLOOKUP(A37,'[7]TOTAL DSH FOR FISCAL YEAR 2020 '!$A:$IV,8,FALSE)</f>
        <v>98745776.25</v>
      </c>
      <c r="E37" s="2">
        <f>VLOOKUP(A37,'[8]TOTAL DSH FOR FISCAL YEAR 2021 '!$A:$IV,8,FALSE)</f>
        <v>112286674.84</v>
      </c>
      <c r="F37" s="2">
        <f>VLOOKUP(A37,'[9]TOTAL DSH FOR FISCAL YEAR 2022 '!$A:$IV,8,FALSE)</f>
        <v>115313398</v>
      </c>
      <c r="G37" s="2">
        <f t="shared" si="0"/>
        <v>333343606.46000004</v>
      </c>
      <c r="H37" s="93">
        <v>0.34993166947124121</v>
      </c>
      <c r="I37" s="93">
        <f>VLOOKUP(A37,'[6]TOTAL DSH FOR FISCAL YEAR 2019 '!$A:$IV,17,FALSE)</f>
        <v>0.34441412224934348</v>
      </c>
      <c r="J37" s="93">
        <f>VLOOKUP(A37,'[7]TOTAL DSH FOR FISCAL YEAR 2020 '!$A:$IV,17,FALSE)</f>
        <v>0.3577622531475112</v>
      </c>
      <c r="K37" s="93">
        <f>VLOOKUP(A37,'[8]TOTAL DSH FOR FISCAL YEAR 2021 '!$A:$IV,17,FALSE)</f>
        <v>0.34507152442808947</v>
      </c>
      <c r="L37" s="93">
        <f>VLOOKUP(A37,'[10]TOTAL DSH FOR FISCAL YEAR 2022 '!$A:$IV,17,FALSE)</f>
        <v>0.35521860995006338</v>
      </c>
      <c r="M37" s="93">
        <f t="shared" si="1"/>
        <v>0.34991604710191559</v>
      </c>
      <c r="N37" s="281">
        <v>1</v>
      </c>
      <c r="O37" s="315">
        <f>IFERROR(IF(VLOOKUP(A37,'Variable Input'!$1:$1048576,3,FALSE)=1,1,0),0)</f>
        <v>1</v>
      </c>
      <c r="P37" s="92">
        <f>IFERROR(VLOOKUP(A37,'Rate Appl - DSH 18,19,22'!$1:$1048576,25,FALSE),0)</f>
        <v>14865.502737684832</v>
      </c>
      <c r="Q37" s="95"/>
      <c r="AA37" s="338"/>
    </row>
    <row r="38" spans="1:36" x14ac:dyDescent="0.55000000000000004">
      <c r="A38">
        <v>210060</v>
      </c>
      <c r="B38" s="2">
        <v>52337197.68</v>
      </c>
      <c r="C38" s="320">
        <f>VLOOKUP(A38,'[6]TOTAL DSH FOR FISCAL YEAR 2019 '!$A:$IV,8,FALSE)</f>
        <v>51952283.280000001</v>
      </c>
      <c r="D38" s="92">
        <f>VLOOKUP(A38,'[7]TOTAL DSH FOR FISCAL YEAR 2020 '!$A:$IV,8,FALSE)</f>
        <v>61224081.739999995</v>
      </c>
      <c r="E38" s="2">
        <f>VLOOKUP(A38,'[8]TOTAL DSH FOR FISCAL YEAR 2021 '!$A:$IV,8,FALSE)</f>
        <v>63360502.870000005</v>
      </c>
      <c r="F38" s="2">
        <f>VLOOKUP(A38,'[9]TOTAL DSH FOR FISCAL YEAR 2022 '!$A:$IV,8,FALSE)</f>
        <v>67384854</v>
      </c>
      <c r="G38" s="2">
        <f t="shared" si="0"/>
        <v>171674334.96000001</v>
      </c>
      <c r="H38" s="93">
        <v>0.35226865272250224</v>
      </c>
      <c r="I38" s="93">
        <f>VLOOKUP(A38,'[6]TOTAL DSH FOR FISCAL YEAR 2019 '!$A:$IV,17,FALSE)</f>
        <v>0.34003739267414923</v>
      </c>
      <c r="J38" s="93">
        <f>VLOOKUP(A38,'[7]TOTAL DSH FOR FISCAL YEAR 2020 '!$A:$IV,17,FALSE)</f>
        <v>0.27318227884621271</v>
      </c>
      <c r="K38" s="93">
        <f>VLOOKUP(A38,'[8]TOTAL DSH FOR FISCAL YEAR 2021 '!$A:$IV,17,FALSE)</f>
        <v>0.30227576932739703</v>
      </c>
      <c r="L38" s="93">
        <f>VLOOKUP(A38,'[10]TOTAL DSH FOR FISCAL YEAR 2022 '!$A:$IV,17,FALSE)</f>
        <v>0.29451461638182558</v>
      </c>
      <c r="M38" s="93">
        <f t="shared" si="1"/>
        <v>0.32589785481211331</v>
      </c>
      <c r="N38" s="281">
        <v>0</v>
      </c>
      <c r="O38" s="315">
        <f>IFERROR(IF(VLOOKUP(A38,'Variable Input'!$1:$1048576,3,FALSE)=1,1,0),0)</f>
        <v>1</v>
      </c>
      <c r="P38" s="92">
        <f>IFERROR(VLOOKUP(A38,'Rate Appl - DSH 18,19,22'!$1:$1048576,25,FALSE),0)</f>
        <v>11789.981566848619</v>
      </c>
      <c r="Q38" s="95"/>
      <c r="AA38" s="338"/>
    </row>
    <row r="39" spans="1:36" x14ac:dyDescent="0.55000000000000004">
      <c r="A39">
        <v>210061</v>
      </c>
      <c r="B39" s="2">
        <v>109989279.78</v>
      </c>
      <c r="C39" s="320">
        <f>VLOOKUP(A39,'[6]TOTAL DSH FOR FISCAL YEAR 2019 '!$A:$IV,8,FALSE)</f>
        <v>110346275.84</v>
      </c>
      <c r="D39" s="92">
        <f>VLOOKUP(A39,'[7]TOTAL DSH FOR FISCAL YEAR 2020 '!$A:$IV,8,FALSE)</f>
        <v>106773193.75999999</v>
      </c>
      <c r="E39" s="2">
        <f>VLOOKUP(A39,'[8]TOTAL DSH FOR FISCAL YEAR 2021 '!$A:$IV,8,FALSE)</f>
        <v>122104082.66</v>
      </c>
      <c r="F39" s="2">
        <f>VLOOKUP(A39,'[9]TOTAL DSH FOR FISCAL YEAR 2022 '!$A:$IV,8,FALSE)</f>
        <v>124945709</v>
      </c>
      <c r="G39" s="2">
        <f t="shared" si="0"/>
        <v>345281264.62</v>
      </c>
      <c r="H39" s="93">
        <v>0.22738926046021704</v>
      </c>
      <c r="I39" s="93">
        <f>VLOOKUP(A39,'[6]TOTAL DSH FOR FISCAL YEAR 2019 '!$A:$IV,17,FALSE)</f>
        <v>0.20650188215722212</v>
      </c>
      <c r="J39" s="93">
        <f>VLOOKUP(A39,'[7]TOTAL DSH FOR FISCAL YEAR 2020 '!$A:$IV,17,FALSE)</f>
        <v>0.21457685598033571</v>
      </c>
      <c r="K39" s="93">
        <f>VLOOKUP(A39,'[8]TOTAL DSH FOR FISCAL YEAR 2021 '!$A:$IV,17,FALSE)</f>
        <v>0.20987400782787222</v>
      </c>
      <c r="L39" s="93">
        <f>VLOOKUP(A39,'[10]TOTAL DSH FOR FISCAL YEAR 2022 '!$A:$IV,17,FALSE)</f>
        <v>0.21788580885327899</v>
      </c>
      <c r="M39" s="93">
        <f t="shared" si="1"/>
        <v>0.21727501371527363</v>
      </c>
      <c r="N39" s="281">
        <v>0</v>
      </c>
      <c r="O39" s="315">
        <f>IFERROR(IF(VLOOKUP(A39,'Variable Input'!$1:$1048576,3,FALSE)=1,1,0),0)</f>
        <v>1</v>
      </c>
      <c r="P39" s="92">
        <f>IFERROR(VLOOKUP(A39,'Rate Appl - DSH 18,19,22'!$1:$1048576,25,FALSE),0)</f>
        <v>9366.5526357175004</v>
      </c>
      <c r="Q39" s="95"/>
      <c r="AA39" s="338"/>
    </row>
    <row r="40" spans="1:36" x14ac:dyDescent="0.55000000000000004">
      <c r="A40">
        <v>210062</v>
      </c>
      <c r="B40" s="2">
        <v>263938292.48000002</v>
      </c>
      <c r="C40" s="320">
        <f>VLOOKUP(A40,'[6]TOTAL DSH FOR FISCAL YEAR 2019 '!$A:$IV,8,FALSE)</f>
        <v>273977020.69999999</v>
      </c>
      <c r="D40" s="92">
        <f>VLOOKUP(A40,'[7]TOTAL DSH FOR FISCAL YEAR 2020 '!$A:$IV,8,FALSE)</f>
        <v>281728582.14999998</v>
      </c>
      <c r="E40" s="2">
        <f>VLOOKUP(A40,'[8]TOTAL DSH FOR FISCAL YEAR 2021 '!$A:$IV,8,FALSE)</f>
        <v>297139562.5</v>
      </c>
      <c r="F40" s="2">
        <f>VLOOKUP(A40,'[9]TOTAL DSH FOR FISCAL YEAR 2022 '!$A:$IV,8,FALSE)</f>
        <v>298017505</v>
      </c>
      <c r="G40" s="2">
        <f t="shared" si="0"/>
        <v>835932818.18000007</v>
      </c>
      <c r="H40" s="93">
        <v>0.34974448948095554</v>
      </c>
      <c r="I40" s="93">
        <f>VLOOKUP(A40,'[6]TOTAL DSH FOR FISCAL YEAR 2019 '!$A:$IV,17,FALSE)</f>
        <v>0.34287861197258435</v>
      </c>
      <c r="J40" s="93">
        <f>VLOOKUP(A40,'[7]TOTAL DSH FOR FISCAL YEAR 2020 '!$A:$IV,17,FALSE)</f>
        <v>0.34011711828721186</v>
      </c>
      <c r="K40" s="93">
        <f>VLOOKUP(A40,'[8]TOTAL DSH FOR FISCAL YEAR 2021 '!$A:$IV,17,FALSE)</f>
        <v>0.35048273839334337</v>
      </c>
      <c r="L40" s="93">
        <f>VLOOKUP(A40,'[10]TOTAL DSH FOR FISCAL YEAR 2022 '!$A:$IV,17,FALSE)</f>
        <v>0.33529525586267062</v>
      </c>
      <c r="M40" s="93">
        <f t="shared" si="1"/>
        <v>0.34234291715150811</v>
      </c>
      <c r="N40" s="281">
        <v>0</v>
      </c>
      <c r="O40" s="315">
        <f>IFERROR(IF(VLOOKUP(A40,'Variable Input'!$1:$1048576,3,FALSE)=1,1,0),0)</f>
        <v>1</v>
      </c>
      <c r="P40" s="92">
        <f>IFERROR(VLOOKUP(A40,'Rate Appl - DSH 18,19,22'!$1:$1048576,25,FALSE),0)</f>
        <v>14390.203694187267</v>
      </c>
      <c r="Q40" s="95"/>
      <c r="AA40" s="338"/>
    </row>
    <row r="41" spans="1:36" x14ac:dyDescent="0.55000000000000004">
      <c r="A41">
        <v>210063</v>
      </c>
      <c r="B41" s="2">
        <v>415626051.34000003</v>
      </c>
      <c r="C41" s="320">
        <f>VLOOKUP(A41,'[6]TOTAL DSH FOR FISCAL YEAR 2019 '!$A:$IV,8,FALSE)</f>
        <v>389641461.30000001</v>
      </c>
      <c r="D41" s="92">
        <f>VLOOKUP(A41,'[7]TOTAL DSH FOR FISCAL YEAR 2020 '!$A:$IV,8,FALSE)</f>
        <v>372785338.19999999</v>
      </c>
      <c r="E41" s="2">
        <f>VLOOKUP(A41,'[8]TOTAL DSH FOR FISCAL YEAR 2021 '!$A:$IV,8,FALSE)</f>
        <v>417568750.20000005</v>
      </c>
      <c r="F41" s="2">
        <f>VLOOKUP(A41,'[9]TOTAL DSH FOR FISCAL YEAR 2022 '!$A:$IV,8,FALSE)</f>
        <v>430815368</v>
      </c>
      <c r="G41" s="2">
        <f t="shared" si="0"/>
        <v>1236082880.6400001</v>
      </c>
      <c r="H41" s="93">
        <v>0.16328765399952086</v>
      </c>
      <c r="I41" s="93">
        <f>VLOOKUP(A41,'[6]TOTAL DSH FOR FISCAL YEAR 2019 '!$A:$IV,17,FALSE)</f>
        <v>0.16587796505114893</v>
      </c>
      <c r="J41" s="93">
        <f>VLOOKUP(A41,'[7]TOTAL DSH FOR FISCAL YEAR 2020 '!$A:$IV,17,FALSE)</f>
        <v>0.1738939787788038</v>
      </c>
      <c r="K41" s="93">
        <f>VLOOKUP(A41,'[8]TOTAL DSH FOR FISCAL YEAR 2021 '!$A:$IV,17,FALSE)</f>
        <v>0.1712234989944896</v>
      </c>
      <c r="L41" s="93">
        <f>VLOOKUP(A41,'[10]TOTAL DSH FOR FISCAL YEAR 2022 '!$A:$IV,17,FALSE)</f>
        <v>0.18062141606873414</v>
      </c>
      <c r="M41" s="93">
        <f t="shared" si="1"/>
        <v>0.17014556280225535</v>
      </c>
      <c r="N41" s="281">
        <v>0</v>
      </c>
      <c r="O41" s="315">
        <f>IFERROR(IF(VLOOKUP(A41,'Variable Input'!$1:$1048576,3,FALSE)=1,1,0),0)</f>
        <v>1</v>
      </c>
      <c r="P41" s="92">
        <f>IFERROR(VLOOKUP(A41,'Rate Appl - DSH 18,19,22'!$1:$1048576,25,FALSE),0)</f>
        <v>10758.500421942876</v>
      </c>
      <c r="Q41" s="95"/>
      <c r="AA41" s="338"/>
    </row>
    <row r="42" spans="1:36" x14ac:dyDescent="0.55000000000000004">
      <c r="A42">
        <v>210065</v>
      </c>
      <c r="B42" s="2">
        <v>95902456.560000002</v>
      </c>
      <c r="C42" s="320">
        <f>VLOOKUP(A42,'[6]TOTAL DSH FOR FISCAL YEAR 2019 '!$A:$IV,8,FALSE)</f>
        <v>110764040.91</v>
      </c>
      <c r="D42" s="92">
        <f>VLOOKUP(A42,'[7]TOTAL DSH FOR FISCAL YEAR 2020 '!$A:$IV,8,FALSE)</f>
        <v>119287524.06999999</v>
      </c>
      <c r="E42" s="2">
        <f>VLOOKUP(A42,'[8]TOTAL DSH FOR FISCAL YEAR 2021 '!$A:$IV,8,FALSE)</f>
        <v>131726680.05000001</v>
      </c>
      <c r="F42" s="2">
        <f>VLOOKUP(A42,'[9]TOTAL DSH FOR FISCAL YEAR 2022 '!$A:$IV,8,FALSE)</f>
        <v>145575847</v>
      </c>
      <c r="G42" s="2">
        <f t="shared" si="0"/>
        <v>352242344.47000003</v>
      </c>
      <c r="H42" s="93">
        <v>0.34394973545981067</v>
      </c>
      <c r="I42" s="93">
        <f>VLOOKUP(A42,'[6]TOTAL DSH FOR FISCAL YEAR 2019 '!$A:$IV,17,FALSE)</f>
        <v>0.34083068060576416</v>
      </c>
      <c r="J42" s="93">
        <f>VLOOKUP(A42,'[7]TOTAL DSH FOR FISCAL YEAR 2020 '!$A:$IV,17,FALSE)</f>
        <v>0.34051429700363306</v>
      </c>
      <c r="K42" s="93">
        <f>VLOOKUP(A42,'[8]TOTAL DSH FOR FISCAL YEAR 2021 '!$A:$IV,17,FALSE)</f>
        <v>0.344039798868369</v>
      </c>
      <c r="L42" s="93">
        <f>VLOOKUP(A42,'[10]TOTAL DSH FOR FISCAL YEAR 2022 '!$A:$IV,17,FALSE)</f>
        <v>0.35419893883697923</v>
      </c>
      <c r="M42" s="93">
        <f t="shared" si="1"/>
        <v>0.34720475962499892</v>
      </c>
      <c r="N42" s="281">
        <v>0</v>
      </c>
      <c r="O42" s="315">
        <f>IFERROR(IF(VLOOKUP(A42,'Variable Input'!$1:$1048576,3,FALSE)=1,1,0),0)</f>
        <v>1</v>
      </c>
      <c r="P42" s="92">
        <f>IFERROR(VLOOKUP(A42,'Rate Appl - DSH 18,19,22'!$1:$1048576,25,FALSE),0)</f>
        <v>13090.982216611017</v>
      </c>
      <c r="Q42" s="95"/>
      <c r="AA42" s="338"/>
    </row>
    <row r="43" spans="1:36" x14ac:dyDescent="0.55000000000000004">
      <c r="A43">
        <v>210002</v>
      </c>
      <c r="B43" s="2">
        <v>1447588816.1100001</v>
      </c>
      <c r="C43" s="320">
        <f>VLOOKUP(A43,'[6]TOTAL DSH FOR FISCAL YEAR 2019 '!$A:$IV,8,FALSE)</f>
        <v>1523304721.9000001</v>
      </c>
      <c r="D43" s="92">
        <f>VLOOKUP(A43,'[7]TOTAL DSH FOR FISCAL YEAR 2020 '!$A:$IV,8,FALSE)</f>
        <v>1555084757.9000001</v>
      </c>
      <c r="E43" s="2">
        <f>VLOOKUP(A43,'[8]TOTAL DSH FOR FISCAL YEAR 2021 '!$A:$IV,8,FALSE)</f>
        <v>1701481889.3</v>
      </c>
      <c r="F43" s="2">
        <f>VLOOKUP(A43,'[9]TOTAL DSH FOR FISCAL YEAR 2022 '!$A:$IV,8,FALSE)</f>
        <v>1764392637</v>
      </c>
      <c r="G43" s="2">
        <f t="shared" si="0"/>
        <v>4735286175.0100002</v>
      </c>
      <c r="H43" s="93">
        <v>0.38210828926053769</v>
      </c>
      <c r="I43" s="93">
        <f>VLOOKUP(A43,'[6]TOTAL DSH FOR FISCAL YEAR 2019 '!$A:$IV,17,FALSE)</f>
        <v>0.36113737036398014</v>
      </c>
      <c r="J43" s="93">
        <f>VLOOKUP(A43,'[7]TOTAL DSH FOR FISCAL YEAR 2020 '!$A:$IV,17,FALSE)</f>
        <v>0.35848476289023495</v>
      </c>
      <c r="K43" s="93">
        <f>VLOOKUP(A43,'[8]TOTAL DSH FOR FISCAL YEAR 2021 '!$A:$IV,17,FALSE)</f>
        <v>0.35667663624070295</v>
      </c>
      <c r="L43" s="93">
        <f>VLOOKUP(A43,'[10]TOTAL DSH FOR FISCAL YEAR 2022 '!$A:$IV,17,FALSE)</f>
        <v>0.36265571192339235</v>
      </c>
      <c r="M43" s="93">
        <f t="shared" si="1"/>
        <v>0.36811397475600821</v>
      </c>
      <c r="N43" s="281">
        <v>1</v>
      </c>
      <c r="O43" s="315">
        <f>IFERROR(IF(VLOOKUP(A43,'Variable Input'!$1:$1048576,3,FALSE)=1,1,0),0)</f>
        <v>0</v>
      </c>
      <c r="P43" s="92">
        <f>IFERROR(VLOOKUP(A43,'Rate Appl - DSH 18,19,22'!$1:$1048576,25,FALSE),0)</f>
        <v>15130.165649020666</v>
      </c>
      <c r="Q43" s="315"/>
      <c r="AA43" s="338"/>
    </row>
    <row r="44" spans="1:36" x14ac:dyDescent="0.55000000000000004">
      <c r="A44">
        <v>210009</v>
      </c>
      <c r="B44" s="2">
        <v>2420411047.4000001</v>
      </c>
      <c r="C44" s="320">
        <f>VLOOKUP(A44,'[6]TOTAL DSH FOR FISCAL YEAR 2019 '!$A:$IV,8,FALSE)</f>
        <v>2460960900.8000002</v>
      </c>
      <c r="D44" s="92">
        <f>VLOOKUP(A44,'[7]TOTAL DSH FOR FISCAL YEAR 2020 '!$A:$IV,8,FALSE)</f>
        <v>2453860252.4000001</v>
      </c>
      <c r="E44" s="2">
        <f>VLOOKUP(A44,'[8]TOTAL DSH FOR FISCAL YEAR 2021 '!$A:$IV,8,FALSE)</f>
        <v>2752683753</v>
      </c>
      <c r="F44" s="2">
        <f>VLOOKUP(A44,'[9]TOTAL DSH FOR FISCAL YEAR 2022 '!$A:$IV,8,FALSE)</f>
        <v>2801201921</v>
      </c>
      <c r="G44" s="2">
        <f t="shared" si="0"/>
        <v>7682573869.2000008</v>
      </c>
      <c r="H44" s="93">
        <v>0.29145056520425816</v>
      </c>
      <c r="I44" s="93">
        <f>VLOOKUP(A44,'[6]TOTAL DSH FOR FISCAL YEAR 2019 '!$A:$IV,17,FALSE)</f>
        <v>0.2761310749468206</v>
      </c>
      <c r="J44" s="93">
        <f>VLOOKUP(A44,'[7]TOTAL DSH FOR FISCAL YEAR 2020 '!$A:$IV,17,FALSE)</f>
        <v>0.28552021094304431</v>
      </c>
      <c r="K44" s="93">
        <f>VLOOKUP(A44,'[8]TOTAL DSH FOR FISCAL YEAR 2021 '!$A:$IV,17,FALSE)</f>
        <v>0.28128130561171666</v>
      </c>
      <c r="L44" s="93">
        <f>VLOOKUP(A44,'[10]TOTAL DSH FOR FISCAL YEAR 2022 '!$A:$IV,17,FALSE)</f>
        <v>0.28220729327106003</v>
      </c>
      <c r="M44" s="93">
        <f t="shared" si="1"/>
        <v>0.28317300891621655</v>
      </c>
      <c r="N44" s="281">
        <v>1</v>
      </c>
      <c r="O44" s="315">
        <f>IFERROR(IF(VLOOKUP(A44,'Variable Input'!$1:$1048576,3,FALSE)=1,1,0),0)</f>
        <v>0</v>
      </c>
      <c r="P44" s="92">
        <f>IFERROR(VLOOKUP(A44,'Rate Appl - DSH 18,19,22'!$1:$1048576,25,FALSE),0)</f>
        <v>13948.05035353379</v>
      </c>
      <c r="Q44" s="377"/>
      <c r="AA44" s="338"/>
    </row>
    <row r="45" spans="1:36" x14ac:dyDescent="0.55000000000000004">
      <c r="A45">
        <v>210013</v>
      </c>
      <c r="B45" s="2">
        <v>108186320.24000001</v>
      </c>
      <c r="C45" s="320">
        <f>VLOOKUP(A45,'[6]TOTAL DSH FOR FISCAL YEAR 2019 '!$A:$IV,8,FALSE)</f>
        <v>112480474.8</v>
      </c>
      <c r="D45" s="92">
        <f>VLOOKUP(A45,'[7]TOTAL DSH FOR FISCAL YEAR 2020 '!$A:$IV,8,FALSE)</f>
        <v>69512240.079999998</v>
      </c>
      <c r="E45" s="2">
        <f>VLOOKUP(A45,'[8]TOTAL DSH FOR FISCAL YEAR 2021 '!$A:$IV,8,FALSE)</f>
        <v>35924820.350000001</v>
      </c>
      <c r="F45" s="2">
        <f>VLOOKUP(A45,'[9]TOTAL DSH FOR FISCAL YEAR 2022 '!$A:$IV,8,FALSE)</f>
        <v>34372650</v>
      </c>
      <c r="G45" s="2">
        <f t="shared" si="0"/>
        <v>255039445.04000002</v>
      </c>
      <c r="H45" s="93">
        <v>0.728663385105075</v>
      </c>
      <c r="I45" s="93">
        <f>VLOOKUP(A45,'[6]TOTAL DSH FOR FISCAL YEAR 2019 '!$A:$IV,17,FALSE)</f>
        <v>0.73299496020619581</v>
      </c>
      <c r="J45" s="93">
        <f>VLOOKUP(A45,'[7]TOTAL DSH FOR FISCAL YEAR 2020 '!$A:$IV,17,FALSE)</f>
        <v>0.6313416188212706</v>
      </c>
      <c r="K45" s="93">
        <f>VLOOKUP(A45,'[8]TOTAL DSH FOR FISCAL YEAR 2021 '!$A:$IV,17,FALSE)</f>
        <v>0.58796189081012329</v>
      </c>
      <c r="L45" s="93">
        <f>VLOOKUP(A45,'[10]TOTAL DSH FOR FISCAL YEAR 2022 '!$A:$IV,17,FALSE)</f>
        <v>0.79996213937556671</v>
      </c>
      <c r="M45" s="93">
        <f t="shared" si="1"/>
        <v>0.74018295514460652</v>
      </c>
      <c r="N45" s="281">
        <v>0</v>
      </c>
      <c r="O45" s="315">
        <f>IFERROR(IF(VLOOKUP(A45,'Variable Input'!$1:$1048576,3,FALSE)=1,1,0),0)</f>
        <v>0</v>
      </c>
      <c r="P45" s="92">
        <f>IFERROR(VLOOKUP(A45,'Rate Appl - DSH 18,19,22'!$1:$1048576,25,FALSE),0)</f>
        <v>0</v>
      </c>
      <c r="Q45" s="377"/>
      <c r="AA45" s="338"/>
    </row>
    <row r="46" spans="1:36" x14ac:dyDescent="0.55000000000000004">
      <c r="A46">
        <v>210045</v>
      </c>
      <c r="B46" s="2">
        <v>17135462.259999998</v>
      </c>
      <c r="C46" s="320">
        <f>VLOOKUP(A46,'[6]TOTAL DSH FOR FISCAL YEAR 2019 '!$A:$IV,8,FALSE)</f>
        <v>15739891.760000002</v>
      </c>
      <c r="D46" s="92">
        <f>VLOOKUP(A46,'[7]TOTAL DSH FOR FISCAL YEAR 2020 '!$A:$IV,8,FALSE)</f>
        <v>11415191.84</v>
      </c>
      <c r="E46" s="2">
        <f>VLOOKUP(A46,'[8]TOTAL DSH FOR FISCAL YEAR 2021 '!$A:$IV,8,FALSE)</f>
        <v>4775499.99</v>
      </c>
      <c r="F46" s="2">
        <f>VLOOKUP(A46,'[9]TOTAL DSH FOR FISCAL YEAR 2022 '!$A:$IV,8,FALSE)</f>
        <v>5228783</v>
      </c>
      <c r="G46" s="2">
        <f t="shared" si="0"/>
        <v>38104137.019999996</v>
      </c>
      <c r="H46" s="93">
        <v>0.41292923089287509</v>
      </c>
      <c r="I46" s="93">
        <f>VLOOKUP(A46,'[6]TOTAL DSH FOR FISCAL YEAR 2019 '!$A:$IV,17,FALSE)</f>
        <v>0.40216317789976974</v>
      </c>
      <c r="J46" s="93">
        <f>VLOOKUP(A46,'[7]TOTAL DSH FOR FISCAL YEAR 2020 '!$A:$IV,17,FALSE)</f>
        <v>0.4009100122140391</v>
      </c>
      <c r="K46" s="93">
        <f>VLOOKUP(A46,'[8]TOTAL DSH FOR FISCAL YEAR 2021 '!$A:$IV,17,FALSE)</f>
        <v>0.37672302036796784</v>
      </c>
      <c r="L46" s="93">
        <f>VLOOKUP(A46,'[10]TOTAL DSH FOR FISCAL YEAR 2022 '!$A:$IV,17,FALSE)</f>
        <v>0.47915315173012196</v>
      </c>
      <c r="M46" s="93">
        <f t="shared" si="1"/>
        <v>0.41756951450776014</v>
      </c>
      <c r="N46" s="281">
        <v>0</v>
      </c>
      <c r="O46" s="315">
        <f>IFERROR(IF(VLOOKUP(A46,'Variable Input'!$1:$1048576,3,FALSE)=1,1,0),0)</f>
        <v>0</v>
      </c>
      <c r="P46" s="92">
        <f>IFERROR(VLOOKUP(A46,'Rate Appl - DSH 18,19,22'!$1:$1048576,25,FALSE),0)</f>
        <v>0</v>
      </c>
      <c r="Q46" s="315"/>
      <c r="AA46" s="338"/>
      <c r="AD46"/>
      <c r="AE46"/>
      <c r="AF46"/>
      <c r="AG46"/>
      <c r="AH46"/>
      <c r="AI46"/>
      <c r="AJ46"/>
    </row>
    <row r="47" spans="1:36" x14ac:dyDescent="0.55000000000000004">
      <c r="A47">
        <v>210055</v>
      </c>
      <c r="B47" s="2">
        <v>95403552.670000002</v>
      </c>
      <c r="C47" s="320">
        <f>VLOOKUP(A47,'[6]TOTAL DSH FOR FISCAL YEAR 2019 '!$A:$IV,8,FALSE)</f>
        <v>69731937.150000006</v>
      </c>
      <c r="D47" s="92">
        <f>VLOOKUP(A47,'[7]TOTAL DSH FOR FISCAL YEAR 2020 '!$A:$IV,8,FALSE)</f>
        <v>38619054.510000005</v>
      </c>
      <c r="E47" s="2">
        <f>VLOOKUP(A47,'[8]TOTAL DSH FOR FISCAL YEAR 2021 '!$A:$IV,8,FALSE)</f>
        <v>96361560.849999994</v>
      </c>
      <c r="F47" s="2">
        <f>VLOOKUP(A47,'[9]TOTAL DSH FOR FISCAL YEAR 2022 '!$A:$IV,8,FALSE)</f>
        <v>86154193</v>
      </c>
      <c r="G47" s="2">
        <f t="shared" si="0"/>
        <v>251289682.81999999</v>
      </c>
      <c r="H47" s="93">
        <v>0.39887191685263096</v>
      </c>
      <c r="I47" s="93">
        <f>VLOOKUP(A47,'[6]TOTAL DSH FOR FISCAL YEAR 2019 '!$A:$IV,17,FALSE)</f>
        <v>0.40101500822855018</v>
      </c>
      <c r="J47" s="93">
        <f>VLOOKUP(A47,'[7]TOTAL DSH FOR FISCAL YEAR 2020 '!$A:$IV,17,FALSE)</f>
        <v>0.47604281728957321</v>
      </c>
      <c r="K47" s="93">
        <f>VLOOKUP(A47,'[8]TOTAL DSH FOR FISCAL YEAR 2021 '!$A:$IV,17,FALSE)</f>
        <v>0.39783691797682208</v>
      </c>
      <c r="L47" s="93">
        <f>VLOOKUP(A47,'[10]TOTAL DSH FOR FISCAL YEAR 2022 '!$A:$IV,17,FALSE)</f>
        <v>0.37244610347362622</v>
      </c>
      <c r="M47" s="93">
        <f t="shared" si="1"/>
        <v>0.3904065764175117</v>
      </c>
      <c r="N47" s="281">
        <v>0</v>
      </c>
      <c r="O47" s="315">
        <f>IFERROR(IF(VLOOKUP(A47,'Variable Input'!$1:$1048576,3,FALSE)=1,1,0),0)</f>
        <v>0</v>
      </c>
      <c r="P47" s="92">
        <f>IFERROR(VLOOKUP(A47,'Rate Appl - DSH 18,19,22'!$1:$1048576,25,FALSE),0)</f>
        <v>0</v>
      </c>
      <c r="Q47" s="315"/>
      <c r="AA47" s="338"/>
      <c r="AD47"/>
      <c r="AE47"/>
      <c r="AF47"/>
      <c r="AG47"/>
      <c r="AH47"/>
      <c r="AI47"/>
      <c r="AJ47"/>
    </row>
    <row r="48" spans="1:36" x14ac:dyDescent="0.55000000000000004">
      <c r="A48">
        <v>210087</v>
      </c>
      <c r="B48" s="2">
        <v>14167226.6</v>
      </c>
      <c r="C48" s="320">
        <f>VLOOKUP(A48,'[6]TOTAL DSH FOR FISCAL YEAR 2019 '!$A:$IV,8,FALSE)</f>
        <v>13824494.25</v>
      </c>
      <c r="D48" s="92">
        <f>VLOOKUP(A48,'[7]TOTAL DSH FOR FISCAL YEAR 2020 '!$A:$IV,8,FALSE)</f>
        <v>13939593.01</v>
      </c>
      <c r="E48" s="2">
        <f>VLOOKUP(A48,'[8]TOTAL DSH FOR FISCAL YEAR 2021 '!$A:$IV,8,FALSE)</f>
        <v>12150112.26</v>
      </c>
      <c r="F48" s="2">
        <f>VLOOKUP(A48,'[9]TOTAL DSH FOR FISCAL YEAR 2022 '!$A:$IV,8,FALSE)</f>
        <v>16794635</v>
      </c>
      <c r="G48" s="2">
        <f t="shared" si="0"/>
        <v>44786355.850000001</v>
      </c>
      <c r="H48" s="93">
        <v>0.51648088060574071</v>
      </c>
      <c r="I48" s="93">
        <f>VLOOKUP(A48,'[6]TOTAL DSH FOR FISCAL YEAR 2019 '!$A:$IV,17,FALSE)</f>
        <v>0.53246960481031702</v>
      </c>
      <c r="J48" s="93">
        <f>VLOOKUP(A48,'[7]TOTAL DSH FOR FISCAL YEAR 2020 '!$A:$IV,17,FALSE)</f>
        <v>0.52413714695677471</v>
      </c>
      <c r="K48" s="93">
        <f>VLOOKUP(A48,'[8]TOTAL DSH FOR FISCAL YEAR 2021 '!$A:$IV,17,FALSE)</f>
        <v>0.49392782565121746</v>
      </c>
      <c r="L48" s="93">
        <f>VLOOKUP(A48,'[10]TOTAL DSH FOR FISCAL YEAR 2022 '!$A:$IV,17,FALSE)</f>
        <v>0.51236002718673024</v>
      </c>
      <c r="M48" s="93">
        <f t="shared" si="1"/>
        <v>0.51987092638840549</v>
      </c>
      <c r="N48" s="281">
        <v>0</v>
      </c>
      <c r="O48" s="315">
        <f>IFERROR(IF(VLOOKUP(A48,'Variable Input'!$1:$1048576,3,FALSE)=1,1,0),0)</f>
        <v>0</v>
      </c>
      <c r="P48" s="92">
        <f>IFERROR(VLOOKUP(A48,'Rate Appl - DSH 18,19,22'!$1:$1048576,25,FALSE),0)</f>
        <v>0</v>
      </c>
      <c r="Q48" s="315"/>
      <c r="AA48" s="338"/>
      <c r="AD48"/>
      <c r="AE48"/>
      <c r="AF48"/>
      <c r="AG48"/>
      <c r="AH48"/>
      <c r="AI48"/>
      <c r="AJ48"/>
    </row>
    <row r="49" spans="1:41" x14ac:dyDescent="0.55000000000000004">
      <c r="A49">
        <v>210088</v>
      </c>
      <c r="B49" s="2">
        <v>6919258.7000000002</v>
      </c>
      <c r="C49" s="320">
        <f>VLOOKUP(A49,'[6]TOTAL DSH FOR FISCAL YEAR 2019 '!$A:$IV,8,FALSE)</f>
        <v>6839196.3600000003</v>
      </c>
      <c r="D49" s="92">
        <f>VLOOKUP(A49,'[7]TOTAL DSH FOR FISCAL YEAR 2020 '!$A:$IV,8,FALSE)</f>
        <v>6972216.9900000002</v>
      </c>
      <c r="E49" s="2">
        <f>VLOOKUP(A49,'[8]TOTAL DSH FOR FISCAL YEAR 2021 '!$A:$IV,8,FALSE)</f>
        <v>7840813.8899999997</v>
      </c>
      <c r="F49" s="2">
        <f>VLOOKUP(A49,'[9]TOTAL DSH FOR FISCAL YEAR 2022 '!$A:$IV,8,FALSE)</f>
        <v>7676321</v>
      </c>
      <c r="G49" s="2">
        <f t="shared" si="0"/>
        <v>21434776.060000002</v>
      </c>
      <c r="H49" s="93">
        <v>0.37536553419978774</v>
      </c>
      <c r="I49" s="93">
        <f>VLOOKUP(A49,'[6]TOTAL DSH FOR FISCAL YEAR 2019 '!$A:$IV,17,FALSE)</f>
        <v>0.38742919058402348</v>
      </c>
      <c r="J49" s="93">
        <f>VLOOKUP(A49,'[7]TOTAL DSH FOR FISCAL YEAR 2020 '!$A:$IV,17,FALSE)</f>
        <v>0.36888362821880566</v>
      </c>
      <c r="K49" s="93">
        <f>VLOOKUP(A49,'[8]TOTAL DSH FOR FISCAL YEAR 2021 '!$A:$IV,17,FALSE)</f>
        <v>0.35128167415283468</v>
      </c>
      <c r="L49" s="93">
        <f>VLOOKUP(A49,'[10]TOTAL DSH FOR FISCAL YEAR 2022 '!$A:$IV,17,FALSE)</f>
        <v>0.35639416661051349</v>
      </c>
      <c r="M49" s="93">
        <f t="shared" si="1"/>
        <v>0.37242057259084849</v>
      </c>
      <c r="N49" s="281">
        <v>0</v>
      </c>
      <c r="O49" s="315">
        <f>IFERROR(IF(VLOOKUP(A49,'Variable Input'!$1:$1048576,3,FALSE)=1,1,0),0)</f>
        <v>0</v>
      </c>
      <c r="P49" s="92">
        <f>IFERROR(VLOOKUP(A49,'Rate Appl - DSH 18,19,22'!$1:$1048576,25,FALSE),0)</f>
        <v>0</v>
      </c>
      <c r="Q49" s="93"/>
      <c r="AA49" s="338"/>
    </row>
    <row r="50" spans="1:41" x14ac:dyDescent="0.55000000000000004">
      <c r="A50">
        <v>210333</v>
      </c>
      <c r="B50" s="2">
        <v>20773837.100000001</v>
      </c>
      <c r="C50" s="320">
        <f>VLOOKUP(A50,'[6]TOTAL DSH FOR FISCAL YEAR 2019 '!$A:$IV,8,FALSE)</f>
        <v>21897695.550000001</v>
      </c>
      <c r="D50" s="92">
        <f>VLOOKUP(A50,'[7]TOTAL DSH FOR FISCAL YEAR 2020 '!$A:$IV,8,FALSE)</f>
        <v>18827710.399999999</v>
      </c>
      <c r="E50" s="2">
        <f>VLOOKUP(A50,'[8]TOTAL DSH FOR FISCAL YEAR 2021 '!$A:$IV,8,FALSE)</f>
        <v>18168612.75</v>
      </c>
      <c r="F50" s="2">
        <f>VLOOKUP(A50,'[9]TOTAL DSH FOR FISCAL YEAR 2022 '!$A:$IV,8,FALSE)</f>
        <v>17493993</v>
      </c>
      <c r="G50" s="2">
        <f t="shared" si="0"/>
        <v>60165525.650000006</v>
      </c>
      <c r="H50" s="93">
        <v>0.37920499138908964</v>
      </c>
      <c r="I50" s="93">
        <f>VLOOKUP(A50,'[6]TOTAL DSH FOR FISCAL YEAR 2019 '!$A:$IV,17,FALSE)</f>
        <v>0.39870123548228797</v>
      </c>
      <c r="J50" s="93">
        <f>VLOOKUP(A50,'[7]TOTAL DSH FOR FISCAL YEAR 2020 '!$A:$IV,17,FALSE)</f>
        <v>0.40590557097160362</v>
      </c>
      <c r="K50" s="93">
        <f>VLOOKUP(A50,'[8]TOTAL DSH FOR FISCAL YEAR 2021 '!$A:$IV,17,FALSE)</f>
        <v>0.38790114891958383</v>
      </c>
      <c r="L50" s="93">
        <f>VLOOKUP(A50,'[10]TOTAL DSH FOR FISCAL YEAR 2022 '!$A:$IV,17,FALSE)</f>
        <v>0.3991566275532682</v>
      </c>
      <c r="M50" s="93">
        <f t="shared" si="1"/>
        <v>0.39210202158259255</v>
      </c>
      <c r="N50" s="281">
        <v>0</v>
      </c>
      <c r="O50" s="315">
        <f>IFERROR(IF(VLOOKUP(A50,'Variable Input'!$1:$1048576,3,FALSE)=1,1,0),0)</f>
        <v>0</v>
      </c>
      <c r="P50" s="92">
        <f>IFERROR(VLOOKUP(A50,'Rate Appl - DSH 18,19,22'!$1:$1048576,25,FALSE),0)</f>
        <v>0</v>
      </c>
      <c r="Q50" s="93"/>
      <c r="AA50" s="338"/>
    </row>
    <row r="51" spans="1:41" x14ac:dyDescent="0.55000000000000004">
      <c r="A51">
        <v>213028</v>
      </c>
      <c r="B51" s="2">
        <v>2393409.27</v>
      </c>
      <c r="C51" s="320">
        <f>VLOOKUP(A51,'[6]TOTAL DSH FOR FISCAL YEAR 2019 '!$A:$IV,8,FALSE)</f>
        <v>44347531.93</v>
      </c>
      <c r="D51" s="92">
        <f>VLOOKUP(A51,'[7]TOTAL DSH FOR FISCAL YEAR 2020 '!$A:$IV,8,FALSE)</f>
        <v>46007569.340000004</v>
      </c>
      <c r="E51" s="2">
        <f>VLOOKUP(A51,'[8]TOTAL DSH FOR FISCAL YEAR 2021 '!$A:$IV,8,FALSE)</f>
        <v>41963944.980000004</v>
      </c>
      <c r="F51" s="2">
        <f>VLOOKUP(A51,'[9]TOTAL DSH FOR FISCAL YEAR 2022 '!$A:$IV,8,FALSE)</f>
        <v>47308062</v>
      </c>
      <c r="G51" s="2">
        <f t="shared" si="0"/>
        <v>94049003.200000003</v>
      </c>
      <c r="H51" s="93">
        <v>3.9350721481378699E-2</v>
      </c>
      <c r="I51" s="93">
        <f>VLOOKUP(A51,'[6]TOTAL DSH FOR FISCAL YEAR 2019 '!$A:$IV,17,FALSE)</f>
        <v>2.6211696331485117E-2</v>
      </c>
      <c r="J51" s="93">
        <f>VLOOKUP(A51,'[7]TOTAL DSH FOR FISCAL YEAR 2020 '!$A:$IV,17,FALSE)</f>
        <v>3.6861834787814504E-2</v>
      </c>
      <c r="K51" s="93">
        <f>VLOOKUP(A51,'[8]TOTAL DSH FOR FISCAL YEAR 2021 '!$A:$IV,17,FALSE)</f>
        <v>2.8306938505570405E-2</v>
      </c>
      <c r="L51" s="93">
        <f>VLOOKUP(A51,'[10]TOTAL DSH FOR FISCAL YEAR 2022 '!$A:$IV,17,FALSE)</f>
        <v>0.15319311088371482</v>
      </c>
      <c r="M51" s="93">
        <f t="shared" si="1"/>
        <v>9.0419625087896471E-2</v>
      </c>
      <c r="N51" s="281">
        <v>0</v>
      </c>
      <c r="O51" s="315">
        <f>IFERROR(IF(VLOOKUP(A51,'Variable Input'!$1:$1048576,3,FALSE)=1,1,0),0)</f>
        <v>0</v>
      </c>
      <c r="P51" s="92">
        <f>IFERROR(VLOOKUP(A51,'Rate Appl - DSH 18,19,22'!$1:$1048576,25,FALSE),0)</f>
        <v>0</v>
      </c>
      <c r="Q51" s="93"/>
      <c r="AA51" s="338"/>
    </row>
    <row r="52" spans="1:41" x14ac:dyDescent="0.55000000000000004">
      <c r="A52">
        <v>213029</v>
      </c>
      <c r="B52" s="2">
        <v>13007945</v>
      </c>
      <c r="C52" s="320">
        <f>VLOOKUP(A52,'[6]TOTAL DSH FOR FISCAL YEAR 2019 '!$A:$IV,8,FALSE)</f>
        <v>75106335.590000004</v>
      </c>
      <c r="D52" s="92">
        <f>VLOOKUP(A52,'[7]TOTAL DSH FOR FISCAL YEAR 2020 '!$A:$IV,8,FALSE)</f>
        <v>58226314.57</v>
      </c>
      <c r="E52" s="2">
        <f>VLOOKUP(A52,'[8]TOTAL DSH FOR FISCAL YEAR 2021 '!$A:$IV,8,FALSE)</f>
        <v>41279092.439999998</v>
      </c>
      <c r="F52" s="2">
        <f>VLOOKUP(A52,'[9]TOTAL DSH FOR FISCAL YEAR 2022 '!$A:$IV,8,FALSE)</f>
        <v>51018605</v>
      </c>
      <c r="G52" s="2">
        <f t="shared" si="0"/>
        <v>139132885.59</v>
      </c>
      <c r="H52" s="93">
        <v>0.15461047906604078</v>
      </c>
      <c r="I52" s="93">
        <f>VLOOKUP(A52,'[6]TOTAL DSH FOR FISCAL YEAR 2019 '!$A:$IV,17,FALSE)</f>
        <v>0.15640128848948945</v>
      </c>
      <c r="J52" s="93">
        <f>VLOOKUP(A52,'[7]TOTAL DSH FOR FISCAL YEAR 2020 '!$A:$IV,17,FALSE)</f>
        <v>0.1233622794615421</v>
      </c>
      <c r="K52" s="93">
        <f>VLOOKUP(A52,'[8]TOTAL DSH FOR FISCAL YEAR 2021 '!$A:$IV,17,FALSE)</f>
        <v>0.12607027728538892</v>
      </c>
      <c r="L52" s="93">
        <f>VLOOKUP(A52,'[10]TOTAL DSH FOR FISCAL YEAR 2022 '!$A:$IV,17,FALSE)</f>
        <v>0.1264767670717446</v>
      </c>
      <c r="M52" s="93">
        <f t="shared" si="1"/>
        <v>0.14526084471921324</v>
      </c>
      <c r="N52" s="281">
        <v>0</v>
      </c>
      <c r="O52" s="315">
        <f>IFERROR(IF(VLOOKUP(A52,'Variable Input'!$1:$1048576,3,FALSE)=1,1,0),0)</f>
        <v>0</v>
      </c>
      <c r="P52" s="92">
        <f>IFERROR(VLOOKUP(A52,'Rate Appl - DSH 18,19,22'!$1:$1048576,25,FALSE),0)</f>
        <v>0</v>
      </c>
      <c r="Q52" s="93"/>
      <c r="AA52" s="338"/>
    </row>
    <row r="53" spans="1:41" x14ac:dyDescent="0.55000000000000004">
      <c r="A53">
        <v>213300</v>
      </c>
      <c r="B53" s="2">
        <v>9688176.5199999996</v>
      </c>
      <c r="C53" s="320">
        <f>VLOOKUP(A53,'[6]TOTAL DSH FOR FISCAL YEAR 2019 '!$A:$IV,8,FALSE)</f>
        <v>64710633.710000001</v>
      </c>
      <c r="D53" s="92">
        <f>VLOOKUP(A53,'[7]TOTAL DSH FOR FISCAL YEAR 2020 '!$A:$IV,8,FALSE)</f>
        <v>53727808.419999994</v>
      </c>
      <c r="E53" s="2">
        <f>VLOOKUP(A53,'[8]TOTAL DSH FOR FISCAL YEAR 2021 '!$A:$IV,8,FALSE)</f>
        <v>62511874.109999999</v>
      </c>
      <c r="F53" s="2">
        <f>VLOOKUP(A53,'[9]TOTAL DSH FOR FISCAL YEAR 2022 '!$A:$IV,8,FALSE)</f>
        <v>59242428</v>
      </c>
      <c r="G53" s="2">
        <f t="shared" si="0"/>
        <v>133641238.23</v>
      </c>
      <c r="H53" s="93">
        <v>0.77847989781474769</v>
      </c>
      <c r="I53" s="93">
        <f>VLOOKUP(A53,'[6]TOTAL DSH FOR FISCAL YEAR 2019 '!$A:$IV,17,FALSE)</f>
        <v>0.78526656032650377</v>
      </c>
      <c r="J53" s="93">
        <f>VLOOKUP(A53,'[7]TOTAL DSH FOR FISCAL YEAR 2020 '!$A:$IV,17,FALSE)</f>
        <v>0.74112082050191319</v>
      </c>
      <c r="K53" s="93">
        <f>VLOOKUP(A53,'[8]TOTAL DSH FOR FISCAL YEAR 2021 '!$A:$IV,17,FALSE)</f>
        <v>0.74114668660347427</v>
      </c>
      <c r="L53" s="93">
        <f>VLOOKUP(A53,'[10]TOTAL DSH FOR FISCAL YEAR 2022 '!$A:$IV,17,FALSE)</f>
        <v>0.71011494593410796</v>
      </c>
      <c r="M53" s="93">
        <f t="shared" si="1"/>
        <v>0.75146027007539584</v>
      </c>
      <c r="N53" s="281">
        <v>0</v>
      </c>
      <c r="O53" s="315">
        <f>IFERROR(IF(VLOOKUP(A53,'Variable Input'!$1:$1048576,3,FALSE)=1,1,0),0)</f>
        <v>0</v>
      </c>
      <c r="P53" s="92">
        <f>IFERROR(VLOOKUP(A53,'Rate Appl - DSH 18,19,22'!$1:$1048576,25,FALSE),0)</f>
        <v>0</v>
      </c>
      <c r="Q53" s="93"/>
      <c r="AA53" s="338"/>
    </row>
    <row r="54" spans="1:41" x14ac:dyDescent="0.55000000000000004">
      <c r="A54">
        <v>218992</v>
      </c>
      <c r="B54" s="2">
        <v>241358814.25</v>
      </c>
      <c r="C54" s="320">
        <f>VLOOKUP(A54,'[6]TOTAL DSH FOR FISCAL YEAR 2019 '!$A:$IV,8,FALSE)</f>
        <v>253101957.25</v>
      </c>
      <c r="D54" s="92">
        <f>VLOOKUP(A54,'[7]TOTAL DSH FOR FISCAL YEAR 2020 '!$A:$IV,8,FALSE)</f>
        <v>255957129.66999999</v>
      </c>
      <c r="E54" s="2">
        <f>VLOOKUP(A54,'[8]TOTAL DSH FOR FISCAL YEAR 2021 '!$A:$IV,8,FALSE)</f>
        <v>289442263.57999998</v>
      </c>
      <c r="F54" s="2">
        <f>VLOOKUP(A54,'[9]TOTAL DSH FOR FISCAL YEAR 2022 '!$A:$IV,8,FALSE)</f>
        <v>296051011</v>
      </c>
      <c r="G54" s="2">
        <f t="shared" si="0"/>
        <v>790511782.5</v>
      </c>
      <c r="H54" s="93">
        <v>0.42443454397962926</v>
      </c>
      <c r="I54" s="93">
        <f>VLOOKUP(A54,'[6]TOTAL DSH FOR FISCAL YEAR 2019 '!$A:$IV,17,FALSE)</f>
        <v>0.42362282170775273</v>
      </c>
      <c r="J54" s="93">
        <f>VLOOKUP(A54,'[7]TOTAL DSH FOR FISCAL YEAR 2020 '!$A:$IV,17,FALSE)</f>
        <v>0.44782749778364478</v>
      </c>
      <c r="K54" s="93">
        <f>VLOOKUP(A54,'[8]TOTAL DSH FOR FISCAL YEAR 2021 '!$A:$IV,17,FALSE)</f>
        <v>0.46355977910915985</v>
      </c>
      <c r="L54" s="93">
        <f>VLOOKUP(A54,'[10]TOTAL DSH FOR FISCAL YEAR 2022 '!$A:$IV,17,FALSE)</f>
        <v>0.49036979901417965</v>
      </c>
      <c r="M54" s="93">
        <f t="shared" si="1"/>
        <v>0.44886776666567585</v>
      </c>
      <c r="N54" s="281">
        <v>0</v>
      </c>
      <c r="O54" s="315">
        <f>IFERROR(IF(VLOOKUP(A54,'Variable Input'!$1:$1048576,3,FALSE)=1,1,0),0)</f>
        <v>0</v>
      </c>
      <c r="P54" s="92">
        <f>IFERROR(VLOOKUP(A54,'Rate Appl - DSH 18,19,22'!$1:$1048576,25,FALSE),0)</f>
        <v>0</v>
      </c>
      <c r="Q54" s="93"/>
      <c r="AA54" s="338"/>
    </row>
    <row r="55" spans="1:41" x14ac:dyDescent="0.55000000000000004">
      <c r="AA55" s="338"/>
    </row>
    <row r="56" spans="1:41" s="337" customFormat="1" x14ac:dyDescent="0.55000000000000004">
      <c r="M56" s="358"/>
      <c r="R56"/>
      <c r="S56"/>
      <c r="T56"/>
      <c r="U56"/>
      <c r="V56"/>
      <c r="W56"/>
      <c r="X56"/>
      <c r="Y56"/>
      <c r="Z56"/>
      <c r="AA56" s="338"/>
      <c r="AK56"/>
      <c r="AL56"/>
      <c r="AM56"/>
      <c r="AN56"/>
      <c r="AO56"/>
    </row>
    <row r="57" spans="1:41" x14ac:dyDescent="0.55000000000000004">
      <c r="AA57" s="338"/>
    </row>
    <row r="58" spans="1:41" x14ac:dyDescent="0.55000000000000004">
      <c r="AA58" s="338"/>
    </row>
    <row r="59" spans="1:41" x14ac:dyDescent="0.55000000000000004">
      <c r="AA59" s="338"/>
    </row>
    <row r="60" spans="1:41" x14ac:dyDescent="0.55000000000000004">
      <c r="AA60" s="338"/>
    </row>
    <row r="61" spans="1:41" x14ac:dyDescent="0.55000000000000004">
      <c r="AA61" s="338"/>
    </row>
    <row r="62" spans="1:41" x14ac:dyDescent="0.55000000000000004">
      <c r="AA62" s="338"/>
    </row>
    <row r="63" spans="1:41" x14ac:dyDescent="0.55000000000000004">
      <c r="AA63" s="338"/>
    </row>
    <row r="64" spans="1:41" x14ac:dyDescent="0.55000000000000004">
      <c r="AA64" s="338"/>
    </row>
    <row r="65" spans="27:36" x14ac:dyDescent="0.55000000000000004">
      <c r="AA65" s="338"/>
    </row>
    <row r="66" spans="27:36" x14ac:dyDescent="0.55000000000000004">
      <c r="AA66" s="338"/>
    </row>
    <row r="67" spans="27:36" x14ac:dyDescent="0.55000000000000004">
      <c r="AA67" s="338"/>
      <c r="AD67"/>
      <c r="AE67"/>
      <c r="AF67"/>
      <c r="AG67"/>
      <c r="AH67"/>
      <c r="AI67"/>
      <c r="AJ67"/>
    </row>
    <row r="68" spans="27:36" x14ac:dyDescent="0.55000000000000004">
      <c r="AA68" s="338"/>
      <c r="AD68"/>
      <c r="AE68"/>
      <c r="AF68"/>
      <c r="AG68"/>
      <c r="AH68"/>
      <c r="AI68"/>
      <c r="AJ68"/>
    </row>
    <row r="69" spans="27:36" x14ac:dyDescent="0.55000000000000004">
      <c r="AA69" s="338"/>
      <c r="AD69"/>
      <c r="AE69"/>
      <c r="AF69"/>
      <c r="AG69"/>
      <c r="AH69"/>
      <c r="AI69"/>
      <c r="AJ69"/>
    </row>
    <row r="70" spans="27:36" x14ac:dyDescent="0.55000000000000004">
      <c r="AA70" s="338"/>
    </row>
    <row r="71" spans="27:36" x14ac:dyDescent="0.55000000000000004">
      <c r="AA71" s="338"/>
    </row>
    <row r="72" spans="27:36" x14ac:dyDescent="0.55000000000000004">
      <c r="AA72" s="338"/>
    </row>
    <row r="73" spans="27:36" x14ac:dyDescent="0.55000000000000004">
      <c r="AA73" s="338"/>
    </row>
    <row r="74" spans="27:36" x14ac:dyDescent="0.55000000000000004">
      <c r="AA74" s="338"/>
    </row>
    <row r="75" spans="27:36" x14ac:dyDescent="0.55000000000000004">
      <c r="AA75" s="338"/>
    </row>
    <row r="76" spans="27:36" x14ac:dyDescent="0.55000000000000004">
      <c r="AA76" s="338"/>
    </row>
    <row r="77" spans="27:36" x14ac:dyDescent="0.55000000000000004">
      <c r="AA77" s="338"/>
    </row>
    <row r="78" spans="27:36" x14ac:dyDescent="0.55000000000000004">
      <c r="AA78" s="338"/>
    </row>
    <row r="79" spans="27:36" x14ac:dyDescent="0.55000000000000004">
      <c r="AA79" s="338"/>
    </row>
    <row r="80" spans="27:36" x14ac:dyDescent="0.55000000000000004">
      <c r="AA80" s="338"/>
    </row>
    <row r="81" spans="27:27" x14ac:dyDescent="0.55000000000000004">
      <c r="AA81" s="338"/>
    </row>
    <row r="82" spans="27:27" x14ac:dyDescent="0.55000000000000004">
      <c r="AA82" s="338"/>
    </row>
    <row r="83" spans="27:27" x14ac:dyDescent="0.55000000000000004">
      <c r="AA83" s="338"/>
    </row>
    <row r="84" spans="27:27" x14ac:dyDescent="0.55000000000000004">
      <c r="AA84" s="338"/>
    </row>
    <row r="85" spans="27:27" x14ac:dyDescent="0.55000000000000004">
      <c r="AA85" s="338"/>
    </row>
    <row r="86" spans="27:27" x14ac:dyDescent="0.55000000000000004">
      <c r="AA86" s="338"/>
    </row>
    <row r="87" spans="27:27" x14ac:dyDescent="0.55000000000000004">
      <c r="AA87" s="338"/>
    </row>
    <row r="88" spans="27:27" x14ac:dyDescent="0.55000000000000004">
      <c r="AA88" s="338"/>
    </row>
    <row r="89" spans="27:27" x14ac:dyDescent="0.55000000000000004">
      <c r="AA89" s="338"/>
    </row>
    <row r="90" spans="27:27" x14ac:dyDescent="0.55000000000000004">
      <c r="AA90" s="338"/>
    </row>
    <row r="91" spans="27:27" x14ac:dyDescent="0.55000000000000004">
      <c r="AA91" s="338"/>
    </row>
    <row r="92" spans="27:27" x14ac:dyDescent="0.55000000000000004">
      <c r="AA92" s="338"/>
    </row>
    <row r="93" spans="27:27" x14ac:dyDescent="0.55000000000000004">
      <c r="AA93" s="338"/>
    </row>
    <row r="94" spans="27:27" x14ac:dyDescent="0.55000000000000004">
      <c r="AA94" s="338"/>
    </row>
    <row r="95" spans="27:27" x14ac:dyDescent="0.55000000000000004">
      <c r="AA95" s="338"/>
    </row>
    <row r="96" spans="27:27" x14ac:dyDescent="0.55000000000000004">
      <c r="AA96" s="338"/>
    </row>
    <row r="97" spans="27:27" x14ac:dyDescent="0.55000000000000004">
      <c r="AA97" s="338"/>
    </row>
    <row r="98" spans="27:27" x14ac:dyDescent="0.55000000000000004">
      <c r="AA98" s="338"/>
    </row>
    <row r="99" spans="27:27" x14ac:dyDescent="0.55000000000000004">
      <c r="AA99" s="338"/>
    </row>
    <row r="100" spans="27:27" x14ac:dyDescent="0.55000000000000004">
      <c r="AA100" s="338"/>
    </row>
    <row r="101" spans="27:27" x14ac:dyDescent="0.55000000000000004">
      <c r="AA101" s="338"/>
    </row>
    <row r="102" spans="27:27" x14ac:dyDescent="0.55000000000000004">
      <c r="AA102" s="338"/>
    </row>
    <row r="103" spans="27:27" x14ac:dyDescent="0.55000000000000004">
      <c r="AA103" s="338"/>
    </row>
    <row r="104" spans="27:27" x14ac:dyDescent="0.55000000000000004">
      <c r="AA104" s="338"/>
    </row>
    <row r="105" spans="27:27" x14ac:dyDescent="0.55000000000000004">
      <c r="AA105" s="338"/>
    </row>
    <row r="106" spans="27:27" x14ac:dyDescent="0.55000000000000004">
      <c r="AA106" s="338"/>
    </row>
    <row r="107" spans="27:27" x14ac:dyDescent="0.55000000000000004">
      <c r="AA107" s="338"/>
    </row>
    <row r="108" spans="27:27" x14ac:dyDescent="0.55000000000000004">
      <c r="AA108" s="338"/>
    </row>
    <row r="109" spans="27:27" x14ac:dyDescent="0.55000000000000004">
      <c r="AA109" s="338"/>
    </row>
    <row r="110" spans="27:27" x14ac:dyDescent="0.55000000000000004">
      <c r="AA110" s="338"/>
    </row>
    <row r="111" spans="27:27" x14ac:dyDescent="0.55000000000000004">
      <c r="AA111" s="338"/>
    </row>
    <row r="112" spans="27:27" x14ac:dyDescent="0.55000000000000004">
      <c r="AA112" s="338"/>
    </row>
    <row r="113" spans="18:27" x14ac:dyDescent="0.55000000000000004">
      <c r="AA113" s="338"/>
    </row>
    <row r="114" spans="18:27" x14ac:dyDescent="0.55000000000000004">
      <c r="AA114" s="338"/>
    </row>
    <row r="115" spans="18:27" x14ac:dyDescent="0.55000000000000004">
      <c r="AA115" s="338"/>
    </row>
    <row r="116" spans="18:27" x14ac:dyDescent="0.55000000000000004">
      <c r="AA116" s="338"/>
    </row>
    <row r="117" spans="18:27" x14ac:dyDescent="0.55000000000000004">
      <c r="AA117" s="338"/>
    </row>
    <row r="118" spans="18:27" x14ac:dyDescent="0.55000000000000004">
      <c r="AA118" s="338"/>
    </row>
    <row r="119" spans="18:27" x14ac:dyDescent="0.55000000000000004">
      <c r="AA119" s="338"/>
    </row>
    <row r="120" spans="18:27" x14ac:dyDescent="0.55000000000000004">
      <c r="AA120" s="338"/>
    </row>
    <row r="121" spans="18:27" x14ac:dyDescent="0.55000000000000004">
      <c r="AA121" s="338"/>
    </row>
    <row r="122" spans="18:27" x14ac:dyDescent="0.55000000000000004">
      <c r="AA122" s="338"/>
    </row>
    <row r="123" spans="18:27" x14ac:dyDescent="0.55000000000000004">
      <c r="AA123" s="338"/>
    </row>
    <row r="124" spans="18:27" x14ac:dyDescent="0.55000000000000004">
      <c r="AA124" s="338"/>
    </row>
    <row r="125" spans="18:27" x14ac:dyDescent="0.55000000000000004">
      <c r="AA125" s="338"/>
    </row>
    <row r="126" spans="18:27" x14ac:dyDescent="0.55000000000000004">
      <c r="AA126" s="338"/>
    </row>
    <row r="127" spans="18:27" x14ac:dyDescent="0.55000000000000004">
      <c r="AA127" s="338"/>
    </row>
    <row r="128" spans="18:27" x14ac:dyDescent="0.55000000000000004">
      <c r="R128" s="338"/>
      <c r="S128" s="338"/>
      <c r="T128" s="338"/>
      <c r="U128" s="338"/>
      <c r="V128" s="338"/>
      <c r="W128" s="338"/>
      <c r="X128" s="338"/>
      <c r="Y128" s="338"/>
      <c r="Z128" s="338"/>
      <c r="AA128" s="338"/>
    </row>
    <row r="129" spans="18:27" x14ac:dyDescent="0.55000000000000004">
      <c r="R129" s="338"/>
      <c r="S129" s="338"/>
      <c r="T129" s="338"/>
      <c r="U129" s="338"/>
      <c r="V129" s="338"/>
      <c r="W129" s="338"/>
      <c r="X129" s="338"/>
      <c r="Y129" s="338"/>
      <c r="Z129" s="338"/>
      <c r="AA129" s="338"/>
    </row>
    <row r="130" spans="18:27" x14ac:dyDescent="0.55000000000000004">
      <c r="R130" s="338"/>
      <c r="S130" s="338"/>
      <c r="T130" s="338"/>
      <c r="U130" s="338"/>
      <c r="V130" s="338"/>
      <c r="W130" s="338"/>
      <c r="X130" s="338"/>
      <c r="Y130" s="338"/>
      <c r="Z130" s="338"/>
      <c r="AA130" s="338"/>
    </row>
    <row r="131" spans="18:27" x14ac:dyDescent="0.55000000000000004">
      <c r="R131" s="338"/>
      <c r="S131" s="338"/>
      <c r="T131" s="338"/>
      <c r="U131" s="338"/>
      <c r="V131" s="338"/>
      <c r="W131" s="338"/>
      <c r="X131" s="338"/>
      <c r="Y131" s="338"/>
      <c r="Z131" s="338"/>
      <c r="AA131" s="338"/>
    </row>
    <row r="132" spans="18:27" x14ac:dyDescent="0.55000000000000004"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</row>
    <row r="133" spans="18:27" x14ac:dyDescent="0.55000000000000004">
      <c r="R133" s="338"/>
      <c r="S133" s="338"/>
      <c r="T133" s="338"/>
      <c r="U133" s="338"/>
      <c r="V133" s="338"/>
      <c r="W133" s="338"/>
      <c r="X133" s="338"/>
      <c r="Y133" s="338"/>
      <c r="Z133" s="338"/>
      <c r="AA133" s="338"/>
    </row>
    <row r="134" spans="18:27" x14ac:dyDescent="0.55000000000000004"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</row>
    <row r="135" spans="18:27" x14ac:dyDescent="0.55000000000000004"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</row>
    <row r="136" spans="18:27" x14ac:dyDescent="0.55000000000000004">
      <c r="R136" s="338"/>
      <c r="S136" s="338"/>
      <c r="T136" s="338"/>
      <c r="U136" s="338"/>
      <c r="V136" s="338"/>
      <c r="W136" s="338"/>
      <c r="X136" s="338"/>
      <c r="Y136" s="338"/>
      <c r="Z136" s="338"/>
      <c r="AA136" s="338"/>
    </row>
    <row r="137" spans="18:27" x14ac:dyDescent="0.55000000000000004">
      <c r="R137" s="338"/>
      <c r="S137" s="338"/>
      <c r="T137" s="338"/>
      <c r="U137" s="338"/>
      <c r="V137" s="338"/>
      <c r="W137" s="338"/>
      <c r="X137" s="338"/>
      <c r="Y137" s="338"/>
      <c r="Z137" s="338"/>
      <c r="AA137" s="338"/>
    </row>
    <row r="138" spans="18:27" x14ac:dyDescent="0.55000000000000004">
      <c r="R138" s="338"/>
      <c r="S138" s="338"/>
      <c r="T138" s="338"/>
      <c r="U138" s="338"/>
      <c r="V138" s="338"/>
      <c r="W138" s="338"/>
      <c r="X138" s="338"/>
      <c r="Y138" s="338"/>
      <c r="Z138" s="338"/>
      <c r="AA138" s="338"/>
    </row>
    <row r="139" spans="18:27" x14ac:dyDescent="0.55000000000000004"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</row>
    <row r="140" spans="18:27" x14ac:dyDescent="0.55000000000000004"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</row>
    <row r="141" spans="18:27" x14ac:dyDescent="0.55000000000000004"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</row>
    <row r="142" spans="18:27" x14ac:dyDescent="0.55000000000000004">
      <c r="R142" s="338"/>
      <c r="S142" s="338"/>
      <c r="T142" s="338"/>
      <c r="U142" s="338"/>
      <c r="V142" s="338"/>
      <c r="W142" s="338"/>
      <c r="X142" s="338"/>
      <c r="Y142" s="338"/>
      <c r="Z142" s="338"/>
      <c r="AA142" s="338"/>
    </row>
    <row r="143" spans="18:27" x14ac:dyDescent="0.55000000000000004">
      <c r="R143" s="338"/>
      <c r="S143" s="338"/>
      <c r="T143" s="338"/>
      <c r="U143" s="338"/>
      <c r="V143" s="338"/>
      <c r="W143" s="338"/>
      <c r="X143" s="338"/>
      <c r="Y143" s="338"/>
      <c r="Z143" s="338"/>
      <c r="AA143" s="338"/>
    </row>
    <row r="144" spans="18:27" x14ac:dyDescent="0.55000000000000004"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</row>
    <row r="145" spans="18:27" x14ac:dyDescent="0.55000000000000004"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</row>
    <row r="146" spans="18:27" x14ac:dyDescent="0.55000000000000004"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</row>
    <row r="147" spans="18:27" x14ac:dyDescent="0.55000000000000004"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</row>
    <row r="148" spans="18:27" x14ac:dyDescent="0.55000000000000004">
      <c r="R148" s="338"/>
      <c r="S148" s="338"/>
      <c r="T148" s="338"/>
      <c r="U148" s="338"/>
      <c r="V148" s="338"/>
      <c r="W148" s="338"/>
      <c r="X148" s="338"/>
      <c r="Y148" s="338"/>
      <c r="Z148" s="338"/>
      <c r="AA148" s="338"/>
    </row>
    <row r="149" spans="18:27" x14ac:dyDescent="0.55000000000000004">
      <c r="R149" s="338"/>
      <c r="S149" s="338"/>
      <c r="T149" s="338"/>
      <c r="U149" s="338"/>
      <c r="V149" s="338"/>
      <c r="W149" s="338"/>
      <c r="X149" s="338"/>
      <c r="Y149" s="338"/>
      <c r="Z149" s="338"/>
      <c r="AA149" s="338"/>
    </row>
    <row r="150" spans="18:27" x14ac:dyDescent="0.55000000000000004">
      <c r="R150" s="338"/>
      <c r="S150" s="338"/>
      <c r="T150" s="338"/>
      <c r="U150" s="338"/>
      <c r="V150" s="338"/>
      <c r="W150" s="338"/>
      <c r="X150" s="338"/>
      <c r="Y150" s="338"/>
      <c r="Z150" s="338"/>
      <c r="AA150" s="338"/>
    </row>
    <row r="151" spans="18:27" x14ac:dyDescent="0.55000000000000004">
      <c r="R151" s="338"/>
      <c r="S151" s="338"/>
      <c r="T151" s="338"/>
      <c r="U151" s="338"/>
      <c r="V151" s="338"/>
      <c r="W151" s="338"/>
      <c r="X151" s="338"/>
      <c r="Y151" s="338"/>
      <c r="Z151" s="338"/>
      <c r="AA151" s="338"/>
    </row>
  </sheetData>
  <sheetCalcPr fullCalcOnLoad="1"/>
  <autoFilter ref="A1:AK58">
    <sortState xmlns:xlrd2="http://schemas.microsoft.com/office/spreadsheetml/2017/richdata2" ref="A2:AK58">
      <sortCondition descending="1" ref="O1:O58"/>
    </sortState>
  </autoFilter>
  <conditionalFormatting sqref="O1:O1048576">
    <cfRule type="cellIs" dxfId="16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Y7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12.41796875" defaultRowHeight="15" x14ac:dyDescent="0.5"/>
  <cols>
    <col min="1" max="1" width="15.15625" style="10" customWidth="1"/>
    <col min="2" max="2" width="49" style="10" bestFit="1" customWidth="1"/>
    <col min="3" max="3" width="13" style="58" customWidth="1"/>
    <col min="4" max="4" width="20.15625" style="11" customWidth="1"/>
    <col min="5" max="5" width="17.68359375" style="11" customWidth="1"/>
    <col min="6" max="8" width="20.15625" style="11" customWidth="1"/>
    <col min="9" max="9" width="12.41796875" style="10" customWidth="1"/>
    <col min="10" max="10" width="22.578125" style="11" customWidth="1"/>
    <col min="11" max="11" width="22.578125" style="57" customWidth="1"/>
    <col min="12" max="12" width="20.578125" style="11" customWidth="1"/>
    <col min="13" max="13" width="26.15625" style="12" bestFit="1" customWidth="1"/>
    <col min="14" max="14" width="12.41796875" style="10" customWidth="1"/>
    <col min="15" max="15" width="20.15625" style="12" customWidth="1"/>
    <col min="16" max="16" width="16.26171875" style="10" customWidth="1"/>
    <col min="17" max="17" width="20.578125" style="12" customWidth="1"/>
    <col min="18" max="18" width="19.41796875" style="12" customWidth="1"/>
    <col min="19" max="19" width="20.83984375" style="10" customWidth="1"/>
    <col min="20" max="20" width="18.41796875" style="11" customWidth="1"/>
    <col min="21" max="21" width="18" style="11" bestFit="1" customWidth="1"/>
    <col min="22" max="22" width="19.15625" style="11" customWidth="1"/>
    <col min="23" max="23" width="20.26171875" style="10" customWidth="1"/>
    <col min="24" max="24" width="18.83984375" style="11" customWidth="1"/>
    <col min="25" max="25" width="20" style="11" customWidth="1"/>
    <col min="26" max="16384" width="12.41796875" style="10"/>
  </cols>
  <sheetData>
    <row r="1" spans="1:25" ht="46.5" x14ac:dyDescent="1.5">
      <c r="A1" s="56" t="s">
        <v>498</v>
      </c>
      <c r="B1" s="55"/>
      <c r="C1" s="70"/>
      <c r="D1" s="50"/>
      <c r="E1" s="50"/>
      <c r="F1" s="50"/>
      <c r="G1" s="50"/>
      <c r="H1" s="50"/>
      <c r="I1" s="51"/>
      <c r="J1" s="50"/>
      <c r="K1" s="69"/>
      <c r="L1" s="50"/>
      <c r="M1" s="53"/>
      <c r="N1" s="49"/>
      <c r="O1" s="53"/>
      <c r="P1" s="49"/>
      <c r="Q1" s="53"/>
      <c r="R1" s="53"/>
      <c r="S1" s="52"/>
      <c r="T1" s="50"/>
      <c r="U1" s="50"/>
      <c r="V1" s="50"/>
      <c r="W1" s="51"/>
      <c r="X1" s="50"/>
      <c r="Y1" s="50"/>
    </row>
    <row r="2" spans="1:25" ht="90.3" x14ac:dyDescent="0.55000000000000004">
      <c r="A2" s="48" t="s">
        <v>106</v>
      </c>
      <c r="B2" s="47" t="s">
        <v>105</v>
      </c>
      <c r="C2" s="48" t="s">
        <v>104</v>
      </c>
      <c r="D2" s="46" t="s">
        <v>103</v>
      </c>
      <c r="E2" s="46" t="s">
        <v>102</v>
      </c>
      <c r="F2" s="286" t="s">
        <v>101</v>
      </c>
      <c r="G2" s="45" t="s">
        <v>100</v>
      </c>
      <c r="H2" s="45" t="s">
        <v>99</v>
      </c>
      <c r="I2" s="44" t="s">
        <v>98</v>
      </c>
      <c r="J2" s="40" t="s">
        <v>97</v>
      </c>
      <c r="K2" s="68" t="s">
        <v>109</v>
      </c>
      <c r="L2" s="287" t="s">
        <v>96</v>
      </c>
      <c r="M2" s="42" t="s">
        <v>95</v>
      </c>
      <c r="N2" s="44" t="s">
        <v>94</v>
      </c>
      <c r="O2" s="42" t="s">
        <v>93</v>
      </c>
      <c r="P2" s="41" t="s">
        <v>92</v>
      </c>
      <c r="Q2" s="42" t="s">
        <v>91</v>
      </c>
      <c r="R2" s="42" t="s">
        <v>90</v>
      </c>
      <c r="S2" s="43" t="s">
        <v>89</v>
      </c>
      <c r="T2" s="287" t="s">
        <v>88</v>
      </c>
      <c r="U2" s="40" t="s">
        <v>508</v>
      </c>
      <c r="V2" s="42" t="s">
        <v>85</v>
      </c>
      <c r="W2" s="41" t="s">
        <v>86</v>
      </c>
      <c r="X2" s="40" t="s">
        <v>108</v>
      </c>
      <c r="Y2" s="40" t="s">
        <v>107</v>
      </c>
    </row>
    <row r="3" spans="1:25" ht="18.75" customHeight="1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19">
        <f>IFERROR(VLOOKUP(A3,'Variable Input'!$1:$1048576,6,FALSE),0)</f>
        <v>406935783.94573671</v>
      </c>
      <c r="E3" s="19">
        <f t="shared" ref="E3:E54" si="0">IFERROR(D3/P3,0)</f>
        <v>13919.939180231155</v>
      </c>
      <c r="F3" s="19">
        <f>IFERROR(VLOOKUP(A3,'Drug Overhead'!$1:$1048576,13,FALSE)*VLOOKUP(A3,Volume!A:K,11,FALSE),0)</f>
        <v>2293988.6249724138</v>
      </c>
      <c r="G3" s="19">
        <f t="shared" ref="G3:G54" si="1">D3+F3</f>
        <v>409229772.57070911</v>
      </c>
      <c r="H3" s="19">
        <f>IFERROR(G3/P3,0)</f>
        <v>13998.409011097678</v>
      </c>
      <c r="I3" s="36">
        <f>VLOOKUP(A3,'Variable Input'!$1:$1048576,8,FALSE)</f>
        <v>1.1196537153887776</v>
      </c>
      <c r="J3" s="19">
        <f t="shared" ref="J3:J54" si="2">G3/I3</f>
        <v>365496730.77145302</v>
      </c>
      <c r="K3" s="63">
        <f>J3*(1-VLOOKUP(A3,PROFIT!$A$1:$IT$65527,7,FALSE))</f>
        <v>330855649.76606548</v>
      </c>
      <c r="L3" s="19">
        <f>IFERROR(VLOOKUP(A3,'Variable Input'!$1:$1048576,26,FALSE)*VLOOKUP(A3,Volume!A:K,11,FALSE),0)</f>
        <v>6625379.0220225165</v>
      </c>
      <c r="M3" s="22">
        <f t="shared" ref="M3:M54" si="3">K3-L3</f>
        <v>324230270.74404293</v>
      </c>
      <c r="N3" s="36">
        <f>VLOOKUP(A3,'Variable Input'!$1:$1048576,23,FALSE)</f>
        <v>0.99671861092415948</v>
      </c>
      <c r="O3" s="22">
        <f t="shared" ref="O3:O54" si="4">M3/N3</f>
        <v>325297699.06013495</v>
      </c>
      <c r="P3" s="27">
        <f>IFERROR(VLOOKUP(A3,'Variable Input'!$1:$1048576,7,FALSE),0)</f>
        <v>29234.020255178955</v>
      </c>
      <c r="Q3" s="18">
        <f t="shared" ref="Q3:Q54" si="5">IFERROR(+O3/P3,0)</f>
        <v>11127.367916580231</v>
      </c>
      <c r="R3" s="18">
        <f t="shared" ref="R3:R54" si="6">+Q3*P3</f>
        <v>325297699.06013495</v>
      </c>
      <c r="S3" s="20">
        <f>IFERROR(VLOOKUP(A3,RESCMAD!$1:$1048576,8,FALSE),0)</f>
        <v>6.1572099365331744E-4</v>
      </c>
      <c r="T3" s="19">
        <f>IF(C3=5,(S3*P3)*IME!$L$7,(S3*P3)*IME!$L$8)</f>
        <v>2265989.3982379581</v>
      </c>
      <c r="U3" s="19">
        <v>0</v>
      </c>
      <c r="V3" s="22">
        <f t="shared" ref="V3:V54" si="7">R3-T3</f>
        <v>323031709.661897</v>
      </c>
      <c r="W3" s="17">
        <f t="shared" ref="W3:W54" si="8">IFERROR((V3/R3)-1,0)</f>
        <v>-6.9658943324374389E-3</v>
      </c>
      <c r="X3" s="19">
        <f>R3-T3-U3</f>
        <v>323031709.661897</v>
      </c>
      <c r="Y3" s="15">
        <f t="shared" ref="Y3:Y54" si="9">IFERROR(X3/P3,0)</f>
        <v>11049.855847475179</v>
      </c>
    </row>
    <row r="4" spans="1:25" ht="18.75" customHeight="1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19">
        <f>IFERROR(VLOOKUP(A4,'Variable Input'!$1:$1048576,6,FALSE),0)</f>
        <v>1254329650.1456954</v>
      </c>
      <c r="E4" s="19">
        <f t="shared" si="0"/>
        <v>23486.630843643299</v>
      </c>
      <c r="F4" s="19">
        <f>IFERROR(VLOOKUP(A4,'Drug Overhead'!$1:$1048576,13,FALSE)*VLOOKUP(A4,Volume!A:K,11,FALSE),0)</f>
        <v>76919616.087280333</v>
      </c>
      <c r="G4" s="19">
        <f t="shared" si="1"/>
        <v>1331249266.2329757</v>
      </c>
      <c r="H4" s="19">
        <f t="shared" ref="H4:H54" si="10">IFERROR(G4/P4,0)</f>
        <v>24926.908228034936</v>
      </c>
      <c r="I4" s="36">
        <f>VLOOKUP(A4,'Variable Input'!$1:$1048576,8,FALSE)</f>
        <v>1.1149630516096494</v>
      </c>
      <c r="J4" s="19">
        <f t="shared" si="2"/>
        <v>1193985096.0182745</v>
      </c>
      <c r="K4" s="63">
        <f>J4*(1-VLOOKUP(A4,PROFIT!$A$1:$IT$65527,7,FALSE))</f>
        <v>1171505195.1831951</v>
      </c>
      <c r="L4" s="19">
        <f>IFERROR(VLOOKUP(A4,'Variable Input'!$1:$1048576,26,FALSE)*VLOOKUP(A4,Volume!A:K,11,FALSE),0)</f>
        <v>59584704.514455065</v>
      </c>
      <c r="M4" s="22">
        <f t="shared" si="3"/>
        <v>1111920490.66874</v>
      </c>
      <c r="N4" s="36">
        <f>VLOOKUP(A4,'Variable Input'!$1:$1048576,23,FALSE)</f>
        <v>0.99671861092415948</v>
      </c>
      <c r="O4" s="22">
        <f t="shared" si="4"/>
        <v>1115581146.4559343</v>
      </c>
      <c r="P4" s="27">
        <f>IFERROR(VLOOKUP(A4,'Variable Input'!$1:$1048576,7,FALSE),0)</f>
        <v>53406.112545307114</v>
      </c>
      <c r="Q4" s="18">
        <f t="shared" si="5"/>
        <v>20888.641642087881</v>
      </c>
      <c r="R4" s="18">
        <f t="shared" si="6"/>
        <v>1115581146.4559343</v>
      </c>
      <c r="S4" s="20">
        <f>IFERROR(VLOOKUP(A4,RESCMAD!$1:$1048576,8,FALSE),0)</f>
        <v>8.0070950123769438E-3</v>
      </c>
      <c r="T4" s="19">
        <f>IF(C4=5,(S4*P4)*IME!$L$7,(S4*P4)*IME!$L$8)</f>
        <v>148039618.5262197</v>
      </c>
      <c r="U4" s="19">
        <v>0</v>
      </c>
      <c r="V4" s="22">
        <f t="shared" si="7"/>
        <v>967541527.92971456</v>
      </c>
      <c r="W4" s="17">
        <f t="shared" si="8"/>
        <v>-0.13270179313851227</v>
      </c>
      <c r="X4" s="19">
        <f t="shared" ref="X4:X54" si="11">R4-T4-U4</f>
        <v>967541527.92971456</v>
      </c>
      <c r="Y4" s="15">
        <f t="shared" si="9"/>
        <v>18116.681439955024</v>
      </c>
    </row>
    <row r="5" spans="1:25" ht="18.75" customHeight="1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19">
        <f>IFERROR(VLOOKUP(A5,'Variable Input'!$1:$1048576,6,FALSE),0)</f>
        <v>379138438.61161411</v>
      </c>
      <c r="E5" s="19">
        <f t="shared" si="0"/>
        <v>22808.939516295475</v>
      </c>
      <c r="F5" s="19">
        <f>IFERROR(VLOOKUP(A5,'Drug Overhead'!$1:$1048576,13,FALSE)*VLOOKUP(A5,Volume!A:K,11,FALSE),0)</f>
        <v>459671.4824954826</v>
      </c>
      <c r="G5" s="19">
        <f t="shared" si="1"/>
        <v>379598110.09410959</v>
      </c>
      <c r="H5" s="19">
        <f t="shared" si="10"/>
        <v>22836.59331758241</v>
      </c>
      <c r="I5" s="36">
        <f>VLOOKUP(A5,'Variable Input'!$1:$1048576,8,FALSE)</f>
        <v>1.1150592197193865</v>
      </c>
      <c r="J5" s="19">
        <f t="shared" si="2"/>
        <v>340428654.71274114</v>
      </c>
      <c r="K5" s="63">
        <f>J5*(1-VLOOKUP(A5,PROFIT!$A$1:$IT$65527,7,FALSE))</f>
        <v>319587725.13393217</v>
      </c>
      <c r="L5" s="19">
        <f>IFERROR(VLOOKUP(A5,'Variable Input'!$1:$1048576,26,FALSE)*VLOOKUP(A5,Volume!A:K,11,FALSE),0)</f>
        <v>10600897.780621644</v>
      </c>
      <c r="M5" s="22">
        <f t="shared" si="3"/>
        <v>308986827.35331053</v>
      </c>
      <c r="N5" s="36">
        <f>VLOOKUP(A5,'Variable Input'!$1:$1048576,23,FALSE)</f>
        <v>1.0181752931904677</v>
      </c>
      <c r="O5" s="22">
        <f t="shared" si="4"/>
        <v>303471150.22315621</v>
      </c>
      <c r="P5" s="27">
        <f>IFERROR(VLOOKUP(A5,'Variable Input'!$1:$1048576,7,FALSE),0)</f>
        <v>16622.361523679996</v>
      </c>
      <c r="Q5" s="18">
        <f t="shared" si="5"/>
        <v>18256.801224713781</v>
      </c>
      <c r="R5" s="18">
        <f t="shared" si="6"/>
        <v>303471150.22315621</v>
      </c>
      <c r="S5" s="20">
        <f>IFERROR(VLOOKUP(A5,RESCMAD!$1:$1048576,8,FALSE),0)</f>
        <v>2.8876763347746859E-3</v>
      </c>
      <c r="T5" s="19">
        <f>IF(C5=5,(S5*P5)*IME!$L$7,(S5*P5)*IME!$L$8)</f>
        <v>6042638.3953012247</v>
      </c>
      <c r="U5" s="19">
        <v>0</v>
      </c>
      <c r="V5" s="22">
        <f t="shared" si="7"/>
        <v>297428511.82785499</v>
      </c>
      <c r="W5" s="17">
        <f t="shared" si="8"/>
        <v>-1.9911739191214028E-2</v>
      </c>
      <c r="X5" s="19">
        <f t="shared" si="11"/>
        <v>297428511.82785499</v>
      </c>
      <c r="Y5" s="15">
        <f t="shared" si="9"/>
        <v>17893.276560261445</v>
      </c>
    </row>
    <row r="6" spans="1:25" ht="18.75" customHeight="1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19">
        <f>IFERROR(VLOOKUP(A6,'Variable Input'!$1:$1048576,6,FALSE),0)</f>
        <v>560071845.3178103</v>
      </c>
      <c r="E6" s="19">
        <f t="shared" si="0"/>
        <v>15826.078939324987</v>
      </c>
      <c r="F6" s="19">
        <f>IFERROR(VLOOKUP(A6,'Drug Overhead'!$1:$1048576,13,FALSE)*VLOOKUP(A6,Volume!A:K,11,FALSE),0)</f>
        <v>2090680.9190701842</v>
      </c>
      <c r="G6" s="19">
        <f t="shared" si="1"/>
        <v>562162526.23688054</v>
      </c>
      <c r="H6" s="19">
        <f t="shared" si="10"/>
        <v>15885.15579087315</v>
      </c>
      <c r="I6" s="36">
        <f>VLOOKUP(A6,'Variable Input'!$1:$1048576,8,FALSE)</f>
        <v>1.1099846191041804</v>
      </c>
      <c r="J6" s="19">
        <f t="shared" si="2"/>
        <v>506459744.18147981</v>
      </c>
      <c r="K6" s="63">
        <f>J6*(1-VLOOKUP(A6,PROFIT!$A$1:$IT$65527,7,FALSE))</f>
        <v>458727360.55655724</v>
      </c>
      <c r="L6" s="19">
        <f>IFERROR(VLOOKUP(A6,'Variable Input'!$1:$1048576,26,FALSE)*VLOOKUP(A6,Volume!A:K,11,FALSE),0)</f>
        <v>1942313.1270902995</v>
      </c>
      <c r="M6" s="22">
        <f t="shared" si="3"/>
        <v>456785047.42946696</v>
      </c>
      <c r="N6" s="36">
        <f>VLOOKUP(A6,'Variable Input'!$1:$1048576,23,FALSE)</f>
        <v>1.0181752931904677</v>
      </c>
      <c r="O6" s="22">
        <f t="shared" si="4"/>
        <v>448631046.62275207</v>
      </c>
      <c r="P6" s="27">
        <f>IFERROR(VLOOKUP(A6,'Variable Input'!$1:$1048576,7,FALSE),0)</f>
        <v>35389.172988776867</v>
      </c>
      <c r="Q6" s="18">
        <f t="shared" si="5"/>
        <v>12677.070661273394</v>
      </c>
      <c r="R6" s="18">
        <f t="shared" si="6"/>
        <v>448631046.62275207</v>
      </c>
      <c r="S6" s="20">
        <f>IFERROR(VLOOKUP(A6,RESCMAD!$1:$1048576,8,FALSE),0)</f>
        <v>5.3688736964906027E-4</v>
      </c>
      <c r="T6" s="19">
        <f>IF(C6=5,(S6*P6)*IME!$L$7,(S6*P6)*IME!$L$8)</f>
        <v>2391877.6981400657</v>
      </c>
      <c r="U6" s="19">
        <v>0</v>
      </c>
      <c r="V6" s="22">
        <f t="shared" si="7"/>
        <v>446239168.92461199</v>
      </c>
      <c r="W6" s="17">
        <f t="shared" si="8"/>
        <v>-5.3315028376789142E-3</v>
      </c>
      <c r="X6" s="19">
        <f t="shared" si="11"/>
        <v>446239168.92461199</v>
      </c>
      <c r="Y6" s="15">
        <f t="shared" si="9"/>
        <v>12609.482823069358</v>
      </c>
    </row>
    <row r="7" spans="1:25" ht="18.75" customHeight="1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19">
        <f>IFERROR(VLOOKUP(A7,'Variable Input'!$1:$1048576,6,FALSE),0)</f>
        <v>403101812.74028164</v>
      </c>
      <c r="E7" s="19">
        <f t="shared" si="0"/>
        <v>16345.190741038119</v>
      </c>
      <c r="F7" s="19">
        <f>IFERROR(VLOOKUP(A7,'Drug Overhead'!$1:$1048576,13,FALSE)*VLOOKUP(A7,Volume!A:K,11,FALSE),0)</f>
        <v>99848.296926082141</v>
      </c>
      <c r="G7" s="19">
        <f t="shared" si="1"/>
        <v>403201661.03720772</v>
      </c>
      <c r="H7" s="19">
        <f t="shared" si="10"/>
        <v>16349.23944388897</v>
      </c>
      <c r="I7" s="36">
        <f>VLOOKUP(A7,'Variable Input'!$1:$1048576,8,FALSE)</f>
        <v>1.1133096880777904</v>
      </c>
      <c r="J7" s="19">
        <f t="shared" si="2"/>
        <v>362164872.32170278</v>
      </c>
      <c r="K7" s="63">
        <f>J7*(1-VLOOKUP(A7,PROFIT!$A$1:$IT$65527,7,FALSE))</f>
        <v>338902468.60380644</v>
      </c>
      <c r="L7" s="19">
        <f>IFERROR(VLOOKUP(A7,'Variable Input'!$1:$1048576,26,FALSE)*VLOOKUP(A7,Volume!A:K,11,FALSE),0)</f>
        <v>424862.32800000021</v>
      </c>
      <c r="M7" s="22">
        <f t="shared" si="3"/>
        <v>338477606.27580643</v>
      </c>
      <c r="N7" s="36">
        <f>VLOOKUP(A7,'Variable Input'!$1:$1048576,23,FALSE)</f>
        <v>0.99671861092415948</v>
      </c>
      <c r="O7" s="22">
        <f t="shared" si="4"/>
        <v>339591939.55651063</v>
      </c>
      <c r="P7" s="27">
        <f>IFERROR(VLOOKUP(A7,'Variable Input'!$1:$1048576,7,FALSE),0)</f>
        <v>24661.79924888902</v>
      </c>
      <c r="Q7" s="18">
        <f t="shared" si="5"/>
        <v>13769.957987627718</v>
      </c>
      <c r="R7" s="18">
        <f t="shared" si="6"/>
        <v>339591939.55651063</v>
      </c>
      <c r="S7" s="20">
        <f>IFERROR(VLOOKUP(A7,RESCMAD!$1:$1048576,8,FALSE),0)</f>
        <v>0</v>
      </c>
      <c r="T7" s="19">
        <f>IF(C7=5,(S7*P7)*IME!$L$7,(S7*P7)*IME!$L$8)</f>
        <v>0</v>
      </c>
      <c r="U7" s="19">
        <v>0</v>
      </c>
      <c r="V7" s="22">
        <f t="shared" si="7"/>
        <v>339591939.55651063</v>
      </c>
      <c r="W7" s="17">
        <f t="shared" si="8"/>
        <v>0</v>
      </c>
      <c r="X7" s="19">
        <f t="shared" si="11"/>
        <v>339591939.55651063</v>
      </c>
      <c r="Y7" s="15">
        <f t="shared" si="9"/>
        <v>13769.957987627718</v>
      </c>
    </row>
    <row r="8" spans="1:25" ht="18.75" customHeight="1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19">
        <f>IFERROR(VLOOKUP(A8,'Variable Input'!$1:$1048576,6,FALSE),0)</f>
        <v>114755783.67342256</v>
      </c>
      <c r="E8" s="19">
        <f t="shared" si="0"/>
        <v>17917.836302367868</v>
      </c>
      <c r="F8" s="19">
        <f>IFERROR(VLOOKUP(A8,'Drug Overhead'!$1:$1048576,13,FALSE)*VLOOKUP(A8,Volume!A:K,11,FALSE),0)</f>
        <v>482131.81749379146</v>
      </c>
      <c r="G8" s="19">
        <f t="shared" si="1"/>
        <v>115237915.49091636</v>
      </c>
      <c r="H8" s="19">
        <f t="shared" si="10"/>
        <v>17993.115810776799</v>
      </c>
      <c r="I8" s="36">
        <f>VLOOKUP(A8,'Variable Input'!$1:$1048576,8,FALSE)</f>
        <v>1.1180012832443968</v>
      </c>
      <c r="J8" s="19">
        <f t="shared" si="2"/>
        <v>103074940.26885223</v>
      </c>
      <c r="K8" s="63">
        <f>J8*(1-VLOOKUP(A8,PROFIT!$A$1:$IT$65527,7,FALSE))</f>
        <v>94182585.077894405</v>
      </c>
      <c r="L8" s="19">
        <f>IFERROR(VLOOKUP(A8,'Variable Input'!$1:$1048576,26,FALSE)*VLOOKUP(A8,Volume!A:K,11,FALSE),0)</f>
        <v>0</v>
      </c>
      <c r="M8" s="22">
        <f t="shared" si="3"/>
        <v>94182585.077894405</v>
      </c>
      <c r="N8" s="36">
        <f>VLOOKUP(A8,'Variable Input'!$1:$1048576,23,FALSE)</f>
        <v>0.99671861092415948</v>
      </c>
      <c r="O8" s="22">
        <f t="shared" si="4"/>
        <v>94492652.234684497</v>
      </c>
      <c r="P8" s="27">
        <f>IFERROR(VLOOKUP(A8,'Variable Input'!$1:$1048576,7,FALSE),0)</f>
        <v>6404.5558703010038</v>
      </c>
      <c r="Q8" s="18">
        <f t="shared" si="5"/>
        <v>14753.974225264037</v>
      </c>
      <c r="R8" s="18">
        <f t="shared" si="6"/>
        <v>94492652.234684497</v>
      </c>
      <c r="S8" s="20">
        <f>IFERROR(VLOOKUP(A8,RESCMAD!$1:$1048576,8,FALSE),0)</f>
        <v>0</v>
      </c>
      <c r="T8" s="19">
        <f>IF(C8=5,(S8*P8)*IME!$L$7,(S8*P8)*IME!$L$8)</f>
        <v>0</v>
      </c>
      <c r="U8" s="19">
        <v>0</v>
      </c>
      <c r="V8" s="22">
        <f t="shared" si="7"/>
        <v>94492652.234684497</v>
      </c>
      <c r="W8" s="17">
        <f t="shared" si="8"/>
        <v>0</v>
      </c>
      <c r="X8" s="19">
        <f t="shared" si="11"/>
        <v>94492652.234684497</v>
      </c>
      <c r="Y8" s="15">
        <f t="shared" si="9"/>
        <v>14753.974225264037</v>
      </c>
    </row>
    <row r="9" spans="1:25" ht="18.75" customHeight="1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19">
        <f>IFERROR(VLOOKUP(A9,'Variable Input'!$1:$1048576,6,FALSE),0)</f>
        <v>616154621.82218134</v>
      </c>
      <c r="E9" s="19">
        <f t="shared" si="0"/>
        <v>16568.781718879367</v>
      </c>
      <c r="F9" s="19">
        <f>IFERROR(VLOOKUP(A9,'Drug Overhead'!$1:$1048576,13,FALSE)*VLOOKUP(A9,Volume!A:K,11,FALSE),0)</f>
        <v>14280591.48015156</v>
      </c>
      <c r="G9" s="19">
        <f t="shared" si="1"/>
        <v>630435213.30233288</v>
      </c>
      <c r="H9" s="19">
        <f t="shared" si="10"/>
        <v>16952.79572229847</v>
      </c>
      <c r="I9" s="36">
        <f>VLOOKUP(A9,'Variable Input'!$1:$1048576,8,FALSE)</f>
        <v>1.1102695565875482</v>
      </c>
      <c r="J9" s="19">
        <f t="shared" si="2"/>
        <v>567821759.64546597</v>
      </c>
      <c r="K9" s="63">
        <f>J9*(1-VLOOKUP(A9,PROFIT!$A$1:$IT$65527,7,FALSE))</f>
        <v>512198074.17627144</v>
      </c>
      <c r="L9" s="19">
        <f>IFERROR(VLOOKUP(A9,'Variable Input'!$1:$1048576,26,FALSE)*VLOOKUP(A9,Volume!A:K,11,FALSE),0)</f>
        <v>5003207.6874727393</v>
      </c>
      <c r="M9" s="22">
        <f t="shared" si="3"/>
        <v>507194866.48879868</v>
      </c>
      <c r="N9" s="36">
        <f>VLOOKUP(A9,'Variable Input'!$1:$1048576,23,FALSE)</f>
        <v>0.99671861092415948</v>
      </c>
      <c r="O9" s="22">
        <f t="shared" si="4"/>
        <v>508864649.39038974</v>
      </c>
      <c r="P9" s="27">
        <f>IFERROR(VLOOKUP(A9,'Variable Input'!$1:$1048576,7,FALSE),0)</f>
        <v>37187.68418079293</v>
      </c>
      <c r="Q9" s="18">
        <f t="shared" si="5"/>
        <v>13683.687505693439</v>
      </c>
      <c r="R9" s="18">
        <f t="shared" si="6"/>
        <v>508864649.39038974</v>
      </c>
      <c r="S9" s="20">
        <f>IFERROR(VLOOKUP(A9,RESCMAD!$1:$1048576,8,FALSE),0)</f>
        <v>1.3017891569452743E-3</v>
      </c>
      <c r="T9" s="19">
        <f>IF(C9=5,(S9*P9)*IME!$L$7,(S9*P9)*IME!$L$8)</f>
        <v>6094318.5685720947</v>
      </c>
      <c r="U9" s="19">
        <v>0</v>
      </c>
      <c r="V9" s="22">
        <f t="shared" si="7"/>
        <v>502770330.82181764</v>
      </c>
      <c r="W9" s="17">
        <f t="shared" si="8"/>
        <v>-1.1976305636229534E-2</v>
      </c>
      <c r="X9" s="19">
        <f t="shared" si="11"/>
        <v>502770330.82181764</v>
      </c>
      <c r="Y9" s="15">
        <f t="shared" si="9"/>
        <v>13519.807481894597</v>
      </c>
    </row>
    <row r="10" spans="1:25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19">
        <f>IFERROR(VLOOKUP(A10,'Variable Input'!$1:$1048576,6,FALSE),0)</f>
        <v>2316322513.6232748</v>
      </c>
      <c r="E10" s="19">
        <f t="shared" si="0"/>
        <v>22248.409950625879</v>
      </c>
      <c r="F10" s="19">
        <f>IFERROR(VLOOKUP(A10,'Drug Overhead'!$1:$1048576,13,FALSE)*VLOOKUP(A10,Volume!A:K,11,FALSE),0)</f>
        <v>110444739.43892661</v>
      </c>
      <c r="G10" s="19">
        <f t="shared" si="1"/>
        <v>2426767253.0622015</v>
      </c>
      <c r="H10" s="19">
        <f t="shared" si="10"/>
        <v>23309.23797672127</v>
      </c>
      <c r="I10" s="36">
        <f>VLOOKUP(A10,'Variable Input'!$1:$1048576,8,FALSE)</f>
        <v>1.106052155233989</v>
      </c>
      <c r="J10" s="19">
        <f t="shared" si="2"/>
        <v>2194080307.67664</v>
      </c>
      <c r="K10" s="63">
        <f>J10*(1-VLOOKUP(A10,PROFIT!$A$1:$IT$65527,7,FALSE))</f>
        <v>2101826405.7239029</v>
      </c>
      <c r="L10" s="19">
        <f>IFERROR(VLOOKUP(A10,'Variable Input'!$1:$1048576,26,FALSE)*VLOOKUP(A10,Volume!A:K,11,FALSE),0)</f>
        <v>121878078.47076836</v>
      </c>
      <c r="M10" s="22">
        <f t="shared" si="3"/>
        <v>1979948327.2531345</v>
      </c>
      <c r="N10" s="36">
        <f>VLOOKUP(A10,'Variable Input'!$1:$1048576,23,FALSE)</f>
        <v>0.99671861092415948</v>
      </c>
      <c r="O10" s="22">
        <f t="shared" si="4"/>
        <v>1986466697.3734167</v>
      </c>
      <c r="P10" s="27">
        <f>IFERROR(VLOOKUP(A10,'Variable Input'!$1:$1048576,7,FALSE),0)</f>
        <v>104111.82276682714</v>
      </c>
      <c r="Q10" s="18">
        <f t="shared" si="5"/>
        <v>19080.126008574302</v>
      </c>
      <c r="R10" s="18">
        <f t="shared" si="6"/>
        <v>1986466697.3734167</v>
      </c>
      <c r="S10" s="20">
        <f>IFERROR(VLOOKUP(A10,RESCMAD!$1:$1048576,8,FALSE),0)</f>
        <v>7.4942478105740583E-3</v>
      </c>
      <c r="T10" s="19">
        <f>IF(C10=5,(S10*P10)*IME!$L$7,(S10*P10)*IME!$L$8)</f>
        <v>270109655.23605543</v>
      </c>
      <c r="U10" s="19">
        <v>0</v>
      </c>
      <c r="V10" s="22">
        <f t="shared" si="7"/>
        <v>1716357042.1373613</v>
      </c>
      <c r="W10" s="17">
        <f t="shared" si="8"/>
        <v>-0.13597492250597754</v>
      </c>
      <c r="X10" s="19">
        <f t="shared" si="11"/>
        <v>1716357042.1373613</v>
      </c>
      <c r="Y10" s="15">
        <f t="shared" si="9"/>
        <v>16485.707353154125</v>
      </c>
    </row>
    <row r="11" spans="1:25" ht="18.75" customHeight="1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19">
        <f>IFERROR(VLOOKUP(A11,'Variable Input'!$1:$1048576,6,FALSE),0)</f>
        <v>13957386.461778674</v>
      </c>
      <c r="E11" s="19">
        <f t="shared" si="0"/>
        <v>11773.517709597803</v>
      </c>
      <c r="F11" s="19">
        <f>IFERROR(VLOOKUP(A11,'Drug Overhead'!$1:$1048576,13,FALSE)*VLOOKUP(A11,Volume!A:K,11,FALSE),0)</f>
        <v>22729.504084101292</v>
      </c>
      <c r="G11" s="19">
        <f t="shared" si="1"/>
        <v>13980115.965862775</v>
      </c>
      <c r="H11" s="19">
        <f t="shared" si="10"/>
        <v>11792.690799029508</v>
      </c>
      <c r="I11" s="36">
        <f>VLOOKUP(A11,'Variable Input'!$1:$1048576,8,FALSE)</f>
        <v>1.1237799950517624</v>
      </c>
      <c r="J11" s="19">
        <f t="shared" si="2"/>
        <v>12440260.573617738</v>
      </c>
      <c r="K11" s="63" t="e">
        <f>J11*(1-VLOOKUP(A11,PROFIT!$A$1:$IT$65527,7,FALSE))</f>
        <v>#N/A</v>
      </c>
      <c r="L11" s="19">
        <f>IFERROR(VLOOKUP(A11,'Variable Input'!$1:$1048576,26,FALSE)*VLOOKUP(A11,Volume!A:K,11,FALSE),0)</f>
        <v>62612.30027663122</v>
      </c>
      <c r="M11" s="22" t="e">
        <f t="shared" si="3"/>
        <v>#N/A</v>
      </c>
      <c r="N11" s="36">
        <f>VLOOKUP(A11,'Variable Input'!$1:$1048576,23,FALSE)</f>
        <v>0.99671861092415948</v>
      </c>
      <c r="O11" s="22" t="e">
        <f t="shared" si="4"/>
        <v>#N/A</v>
      </c>
      <c r="P11" s="27">
        <f>IFERROR(VLOOKUP(A11,'Variable Input'!$1:$1048576,7,FALSE),0)</f>
        <v>1185.4899110060007</v>
      </c>
      <c r="Q11" s="18">
        <f t="shared" si="5"/>
        <v>0</v>
      </c>
      <c r="R11" s="18">
        <f t="shared" si="6"/>
        <v>0</v>
      </c>
      <c r="S11" s="20">
        <f>IFERROR(VLOOKUP(A11,RESCMAD!$1:$1048576,8,FALSE),0)</f>
        <v>0</v>
      </c>
      <c r="T11" s="19">
        <f>IF(C11=5,(S11*P11)*IME!$L$7,(S11*P11)*IME!$L$8)</f>
        <v>0</v>
      </c>
      <c r="U11" s="19">
        <v>0</v>
      </c>
      <c r="V11" s="22">
        <f t="shared" si="7"/>
        <v>0</v>
      </c>
      <c r="W11" s="17">
        <f t="shared" si="8"/>
        <v>0</v>
      </c>
      <c r="X11" s="19">
        <f t="shared" si="11"/>
        <v>0</v>
      </c>
      <c r="Y11" s="15">
        <f t="shared" si="9"/>
        <v>0</v>
      </c>
    </row>
    <row r="12" spans="1:25" ht="18.75" customHeight="1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19">
        <f>IFERROR(VLOOKUP(A12,'Variable Input'!$1:$1048576,6,FALSE),0)</f>
        <v>447394832.37144083</v>
      </c>
      <c r="E12" s="19">
        <f t="shared" si="0"/>
        <v>18457.126259581502</v>
      </c>
      <c r="F12" s="19">
        <f>IFERROR(VLOOKUP(A12,'Drug Overhead'!$1:$1048576,13,FALSE)*VLOOKUP(A12,Volume!A:K,11,FALSE),0)</f>
        <v>15898105.714453403</v>
      </c>
      <c r="G12" s="19">
        <f t="shared" si="1"/>
        <v>463292938.08589423</v>
      </c>
      <c r="H12" s="19">
        <f t="shared" si="10"/>
        <v>19112.997367668471</v>
      </c>
      <c r="I12" s="36">
        <f>VLOOKUP(A12,'Variable Input'!$1:$1048576,8,FALSE)</f>
        <v>1.1208321340194023</v>
      </c>
      <c r="J12" s="19">
        <f t="shared" si="2"/>
        <v>413347301.54861385</v>
      </c>
      <c r="K12" s="63">
        <f>J12*(1-VLOOKUP(A12,PROFIT!$A$1:$IT$65527,7,FALSE))</f>
        <v>334875436.42143035</v>
      </c>
      <c r="L12" s="19">
        <f>IFERROR(VLOOKUP(A12,'Variable Input'!$1:$1048576,26,FALSE)*VLOOKUP(A12,Volume!A:K,11,FALSE),0)</f>
        <v>5944161.5154257026</v>
      </c>
      <c r="M12" s="22">
        <f t="shared" si="3"/>
        <v>328931274.90600467</v>
      </c>
      <c r="N12" s="36">
        <f>VLOOKUP(A12,'Variable Input'!$1:$1048576,23,FALSE)</f>
        <v>0.99671861092415948</v>
      </c>
      <c r="O12" s="22">
        <f t="shared" si="4"/>
        <v>330014179.8305732</v>
      </c>
      <c r="P12" s="27">
        <f>IFERROR(VLOOKUP(A12,'Variable Input'!$1:$1048576,7,FALSE),0)</f>
        <v>24239.679898120015</v>
      </c>
      <c r="Q12" s="18">
        <f t="shared" si="5"/>
        <v>13614.626150907567</v>
      </c>
      <c r="R12" s="18">
        <f t="shared" si="6"/>
        <v>330014179.8305732</v>
      </c>
      <c r="S12" s="20">
        <f>IFERROR(VLOOKUP(A12,RESCMAD!$1:$1048576,8,FALSE),0)</f>
        <v>2.6691771620720953E-3</v>
      </c>
      <c r="T12" s="19">
        <f>IF(C12=5,(S12*P12)*IME!$L$7,(S12*P12)*IME!$L$8)</f>
        <v>8144973.00366644</v>
      </c>
      <c r="U12" s="19">
        <v>0</v>
      </c>
      <c r="V12" s="22">
        <f t="shared" si="7"/>
        <v>321869206.82690674</v>
      </c>
      <c r="W12" s="17">
        <f t="shared" si="8"/>
        <v>-2.468067586625533E-2</v>
      </c>
      <c r="X12" s="19">
        <f t="shared" si="11"/>
        <v>321869206.82690674</v>
      </c>
      <c r="Y12" s="15">
        <f t="shared" si="9"/>
        <v>13278.607975836774</v>
      </c>
    </row>
    <row r="13" spans="1:25" ht="18.75" customHeight="1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19">
        <f>IFERROR(VLOOKUP(A13,'Variable Input'!$1:$1048576,6,FALSE),0)</f>
        <v>820426817.23668432</v>
      </c>
      <c r="E13" s="19">
        <f t="shared" si="0"/>
        <v>20911.421335996161</v>
      </c>
      <c r="F13" s="19">
        <f>IFERROR(VLOOKUP(A13,'Drug Overhead'!$1:$1048576,13,FALSE)*VLOOKUP(A13,Volume!A:K,11,FALSE),0)</f>
        <v>33441958.098435093</v>
      </c>
      <c r="G13" s="19">
        <f t="shared" si="1"/>
        <v>853868775.33511937</v>
      </c>
      <c r="H13" s="19">
        <f t="shared" si="10"/>
        <v>21763.805560164397</v>
      </c>
      <c r="I13" s="36">
        <f>VLOOKUP(A13,'Variable Input'!$1:$1048576,8,FALSE)</f>
        <v>1.1214469245143464</v>
      </c>
      <c r="J13" s="19">
        <f t="shared" si="2"/>
        <v>761399185.88202083</v>
      </c>
      <c r="K13" s="63">
        <f>J13*(1-VLOOKUP(A13,PROFIT!$A$1:$IT$65527,7,FALSE))</f>
        <v>653192721.82398355</v>
      </c>
      <c r="L13" s="19">
        <f>IFERROR(VLOOKUP(A13,'Variable Input'!$1:$1048576,26,FALSE)*VLOOKUP(A13,Volume!A:K,11,FALSE),0)</f>
        <v>20760568.355981968</v>
      </c>
      <c r="M13" s="22">
        <f t="shared" si="3"/>
        <v>632432153.4680016</v>
      </c>
      <c r="N13" s="36">
        <f>VLOOKUP(A13,'Variable Input'!$1:$1048576,23,FALSE)</f>
        <v>0.99671861092415948</v>
      </c>
      <c r="O13" s="22">
        <f t="shared" si="4"/>
        <v>634514241.5687505</v>
      </c>
      <c r="P13" s="27">
        <f>IFERROR(VLOOKUP(A13,'Variable Input'!$1:$1048576,7,FALSE),0)</f>
        <v>39233.431532673072</v>
      </c>
      <c r="Q13" s="18">
        <f t="shared" si="5"/>
        <v>16172.794904272791</v>
      </c>
      <c r="R13" s="18">
        <f t="shared" si="6"/>
        <v>634514241.5687505</v>
      </c>
      <c r="S13" s="20">
        <f>IFERROR(VLOOKUP(A13,RESCMAD!$1:$1048576,8,FALSE),0)</f>
        <v>3.2115467619769343E-3</v>
      </c>
      <c r="T13" s="19">
        <f>IF(C13=5,(S13*P13)*IME!$L$7,(S13*P13)*IME!$L$8)</f>
        <v>15861925.787665704</v>
      </c>
      <c r="U13" s="19">
        <v>0</v>
      </c>
      <c r="V13" s="22">
        <f t="shared" si="7"/>
        <v>618652315.78108478</v>
      </c>
      <c r="W13" s="17">
        <f t="shared" si="8"/>
        <v>-2.499853391540785E-2</v>
      </c>
      <c r="X13" s="19">
        <f t="shared" si="11"/>
        <v>618652315.78108478</v>
      </c>
      <c r="Y13" s="15">
        <f t="shared" si="9"/>
        <v>15768.498742351392</v>
      </c>
    </row>
    <row r="14" spans="1:25" ht="18.75" customHeight="1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19">
        <f>IFERROR(VLOOKUP(A14,'Variable Input'!$1:$1048576,6,FALSE),0)</f>
        <v>24685753.024731949</v>
      </c>
      <c r="E14" s="19">
        <f t="shared" si="0"/>
        <v>15346.810938105695</v>
      </c>
      <c r="F14" s="19">
        <f>IFERROR(VLOOKUP(A14,'Drug Overhead'!$1:$1048576,13,FALSE)*VLOOKUP(A14,Volume!A:K,11,FALSE),0)</f>
        <v>41706.133335082472</v>
      </c>
      <c r="G14" s="19">
        <f t="shared" si="1"/>
        <v>24727459.158067033</v>
      </c>
      <c r="H14" s="19">
        <f t="shared" si="10"/>
        <v>15372.739097664438</v>
      </c>
      <c r="I14" s="36">
        <f>VLOOKUP(A14,'Variable Input'!$1:$1048576,8,FALSE)</f>
        <v>1.1357641348932981</v>
      </c>
      <c r="J14" s="19">
        <f t="shared" si="2"/>
        <v>21771649.938911047</v>
      </c>
      <c r="K14" s="63" t="e">
        <f>J14*(1-VLOOKUP(A14,PROFIT!$A$1:$IT$65527,7,FALSE))</f>
        <v>#N/A</v>
      </c>
      <c r="L14" s="19">
        <f>IFERROR(VLOOKUP(A14,'Variable Input'!$1:$1048576,26,FALSE)*VLOOKUP(A14,Volume!A:K,11,FALSE),0)</f>
        <v>0</v>
      </c>
      <c r="M14" s="22" t="e">
        <f t="shared" si="3"/>
        <v>#N/A</v>
      </c>
      <c r="N14" s="36">
        <f>VLOOKUP(A14,'Variable Input'!$1:$1048576,23,FALSE)</f>
        <v>0.99671861092415948</v>
      </c>
      <c r="O14" s="22" t="e">
        <f t="shared" si="4"/>
        <v>#N/A</v>
      </c>
      <c r="P14" s="27">
        <f>IFERROR(VLOOKUP(A14,'Variable Input'!$1:$1048576,7,FALSE),0)</f>
        <v>1608.5265612699982</v>
      </c>
      <c r="Q14" s="18">
        <f t="shared" si="5"/>
        <v>0</v>
      </c>
      <c r="R14" s="18">
        <f t="shared" si="6"/>
        <v>0</v>
      </c>
      <c r="S14" s="20">
        <f>IFERROR(VLOOKUP(A14,RESCMAD!$1:$1048576,8,FALSE),0)</f>
        <v>0</v>
      </c>
      <c r="T14" s="19">
        <f>IF(C14=5,(S14*P14)*IME!$L$7,(S14*P14)*IME!$L$8)</f>
        <v>0</v>
      </c>
      <c r="U14" s="19">
        <v>0</v>
      </c>
      <c r="V14" s="22">
        <f t="shared" si="7"/>
        <v>0</v>
      </c>
      <c r="W14" s="17">
        <f t="shared" si="8"/>
        <v>0</v>
      </c>
      <c r="X14" s="19">
        <f t="shared" si="11"/>
        <v>0</v>
      </c>
      <c r="Y14" s="15">
        <f t="shared" si="9"/>
        <v>0</v>
      </c>
    </row>
    <row r="15" spans="1:25" ht="18.75" customHeight="1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19">
        <f>IFERROR(VLOOKUP(A15,'Variable Input'!$1:$1048576,6,FALSE),0)</f>
        <v>584590033.71573627</v>
      </c>
      <c r="E15" s="19">
        <f t="shared" si="0"/>
        <v>15843.930802476234</v>
      </c>
      <c r="F15" s="19">
        <f>IFERROR(VLOOKUP(A15,'Drug Overhead'!$1:$1048576,13,FALSE)*VLOOKUP(A15,Volume!A:K,11,FALSE),0)</f>
        <v>20201193.958397634</v>
      </c>
      <c r="G15" s="19">
        <f t="shared" si="1"/>
        <v>604791227.6741339</v>
      </c>
      <c r="H15" s="19">
        <f t="shared" si="10"/>
        <v>16391.436405967052</v>
      </c>
      <c r="I15" s="36">
        <f>VLOOKUP(A15,'Variable Input'!$1:$1048576,8,FALSE)</f>
        <v>1.1215228084765592</v>
      </c>
      <c r="J15" s="19">
        <f t="shared" si="2"/>
        <v>539258963.88648844</v>
      </c>
      <c r="K15" s="63">
        <f>J15*(1-VLOOKUP(A15,PROFIT!$A$1:$IT$65527,7,FALSE))</f>
        <v>510996030.08999103</v>
      </c>
      <c r="L15" s="19">
        <f>IFERROR(VLOOKUP(A15,'Variable Input'!$1:$1048576,26,FALSE)*VLOOKUP(A15,Volume!A:K,11,FALSE),0)</f>
        <v>10719878.177063769</v>
      </c>
      <c r="M15" s="22">
        <f t="shared" si="3"/>
        <v>500276151.91292727</v>
      </c>
      <c r="N15" s="36">
        <f>VLOOKUP(A15,'Variable Input'!$1:$1048576,23,FALSE)</f>
        <v>0.99671861092415948</v>
      </c>
      <c r="O15" s="22">
        <f t="shared" si="4"/>
        <v>501923157.07747269</v>
      </c>
      <c r="P15" s="27">
        <f>IFERROR(VLOOKUP(A15,'Variable Input'!$1:$1048576,7,FALSE),0)</f>
        <v>36896.780287905021</v>
      </c>
      <c r="Q15" s="18">
        <f t="shared" si="5"/>
        <v>13603.440548497019</v>
      </c>
      <c r="R15" s="18">
        <f t="shared" si="6"/>
        <v>501923157.07747269</v>
      </c>
      <c r="S15" s="20">
        <f>IFERROR(VLOOKUP(A15,RESCMAD!$1:$1048576,8,FALSE),0)</f>
        <v>2.1140055959183207E-3</v>
      </c>
      <c r="T15" s="19">
        <f>IF(C15=5,(S15*P15)*IME!$L$7,(S15*P15)*IME!$L$8)</f>
        <v>9819287.3923644871</v>
      </c>
      <c r="U15" s="19">
        <v>0</v>
      </c>
      <c r="V15" s="22">
        <f t="shared" si="7"/>
        <v>492103869.68510818</v>
      </c>
      <c r="W15" s="17">
        <f t="shared" si="8"/>
        <v>-1.9563328079020836E-2</v>
      </c>
      <c r="X15" s="19">
        <f t="shared" si="11"/>
        <v>492103869.68510818</v>
      </c>
      <c r="Y15" s="15">
        <f t="shared" si="9"/>
        <v>13337.311978043317</v>
      </c>
    </row>
    <row r="16" spans="1:25" ht="18.75" customHeight="1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19">
        <f>IFERROR(VLOOKUP(A16,'Variable Input'!$1:$1048576,6,FALSE),0)</f>
        <v>348459464.41440386</v>
      </c>
      <c r="E16" s="19">
        <f t="shared" si="0"/>
        <v>17866.506117103032</v>
      </c>
      <c r="F16" s="19">
        <f>IFERROR(VLOOKUP(A16,'Drug Overhead'!$1:$1048576,13,FALSE)*VLOOKUP(A16,Volume!A:K,11,FALSE),0)</f>
        <v>479652.43146501947</v>
      </c>
      <c r="G16" s="19">
        <f t="shared" si="1"/>
        <v>348939116.84586889</v>
      </c>
      <c r="H16" s="19">
        <f t="shared" si="10"/>
        <v>17891.099259135364</v>
      </c>
      <c r="I16" s="36">
        <f>VLOOKUP(A16,'Variable Input'!$1:$1048576,8,FALSE)</f>
        <v>1.1206186736274211</v>
      </c>
      <c r="J16" s="19">
        <f t="shared" si="2"/>
        <v>311380780.15098542</v>
      </c>
      <c r="K16" s="63">
        <f>J16*(1-VLOOKUP(A16,PROFIT!$A$1:$IT$65527,7,FALSE))</f>
        <v>282729351.36970454</v>
      </c>
      <c r="L16" s="19">
        <f>IFERROR(VLOOKUP(A16,'Variable Input'!$1:$1048576,26,FALSE)*VLOOKUP(A16,Volume!A:K,11,FALSE),0)</f>
        <v>0</v>
      </c>
      <c r="M16" s="22">
        <f t="shared" si="3"/>
        <v>282729351.36970454</v>
      </c>
      <c r="N16" s="36">
        <f>VLOOKUP(A16,'Variable Input'!$1:$1048576,23,FALSE)</f>
        <v>1.0181752931904677</v>
      </c>
      <c r="O16" s="22">
        <f t="shared" si="4"/>
        <v>277682392.47268301</v>
      </c>
      <c r="P16" s="27">
        <f>IFERROR(VLOOKUP(A16,'Variable Input'!$1:$1048576,7,FALSE),0)</f>
        <v>19503.503490301038</v>
      </c>
      <c r="Q16" s="18">
        <f t="shared" si="5"/>
        <v>14237.564682200436</v>
      </c>
      <c r="R16" s="18">
        <f t="shared" si="6"/>
        <v>277682392.47268301</v>
      </c>
      <c r="S16" s="20">
        <f>IFERROR(VLOOKUP(A16,RESCMAD!$1:$1048576,8,FALSE),0)</f>
        <v>0</v>
      </c>
      <c r="T16" s="19">
        <f>IF(C16=5,(S16*P16)*IME!$L$7,(S16*P16)*IME!$L$8)</f>
        <v>0</v>
      </c>
      <c r="U16" s="19">
        <v>0</v>
      </c>
      <c r="V16" s="22">
        <f t="shared" si="7"/>
        <v>277682392.47268301</v>
      </c>
      <c r="W16" s="17">
        <f t="shared" si="8"/>
        <v>0</v>
      </c>
      <c r="X16" s="19">
        <f t="shared" si="11"/>
        <v>277682392.47268301</v>
      </c>
      <c r="Y16" s="15">
        <f t="shared" si="9"/>
        <v>14237.564682200436</v>
      </c>
    </row>
    <row r="17" spans="1:25" ht="18.75" customHeight="1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19">
        <f>IFERROR(VLOOKUP(A17,'Variable Input'!$1:$1048576,6,FALSE),0)</f>
        <v>72534416.621152684</v>
      </c>
      <c r="E17" s="19">
        <f t="shared" si="0"/>
        <v>12811.28647531155</v>
      </c>
      <c r="F17" s="19">
        <f>IFERROR(VLOOKUP(A17,'Drug Overhead'!$1:$1048576,13,FALSE)*VLOOKUP(A17,Volume!A:K,11,FALSE),0)</f>
        <v>1106601.9848885359</v>
      </c>
      <c r="G17" s="19">
        <f t="shared" si="1"/>
        <v>73641018.606041223</v>
      </c>
      <c r="H17" s="19">
        <f t="shared" si="10"/>
        <v>13006.738451117766</v>
      </c>
      <c r="I17" s="36">
        <f>VLOOKUP(A17,'Variable Input'!$1:$1048576,8,FALSE)</f>
        <v>1.1207568789217148</v>
      </c>
      <c r="J17" s="19">
        <f t="shared" si="2"/>
        <v>65706506.01483845</v>
      </c>
      <c r="K17" s="63">
        <f>J17*(1-VLOOKUP(A17,PROFIT!$A$1:$IT$65527,7,FALSE))</f>
        <v>58546426.985040635</v>
      </c>
      <c r="L17" s="19">
        <f>IFERROR(VLOOKUP(A17,'Variable Input'!$1:$1048576,26,FALSE)*VLOOKUP(A17,Volume!A:K,11,FALSE),0)</f>
        <v>0</v>
      </c>
      <c r="M17" s="22">
        <f t="shared" si="3"/>
        <v>58546426.985040635</v>
      </c>
      <c r="N17" s="36">
        <f>VLOOKUP(A17,'Variable Input'!$1:$1048576,23,FALSE)</f>
        <v>0.99671861092415948</v>
      </c>
      <c r="O17" s="22">
        <f t="shared" si="4"/>
        <v>58739173.065862864</v>
      </c>
      <c r="P17" s="27">
        <f>IFERROR(VLOOKUP(A17,'Variable Input'!$1:$1048576,7,FALSE),0)</f>
        <v>5661.7590092090077</v>
      </c>
      <c r="Q17" s="18">
        <f t="shared" si="5"/>
        <v>10374.721525646353</v>
      </c>
      <c r="R17" s="18">
        <f t="shared" si="6"/>
        <v>58739173.065862864</v>
      </c>
      <c r="S17" s="20">
        <f>IFERROR(VLOOKUP(A17,RESCMAD!$1:$1048576,8,FALSE),0)</f>
        <v>0</v>
      </c>
      <c r="T17" s="19">
        <f>IF(C17=5,(S17*P17)*IME!$L$7,(S17*P17)*IME!$L$8)</f>
        <v>0</v>
      </c>
      <c r="U17" s="19">
        <v>0</v>
      </c>
      <c r="V17" s="22">
        <f t="shared" si="7"/>
        <v>58739173.065862864</v>
      </c>
      <c r="W17" s="17">
        <f t="shared" si="8"/>
        <v>0</v>
      </c>
      <c r="X17" s="19">
        <f t="shared" si="11"/>
        <v>58739173.065862864</v>
      </c>
      <c r="Y17" s="15">
        <f t="shared" si="9"/>
        <v>10374.721525646353</v>
      </c>
    </row>
    <row r="18" spans="1:25" ht="18.75" customHeight="1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19">
        <f>IFERROR(VLOOKUP(A18,'Variable Input'!$1:$1048576,6,FALSE),0)</f>
        <v>191380034.25950557</v>
      </c>
      <c r="E18" s="19">
        <f t="shared" si="0"/>
        <v>16179.39141273775</v>
      </c>
      <c r="F18" s="19">
        <f>IFERROR(VLOOKUP(A18,'Drug Overhead'!$1:$1048576,13,FALSE)*VLOOKUP(A18,Volume!A:K,11,FALSE),0)</f>
        <v>5273979.4219849585</v>
      </c>
      <c r="G18" s="19">
        <f t="shared" si="1"/>
        <v>196654013.68149054</v>
      </c>
      <c r="H18" s="19">
        <f t="shared" si="10"/>
        <v>16625.257031380679</v>
      </c>
      <c r="I18" s="36">
        <f>VLOOKUP(A18,'Variable Input'!$1:$1048576,8,FALSE)</f>
        <v>1.1159266108518389</v>
      </c>
      <c r="J18" s="19">
        <f t="shared" si="2"/>
        <v>176224862.6111491</v>
      </c>
      <c r="K18" s="63">
        <f>J18*(1-VLOOKUP(A18,PROFIT!$A$1:$IT$65527,7,FALSE))</f>
        <v>173232333.58568579</v>
      </c>
      <c r="L18" s="19">
        <f>IFERROR(VLOOKUP(A18,'Variable Input'!$1:$1048576,26,FALSE)*VLOOKUP(A18,Volume!A:K,11,FALSE),0)</f>
        <v>0</v>
      </c>
      <c r="M18" s="22">
        <f t="shared" si="3"/>
        <v>173232333.58568579</v>
      </c>
      <c r="N18" s="36">
        <f>VLOOKUP(A18,'Variable Input'!$1:$1048576,23,FALSE)</f>
        <v>1.0181752931904677</v>
      </c>
      <c r="O18" s="22">
        <f t="shared" si="4"/>
        <v>170139989.39500844</v>
      </c>
      <c r="P18" s="27">
        <f>IFERROR(VLOOKUP(A18,'Variable Input'!$1:$1048576,7,FALSE),0)</f>
        <v>11828.629976083985</v>
      </c>
      <c r="Q18" s="18">
        <f t="shared" si="5"/>
        <v>14383.744333791004</v>
      </c>
      <c r="R18" s="18">
        <f t="shared" si="6"/>
        <v>170139989.39500844</v>
      </c>
      <c r="S18" s="20">
        <f>IFERROR(VLOOKUP(A18,RESCMAD!$1:$1048576,8,FALSE),0)</f>
        <v>0</v>
      </c>
      <c r="T18" s="19">
        <f>IF(C18=5,(S18*P18)*IME!$L$7,(S18*P18)*IME!$L$8)</f>
        <v>0</v>
      </c>
      <c r="U18" s="19">
        <v>0</v>
      </c>
      <c r="V18" s="22">
        <f t="shared" si="7"/>
        <v>170139989.39500844</v>
      </c>
      <c r="W18" s="17">
        <f t="shared" si="8"/>
        <v>0</v>
      </c>
      <c r="X18" s="19">
        <f t="shared" si="11"/>
        <v>170139989.39500844</v>
      </c>
      <c r="Y18" s="15">
        <f t="shared" si="9"/>
        <v>14383.744333791004</v>
      </c>
    </row>
    <row r="19" spans="1:25" ht="18.75" customHeight="1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19">
        <f>IFERROR(VLOOKUP(A19,'Variable Input'!$1:$1048576,6,FALSE),0)</f>
        <v>507580746.06614465</v>
      </c>
      <c r="E19" s="19">
        <f t="shared" si="0"/>
        <v>14267.786782122696</v>
      </c>
      <c r="F19" s="19">
        <f>IFERROR(VLOOKUP(A19,'Drug Overhead'!$1:$1048576,13,FALSE)*VLOOKUP(A19,Volume!A:K,11,FALSE),0)</f>
        <v>7155427.5335690174</v>
      </c>
      <c r="G19" s="19">
        <f t="shared" si="1"/>
        <v>514736173.59971368</v>
      </c>
      <c r="H19" s="19">
        <f t="shared" si="10"/>
        <v>14468.921508321686</v>
      </c>
      <c r="I19" s="36">
        <f>VLOOKUP(A19,'Variable Input'!$1:$1048576,8,FALSE)</f>
        <v>1.1235285459397526</v>
      </c>
      <c r="J19" s="19">
        <f t="shared" si="2"/>
        <v>458142497.09977156</v>
      </c>
      <c r="K19" s="63">
        <f>J19*(1-VLOOKUP(A19,PROFIT!$A$1:$IT$65527,7,FALSE))</f>
        <v>413447863.45143002</v>
      </c>
      <c r="L19" s="19">
        <f>IFERROR(VLOOKUP(A19,'Variable Input'!$1:$1048576,26,FALSE)*VLOOKUP(A19,Volume!A:K,11,FALSE),0)</f>
        <v>3385733.4707238162</v>
      </c>
      <c r="M19" s="22">
        <f t="shared" si="3"/>
        <v>410062129.98070621</v>
      </c>
      <c r="N19" s="36">
        <f>VLOOKUP(A19,'Variable Input'!$1:$1048576,23,FALSE)</f>
        <v>0.99671861092415948</v>
      </c>
      <c r="O19" s="22">
        <f t="shared" si="4"/>
        <v>411412133.26045531</v>
      </c>
      <c r="P19" s="27">
        <f>IFERROR(VLOOKUP(A19,'Variable Input'!$1:$1048576,7,FALSE),0)</f>
        <v>35575.296562612995</v>
      </c>
      <c r="Q19" s="18">
        <f t="shared" si="5"/>
        <v>11564.545429336464</v>
      </c>
      <c r="R19" s="18">
        <f t="shared" si="6"/>
        <v>411412133.26045531</v>
      </c>
      <c r="S19" s="20">
        <f>IFERROR(VLOOKUP(A19,RESCMAD!$1:$1048576,8,FALSE),0)</f>
        <v>2.8109393220095488E-4</v>
      </c>
      <c r="T19" s="19">
        <f>IF(C19=5,(S19*P19)*IME!$L$7,(S19*P19)*IME!$L$8)</f>
        <v>1258882.999021088</v>
      </c>
      <c r="U19" s="19">
        <v>0</v>
      </c>
      <c r="V19" s="22">
        <f t="shared" si="7"/>
        <v>410153250.2614342</v>
      </c>
      <c r="W19" s="17">
        <f t="shared" si="8"/>
        <v>-3.0599073222377093E-3</v>
      </c>
      <c r="X19" s="19">
        <f t="shared" si="11"/>
        <v>410153250.2614342</v>
      </c>
      <c r="Y19" s="15">
        <f t="shared" si="9"/>
        <v>11529.158992098886</v>
      </c>
    </row>
    <row r="20" spans="1:25" ht="18.75" customHeight="1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19">
        <f>IFERROR(VLOOKUP(A20,'Variable Input'!$1:$1048576,6,FALSE),0)</f>
        <v>397812348.9639039</v>
      </c>
      <c r="E20" s="19">
        <f t="shared" si="0"/>
        <v>15970.572390470126</v>
      </c>
      <c r="F20" s="19">
        <f>IFERROR(VLOOKUP(A20,'Drug Overhead'!$1:$1048576,13,FALSE)*VLOOKUP(A20,Volume!A:K,11,FALSE),0)</f>
        <v>552266.43523613329</v>
      </c>
      <c r="G20" s="19">
        <f t="shared" si="1"/>
        <v>398364615.39914006</v>
      </c>
      <c r="H20" s="19">
        <f t="shared" si="10"/>
        <v>15992.743675765159</v>
      </c>
      <c r="I20" s="36">
        <f>VLOOKUP(A20,'Variable Input'!$1:$1048576,8,FALSE)</f>
        <v>1.106961162419857</v>
      </c>
      <c r="J20" s="19">
        <f t="shared" si="2"/>
        <v>359872260.13268673</v>
      </c>
      <c r="K20" s="63">
        <f>J20*(1-VLOOKUP(A20,PROFIT!$A$1:$IT$65527,7,FALSE))</f>
        <v>329939331.04824656</v>
      </c>
      <c r="L20" s="19">
        <f>IFERROR(VLOOKUP(A20,'Variable Input'!$1:$1048576,26,FALSE)*VLOOKUP(A20,Volume!A:K,11,FALSE),0)</f>
        <v>4332162.9357895656</v>
      </c>
      <c r="M20" s="22">
        <f t="shared" si="3"/>
        <v>325607168.11245698</v>
      </c>
      <c r="N20" s="36">
        <f>VLOOKUP(A20,'Variable Input'!$1:$1048576,23,FALSE)</f>
        <v>1.0181752931904677</v>
      </c>
      <c r="O20" s="22">
        <f t="shared" si="4"/>
        <v>319794803.79273587</v>
      </c>
      <c r="P20" s="27">
        <f>IFERROR(VLOOKUP(A20,'Variable Input'!$1:$1048576,7,FALSE),0)</f>
        <v>24909.085237375984</v>
      </c>
      <c r="Q20" s="18">
        <f t="shared" si="5"/>
        <v>12838.480447804042</v>
      </c>
      <c r="R20" s="18">
        <f t="shared" si="6"/>
        <v>319794803.79273587</v>
      </c>
      <c r="S20" s="20">
        <f>IFERROR(VLOOKUP(A20,RESCMAD!$1:$1048576,8,FALSE),0)</f>
        <v>1.6058397817026276E-4</v>
      </c>
      <c r="T20" s="19">
        <f>IF(C20=5,(S20*P20)*IME!$L$7,(S20*P20)*IME!$L$8)</f>
        <v>503553.19960843516</v>
      </c>
      <c r="U20" s="19">
        <v>0</v>
      </c>
      <c r="V20" s="22">
        <f t="shared" si="7"/>
        <v>319291250.59312743</v>
      </c>
      <c r="W20" s="17">
        <f t="shared" si="8"/>
        <v>-1.5746134509890819E-3</v>
      </c>
      <c r="X20" s="19">
        <f t="shared" si="11"/>
        <v>319291250.59312743</v>
      </c>
      <c r="Y20" s="15">
        <f t="shared" si="9"/>
        <v>12818.26480380067</v>
      </c>
    </row>
    <row r="21" spans="1:25" ht="18.75" customHeight="1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19">
        <f>IFERROR(VLOOKUP(A21,'Variable Input'!$1:$1048576,6,FALSE),0)</f>
        <v>693070351.52284181</v>
      </c>
      <c r="E21" s="19">
        <f t="shared" si="0"/>
        <v>14499.370422762127</v>
      </c>
      <c r="F21" s="19">
        <f>IFERROR(VLOOKUP(A21,'Drug Overhead'!$1:$1048576,13,FALSE)*VLOOKUP(A21,Volume!A:K,11,FALSE),0)</f>
        <v>19281870.825420387</v>
      </c>
      <c r="G21" s="19">
        <f t="shared" si="1"/>
        <v>712352222.34826219</v>
      </c>
      <c r="H21" s="19">
        <f t="shared" si="10"/>
        <v>14902.756582518243</v>
      </c>
      <c r="I21" s="36">
        <f>VLOOKUP(A21,'Variable Input'!$1:$1048576,8,FALSE)</f>
        <v>1.1086069567461017</v>
      </c>
      <c r="J21" s="19">
        <f t="shared" si="2"/>
        <v>642565174.26077127</v>
      </c>
      <c r="K21" s="63">
        <f>J21*(1-VLOOKUP(A21,PROFIT!$A$1:$IT$65527,7,FALSE))</f>
        <v>611619103.033692</v>
      </c>
      <c r="L21" s="19">
        <f>IFERROR(VLOOKUP(A21,'Variable Input'!$1:$1048576,26,FALSE)*VLOOKUP(A21,Volume!A:K,11,FALSE),0)</f>
        <v>6692185.3853537869</v>
      </c>
      <c r="M21" s="22">
        <f t="shared" si="3"/>
        <v>604926917.6483382</v>
      </c>
      <c r="N21" s="36">
        <f>VLOOKUP(A21,'Variable Input'!$1:$1048576,23,FALSE)</f>
        <v>0.99671861092415948</v>
      </c>
      <c r="O21" s="22">
        <f t="shared" si="4"/>
        <v>606918453.23069549</v>
      </c>
      <c r="P21" s="27">
        <f>IFERROR(VLOOKUP(A21,'Variable Input'!$1:$1048576,7,FALSE),0)</f>
        <v>47800.030712699874</v>
      </c>
      <c r="Q21" s="18">
        <f t="shared" si="5"/>
        <v>12697.030612355753</v>
      </c>
      <c r="R21" s="18">
        <f t="shared" si="6"/>
        <v>606918453.23069549</v>
      </c>
      <c r="S21" s="20">
        <f>IFERROR(VLOOKUP(A21,RESCMAD!$1:$1048576,8,FALSE),0)</f>
        <v>1.1527189246211215E-3</v>
      </c>
      <c r="T21" s="19">
        <f>IF(C21=5,(S21*P21)*IME!$L$7,(S21*P21)*IME!$L$8)</f>
        <v>6936445.3246061923</v>
      </c>
      <c r="U21" s="19">
        <v>0</v>
      </c>
      <c r="V21" s="22">
        <f t="shared" si="7"/>
        <v>599982007.90608931</v>
      </c>
      <c r="W21" s="17">
        <f t="shared" si="8"/>
        <v>-1.1428957692228181E-2</v>
      </c>
      <c r="X21" s="19">
        <f t="shared" si="11"/>
        <v>599982007.90608931</v>
      </c>
      <c r="Y21" s="15">
        <f t="shared" si="9"/>
        <v>12551.916786670214</v>
      </c>
    </row>
    <row r="22" spans="1:25" ht="18.75" customHeight="1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19">
        <f>IFERROR(VLOOKUP(A22,'Variable Input'!$1:$1048576,6,FALSE),0)</f>
        <v>481457430.39623797</v>
      </c>
      <c r="E22" s="19">
        <f t="shared" si="0"/>
        <v>17832.24417168623</v>
      </c>
      <c r="F22" s="19">
        <f>IFERROR(VLOOKUP(A22,'Drug Overhead'!$1:$1048576,13,FALSE)*VLOOKUP(A22,Volume!A:K,11,FALSE),0)</f>
        <v>139248.72459896962</v>
      </c>
      <c r="G22" s="19">
        <f t="shared" si="1"/>
        <v>481596679.12083691</v>
      </c>
      <c r="H22" s="19">
        <f t="shared" si="10"/>
        <v>17837.401672850145</v>
      </c>
      <c r="I22" s="36">
        <f>VLOOKUP(A22,'Variable Input'!$1:$1048576,8,FALSE)</f>
        <v>1.1223202362274129</v>
      </c>
      <c r="J22" s="19">
        <f t="shared" si="2"/>
        <v>429108077.69062823</v>
      </c>
      <c r="K22" s="63">
        <f>J22*(1-VLOOKUP(A22,PROFIT!$A$1:$IT$65527,7,FALSE))</f>
        <v>410123688.55888373</v>
      </c>
      <c r="L22" s="19">
        <f>IFERROR(VLOOKUP(A22,'Variable Input'!$1:$1048576,26,FALSE)*VLOOKUP(A22,Volume!A:K,11,FALSE),0)</f>
        <v>12196844.09297953</v>
      </c>
      <c r="M22" s="22">
        <f t="shared" si="3"/>
        <v>397926844.46590418</v>
      </c>
      <c r="N22" s="36">
        <f>VLOOKUP(A22,'Variable Input'!$1:$1048576,23,FALSE)</f>
        <v>0.99671861092415948</v>
      </c>
      <c r="O22" s="22">
        <f t="shared" si="4"/>
        <v>399236896.05529249</v>
      </c>
      <c r="P22" s="27">
        <f>IFERROR(VLOOKUP(A22,'Variable Input'!$1:$1048576,7,FALSE),0)</f>
        <v>26999.26188542712</v>
      </c>
      <c r="Q22" s="18">
        <f t="shared" si="5"/>
        <v>14786.955945294972</v>
      </c>
      <c r="R22" s="18">
        <f t="shared" si="6"/>
        <v>399236896.05529249</v>
      </c>
      <c r="S22" s="20">
        <f>IFERROR(VLOOKUP(A22,RESCMAD!$1:$1048576,8,FALSE),0)</f>
        <v>3.2593483619453344E-3</v>
      </c>
      <c r="T22" s="19">
        <f>IF(C22=5,(S22*P22)*IME!$L$7,(S22*P22)*IME!$L$8)</f>
        <v>11078170.391385572</v>
      </c>
      <c r="U22" s="19">
        <v>0</v>
      </c>
      <c r="V22" s="22">
        <f t="shared" si="7"/>
        <v>388158725.66390693</v>
      </c>
      <c r="W22" s="17">
        <f t="shared" si="8"/>
        <v>-2.7748363191991365E-2</v>
      </c>
      <c r="X22" s="19">
        <f t="shared" si="11"/>
        <v>388158725.66390693</v>
      </c>
      <c r="Y22" s="15">
        <f t="shared" si="9"/>
        <v>14376.642121220952</v>
      </c>
    </row>
    <row r="23" spans="1:25" ht="18.75" customHeight="1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19">
        <f>IFERROR(VLOOKUP(A23,'Variable Input'!$1:$1048576,6,FALSE),0)</f>
        <v>329427490.80074435</v>
      </c>
      <c r="E23" s="19">
        <f t="shared" si="0"/>
        <v>14516.840497752677</v>
      </c>
      <c r="F23" s="19">
        <f>IFERROR(VLOOKUP(A23,'Drug Overhead'!$1:$1048576,13,FALSE)*VLOOKUP(A23,Volume!A:K,11,FALSE),0)</f>
        <v>17499647.620706905</v>
      </c>
      <c r="G23" s="19">
        <f t="shared" si="1"/>
        <v>346927138.42145127</v>
      </c>
      <c r="H23" s="19">
        <f t="shared" si="10"/>
        <v>15287.995305322567</v>
      </c>
      <c r="I23" s="36">
        <f>VLOOKUP(A23,'Variable Input'!$1:$1048576,8,FALSE)</f>
        <v>1.1268001645719641</v>
      </c>
      <c r="J23" s="19">
        <f t="shared" si="2"/>
        <v>307887014.33429235</v>
      </c>
      <c r="K23" s="63">
        <f>J23*(1-VLOOKUP(A23,PROFIT!$A$1:$IT$65527,7,FALSE))</f>
        <v>235287223.58022779</v>
      </c>
      <c r="L23" s="19">
        <f>IFERROR(VLOOKUP(A23,'Variable Input'!$1:$1048576,26,FALSE)*VLOOKUP(A23,Volume!A:K,11,FALSE),0)</f>
        <v>1887638.9011087576</v>
      </c>
      <c r="M23" s="22">
        <f t="shared" si="3"/>
        <v>233399584.67911902</v>
      </c>
      <c r="N23" s="36">
        <f>VLOOKUP(A23,'Variable Input'!$1:$1048576,23,FALSE)</f>
        <v>0.99671861092415948</v>
      </c>
      <c r="O23" s="22">
        <f t="shared" si="4"/>
        <v>234167980.93366638</v>
      </c>
      <c r="P23" s="27">
        <f>IFERROR(VLOOKUP(A23,'Variable Input'!$1:$1048576,7,FALSE),0)</f>
        <v>22692.781590576982</v>
      </c>
      <c r="Q23" s="18">
        <f t="shared" si="5"/>
        <v>10319.051456913638</v>
      </c>
      <c r="R23" s="18">
        <f t="shared" si="6"/>
        <v>234167980.93366638</v>
      </c>
      <c r="S23" s="20">
        <f>IFERROR(VLOOKUP(A23,RESCMAD!$1:$1048576,8,FALSE),0)</f>
        <v>0</v>
      </c>
      <c r="T23" s="19">
        <f>IF(C23=5,(S23*P23)*IME!$L$7,(S23*P23)*IME!$L$8)</f>
        <v>0</v>
      </c>
      <c r="U23" s="19">
        <v>0</v>
      </c>
      <c r="V23" s="22">
        <f t="shared" si="7"/>
        <v>234167980.93366638</v>
      </c>
      <c r="W23" s="17">
        <f t="shared" si="8"/>
        <v>0</v>
      </c>
      <c r="X23" s="19">
        <f t="shared" si="11"/>
        <v>234167980.93366638</v>
      </c>
      <c r="Y23" s="15">
        <f t="shared" si="9"/>
        <v>10319.051456913638</v>
      </c>
    </row>
    <row r="24" spans="1:25" ht="18.75" customHeight="1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19">
        <f>IFERROR(VLOOKUP(A24,'Variable Input'!$1:$1048576,6,FALSE),0)</f>
        <v>202378391.95282602</v>
      </c>
      <c r="E24" s="19">
        <f t="shared" si="0"/>
        <v>13792.969808492455</v>
      </c>
      <c r="F24" s="19">
        <f>IFERROR(VLOOKUP(A24,'Drug Overhead'!$1:$1048576,13,FALSE)*VLOOKUP(A24,Volume!A:K,11,FALSE),0)</f>
        <v>5855854.2044779686</v>
      </c>
      <c r="G24" s="19">
        <f t="shared" si="1"/>
        <v>208234246.15730399</v>
      </c>
      <c r="H24" s="19">
        <f t="shared" si="10"/>
        <v>14192.071804836636</v>
      </c>
      <c r="I24" s="36">
        <f>VLOOKUP(A24,'Variable Input'!$1:$1048576,8,FALSE)</f>
        <v>1.1136722213908725</v>
      </c>
      <c r="J24" s="19">
        <f t="shared" si="2"/>
        <v>186979833.16602695</v>
      </c>
      <c r="K24" s="63">
        <f>J24*(1-VLOOKUP(A24,PROFIT!$A$1:$IT$65527,7,FALSE))</f>
        <v>162538392.84462202</v>
      </c>
      <c r="L24" s="19">
        <f>IFERROR(VLOOKUP(A24,'Variable Input'!$1:$1048576,26,FALSE)*VLOOKUP(A24,Volume!A:K,11,FALSE),0)</f>
        <v>0</v>
      </c>
      <c r="M24" s="22">
        <f t="shared" si="3"/>
        <v>162538392.84462202</v>
      </c>
      <c r="N24" s="36">
        <f>VLOOKUP(A24,'Variable Input'!$1:$1048576,23,FALSE)</f>
        <v>0.99671861092415948</v>
      </c>
      <c r="O24" s="22">
        <f t="shared" si="4"/>
        <v>163073500.44754967</v>
      </c>
      <c r="P24" s="27">
        <f>IFERROR(VLOOKUP(A24,'Variable Input'!$1:$1048576,7,FALSE),0)</f>
        <v>14672.575577466996</v>
      </c>
      <c r="Q24" s="18">
        <f t="shared" si="5"/>
        <v>11114.170077814102</v>
      </c>
      <c r="R24" s="18">
        <f t="shared" si="6"/>
        <v>163073500.44754967</v>
      </c>
      <c r="S24" s="20">
        <f>IFERROR(VLOOKUP(A24,RESCMAD!$1:$1048576,8,FALSE),0)</f>
        <v>0</v>
      </c>
      <c r="T24" s="19">
        <f>IF(C24=5,(S24*P24)*IME!$L$7,(S24*P24)*IME!$L$8)</f>
        <v>0</v>
      </c>
      <c r="U24" s="19">
        <v>0</v>
      </c>
      <c r="V24" s="22">
        <f t="shared" si="7"/>
        <v>163073500.44754967</v>
      </c>
      <c r="W24" s="17">
        <f t="shared" si="8"/>
        <v>0</v>
      </c>
      <c r="X24" s="19">
        <f t="shared" si="11"/>
        <v>163073500.44754967</v>
      </c>
      <c r="Y24" s="15">
        <f t="shared" si="9"/>
        <v>11114.170077814102</v>
      </c>
    </row>
    <row r="25" spans="1:25" ht="18.75" customHeight="1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19">
        <f>IFERROR(VLOOKUP(A25,'Variable Input'!$1:$1048576,6,FALSE),0)</f>
        <v>685641223.73208022</v>
      </c>
      <c r="E25" s="19">
        <f t="shared" si="0"/>
        <v>19291.665494546265</v>
      </c>
      <c r="F25" s="19">
        <f>IFERROR(VLOOKUP(A25,'Drug Overhead'!$1:$1048576,13,FALSE)*VLOOKUP(A25,Volume!A:K,11,FALSE),0)</f>
        <v>28922398.799876198</v>
      </c>
      <c r="G25" s="19">
        <f t="shared" si="1"/>
        <v>714563622.53195643</v>
      </c>
      <c r="H25" s="19">
        <f t="shared" si="10"/>
        <v>20105.44568108462</v>
      </c>
      <c r="I25" s="36">
        <f>VLOOKUP(A25,'Variable Input'!$1:$1048576,8,FALSE)</f>
        <v>1.1160480491569686</v>
      </c>
      <c r="J25" s="19">
        <f t="shared" si="2"/>
        <v>640262417.97718096</v>
      </c>
      <c r="K25" s="63">
        <f>J25*(1-VLOOKUP(A25,PROFIT!$A$1:$IT$65527,7,FALSE))</f>
        <v>649367261.8051877</v>
      </c>
      <c r="L25" s="19">
        <f>IFERROR(VLOOKUP(A25,'Variable Input'!$1:$1048576,26,FALSE)*VLOOKUP(A25,Volume!A:K,11,FALSE),0)</f>
        <v>27476780.845164478</v>
      </c>
      <c r="M25" s="22">
        <f t="shared" si="3"/>
        <v>621890480.96002316</v>
      </c>
      <c r="N25" s="36">
        <f>VLOOKUP(A25,'Variable Input'!$1:$1048576,23,FALSE)</f>
        <v>0.99671861092415948</v>
      </c>
      <c r="O25" s="22">
        <f t="shared" si="4"/>
        <v>623937863.8504653</v>
      </c>
      <c r="P25" s="27">
        <f>IFERROR(VLOOKUP(A25,'Variable Input'!$1:$1048576,7,FALSE),0)</f>
        <v>35540.799933832066</v>
      </c>
      <c r="Q25" s="18">
        <f t="shared" si="5"/>
        <v>17555.53800173544</v>
      </c>
      <c r="R25" s="18">
        <f t="shared" si="6"/>
        <v>623937863.8504653</v>
      </c>
      <c r="S25" s="20">
        <f>IFERROR(VLOOKUP(A25,RESCMAD!$1:$1048576,8,FALSE),0)</f>
        <v>3.9704286039970822E-3</v>
      </c>
      <c r="T25" s="19">
        <f>IF(C25=5,(S25*P25)*IME!$L$7,(S25*P25)*IME!$L$8)</f>
        <v>17764376.044422619</v>
      </c>
      <c r="U25" s="19">
        <v>0</v>
      </c>
      <c r="V25" s="22">
        <f t="shared" si="7"/>
        <v>606173487.80604267</v>
      </c>
      <c r="W25" s="17">
        <f t="shared" si="8"/>
        <v>-2.8471386453122971E-2</v>
      </c>
      <c r="X25" s="19">
        <f t="shared" si="11"/>
        <v>606173487.80604267</v>
      </c>
      <c r="Y25" s="15">
        <f t="shared" si="9"/>
        <v>17055.707494895545</v>
      </c>
    </row>
    <row r="26" spans="1:25" ht="18.75" customHeight="1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19">
        <f>IFERROR(VLOOKUP(A26,'Variable Input'!$1:$1048576,6,FALSE),0)</f>
        <v>53234979.529182494</v>
      </c>
      <c r="E26" s="19">
        <f t="shared" si="0"/>
        <v>24473.330521606676</v>
      </c>
      <c r="F26" s="19">
        <f>IFERROR(VLOOKUP(A26,'Drug Overhead'!$1:$1048576,13,FALSE)*VLOOKUP(A26,Volume!A:K,11,FALSE),0)</f>
        <v>651882.57016616105</v>
      </c>
      <c r="G26" s="19">
        <f t="shared" si="1"/>
        <v>53886862.099348657</v>
      </c>
      <c r="H26" s="19">
        <f t="shared" si="10"/>
        <v>24773.015761312749</v>
      </c>
      <c r="I26" s="36">
        <f>VLOOKUP(A26,'Variable Input'!$1:$1048576,8,FALSE)</f>
        <v>1.1237498376689119</v>
      </c>
      <c r="J26" s="19">
        <f t="shared" si="2"/>
        <v>47952720.697277851</v>
      </c>
      <c r="K26" s="63">
        <f>J26*(1-VLOOKUP(A26,PROFIT!$A$1:$IT$65527,7,FALSE))</f>
        <v>35431861.70133616</v>
      </c>
      <c r="L26" s="19">
        <f>IFERROR(VLOOKUP(A26,'Variable Input'!$1:$1048576,26,FALSE)*VLOOKUP(A26,Volume!A:K,11,FALSE),0)</f>
        <v>208535.14400062207</v>
      </c>
      <c r="M26" s="22">
        <f t="shared" si="3"/>
        <v>35223326.557335541</v>
      </c>
      <c r="N26" s="36">
        <f>VLOOKUP(A26,'Variable Input'!$1:$1048576,23,FALSE)</f>
        <v>0.99671861092415948</v>
      </c>
      <c r="O26" s="22">
        <f t="shared" si="4"/>
        <v>35339288.512608789</v>
      </c>
      <c r="P26" s="27">
        <f>IFERROR(VLOOKUP(A26,'Variable Input'!$1:$1048576,7,FALSE),0)</f>
        <v>2175.2241478610003</v>
      </c>
      <c r="Q26" s="18">
        <f t="shared" si="5"/>
        <v>16246.274457443646</v>
      </c>
      <c r="R26" s="18">
        <f t="shared" si="6"/>
        <v>35339288.512608789</v>
      </c>
      <c r="S26" s="20">
        <f>IFERROR(VLOOKUP(A26,RESCMAD!$1:$1048576,8,FALSE),0)</f>
        <v>0</v>
      </c>
      <c r="T26" s="19">
        <f>IF(C26=5,(S26*P26)*IME!$L$7,(S26*P26)*IME!$L$8)</f>
        <v>0</v>
      </c>
      <c r="U26" s="19">
        <v>0</v>
      </c>
      <c r="V26" s="22">
        <f t="shared" si="7"/>
        <v>35339288.512608789</v>
      </c>
      <c r="W26" s="17">
        <f t="shared" si="8"/>
        <v>0</v>
      </c>
      <c r="X26" s="19">
        <f t="shared" si="11"/>
        <v>35339288.512608789</v>
      </c>
      <c r="Y26" s="15">
        <f t="shared" si="9"/>
        <v>16246.274457443646</v>
      </c>
    </row>
    <row r="27" spans="1:25" ht="18.75" customHeight="1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19">
        <f>IFERROR(VLOOKUP(A27,'Variable Input'!$1:$1048576,6,FALSE),0)</f>
        <v>181246617.1663484</v>
      </c>
      <c r="E27" s="19">
        <f t="shared" si="0"/>
        <v>16587.900225049387</v>
      </c>
      <c r="F27" s="19">
        <f>IFERROR(VLOOKUP(A27,'Drug Overhead'!$1:$1048576,13,FALSE)*VLOOKUP(A27,Volume!A:K,11,FALSE),0)</f>
        <v>7129566.6825071555</v>
      </c>
      <c r="G27" s="19">
        <f t="shared" si="1"/>
        <v>188376183.84885556</v>
      </c>
      <c r="H27" s="19">
        <f t="shared" si="10"/>
        <v>17240.406421447642</v>
      </c>
      <c r="I27" s="36">
        <f>VLOOKUP(A27,'Variable Input'!$1:$1048576,8,FALSE)</f>
        <v>1.1182795268578634</v>
      </c>
      <c r="J27" s="19">
        <f t="shared" si="2"/>
        <v>168451786.27042747</v>
      </c>
      <c r="K27" s="63">
        <f>J27*(1-VLOOKUP(A27,PROFIT!$A$1:$IT$65527,7,FALSE))</f>
        <v>179818623.82439294</v>
      </c>
      <c r="L27" s="19">
        <f>IFERROR(VLOOKUP(A27,'Variable Input'!$1:$1048576,26,FALSE)*VLOOKUP(A27,Volume!A:K,11,FALSE),0)</f>
        <v>0</v>
      </c>
      <c r="M27" s="22">
        <f t="shared" si="3"/>
        <v>179818623.82439294</v>
      </c>
      <c r="N27" s="36">
        <f>VLOOKUP(A27,'Variable Input'!$1:$1048576,23,FALSE)</f>
        <v>0.99671861092415948</v>
      </c>
      <c r="O27" s="22">
        <f t="shared" si="4"/>
        <v>180410621.26618138</v>
      </c>
      <c r="P27" s="27">
        <f>IFERROR(VLOOKUP(A27,'Variable Input'!$1:$1048576,7,FALSE),0)</f>
        <v>10926.435215269013</v>
      </c>
      <c r="Q27" s="18">
        <f t="shared" si="5"/>
        <v>16511.388912466966</v>
      </c>
      <c r="R27" s="18">
        <f t="shared" si="6"/>
        <v>180410621.26618141</v>
      </c>
      <c r="S27" s="20">
        <f>IFERROR(VLOOKUP(A27,RESCMAD!$1:$1048576,8,FALSE),0)</f>
        <v>0</v>
      </c>
      <c r="T27" s="19">
        <f>IF(C27=5,(S27*P27)*IME!$L$7,(S27*P27)*IME!$L$8)</f>
        <v>0</v>
      </c>
      <c r="U27" s="19">
        <v>0</v>
      </c>
      <c r="V27" s="22">
        <f t="shared" si="7"/>
        <v>180410621.26618141</v>
      </c>
      <c r="W27" s="17">
        <f t="shared" si="8"/>
        <v>0</v>
      </c>
      <c r="X27" s="19">
        <f t="shared" si="11"/>
        <v>180410621.26618141</v>
      </c>
      <c r="Y27" s="15">
        <f t="shared" si="9"/>
        <v>16511.388912466966</v>
      </c>
    </row>
    <row r="28" spans="1:25" ht="18.75" customHeight="1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19">
        <f>IFERROR(VLOOKUP(A28,'Variable Input'!$1:$1048576,6,FALSE),0)</f>
        <v>270049679.90851074</v>
      </c>
      <c r="E28" s="19">
        <f t="shared" si="0"/>
        <v>16403.553344564752</v>
      </c>
      <c r="F28" s="19">
        <f>IFERROR(VLOOKUP(A28,'Drug Overhead'!$1:$1048576,13,FALSE)*VLOOKUP(A28,Volume!A:K,11,FALSE),0)</f>
        <v>78073.698709112286</v>
      </c>
      <c r="G28" s="19">
        <f t="shared" si="1"/>
        <v>270127753.60721987</v>
      </c>
      <c r="H28" s="19">
        <f t="shared" si="10"/>
        <v>16408.295753746712</v>
      </c>
      <c r="I28" s="36">
        <f>VLOOKUP(A28,'Variable Input'!$1:$1048576,8,FALSE)</f>
        <v>1.1165021686409196</v>
      </c>
      <c r="J28" s="19">
        <f t="shared" si="2"/>
        <v>241941091.73655909</v>
      </c>
      <c r="K28" s="63">
        <f>J28*(1-VLOOKUP(A28,PROFIT!$A$1:$IT$65527,7,FALSE))</f>
        <v>217399485.68625996</v>
      </c>
      <c r="L28" s="19">
        <f>IFERROR(VLOOKUP(A28,'Variable Input'!$1:$1048576,26,FALSE)*VLOOKUP(A28,Volume!A:K,11,FALSE),0)</f>
        <v>0</v>
      </c>
      <c r="M28" s="22">
        <f t="shared" si="3"/>
        <v>217399485.68625996</v>
      </c>
      <c r="N28" s="36">
        <f>VLOOKUP(A28,'Variable Input'!$1:$1048576,23,FALSE)</f>
        <v>0.99671861092415948</v>
      </c>
      <c r="O28" s="22">
        <f t="shared" si="4"/>
        <v>218115206.54228249</v>
      </c>
      <c r="P28" s="27">
        <f>IFERROR(VLOOKUP(A28,'Variable Input'!$1:$1048576,7,FALSE),0)</f>
        <v>16462.876928917998</v>
      </c>
      <c r="Q28" s="18">
        <f t="shared" si="5"/>
        <v>13248.911929794633</v>
      </c>
      <c r="R28" s="18">
        <f t="shared" si="6"/>
        <v>218115206.54228249</v>
      </c>
      <c r="S28" s="20">
        <f>IFERROR(VLOOKUP(A28,RESCMAD!$1:$1048576,8,FALSE),0)</f>
        <v>0</v>
      </c>
      <c r="T28" s="19">
        <f>IF(C28=5,(S28*P28)*IME!$L$7,(S28*P28)*IME!$L$8)</f>
        <v>0</v>
      </c>
      <c r="U28" s="19">
        <v>0</v>
      </c>
      <c r="V28" s="22">
        <f t="shared" si="7"/>
        <v>218115206.54228249</v>
      </c>
      <c r="W28" s="17">
        <f t="shared" si="8"/>
        <v>0</v>
      </c>
      <c r="X28" s="19">
        <f t="shared" si="11"/>
        <v>218115206.54228249</v>
      </c>
      <c r="Y28" s="15">
        <f t="shared" si="9"/>
        <v>13248.911929794633</v>
      </c>
    </row>
    <row r="29" spans="1:25" ht="18.75" customHeight="1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19">
        <f>IFERROR(VLOOKUP(A29,'Variable Input'!$1:$1048576,6,FALSE),0)</f>
        <v>206716555.07597718</v>
      </c>
      <c r="E29" s="19">
        <f t="shared" si="0"/>
        <v>17763.582661553013</v>
      </c>
      <c r="F29" s="19">
        <f>IFERROR(VLOOKUP(A29,'Drug Overhead'!$1:$1048576,13,FALSE)*VLOOKUP(A29,Volume!A:K,11,FALSE),0)</f>
        <v>992166.17183211725</v>
      </c>
      <c r="G29" s="19">
        <f t="shared" si="1"/>
        <v>207708721.24780929</v>
      </c>
      <c r="H29" s="19">
        <f t="shared" si="10"/>
        <v>17848.841560149009</v>
      </c>
      <c r="I29" s="36">
        <f>VLOOKUP(A29,'Variable Input'!$1:$1048576,8,FALSE)</f>
        <v>1.1252449607173489</v>
      </c>
      <c r="J29" s="19">
        <f t="shared" si="2"/>
        <v>184589781.33560714</v>
      </c>
      <c r="K29" s="63">
        <f>J29*(1-VLOOKUP(A29,PROFIT!$A$1:$IT$65527,7,FALSE))</f>
        <v>171771761.9475241</v>
      </c>
      <c r="L29" s="19">
        <f>IFERROR(VLOOKUP(A29,'Variable Input'!$1:$1048576,26,FALSE)*VLOOKUP(A29,Volume!A:K,11,FALSE),0)</f>
        <v>2578337.9692581748</v>
      </c>
      <c r="M29" s="22">
        <f t="shared" si="3"/>
        <v>169193423.97826591</v>
      </c>
      <c r="N29" s="36">
        <f>VLOOKUP(A29,'Variable Input'!$1:$1048576,23,FALSE)</f>
        <v>0.99671861092415948</v>
      </c>
      <c r="O29" s="22">
        <f t="shared" si="4"/>
        <v>169750441.22170994</v>
      </c>
      <c r="P29" s="27">
        <f>IFERROR(VLOOKUP(A29,'Variable Input'!$1:$1048576,7,FALSE),0)</f>
        <v>11637.098158323013</v>
      </c>
      <c r="Q29" s="18">
        <f t="shared" si="5"/>
        <v>14587.007767078263</v>
      </c>
      <c r="R29" s="18">
        <f t="shared" si="6"/>
        <v>169750441.22170994</v>
      </c>
      <c r="S29" s="20">
        <f>IFERROR(VLOOKUP(A29,RESCMAD!$1:$1048576,8,FALSE),0)</f>
        <v>1.6630799529427725E-3</v>
      </c>
      <c r="T29" s="19">
        <f>IF(C29=5,(S29*P29)*IME!$L$7,(S29*P29)*IME!$L$8)</f>
        <v>2436369.7274205405</v>
      </c>
      <c r="U29" s="19">
        <v>0</v>
      </c>
      <c r="V29" s="22">
        <f t="shared" si="7"/>
        <v>167314071.4942894</v>
      </c>
      <c r="W29" s="17">
        <f t="shared" si="8"/>
        <v>-1.4352656228082572E-2</v>
      </c>
      <c r="X29" s="19">
        <f t="shared" si="11"/>
        <v>167314071.4942894</v>
      </c>
      <c r="Y29" s="15">
        <f t="shared" si="9"/>
        <v>14377.645459201018</v>
      </c>
    </row>
    <row r="30" spans="1:25" ht="18.75" customHeight="1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19">
        <f>IFERROR(VLOOKUP(A30,'Variable Input'!$1:$1048576,6,FALSE),0)</f>
        <v>178231569.15377906</v>
      </c>
      <c r="E30" s="19">
        <f t="shared" si="0"/>
        <v>14688.478782692586</v>
      </c>
      <c r="F30" s="19">
        <f>IFERROR(VLOOKUP(A30,'Drug Overhead'!$1:$1048576,13,FALSE)*VLOOKUP(A30,Volume!A:K,11,FALSE),0)</f>
        <v>515241.87752241391</v>
      </c>
      <c r="G30" s="19">
        <f t="shared" si="1"/>
        <v>178746811.03130147</v>
      </c>
      <c r="H30" s="19">
        <f t="shared" si="10"/>
        <v>14730.941066012398</v>
      </c>
      <c r="I30" s="36">
        <f>VLOOKUP(A30,'Variable Input'!$1:$1048576,8,FALSE)</f>
        <v>1.1148847928711076</v>
      </c>
      <c r="J30" s="19">
        <f t="shared" si="2"/>
        <v>160327607.09829366</v>
      </c>
      <c r="K30" s="63">
        <f>J30*(1-VLOOKUP(A30,PROFIT!$A$1:$IT$65527,7,FALSE))</f>
        <v>149692071.88455075</v>
      </c>
      <c r="L30" s="19">
        <f>IFERROR(VLOOKUP(A30,'Variable Input'!$1:$1048576,26,FALSE)*VLOOKUP(A30,Volume!A:K,11,FALSE),0)</f>
        <v>0</v>
      </c>
      <c r="M30" s="22">
        <f t="shared" si="3"/>
        <v>149692071.88455075</v>
      </c>
      <c r="N30" s="36">
        <f>VLOOKUP(A30,'Variable Input'!$1:$1048576,23,FALSE)</f>
        <v>0.99671861092415948</v>
      </c>
      <c r="O30" s="22">
        <f t="shared" si="4"/>
        <v>150184886.93188539</v>
      </c>
      <c r="P30" s="27">
        <f>IFERROR(VLOOKUP(A30,'Variable Input'!$1:$1048576,7,FALSE),0)</f>
        <v>12134.106723412984</v>
      </c>
      <c r="Q30" s="18">
        <f t="shared" si="5"/>
        <v>12377.086369456507</v>
      </c>
      <c r="R30" s="18">
        <f t="shared" si="6"/>
        <v>150184886.93188539</v>
      </c>
      <c r="S30" s="20">
        <f>IFERROR(VLOOKUP(A30,RESCMAD!$1:$1048576,8,FALSE),0)</f>
        <v>0</v>
      </c>
      <c r="T30" s="19">
        <f>IF(C30=5,(S30*P30)*IME!$L$7,(S30*P30)*IME!$L$8)</f>
        <v>0</v>
      </c>
      <c r="U30" s="19">
        <v>0</v>
      </c>
      <c r="V30" s="22">
        <f t="shared" si="7"/>
        <v>150184886.93188539</v>
      </c>
      <c r="W30" s="17">
        <f t="shared" si="8"/>
        <v>0</v>
      </c>
      <c r="X30" s="19">
        <f t="shared" si="11"/>
        <v>150184886.93188539</v>
      </c>
      <c r="Y30" s="15">
        <f t="shared" si="9"/>
        <v>12377.086369456507</v>
      </c>
    </row>
    <row r="31" spans="1:25" ht="18.75" customHeight="1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19">
        <f>IFERROR(VLOOKUP(A31,'Variable Input'!$1:$1048576,6,FALSE),0)</f>
        <v>252795365.55476636</v>
      </c>
      <c r="E31" s="19">
        <f t="shared" si="0"/>
        <v>17635.09109428155</v>
      </c>
      <c r="F31" s="19">
        <f>IFERROR(VLOOKUP(A31,'Drug Overhead'!$1:$1048576,13,FALSE)*VLOOKUP(A31,Volume!A:K,11,FALSE),0)</f>
        <v>11201194.43304294</v>
      </c>
      <c r="G31" s="19">
        <f t="shared" si="1"/>
        <v>263996559.9878093</v>
      </c>
      <c r="H31" s="19">
        <f t="shared" si="10"/>
        <v>18416.490245954992</v>
      </c>
      <c r="I31" s="36">
        <f>VLOOKUP(A31,'Variable Input'!$1:$1048576,8,FALSE)</f>
        <v>1.1240965147015685</v>
      </c>
      <c r="J31" s="19">
        <f t="shared" si="2"/>
        <v>234852218.23492318</v>
      </c>
      <c r="K31" s="63">
        <f>J31*(1-VLOOKUP(A31,PROFIT!$A$1:$IT$65527,7,FALSE))</f>
        <v>167649554.26365992</v>
      </c>
      <c r="L31" s="19">
        <f>IFERROR(VLOOKUP(A31,'Variable Input'!$1:$1048576,26,FALSE)*VLOOKUP(A31,Volume!A:K,11,FALSE),0)</f>
        <v>832816.30724702065</v>
      </c>
      <c r="M31" s="22">
        <f t="shared" si="3"/>
        <v>166816737.95641291</v>
      </c>
      <c r="N31" s="36">
        <f>VLOOKUP(A31,'Variable Input'!$1:$1048576,23,FALSE)</f>
        <v>0.99671861092415948</v>
      </c>
      <c r="O31" s="22">
        <f t="shared" si="4"/>
        <v>167365930.693057</v>
      </c>
      <c r="P31" s="27">
        <f>IFERROR(VLOOKUP(A31,'Variable Input'!$1:$1048576,7,FALSE),0)</f>
        <v>14334.792159748988</v>
      </c>
      <c r="Q31" s="18">
        <f t="shared" si="5"/>
        <v>11675.504522696037</v>
      </c>
      <c r="R31" s="18">
        <f t="shared" si="6"/>
        <v>167365930.693057</v>
      </c>
      <c r="S31" s="20">
        <f>IFERROR(VLOOKUP(A31,RESCMAD!$1:$1048576,8,FALSE),0)</f>
        <v>0</v>
      </c>
      <c r="T31" s="19">
        <f>IF(C31=5,(S31*P31)*IME!$L$7,(S31*P31)*IME!$L$8)</f>
        <v>0</v>
      </c>
      <c r="U31" s="19">
        <v>0</v>
      </c>
      <c r="V31" s="22">
        <f t="shared" si="7"/>
        <v>167365930.693057</v>
      </c>
      <c r="W31" s="17">
        <f t="shared" si="8"/>
        <v>0</v>
      </c>
      <c r="X31" s="19">
        <f t="shared" si="11"/>
        <v>167365930.693057</v>
      </c>
      <c r="Y31" s="15">
        <f t="shared" si="9"/>
        <v>11675.504522696037</v>
      </c>
    </row>
    <row r="32" spans="1:25" ht="18.75" customHeight="1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19">
        <f>IFERROR(VLOOKUP(A32,'Variable Input'!$1:$1048576,6,FALSE),0)</f>
        <v>245002626.74528134</v>
      </c>
      <c r="E32" s="19">
        <f t="shared" si="0"/>
        <v>22986.814893275434</v>
      </c>
      <c r="F32" s="19">
        <f>IFERROR(VLOOKUP(A32,'Drug Overhead'!$1:$1048576,13,FALSE)*VLOOKUP(A32,Volume!A:K,11,FALSE),0)</f>
        <v>340161.64688431198</v>
      </c>
      <c r="G32" s="19">
        <f t="shared" si="1"/>
        <v>245342788.39216566</v>
      </c>
      <c r="H32" s="19">
        <f t="shared" si="10"/>
        <v>23018.729787064924</v>
      </c>
      <c r="I32" s="36">
        <f>VLOOKUP(A32,'Variable Input'!$1:$1048576,8,FALSE)</f>
        <v>1.1259331913445376</v>
      </c>
      <c r="J32" s="19">
        <f t="shared" si="2"/>
        <v>217901728.3425037</v>
      </c>
      <c r="K32" s="63">
        <f>J32*(1-VLOOKUP(A32,PROFIT!$A$1:$IT$65527,7,FALSE))</f>
        <v>220586820.39341617</v>
      </c>
      <c r="L32" s="19">
        <f>IFERROR(VLOOKUP(A32,'Variable Input'!$1:$1048576,26,FALSE)*VLOOKUP(A32,Volume!A:K,11,FALSE),0)</f>
        <v>2754406.3071728726</v>
      </c>
      <c r="M32" s="22">
        <f t="shared" si="3"/>
        <v>217832414.0862433</v>
      </c>
      <c r="N32" s="36">
        <f>VLOOKUP(A32,'Variable Input'!$1:$1048576,23,FALSE)</f>
        <v>0.99671861092415948</v>
      </c>
      <c r="O32" s="22">
        <f t="shared" si="4"/>
        <v>218549560.22569767</v>
      </c>
      <c r="P32" s="27">
        <f>IFERROR(VLOOKUP(A32,'Variable Input'!$1:$1048576,7,FALSE),0)</f>
        <v>10658.398211444006</v>
      </c>
      <c r="Q32" s="18">
        <f t="shared" si="5"/>
        <v>20504.916019279452</v>
      </c>
      <c r="R32" s="18">
        <f t="shared" si="6"/>
        <v>218549560.22569767</v>
      </c>
      <c r="S32" s="20">
        <f>IFERROR(VLOOKUP(A32,RESCMAD!$1:$1048576,8,FALSE),0)</f>
        <v>3.4768985729970833E-3</v>
      </c>
      <c r="T32" s="19">
        <f>IF(C32=5,(S32*P32)*IME!$L$7,(S32*P32)*IME!$L$8)</f>
        <v>4665189.9598429743</v>
      </c>
      <c r="U32" s="19">
        <v>0</v>
      </c>
      <c r="V32" s="22">
        <f t="shared" si="7"/>
        <v>213884370.26585469</v>
      </c>
      <c r="W32" s="17">
        <f t="shared" si="8"/>
        <v>-2.1346142060524875E-2</v>
      </c>
      <c r="X32" s="19">
        <f t="shared" si="11"/>
        <v>213884370.26585469</v>
      </c>
      <c r="Y32" s="15">
        <f t="shared" si="9"/>
        <v>20067.215168992781</v>
      </c>
    </row>
    <row r="33" spans="1:25" ht="18.75" customHeight="1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19">
        <f>IFERROR(VLOOKUP(A33,'Variable Input'!$1:$1048576,6,FALSE),0)</f>
        <v>161738343.1905202</v>
      </c>
      <c r="E33" s="19">
        <f t="shared" si="0"/>
        <v>15532.953752586571</v>
      </c>
      <c r="F33" s="19">
        <f>IFERROR(VLOOKUP(A33,'Drug Overhead'!$1:$1048576,13,FALSE)*VLOOKUP(A33,Volume!A:K,11,FALSE),0)</f>
        <v>5550131.0739668515</v>
      </c>
      <c r="G33" s="19">
        <f t="shared" si="1"/>
        <v>167288474.26448706</v>
      </c>
      <c r="H33" s="19">
        <f t="shared" si="10"/>
        <v>16065.974727032744</v>
      </c>
      <c r="I33" s="36">
        <f>VLOOKUP(A33,'Variable Input'!$1:$1048576,8,FALSE)</f>
        <v>1.1205505604288228</v>
      </c>
      <c r="J33" s="19">
        <f t="shared" si="2"/>
        <v>149291321.75924978</v>
      </c>
      <c r="K33" s="63">
        <f>J33*(1-VLOOKUP(A33,PROFIT!$A$1:$IT$65527,7,FALSE))</f>
        <v>135006349.81539115</v>
      </c>
      <c r="L33" s="19">
        <f>IFERROR(VLOOKUP(A33,'Variable Input'!$1:$1048576,26,FALSE)*VLOOKUP(A33,Volume!A:K,11,FALSE),0)</f>
        <v>0</v>
      </c>
      <c r="M33" s="22">
        <f t="shared" si="3"/>
        <v>135006349.81539115</v>
      </c>
      <c r="N33" s="36">
        <f>VLOOKUP(A33,'Variable Input'!$1:$1048576,23,FALSE)</f>
        <v>0.99671861092415948</v>
      </c>
      <c r="O33" s="22">
        <f t="shared" si="4"/>
        <v>135450816.6454452</v>
      </c>
      <c r="P33" s="27">
        <f>IFERROR(VLOOKUP(A33,'Variable Input'!$1:$1048576,7,FALSE),0)</f>
        <v>10412.594138032973</v>
      </c>
      <c r="Q33" s="18">
        <f t="shared" si="5"/>
        <v>13008.364183781872</v>
      </c>
      <c r="R33" s="18">
        <f t="shared" si="6"/>
        <v>135450816.6454452</v>
      </c>
      <c r="S33" s="20">
        <f>IFERROR(VLOOKUP(A33,RESCMAD!$1:$1048576,8,FALSE),0)</f>
        <v>0</v>
      </c>
      <c r="T33" s="19">
        <f>IF(C33=5,(S33*P33)*IME!$L$7,(S33*P33)*IME!$L$8)</f>
        <v>0</v>
      </c>
      <c r="U33" s="19">
        <v>0</v>
      </c>
      <c r="V33" s="22">
        <f t="shared" si="7"/>
        <v>135450816.6454452</v>
      </c>
      <c r="W33" s="17">
        <f t="shared" si="8"/>
        <v>0</v>
      </c>
      <c r="X33" s="19">
        <f t="shared" si="11"/>
        <v>135450816.6454452</v>
      </c>
      <c r="Y33" s="15">
        <f t="shared" si="9"/>
        <v>13008.364183781872</v>
      </c>
    </row>
    <row r="34" spans="1:25" ht="18.75" customHeight="1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19">
        <f>IFERROR(VLOOKUP(A34,'Variable Input'!$1:$1048576,6,FALSE),0)</f>
        <v>283245031.37281293</v>
      </c>
      <c r="E34" s="19">
        <f t="shared" si="0"/>
        <v>17740.81768359938</v>
      </c>
      <c r="F34" s="19">
        <f>IFERROR(VLOOKUP(A34,'Drug Overhead'!$1:$1048576,13,FALSE)*VLOOKUP(A34,Volume!A:K,11,FALSE),0)</f>
        <v>9843700.3071424589</v>
      </c>
      <c r="G34" s="19">
        <f t="shared" si="1"/>
        <v>293088731.67995536</v>
      </c>
      <c r="H34" s="19">
        <f t="shared" si="10"/>
        <v>18357.369690300417</v>
      </c>
      <c r="I34" s="36">
        <f>VLOOKUP(A34,'Variable Input'!$1:$1048576,8,FALSE)</f>
        <v>1.120710322524318</v>
      </c>
      <c r="J34" s="19">
        <f t="shared" si="2"/>
        <v>261520506.94045043</v>
      </c>
      <c r="K34" s="63">
        <f>J34*(1-VLOOKUP(A34,PROFIT!$A$1:$IT$65527,7,FALSE))</f>
        <v>234208472.06374323</v>
      </c>
      <c r="L34" s="19">
        <f>IFERROR(VLOOKUP(A34,'Variable Input'!$1:$1048576,26,FALSE)*VLOOKUP(A34,Volume!A:K,11,FALSE),0)</f>
        <v>0</v>
      </c>
      <c r="M34" s="22">
        <f t="shared" si="3"/>
        <v>234208472.06374323</v>
      </c>
      <c r="N34" s="36">
        <f>VLOOKUP(A34,'Variable Input'!$1:$1048576,23,FALSE)</f>
        <v>0.99671861092415948</v>
      </c>
      <c r="O34" s="22">
        <f t="shared" si="4"/>
        <v>234979531.33089858</v>
      </c>
      <c r="P34" s="27">
        <f>IFERROR(VLOOKUP(A34,'Variable Input'!$1:$1048576,7,FALSE),0)</f>
        <v>15965.725843327995</v>
      </c>
      <c r="Q34" s="18">
        <f t="shared" si="5"/>
        <v>14717.748108464199</v>
      </c>
      <c r="R34" s="18">
        <f t="shared" si="6"/>
        <v>234979531.33089858</v>
      </c>
      <c r="S34" s="20">
        <f>IFERROR(VLOOKUP(A34,RESCMAD!$1:$1048576,8,FALSE),0)</f>
        <v>0</v>
      </c>
      <c r="T34" s="19">
        <f>IF(C34=5,(S34*P34)*IME!$L$7,(S34*P34)*IME!$L$8)</f>
        <v>0</v>
      </c>
      <c r="U34" s="19">
        <v>0</v>
      </c>
      <c r="V34" s="22">
        <f t="shared" si="7"/>
        <v>234979531.33089858</v>
      </c>
      <c r="W34" s="17">
        <f t="shared" si="8"/>
        <v>0</v>
      </c>
      <c r="X34" s="19">
        <f t="shared" si="11"/>
        <v>234979531.33089858</v>
      </c>
      <c r="Y34" s="15">
        <f t="shared" si="9"/>
        <v>14717.748108464199</v>
      </c>
    </row>
    <row r="35" spans="1:25" ht="18.75" customHeight="1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19">
        <f>IFERROR(VLOOKUP(A35,'Variable Input'!$1:$1048576,6,FALSE),0)</f>
        <v>493183008.48548323</v>
      </c>
      <c r="E35" s="19">
        <f t="shared" si="0"/>
        <v>15938.169364639889</v>
      </c>
      <c r="F35" s="19">
        <f>IFERROR(VLOOKUP(A35,'Drug Overhead'!$1:$1048576,13,FALSE)*VLOOKUP(A35,Volume!A:K,11,FALSE),0)</f>
        <v>1405486.23721784</v>
      </c>
      <c r="G35" s="19">
        <f t="shared" si="1"/>
        <v>494588494.72270107</v>
      </c>
      <c r="H35" s="19">
        <f t="shared" si="10"/>
        <v>15983.590389498875</v>
      </c>
      <c r="I35" s="36">
        <f>VLOOKUP(A35,'Variable Input'!$1:$1048576,8,FALSE)</f>
        <v>1.1174861425645124</v>
      </c>
      <c r="J35" s="19">
        <f t="shared" si="2"/>
        <v>442590271.04145813</v>
      </c>
      <c r="K35" s="63">
        <f>J35*(1-VLOOKUP(A35,PROFIT!$A$1:$IT$65527,7,FALSE))</f>
        <v>394960153.70493156</v>
      </c>
      <c r="L35" s="19">
        <f>IFERROR(VLOOKUP(A35,'Variable Input'!$1:$1048576,26,FALSE)*VLOOKUP(A35,Volume!A:K,11,FALSE),0)</f>
        <v>751420.3248961916</v>
      </c>
      <c r="M35" s="22">
        <f t="shared" si="3"/>
        <v>394208733.38003534</v>
      </c>
      <c r="N35" s="36">
        <f>VLOOKUP(A35,'Variable Input'!$1:$1048576,23,FALSE)</f>
        <v>0.99671861092415948</v>
      </c>
      <c r="O35" s="22">
        <f t="shared" si="4"/>
        <v>395506544.23370725</v>
      </c>
      <c r="P35" s="27">
        <f>IFERROR(VLOOKUP(A35,'Variable Input'!$1:$1048576,7,FALSE),0)</f>
        <v>30943.516611114035</v>
      </c>
      <c r="Q35" s="18">
        <f t="shared" si="5"/>
        <v>12781.564203069682</v>
      </c>
      <c r="R35" s="18">
        <f t="shared" si="6"/>
        <v>395506544.23370725</v>
      </c>
      <c r="S35" s="20">
        <f>IFERROR(VLOOKUP(A35,RESCMAD!$1:$1048576,8,FALSE),0)</f>
        <v>1.6158473721128837E-4</v>
      </c>
      <c r="T35" s="19">
        <f>IF(C35=5,(S35*P35)*IME!$L$7,(S35*P35)*IME!$L$8)</f>
        <v>629441.49951054377</v>
      </c>
      <c r="U35" s="19">
        <v>0</v>
      </c>
      <c r="V35" s="22">
        <f t="shared" si="7"/>
        <v>394877102.73419672</v>
      </c>
      <c r="W35" s="17">
        <f t="shared" si="8"/>
        <v>-1.591481882379675E-3</v>
      </c>
      <c r="X35" s="19">
        <f t="shared" si="11"/>
        <v>394877102.73419672</v>
      </c>
      <c r="Y35" s="15">
        <f t="shared" si="9"/>
        <v>12761.222575212025</v>
      </c>
    </row>
    <row r="36" spans="1:25" ht="18.75" customHeight="1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19">
        <f>IFERROR(VLOOKUP(A36,'Variable Input'!$1:$1048576,6,FALSE),0)</f>
        <v>487266143.18255103</v>
      </c>
      <c r="E36" s="19">
        <f t="shared" si="0"/>
        <v>15904.020553840699</v>
      </c>
      <c r="F36" s="19">
        <f>IFERROR(VLOOKUP(A36,'Drug Overhead'!$1:$1048576,13,FALSE)*VLOOKUP(A36,Volume!A:K,11,FALSE),0)</f>
        <v>213935.30300706389</v>
      </c>
      <c r="G36" s="19">
        <f t="shared" si="1"/>
        <v>487480078.48555809</v>
      </c>
      <c r="H36" s="19">
        <f t="shared" si="10"/>
        <v>15911.003250060867</v>
      </c>
      <c r="I36" s="36">
        <f>VLOOKUP(A36,'Variable Input'!$1:$1048576,8,FALSE)</f>
        <v>1.1074866213835981</v>
      </c>
      <c r="J36" s="19">
        <f t="shared" si="2"/>
        <v>440167916.3189733</v>
      </c>
      <c r="K36" s="63">
        <f>J36*(1-VLOOKUP(A36,PROFIT!$A$1:$IT$65527,7,FALSE))</f>
        <v>391393958.40810061</v>
      </c>
      <c r="L36" s="19">
        <f>IFERROR(VLOOKUP(A36,'Variable Input'!$1:$1048576,26,FALSE)*VLOOKUP(A36,Volume!A:K,11,FALSE),0)</f>
        <v>7270460.1939369692</v>
      </c>
      <c r="M36" s="22">
        <f t="shared" si="3"/>
        <v>384123498.21416366</v>
      </c>
      <c r="N36" s="36">
        <f>VLOOKUP(A36,'Variable Input'!$1:$1048576,23,FALSE)</f>
        <v>0.99671861092415948</v>
      </c>
      <c r="O36" s="22">
        <f t="shared" si="4"/>
        <v>385388106.53691274</v>
      </c>
      <c r="P36" s="27">
        <f>IFERROR(VLOOKUP(A36,'Variable Input'!$1:$1048576,7,FALSE),0)</f>
        <v>30637.922123716067</v>
      </c>
      <c r="Q36" s="18">
        <f t="shared" si="5"/>
        <v>12578.793854906799</v>
      </c>
      <c r="R36" s="18">
        <f t="shared" si="6"/>
        <v>385388106.53691274</v>
      </c>
      <c r="S36" s="20">
        <f>IFERROR(VLOOKUP(A36,RESCMAD!$1:$1048576,8,FALSE),0)</f>
        <v>1.893078772306939E-3</v>
      </c>
      <c r="T36" s="19">
        <f>IF(C36=5,(S36*P36)*IME!$L$7,(S36*P36)*IME!$L$8)</f>
        <v>7301521.3943223124</v>
      </c>
      <c r="U36" s="19">
        <v>0</v>
      </c>
      <c r="V36" s="22">
        <f t="shared" si="7"/>
        <v>378086585.1425904</v>
      </c>
      <c r="W36" s="17">
        <f t="shared" si="8"/>
        <v>-1.8945891869714404E-2</v>
      </c>
      <c r="X36" s="19">
        <f t="shared" si="11"/>
        <v>378086585.1425904</v>
      </c>
      <c r="Y36" s="15">
        <f t="shared" si="9"/>
        <v>12340.477386680306</v>
      </c>
    </row>
    <row r="37" spans="1:25" ht="18.75" customHeight="1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19">
        <f>IFERROR(VLOOKUP(A37,'Variable Input'!$1:$1048576,6,FALSE),0)</f>
        <v>6458231.4193228893</v>
      </c>
      <c r="E37" s="19">
        <f t="shared" si="0"/>
        <v>11399.653863300991</v>
      </c>
      <c r="F37" s="19">
        <f>IFERROR(VLOOKUP(A37,'Drug Overhead'!$1:$1048576,13,FALSE)*VLOOKUP(A37,Volume!A:K,11,FALSE),0)</f>
        <v>292431.73930685525</v>
      </c>
      <c r="G37" s="19">
        <f t="shared" si="1"/>
        <v>6750663.1586297443</v>
      </c>
      <c r="H37" s="19">
        <f t="shared" si="10"/>
        <v>11915.835522070154</v>
      </c>
      <c r="I37" s="36">
        <f>VLOOKUP(A37,'Variable Input'!$1:$1048576,8,FALSE)</f>
        <v>1.1235285459397526</v>
      </c>
      <c r="J37" s="19">
        <f t="shared" si="2"/>
        <v>6008448.2793299118</v>
      </c>
      <c r="K37" s="63" t="e">
        <f>J37*(1-VLOOKUP(A37,PROFIT!$A$1:$IT$65527,7,FALSE))</f>
        <v>#N/A</v>
      </c>
      <c r="L37" s="19">
        <f>IFERROR(VLOOKUP(A37,'Variable Input'!$1:$1048576,26,FALSE)*VLOOKUP(A37,Volume!A:K,11,FALSE),0)</f>
        <v>0</v>
      </c>
      <c r="M37" s="22" t="e">
        <f t="shared" si="3"/>
        <v>#N/A</v>
      </c>
      <c r="N37" s="36">
        <f>VLOOKUP(A37,'Variable Input'!$1:$1048576,23,FALSE)</f>
        <v>0.99671861092415948</v>
      </c>
      <c r="O37" s="22" t="e">
        <f t="shared" si="4"/>
        <v>#N/A</v>
      </c>
      <c r="P37" s="27">
        <f>IFERROR(VLOOKUP(A37,'Variable Input'!$1:$1048576,7,FALSE),0)</f>
        <v>566.52872944799947</v>
      </c>
      <c r="Q37" s="18">
        <f t="shared" si="5"/>
        <v>0</v>
      </c>
      <c r="R37" s="18">
        <f t="shared" si="6"/>
        <v>0</v>
      </c>
      <c r="S37" s="20">
        <f>IFERROR(VLOOKUP(A37,RESCMAD!$1:$1048576,8,FALSE),0)</f>
        <v>0</v>
      </c>
      <c r="T37" s="19">
        <f>IF(C37=5,(S37*P37)*IME!$L$7,(S37*P37)*IME!$L$8)</f>
        <v>0</v>
      </c>
      <c r="U37" s="19">
        <v>0</v>
      </c>
      <c r="V37" s="22">
        <f t="shared" si="7"/>
        <v>0</v>
      </c>
      <c r="W37" s="17">
        <f t="shared" si="8"/>
        <v>0</v>
      </c>
      <c r="X37" s="19">
        <f t="shared" si="11"/>
        <v>0</v>
      </c>
      <c r="Y37" s="15">
        <f t="shared" si="9"/>
        <v>0</v>
      </c>
    </row>
    <row r="38" spans="1:25" ht="18.75" customHeight="1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19">
        <f>IFERROR(VLOOKUP(A38,'Variable Input'!$1:$1048576,6,FALSE),0)</f>
        <v>346556209.08864111</v>
      </c>
      <c r="E38" s="19">
        <f t="shared" si="0"/>
        <v>14111.085465256892</v>
      </c>
      <c r="F38" s="19">
        <f>IFERROR(VLOOKUP(A38,'Drug Overhead'!$1:$1048576,13,FALSE)*VLOOKUP(A38,Volume!A:K,11,FALSE),0)</f>
        <v>808035.04537827137</v>
      </c>
      <c r="G38" s="19">
        <f t="shared" si="1"/>
        <v>347364244.13401937</v>
      </c>
      <c r="H38" s="19">
        <f t="shared" si="10"/>
        <v>14143.987058952876</v>
      </c>
      <c r="I38" s="36">
        <f>VLOOKUP(A38,'Variable Input'!$1:$1048576,8,FALSE)</f>
        <v>1.1035189993630976</v>
      </c>
      <c r="J38" s="19">
        <f t="shared" si="2"/>
        <v>314778671.08269334</v>
      </c>
      <c r="K38" s="63">
        <f>J38*(1-VLOOKUP(A38,PROFIT!$A$1:$IT$65527,7,FALSE))</f>
        <v>319221824.88188899</v>
      </c>
      <c r="L38" s="19">
        <f>IFERROR(VLOOKUP(A38,'Variable Input'!$1:$1048576,26,FALSE)*VLOOKUP(A38,Volume!A:K,11,FALSE),0)</f>
        <v>0</v>
      </c>
      <c r="M38" s="22">
        <f t="shared" si="3"/>
        <v>319221824.88188899</v>
      </c>
      <c r="N38" s="36">
        <f>VLOOKUP(A38,'Variable Input'!$1:$1048576,23,FALSE)</f>
        <v>0.99671861092415948</v>
      </c>
      <c r="O38" s="22">
        <f t="shared" si="4"/>
        <v>320272764.43238664</v>
      </c>
      <c r="P38" s="27">
        <f>IFERROR(VLOOKUP(A38,'Variable Input'!$1:$1048576,7,FALSE),0)</f>
        <v>24559.146065829038</v>
      </c>
      <c r="Q38" s="18">
        <f t="shared" si="5"/>
        <v>13040.875426772509</v>
      </c>
      <c r="R38" s="18">
        <f t="shared" si="6"/>
        <v>320272764.43238664</v>
      </c>
      <c r="S38" s="20">
        <f>IFERROR(VLOOKUP(A38,RESCMAD!$1:$1048576,8,FALSE),0)</f>
        <v>0</v>
      </c>
      <c r="T38" s="19">
        <f>IF(C38=5,(S38*P38)*IME!$L$7,(S38*P38)*IME!$L$8)</f>
        <v>0</v>
      </c>
      <c r="U38" s="19">
        <v>0</v>
      </c>
      <c r="V38" s="22">
        <f t="shared" si="7"/>
        <v>320272764.43238664</v>
      </c>
      <c r="W38" s="17">
        <f t="shared" si="8"/>
        <v>0</v>
      </c>
      <c r="X38" s="19">
        <f t="shared" si="11"/>
        <v>320272764.43238664</v>
      </c>
      <c r="Y38" s="15">
        <f t="shared" si="9"/>
        <v>13040.875426772509</v>
      </c>
    </row>
    <row r="39" spans="1:25" ht="18.75" customHeight="1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19">
        <f>IFERROR(VLOOKUP(A39,'Variable Input'!$1:$1048576,6,FALSE),0)</f>
        <v>360555499.02413774</v>
      </c>
      <c r="E39" s="19">
        <f t="shared" si="0"/>
        <v>14878.678787363348</v>
      </c>
      <c r="F39" s="19">
        <f>IFERROR(VLOOKUP(A39,'Drug Overhead'!$1:$1048576,13,FALSE)*VLOOKUP(A39,Volume!A:K,11,FALSE),0)</f>
        <v>199700.68284646832</v>
      </c>
      <c r="G39" s="19">
        <f t="shared" si="1"/>
        <v>360755199.70698422</v>
      </c>
      <c r="H39" s="19">
        <f t="shared" si="10"/>
        <v>14886.919633285075</v>
      </c>
      <c r="I39" s="36">
        <f>VLOOKUP(A39,'Variable Input'!$1:$1048576,8,FALSE)</f>
        <v>1.1147926720978587</v>
      </c>
      <c r="J39" s="19">
        <f t="shared" si="2"/>
        <v>323607437.27181268</v>
      </c>
      <c r="K39" s="63">
        <f>J39*(1-VLOOKUP(A39,PROFIT!$A$1:$IT$65527,7,FALSE))</f>
        <v>268813238.53798801</v>
      </c>
      <c r="L39" s="19">
        <f>IFERROR(VLOOKUP(A39,'Variable Input'!$1:$1048576,26,FALSE)*VLOOKUP(A39,Volume!A:K,11,FALSE),0)</f>
        <v>0</v>
      </c>
      <c r="M39" s="22">
        <f t="shared" si="3"/>
        <v>268813238.53798801</v>
      </c>
      <c r="N39" s="36">
        <f>VLOOKUP(A39,'Variable Input'!$1:$1048576,23,FALSE)</f>
        <v>0.99671861092415948</v>
      </c>
      <c r="O39" s="22">
        <f t="shared" si="4"/>
        <v>269698223.3418355</v>
      </c>
      <c r="P39" s="27">
        <f>IFERROR(VLOOKUP(A39,'Variable Input'!$1:$1048576,7,FALSE),0)</f>
        <v>24233.031990069048</v>
      </c>
      <c r="Q39" s="18">
        <f t="shared" si="5"/>
        <v>11129.363566736538</v>
      </c>
      <c r="R39" s="18">
        <f t="shared" si="6"/>
        <v>269698223.3418355</v>
      </c>
      <c r="S39" s="20">
        <f>IFERROR(VLOOKUP(A39,RESCMAD!$1:$1048576,8,FALSE),0)</f>
        <v>0</v>
      </c>
      <c r="T39" s="19">
        <f>IF(C39=5,(S39*P39)*IME!$L$7,(S39*P39)*IME!$L$8)</f>
        <v>0</v>
      </c>
      <c r="U39" s="19">
        <v>0</v>
      </c>
      <c r="V39" s="22">
        <f t="shared" si="7"/>
        <v>269698223.3418355</v>
      </c>
      <c r="W39" s="17">
        <f t="shared" si="8"/>
        <v>0</v>
      </c>
      <c r="X39" s="19">
        <f t="shared" si="11"/>
        <v>269698223.3418355</v>
      </c>
      <c r="Y39" s="15">
        <f t="shared" si="9"/>
        <v>11129.363566736538</v>
      </c>
    </row>
    <row r="40" spans="1:25" ht="18.75" customHeight="1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19">
        <f>IFERROR(VLOOKUP(A40,'Variable Input'!$1:$1048576,6,FALSE),0)</f>
        <v>285517283.37502766</v>
      </c>
      <c r="E40" s="19">
        <f t="shared" si="0"/>
        <v>17949.116567739551</v>
      </c>
      <c r="F40" s="19">
        <f>IFERROR(VLOOKUP(A40,'Drug Overhead'!$1:$1048576,13,FALSE)*VLOOKUP(A40,Volume!A:K,11,FALSE),0)</f>
        <v>467837.98050078697</v>
      </c>
      <c r="G40" s="19">
        <f t="shared" si="1"/>
        <v>285985121.35552841</v>
      </c>
      <c r="H40" s="19">
        <f t="shared" si="10"/>
        <v>17978.527321258782</v>
      </c>
      <c r="I40" s="36">
        <f>VLOOKUP(A40,'Variable Input'!$1:$1048576,8,FALSE)</f>
        <v>1.1175427593245362</v>
      </c>
      <c r="J40" s="19">
        <f t="shared" si="2"/>
        <v>255905305.60851488</v>
      </c>
      <c r="K40" s="63">
        <f>J40*(1-VLOOKUP(A40,PROFIT!$A$1:$IT$65527,7,FALSE))</f>
        <v>254128090.57979205</v>
      </c>
      <c r="L40" s="19">
        <f>IFERROR(VLOOKUP(A40,'Variable Input'!$1:$1048576,26,FALSE)*VLOOKUP(A40,Volume!A:K,11,FALSE),0)</f>
        <v>0</v>
      </c>
      <c r="M40" s="22">
        <f t="shared" si="3"/>
        <v>254128090.57979205</v>
      </c>
      <c r="N40" s="36">
        <f>VLOOKUP(A40,'Variable Input'!$1:$1048576,23,FALSE)</f>
        <v>1.0181752931904677</v>
      </c>
      <c r="O40" s="22">
        <f t="shared" si="4"/>
        <v>249591688.46405399</v>
      </c>
      <c r="P40" s="27">
        <f>IFERROR(VLOOKUP(A40,'Variable Input'!$1:$1048576,7,FALSE),0)</f>
        <v>15907.038226505023</v>
      </c>
      <c r="Q40" s="18">
        <f t="shared" si="5"/>
        <v>15690.644915165482</v>
      </c>
      <c r="R40" s="18">
        <f t="shared" si="6"/>
        <v>249591688.46405399</v>
      </c>
      <c r="S40" s="20">
        <f>IFERROR(VLOOKUP(A40,RESCMAD!$1:$1048576,8,FALSE),0)</f>
        <v>0</v>
      </c>
      <c r="T40" s="19">
        <f>IF(C40=5,(S40*P40)*IME!$L$7,(S40*P40)*IME!$L$8)</f>
        <v>0</v>
      </c>
      <c r="U40" s="19">
        <v>0</v>
      </c>
      <c r="V40" s="22">
        <f t="shared" si="7"/>
        <v>249591688.46405399</v>
      </c>
      <c r="W40" s="17">
        <f t="shared" si="8"/>
        <v>0</v>
      </c>
      <c r="X40" s="19">
        <f t="shared" si="11"/>
        <v>249591688.46405399</v>
      </c>
      <c r="Y40" s="15">
        <f t="shared" si="9"/>
        <v>15690.644915165482</v>
      </c>
    </row>
    <row r="41" spans="1:25" ht="18.75" customHeight="1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19">
        <f>IFERROR(VLOOKUP(A41,'Variable Input'!$1:$1048576,6,FALSE),0)</f>
        <v>40214198.735883914</v>
      </c>
      <c r="E41" s="19">
        <f t="shared" si="0"/>
        <v>20264.30519802343</v>
      </c>
      <c r="F41" s="19">
        <f>IFERROR(VLOOKUP(A41,'Drug Overhead'!$1:$1048576,13,FALSE)*VLOOKUP(A41,Volume!A:K,11,FALSE),0)</f>
        <v>11127.300841270084</v>
      </c>
      <c r="G41" s="19">
        <f t="shared" si="1"/>
        <v>40225326.036725186</v>
      </c>
      <c r="H41" s="19">
        <f t="shared" si="10"/>
        <v>20269.912347422545</v>
      </c>
      <c r="I41" s="36">
        <f>VLOOKUP(A41,'Variable Input'!$1:$1048576,8,FALSE)</f>
        <v>1.2317684965243516</v>
      </c>
      <c r="J41" s="19">
        <f t="shared" si="2"/>
        <v>32656563.429108568</v>
      </c>
      <c r="K41" s="63" t="e">
        <f>J41*(1-VLOOKUP(A41,PROFIT!$A$1:$IT$65527,7,FALSE))</f>
        <v>#N/A</v>
      </c>
      <c r="L41" s="19">
        <f>IFERROR(VLOOKUP(A41,'Variable Input'!$1:$1048576,26,FALSE)*VLOOKUP(A41,Volume!A:K,11,FALSE),0)</f>
        <v>141502.60406345228</v>
      </c>
      <c r="M41" s="22" t="e">
        <f t="shared" si="3"/>
        <v>#N/A</v>
      </c>
      <c r="N41" s="36">
        <f>VLOOKUP(A41,'Variable Input'!$1:$1048576,23,FALSE)</f>
        <v>1.0181752931904677</v>
      </c>
      <c r="O41" s="22" t="e">
        <f t="shared" si="4"/>
        <v>#N/A</v>
      </c>
      <c r="P41" s="27">
        <f>IFERROR(VLOOKUP(A41,'Variable Input'!$1:$1048576,7,FALSE),0)</f>
        <v>1984.4844588999965</v>
      </c>
      <c r="Q41" s="18">
        <f t="shared" si="5"/>
        <v>0</v>
      </c>
      <c r="R41" s="18">
        <f t="shared" si="6"/>
        <v>0</v>
      </c>
      <c r="S41" s="20">
        <f>IFERROR(VLOOKUP(A41,RESCMAD!$1:$1048576,8,FALSE),0)</f>
        <v>0</v>
      </c>
      <c r="T41" s="19">
        <f>IF(C41=5,(S41*P41)*IME!$L$7,(S41*P41)*IME!$L$8)</f>
        <v>0</v>
      </c>
      <c r="U41" s="19">
        <v>0</v>
      </c>
      <c r="V41" s="22">
        <f t="shared" si="7"/>
        <v>0</v>
      </c>
      <c r="W41" s="17">
        <f t="shared" si="8"/>
        <v>0</v>
      </c>
      <c r="X41" s="19">
        <f t="shared" si="11"/>
        <v>0</v>
      </c>
      <c r="Y41" s="15">
        <f t="shared" si="9"/>
        <v>0</v>
      </c>
    </row>
    <row r="42" spans="1:25" ht="18.75" customHeight="1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19">
        <f>IFERROR(VLOOKUP(A42,'Variable Input'!$1:$1048576,6,FALSE),0)</f>
        <v>303044773.2382201</v>
      </c>
      <c r="E42" s="19">
        <f t="shared" si="0"/>
        <v>17951.238803485707</v>
      </c>
      <c r="F42" s="19">
        <f>IFERROR(VLOOKUP(A42,'Drug Overhead'!$1:$1048576,13,FALSE)*VLOOKUP(A42,Volume!A:K,11,FALSE),0)</f>
        <v>608706.1595868353</v>
      </c>
      <c r="G42" s="19">
        <f t="shared" si="1"/>
        <v>303653479.39780694</v>
      </c>
      <c r="H42" s="19">
        <f t="shared" si="10"/>
        <v>17987.296279465689</v>
      </c>
      <c r="I42" s="36">
        <f>VLOOKUP(A42,'Variable Input'!$1:$1048576,8,FALSE)</f>
        <v>1.1293262174048309</v>
      </c>
      <c r="J42" s="19">
        <f t="shared" si="2"/>
        <v>268880217.88389593</v>
      </c>
      <c r="K42" s="63">
        <f>J42*(1-VLOOKUP(A42,PROFIT!$A$1:$IT$65527,7,FALSE))</f>
        <v>250697212.59507027</v>
      </c>
      <c r="L42" s="19">
        <f>IFERROR(VLOOKUP(A42,'Variable Input'!$1:$1048576,26,FALSE)*VLOOKUP(A42,Volume!A:K,11,FALSE),0)</f>
        <v>1799367.1419683334</v>
      </c>
      <c r="M42" s="22">
        <f t="shared" si="3"/>
        <v>248897845.45310193</v>
      </c>
      <c r="N42" s="36">
        <f>VLOOKUP(A42,'Variable Input'!$1:$1048576,23,FALSE)</f>
        <v>0.99671861092415948</v>
      </c>
      <c r="O42" s="22">
        <f t="shared" si="4"/>
        <v>249717264.95838514</v>
      </c>
      <c r="P42" s="27">
        <f>IFERROR(VLOOKUP(A42,'Variable Input'!$1:$1048576,7,FALSE),0)</f>
        <v>16881.552106553001</v>
      </c>
      <c r="Q42" s="18">
        <f t="shared" si="5"/>
        <v>14792.316688786635</v>
      </c>
      <c r="R42" s="18">
        <f t="shared" si="6"/>
        <v>249717264.95838514</v>
      </c>
      <c r="S42" s="20">
        <f>IFERROR(VLOOKUP(A42,RESCMAD!$1:$1048576,8,FALSE),0)</f>
        <v>8.9597682467736116E-4</v>
      </c>
      <c r="T42" s="19">
        <f>IF(C42=5,(S42*P42)*IME!$L$7,(S42*P42)*IME!$L$8)</f>
        <v>1904120.8934234558</v>
      </c>
      <c r="U42" s="19">
        <v>0</v>
      </c>
      <c r="V42" s="22">
        <f t="shared" si="7"/>
        <v>247813144.06496167</v>
      </c>
      <c r="W42" s="17">
        <f t="shared" si="8"/>
        <v>-7.6251071136022031E-3</v>
      </c>
      <c r="X42" s="19">
        <f t="shared" si="11"/>
        <v>247813144.06496167</v>
      </c>
      <c r="Y42" s="15">
        <f t="shared" si="9"/>
        <v>14679.523689576312</v>
      </c>
    </row>
    <row r="43" spans="1:25" ht="18.75" customHeight="1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19">
        <f>IFERROR(VLOOKUP(A43,'Variable Input'!$1:$1048576,6,FALSE),0)</f>
        <v>499103487.51798743</v>
      </c>
      <c r="E43" s="19">
        <f t="shared" si="0"/>
        <v>16880.171046630647</v>
      </c>
      <c r="F43" s="19">
        <f>IFERROR(VLOOKUP(A43,'Drug Overhead'!$1:$1048576,13,FALSE)*VLOOKUP(A43,Volume!A:K,11,FALSE),0)</f>
        <v>2631671.9105439242</v>
      </c>
      <c r="G43" s="19">
        <f t="shared" si="1"/>
        <v>501735159.42853135</v>
      </c>
      <c r="H43" s="19">
        <f t="shared" si="10"/>
        <v>16969.176780109905</v>
      </c>
      <c r="I43" s="36">
        <f>VLOOKUP(A43,'Variable Input'!$1:$1048576,8,FALSE)</f>
        <v>1.1115105879568932</v>
      </c>
      <c r="J43" s="19">
        <f t="shared" si="2"/>
        <v>451399352.25519395</v>
      </c>
      <c r="K43" s="63">
        <f>J43*(1-VLOOKUP(A43,PROFIT!$A$1:$IT$65527,7,FALSE))</f>
        <v>391754010.73351216</v>
      </c>
      <c r="L43" s="19">
        <f>IFERROR(VLOOKUP(A43,'Variable Input'!$1:$1048576,26,FALSE)*VLOOKUP(A43,Volume!A:K,11,FALSE),0)</f>
        <v>0</v>
      </c>
      <c r="M43" s="22">
        <f t="shared" si="3"/>
        <v>391754010.73351216</v>
      </c>
      <c r="N43" s="36">
        <f>VLOOKUP(A43,'Variable Input'!$1:$1048576,23,FALSE)</f>
        <v>1.0181752931904677</v>
      </c>
      <c r="O43" s="22">
        <f t="shared" si="4"/>
        <v>384760869.12887567</v>
      </c>
      <c r="P43" s="27">
        <f>IFERROR(VLOOKUP(A43,'Variable Input'!$1:$1048576,7,FALSE),0)</f>
        <v>29567.442541858047</v>
      </c>
      <c r="Q43" s="18">
        <f t="shared" si="5"/>
        <v>13012.991183940825</v>
      </c>
      <c r="R43" s="18">
        <f t="shared" si="6"/>
        <v>384760869.12887567</v>
      </c>
      <c r="S43" s="20">
        <f>IFERROR(VLOOKUP(A43,RESCMAD!$1:$1048576,8,FALSE),0)</f>
        <v>0</v>
      </c>
      <c r="T43" s="19">
        <f>IF(C43=5,(S43*P43)*IME!$L$7,(S43*P43)*IME!$L$8)</f>
        <v>0</v>
      </c>
      <c r="U43" s="19">
        <v>0</v>
      </c>
      <c r="V43" s="22">
        <f t="shared" si="7"/>
        <v>384760869.12887567</v>
      </c>
      <c r="W43" s="17">
        <f t="shared" si="8"/>
        <v>0</v>
      </c>
      <c r="X43" s="19">
        <f t="shared" si="11"/>
        <v>384760869.12887567</v>
      </c>
      <c r="Y43" s="15">
        <f t="shared" si="9"/>
        <v>13012.991183940825</v>
      </c>
    </row>
    <row r="44" spans="1:25" ht="18.75" customHeight="1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19">
        <f>IFERROR(VLOOKUP(A44,'Variable Input'!$1:$1048576,6,FALSE),0)</f>
        <v>116884142.59409216</v>
      </c>
      <c r="E44" s="19">
        <f>IFERROR(D44/P44,0)</f>
        <v>22202.44906618509</v>
      </c>
      <c r="F44" s="19">
        <f>IFERROR(VLOOKUP(A44,'Drug Overhead'!$1:$1048576,13,FALSE)*VLOOKUP(A44,Volume!A:K,11,FALSE),0)</f>
        <v>812956.11219271156</v>
      </c>
      <c r="G44" s="19">
        <f t="shared" si="1"/>
        <v>117697098.70628487</v>
      </c>
      <c r="H44" s="19">
        <f t="shared" si="10"/>
        <v>22356.872209251502</v>
      </c>
      <c r="I44" s="36">
        <f>VLOOKUP(A44,'Variable Input'!$1:$1048576,8,FALSE)</f>
        <v>1.1120223070717381</v>
      </c>
      <c r="J44" s="19">
        <f t="shared" si="2"/>
        <v>105840591.46818182</v>
      </c>
      <c r="K44" s="63">
        <f>J44*(1-VLOOKUP(A44,PROFIT!$A$1:$IT$65527,7,FALSE))</f>
        <v>90279527.42070958</v>
      </c>
      <c r="L44" s="19">
        <f>IFERROR(VLOOKUP(A44,'Variable Input'!$1:$1048576,26,FALSE)*VLOOKUP(A44,Volume!A:K,11,FALSE),0)</f>
        <v>1538688.3210319907</v>
      </c>
      <c r="M44" s="22">
        <f t="shared" si="3"/>
        <v>88740839.099677593</v>
      </c>
      <c r="N44" s="36">
        <f>VLOOKUP(A44,'Variable Input'!$1:$1048576,23,FALSE)</f>
        <v>0.99671861092415948</v>
      </c>
      <c r="O44" s="22">
        <f t="shared" si="4"/>
        <v>89032990.983680844</v>
      </c>
      <c r="P44" s="27">
        <f>IFERROR(VLOOKUP(A44,'Variable Input'!$1:$1048576,7,FALSE),0)</f>
        <v>5264.4707007620054</v>
      </c>
      <c r="Q44" s="18">
        <f t="shared" si="5"/>
        <v>16912.049861117808</v>
      </c>
      <c r="R44" s="18">
        <f t="shared" si="6"/>
        <v>89032990.983680844</v>
      </c>
      <c r="S44" s="20">
        <f>IFERROR(VLOOKUP(A44,RESCMAD!$1:$1048576,8,FALSE),0)</f>
        <v>1.8078109788817528E-3</v>
      </c>
      <c r="T44" s="19">
        <f>IF(C44=5,(S44*P44)*IME!$L$7,(S44*P44)*IME!$L$8)</f>
        <v>1198100.0906961758</v>
      </c>
      <c r="U44" s="19">
        <v>0</v>
      </c>
      <c r="V44" s="22">
        <f t="shared" si="7"/>
        <v>87834890.892984673</v>
      </c>
      <c r="W44" s="17">
        <f t="shared" si="8"/>
        <v>-1.3456810531230823E-2</v>
      </c>
      <c r="X44" s="19">
        <f t="shared" si="11"/>
        <v>87834890.892984673</v>
      </c>
      <c r="Y44" s="15">
        <f t="shared" si="9"/>
        <v>16684.467610442018</v>
      </c>
    </row>
    <row r="45" spans="1:25" ht="18.75" customHeight="1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19">
        <f>IFERROR(VLOOKUP(A45,'Variable Input'!$1:$1048576,6,FALSE),0)</f>
        <v>66025121.445559166</v>
      </c>
      <c r="E45" s="19">
        <f t="shared" si="0"/>
        <v>17753.409798893626</v>
      </c>
      <c r="F45" s="19">
        <f>IFERROR(VLOOKUP(A45,'Drug Overhead'!$1:$1048576,13,FALSE)*VLOOKUP(A45,Volume!A:K,11,FALSE),0)</f>
        <v>19937.503468893756</v>
      </c>
      <c r="G45" s="19">
        <f t="shared" si="1"/>
        <v>66045058.94902806</v>
      </c>
      <c r="H45" s="19">
        <f t="shared" si="10"/>
        <v>17758.770768501869</v>
      </c>
      <c r="I45" s="36">
        <f>VLOOKUP(A45,'Variable Input'!$1:$1048576,8,FALSE)</f>
        <v>1.1180896691644482</v>
      </c>
      <c r="J45" s="19">
        <f t="shared" si="2"/>
        <v>59069554.768700913</v>
      </c>
      <c r="K45" s="63">
        <f>J45*(1-VLOOKUP(A45,PROFIT!$A$1:$IT$65527,7,FALSE))</f>
        <v>53475907.039414257</v>
      </c>
      <c r="L45" s="19">
        <f>IFERROR(VLOOKUP(A45,'Variable Input'!$1:$1048576,26,FALSE)*VLOOKUP(A45,Volume!A:K,11,FALSE),0)</f>
        <v>0</v>
      </c>
      <c r="M45" s="22">
        <f t="shared" si="3"/>
        <v>53475907.039414257</v>
      </c>
      <c r="N45" s="36">
        <f>VLOOKUP(A45,'Variable Input'!$1:$1048576,23,FALSE)</f>
        <v>1.0181752931904677</v>
      </c>
      <c r="O45" s="22">
        <f t="shared" si="4"/>
        <v>52521316.70947022</v>
      </c>
      <c r="P45" s="27">
        <f>IFERROR(VLOOKUP(A45,'Variable Input'!$1:$1048576,7,FALSE),0)</f>
        <v>3719.0107248960016</v>
      </c>
      <c r="Q45" s="18">
        <f t="shared" si="5"/>
        <v>14122.389149856223</v>
      </c>
      <c r="R45" s="18">
        <f t="shared" si="6"/>
        <v>52521316.70947022</v>
      </c>
      <c r="S45" s="20">
        <f>IFERROR(VLOOKUP(A45,RESCMAD!$1:$1048576,8,FALSE),0)</f>
        <v>0</v>
      </c>
      <c r="T45" s="19">
        <f>IF(C45=5,(S45*P45)*IME!$L$7,(S45*P45)*IME!$L$8)</f>
        <v>0</v>
      </c>
      <c r="U45" s="19">
        <v>0</v>
      </c>
      <c r="V45" s="22">
        <f t="shared" si="7"/>
        <v>52521316.70947022</v>
      </c>
      <c r="W45" s="17">
        <f t="shared" si="8"/>
        <v>0</v>
      </c>
      <c r="X45" s="19">
        <f t="shared" si="11"/>
        <v>52521316.70947022</v>
      </c>
      <c r="Y45" s="15">
        <f t="shared" si="9"/>
        <v>14122.389149856223</v>
      </c>
    </row>
    <row r="46" spans="1:25" ht="18.75" customHeight="1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19">
        <f>IFERROR(VLOOKUP(A46,'Variable Input'!$1:$1048576,6,FALSE),0)</f>
        <v>123504689.38214977</v>
      </c>
      <c r="E46" s="19">
        <f t="shared" si="0"/>
        <v>13704.704076803599</v>
      </c>
      <c r="F46" s="19">
        <f>IFERROR(VLOOKUP(A46,'Drug Overhead'!$1:$1048576,13,FALSE)*VLOOKUP(A46,Volume!A:K,11,FALSE),0)</f>
        <v>162866.28181904109</v>
      </c>
      <c r="G46" s="19">
        <f t="shared" si="1"/>
        <v>123667555.66396882</v>
      </c>
      <c r="H46" s="19">
        <f t="shared" si="10"/>
        <v>13722.776541967354</v>
      </c>
      <c r="I46" s="36">
        <f>VLOOKUP(A46,'Variable Input'!$1:$1048576,8,FALSE)</f>
        <v>1.1146605541082666</v>
      </c>
      <c r="J46" s="19">
        <f t="shared" si="2"/>
        <v>110946382.02470833</v>
      </c>
      <c r="K46" s="63">
        <f>J46*(1-VLOOKUP(A46,PROFIT!$A$1:$IT$65527,7,FALSE))</f>
        <v>90038150.647681341</v>
      </c>
      <c r="L46" s="19">
        <f>IFERROR(VLOOKUP(A46,'Variable Input'!$1:$1048576,26,FALSE)*VLOOKUP(A46,Volume!A:K,11,FALSE),0)</f>
        <v>0</v>
      </c>
      <c r="M46" s="22">
        <f t="shared" si="3"/>
        <v>90038150.647681341</v>
      </c>
      <c r="N46" s="36">
        <f>VLOOKUP(A46,'Variable Input'!$1:$1048576,23,FALSE)</f>
        <v>0.99671861092415948</v>
      </c>
      <c r="O46" s="22">
        <f t="shared" si="4"/>
        <v>90334573.530434817</v>
      </c>
      <c r="P46" s="27">
        <f>IFERROR(VLOOKUP(A46,'Variable Input'!$1:$1048576,7,FALSE),0)</f>
        <v>9011.8464937300014</v>
      </c>
      <c r="Q46" s="18">
        <f t="shared" si="5"/>
        <v>10023.980500920112</v>
      </c>
      <c r="R46" s="18">
        <f t="shared" si="6"/>
        <v>90334573.530434817</v>
      </c>
      <c r="S46" s="20">
        <f>IFERROR(VLOOKUP(A46,RESCMAD!$1:$1048576,8,FALSE),0)</f>
        <v>0</v>
      </c>
      <c r="T46" s="19">
        <f>IF(C46=5,(S46*P46)*IME!$L$7,(S46*P46)*IME!$L$8)</f>
        <v>0</v>
      </c>
      <c r="U46" s="19">
        <v>0</v>
      </c>
      <c r="V46" s="22">
        <f t="shared" si="7"/>
        <v>90334573.530434817</v>
      </c>
      <c r="W46" s="17">
        <f t="shared" si="8"/>
        <v>0</v>
      </c>
      <c r="X46" s="19">
        <f t="shared" si="11"/>
        <v>90334573.530434817</v>
      </c>
      <c r="Y46" s="15">
        <f t="shared" si="9"/>
        <v>10023.980500920112</v>
      </c>
    </row>
    <row r="47" spans="1:25" ht="18.75" customHeight="1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19">
        <f>IFERROR(VLOOKUP(A47,'Variable Input'!$1:$1048576,6,FALSE),0)</f>
        <v>312383262.27148259</v>
      </c>
      <c r="E47" s="19">
        <f t="shared" si="0"/>
        <v>17865.467549508132</v>
      </c>
      <c r="F47" s="19">
        <f>IFERROR(VLOOKUP(A47,'Drug Overhead'!$1:$1048576,13,FALSE)*VLOOKUP(A47,Volume!A:K,11,FALSE),0)</f>
        <v>89464.784530689489</v>
      </c>
      <c r="G47" s="19">
        <f t="shared" si="1"/>
        <v>312472727.05601329</v>
      </c>
      <c r="H47" s="19">
        <f t="shared" si="10"/>
        <v>17870.584117512561</v>
      </c>
      <c r="I47" s="36">
        <f>VLOOKUP(A47,'Variable Input'!$1:$1048576,8,FALSE)</f>
        <v>1.1171440000317876</v>
      </c>
      <c r="J47" s="19">
        <f t="shared" si="2"/>
        <v>279706758.52631539</v>
      </c>
      <c r="K47" s="63">
        <f>J47*(1-VLOOKUP(A47,PROFIT!$A$1:$IT$65527,7,FALSE))</f>
        <v>273575749.6115858</v>
      </c>
      <c r="L47" s="19">
        <f>IFERROR(VLOOKUP(A47,'Variable Input'!$1:$1048576,26,FALSE)*VLOOKUP(A47,Volume!A:K,11,FALSE),0)</f>
        <v>0</v>
      </c>
      <c r="M47" s="22">
        <f t="shared" si="3"/>
        <v>273575749.6115858</v>
      </c>
      <c r="N47" s="36">
        <f>VLOOKUP(A47,'Variable Input'!$1:$1048576,23,FALSE)</f>
        <v>1.0181752931904677</v>
      </c>
      <c r="O47" s="22">
        <f t="shared" si="4"/>
        <v>268692190.27534252</v>
      </c>
      <c r="P47" s="27">
        <f>IFERROR(VLOOKUP(A47,'Variable Input'!$1:$1048576,7,FALSE),0)</f>
        <v>17485.311336287028</v>
      </c>
      <c r="Q47" s="18">
        <f t="shared" si="5"/>
        <v>15366.737549461261</v>
      </c>
      <c r="R47" s="18">
        <f t="shared" si="6"/>
        <v>268692190.27534252</v>
      </c>
      <c r="S47" s="20">
        <f>IFERROR(VLOOKUP(A47,RESCMAD!$1:$1048576,8,FALSE),0)</f>
        <v>0</v>
      </c>
      <c r="T47" s="19">
        <f>IF(C47=5,(S47*P47)*IME!$L$7,(S47*P47)*IME!$L$8)</f>
        <v>0</v>
      </c>
      <c r="U47" s="19">
        <v>0</v>
      </c>
      <c r="V47" s="22">
        <f t="shared" si="7"/>
        <v>268692190.27534252</v>
      </c>
      <c r="W47" s="17">
        <f t="shared" si="8"/>
        <v>0</v>
      </c>
      <c r="X47" s="19">
        <f t="shared" si="11"/>
        <v>268692190.27534252</v>
      </c>
      <c r="Y47" s="15">
        <f t="shared" si="9"/>
        <v>15366.737549461261</v>
      </c>
    </row>
    <row r="48" spans="1:25" ht="18.75" customHeight="1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19">
        <f>IFERROR(VLOOKUP(A48,'Variable Input'!$1:$1048576,6,FALSE),0)</f>
        <v>440688737.8692503</v>
      </c>
      <c r="E48" s="19">
        <f t="shared" si="0"/>
        <v>14297.887951049015</v>
      </c>
      <c r="F48" s="19">
        <f>IFERROR(VLOOKUP(A48,'Drug Overhead'!$1:$1048576,13,FALSE)*VLOOKUP(A48,Volume!A:K,11,FALSE),0)</f>
        <v>167266.00793449368</v>
      </c>
      <c r="G48" s="19">
        <f t="shared" si="1"/>
        <v>440856003.87718481</v>
      </c>
      <c r="H48" s="19">
        <f t="shared" si="10"/>
        <v>14303.314798694431</v>
      </c>
      <c r="I48" s="36">
        <f>VLOOKUP(A48,'Variable Input'!$1:$1048576,8,FALSE)</f>
        <v>1.1140199775247721</v>
      </c>
      <c r="J48" s="19">
        <f t="shared" si="2"/>
        <v>395734378.89032978</v>
      </c>
      <c r="K48" s="63">
        <f>J48*(1-VLOOKUP(A48,PROFIT!$A$1:$IT$65527,7,FALSE))</f>
        <v>342668188.37490654</v>
      </c>
      <c r="L48" s="19">
        <f>IFERROR(VLOOKUP(A48,'Variable Input'!$1:$1048576,26,FALSE)*VLOOKUP(A48,Volume!A:K,11,FALSE),0)</f>
        <v>0</v>
      </c>
      <c r="M48" s="22">
        <f t="shared" si="3"/>
        <v>342668188.37490654</v>
      </c>
      <c r="N48" s="36">
        <f>VLOOKUP(A48,'Variable Input'!$1:$1048576,23,FALSE)</f>
        <v>0.99671861092415948</v>
      </c>
      <c r="O48" s="22">
        <f t="shared" si="4"/>
        <v>343796317.85663551</v>
      </c>
      <c r="P48" s="27">
        <f>IFERROR(VLOOKUP(A48,'Variable Input'!$1:$1048576,7,FALSE),0)</f>
        <v>30821.946526509015</v>
      </c>
      <c r="Q48" s="18">
        <f t="shared" si="5"/>
        <v>11154.27014192458</v>
      </c>
      <c r="R48" s="18">
        <f t="shared" si="6"/>
        <v>343796317.85663551</v>
      </c>
      <c r="S48" s="20">
        <f>IFERROR(VLOOKUP(A48,RESCMAD!$1:$1048576,8,FALSE),0)</f>
        <v>0</v>
      </c>
      <c r="T48" s="19">
        <f>IF(C48=5,(S48*P48)*IME!$L$7,(S48*P48)*IME!$L$8)</f>
        <v>0</v>
      </c>
      <c r="U48" s="19">
        <v>0</v>
      </c>
      <c r="V48" s="22">
        <f t="shared" si="7"/>
        <v>343796317.85663551</v>
      </c>
      <c r="W48" s="17">
        <f t="shared" si="8"/>
        <v>0</v>
      </c>
      <c r="X48" s="19">
        <f t="shared" si="11"/>
        <v>343796317.85663551</v>
      </c>
      <c r="Y48" s="15">
        <f t="shared" si="9"/>
        <v>11154.27014192458</v>
      </c>
    </row>
    <row r="49" spans="1:25" ht="18.75" customHeight="1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19">
        <f>IFERROR(VLOOKUP(A49,'Variable Input'!$1:$1048576,6,FALSE),0)</f>
        <v>145294510.05613631</v>
      </c>
      <c r="E49" s="19">
        <f t="shared" si="0"/>
        <v>14911.655443289068</v>
      </c>
      <c r="F49" s="19">
        <f>IFERROR(VLOOKUP(A49,'Drug Overhead'!$1:$1048576,13,FALSE)*VLOOKUP(A49,Volume!A:K,11,FALSE),0)</f>
        <v>8018.762740765379</v>
      </c>
      <c r="G49" s="19">
        <f t="shared" si="1"/>
        <v>145302528.81887707</v>
      </c>
      <c r="H49" s="19">
        <f t="shared" si="10"/>
        <v>14912.4784133175</v>
      </c>
      <c r="I49" s="36">
        <f>VLOOKUP(A49,'Variable Input'!$1:$1048576,8,FALSE)</f>
        <v>1.1083143930424924</v>
      </c>
      <c r="J49" s="19">
        <f t="shared" si="2"/>
        <v>131102266.40655585</v>
      </c>
      <c r="K49" s="63">
        <f>J49*(1-VLOOKUP(A49,PROFIT!$A$1:$IT$65527,7,FALSE))</f>
        <v>130637379.20251442</v>
      </c>
      <c r="L49" s="19">
        <f>IFERROR(VLOOKUP(A49,'Variable Input'!$1:$1048576,26,FALSE)*VLOOKUP(A49,Volume!A:K,11,FALSE),0)</f>
        <v>0</v>
      </c>
      <c r="M49" s="22">
        <f t="shared" si="3"/>
        <v>130637379.20251442</v>
      </c>
      <c r="N49" s="36">
        <f>VLOOKUP(A49,'Variable Input'!$1:$1048576,23,FALSE)</f>
        <v>1.0181752931904677</v>
      </c>
      <c r="O49" s="22">
        <f t="shared" si="4"/>
        <v>128305391.10133012</v>
      </c>
      <c r="P49" s="27">
        <f>IFERROR(VLOOKUP(A49,'Variable Input'!$1:$1048576,7,FALSE),0)</f>
        <v>9743.687453664008</v>
      </c>
      <c r="Q49" s="18">
        <f t="shared" si="5"/>
        <v>13168.05282512241</v>
      </c>
      <c r="R49" s="18">
        <f t="shared" si="6"/>
        <v>128305391.10133012</v>
      </c>
      <c r="S49" s="20">
        <f>IFERROR(VLOOKUP(A49,RESCMAD!$1:$1048576,8,FALSE),0)</f>
        <v>0</v>
      </c>
      <c r="T49" s="19">
        <f>IF(C49=5,(S49*P49)*IME!$L$7,(S49*P49)*IME!$L$8)</f>
        <v>0</v>
      </c>
      <c r="U49" s="19">
        <v>0</v>
      </c>
      <c r="V49" s="22">
        <f t="shared" si="7"/>
        <v>128305391.10133012</v>
      </c>
      <c r="W49" s="17">
        <f t="shared" si="8"/>
        <v>0</v>
      </c>
      <c r="X49" s="19">
        <f t="shared" si="11"/>
        <v>128305391.10133012</v>
      </c>
      <c r="Y49" s="15">
        <f t="shared" si="9"/>
        <v>13168.05282512241</v>
      </c>
    </row>
    <row r="50" spans="1:25" ht="18.75" customHeight="1" x14ac:dyDescent="0.6">
      <c r="A50" s="37">
        <v>910003</v>
      </c>
      <c r="B50" s="26" t="str">
        <f>VLOOKUP(A50,'Variable Input'!$1:$1048576,2,FALSE)</f>
        <v>Prince Georges Hospital</v>
      </c>
      <c r="C50" s="33">
        <f>VLOOKUP(A50,'Variable Input'!$1:$1048576,4,FALSE)</f>
        <v>5</v>
      </c>
      <c r="D50" s="35">
        <f>SUMIF($A$1:$A$65535,210003,D$1:D$65535)</f>
        <v>379138438.61161411</v>
      </c>
      <c r="E50" s="19">
        <f t="shared" si="0"/>
        <v>22808.939516295475</v>
      </c>
      <c r="F50" s="35">
        <f>SUMIF($A$1:$A$65535,210003,F$1:F$65535)</f>
        <v>459671.4824954826</v>
      </c>
      <c r="G50" s="19">
        <f t="shared" si="1"/>
        <v>379598110.09410959</v>
      </c>
      <c r="H50" s="19">
        <f t="shared" si="10"/>
        <v>22836.59331758241</v>
      </c>
      <c r="I50" s="272">
        <f>SUMIF($A$1:$A$65535,210003,I$1:I$65535)</f>
        <v>1.1150592197193865</v>
      </c>
      <c r="J50" s="19">
        <f t="shared" si="2"/>
        <v>340428654.71274114</v>
      </c>
      <c r="K50" s="35">
        <f>SUMIF($A$1:$A$65535,210003,K$1:K$65535)</f>
        <v>319587725.13393217</v>
      </c>
      <c r="L50" s="35">
        <f>SUMIF($A$1:$A$65535,210003,L$1:L$65535)</f>
        <v>10600897.780621644</v>
      </c>
      <c r="M50" s="22">
        <f t="shared" si="3"/>
        <v>308986827.35331053</v>
      </c>
      <c r="N50" s="272">
        <f>SUMIF($A$1:$A$65535,210003,N$1:N$65535)</f>
        <v>1.0181752931904677</v>
      </c>
      <c r="O50" s="22">
        <f t="shared" si="4"/>
        <v>303471150.22315621</v>
      </c>
      <c r="P50" s="35">
        <f>SUMIF($A$1:$A$65535,210003,P$1:P$65535)</f>
        <v>16622.361523679996</v>
      </c>
      <c r="Q50" s="18">
        <f t="shared" si="5"/>
        <v>18256.801224713781</v>
      </c>
      <c r="R50" s="18">
        <f t="shared" si="6"/>
        <v>303471150.22315621</v>
      </c>
      <c r="S50" s="273">
        <f>SUMIF($A$1:$A$65535,210003,S$1:S$65535)</f>
        <v>2.8876763347746859E-3</v>
      </c>
      <c r="T50" s="19">
        <f>IF(C50=5,(S50*P50)*IME!$L$7,(S50*P50)*IME!$L$8)</f>
        <v>16617023.963960622</v>
      </c>
      <c r="U50" s="19">
        <v>0</v>
      </c>
      <c r="V50" s="22">
        <f t="shared" si="7"/>
        <v>286854126.25919557</v>
      </c>
      <c r="W50" s="17">
        <f t="shared" si="8"/>
        <v>-5.4756519529917114E-2</v>
      </c>
      <c r="X50" s="19">
        <f t="shared" si="11"/>
        <v>286854126.25919557</v>
      </c>
      <c r="Y50" s="15">
        <f t="shared" si="9"/>
        <v>17257.122331898929</v>
      </c>
    </row>
    <row r="51" spans="1:25" ht="18.75" customHeight="1" x14ac:dyDescent="0.6">
      <c r="A51" s="37">
        <v>910008</v>
      </c>
      <c r="B51" s="26" t="str">
        <f>VLOOKUP(A51,'Variable Input'!$1:$1048576,2,FALSE)</f>
        <v>Mercy Medical Center</v>
      </c>
      <c r="C51" s="33">
        <f>VLOOKUP(A51,'Variable Input'!$1:$1048576,4,FALSE)</f>
        <v>5</v>
      </c>
      <c r="D51" s="35">
        <f>SUMIF($A$1:$A$65535,210008,D$1:D$65535)</f>
        <v>616154621.82218134</v>
      </c>
      <c r="E51" s="19">
        <f t="shared" si="0"/>
        <v>16568.781718879367</v>
      </c>
      <c r="F51" s="35">
        <f>SUMIF($A$1:$A$65535,210008,F$1:F$65535)</f>
        <v>14280591.48015156</v>
      </c>
      <c r="G51" s="19">
        <f t="shared" si="1"/>
        <v>630435213.30233288</v>
      </c>
      <c r="H51" s="19">
        <f t="shared" si="10"/>
        <v>16952.79572229847</v>
      </c>
      <c r="I51" s="272">
        <f>SUMIF($A$1:$A$65535,210008,I$1:I$65535)</f>
        <v>1.1102695565875482</v>
      </c>
      <c r="J51" s="19">
        <f t="shared" si="2"/>
        <v>567821759.64546597</v>
      </c>
      <c r="K51" s="35">
        <f>SUMIF($A$1:$A$65535,210008,K$1:K$65535)</f>
        <v>512198074.17627144</v>
      </c>
      <c r="L51" s="35">
        <f>SUMIF($A$1:$A$65535,210008,L$1:L$65535)</f>
        <v>5003207.6874727393</v>
      </c>
      <c r="M51" s="22">
        <f t="shared" si="3"/>
        <v>507194866.48879868</v>
      </c>
      <c r="N51" s="272">
        <f>SUMIF($A$1:$A$65535,210008,N$1:N$65535)</f>
        <v>0.99671861092415948</v>
      </c>
      <c r="O51" s="22">
        <f t="shared" si="4"/>
        <v>508864649.39038974</v>
      </c>
      <c r="P51" s="35">
        <f>SUMIF($A$1:$A$65535,210008,P$1:P$65535)</f>
        <v>37187.68418079293</v>
      </c>
      <c r="Q51" s="18">
        <f t="shared" si="5"/>
        <v>13683.687505693439</v>
      </c>
      <c r="R51" s="18">
        <f t="shared" si="6"/>
        <v>508864649.39038974</v>
      </c>
      <c r="S51" s="273">
        <f>SUMIF($A$1:$A$65535,210008,S$1:S$65535)</f>
        <v>1.3017891569452743E-3</v>
      </c>
      <c r="T51" s="19">
        <f>IF(C51=5,(S51*P51)*IME!$L$7,(S51*P51)*IME!$L$8)</f>
        <v>16759142.459479311</v>
      </c>
      <c r="U51" s="19">
        <v>0</v>
      </c>
      <c r="V51" s="22">
        <f t="shared" si="7"/>
        <v>492105506.93091041</v>
      </c>
      <c r="W51" s="17">
        <f t="shared" si="8"/>
        <v>-3.2934381430418602E-2</v>
      </c>
      <c r="X51" s="19">
        <f t="shared" si="11"/>
        <v>492105506.93091041</v>
      </c>
      <c r="Y51" s="15">
        <f t="shared" si="9"/>
        <v>13233.023722006277</v>
      </c>
    </row>
    <row r="52" spans="1:25" ht="18.75" customHeight="1" x14ac:dyDescent="0.6">
      <c r="A52" s="37">
        <v>910012</v>
      </c>
      <c r="B52" s="26" t="str">
        <f>VLOOKUP(A52,'Variable Input'!$1:$1048576,2,FALSE)</f>
        <v>Sinai Hospital</v>
      </c>
      <c r="C52" s="33">
        <f>VLOOKUP(A52,'Variable Input'!$1:$1048576,4,FALSE)</f>
        <v>5</v>
      </c>
      <c r="D52" s="35">
        <f>SUMIF($A$1:$A$65535,210012,D$1:D$65535)</f>
        <v>820426817.23668432</v>
      </c>
      <c r="E52" s="19">
        <f t="shared" si="0"/>
        <v>20911.421335996161</v>
      </c>
      <c r="F52" s="35">
        <f>SUMIF($A$1:$A$65535,210012,F$1:F$65535)</f>
        <v>33441958.098435093</v>
      </c>
      <c r="G52" s="19">
        <f t="shared" si="1"/>
        <v>853868775.33511937</v>
      </c>
      <c r="H52" s="19">
        <f t="shared" si="10"/>
        <v>21763.805560164397</v>
      </c>
      <c r="I52" s="272">
        <f>SUMIF($A$1:$A$65535,210012,I$1:I$65535)</f>
        <v>1.1214469245143464</v>
      </c>
      <c r="J52" s="19">
        <f t="shared" si="2"/>
        <v>761399185.88202083</v>
      </c>
      <c r="K52" s="35">
        <f>SUMIF($A$1:$A$65535,210012,K$1:K$65535)</f>
        <v>653192721.82398355</v>
      </c>
      <c r="L52" s="35">
        <f>SUMIF($A$1:$A$65535,210012,L$1:L$65535)</f>
        <v>20760568.355981968</v>
      </c>
      <c r="M52" s="22">
        <f t="shared" si="3"/>
        <v>632432153.4680016</v>
      </c>
      <c r="N52" s="272">
        <f>SUMIF($A$1:$A$65535,210012,N$1:N$65535)</f>
        <v>0.99671861092415948</v>
      </c>
      <c r="O52" s="22">
        <f t="shared" si="4"/>
        <v>634514241.5687505</v>
      </c>
      <c r="P52" s="35">
        <f>SUMIF($A$1:$A$65535,210012,P$1:P$65535)</f>
        <v>39233.431532673072</v>
      </c>
      <c r="Q52" s="18">
        <f t="shared" si="5"/>
        <v>16172.794904272791</v>
      </c>
      <c r="R52" s="18">
        <f t="shared" si="6"/>
        <v>634514241.5687505</v>
      </c>
      <c r="S52" s="273">
        <f>SUMIF($A$1:$A$65535,210012,S$1:S$65535)</f>
        <v>3.2115467619769343E-3</v>
      </c>
      <c r="T52" s="19">
        <f>IF(C52=5,(S52*P52)*IME!$L$7,(S52*P52)*IME!$L$8)</f>
        <v>43619687.905396603</v>
      </c>
      <c r="U52" s="19">
        <v>0</v>
      </c>
      <c r="V52" s="22">
        <f t="shared" si="7"/>
        <v>590894553.66335392</v>
      </c>
      <c r="W52" s="17">
        <f t="shared" si="8"/>
        <v>-6.874501003721023E-2</v>
      </c>
      <c r="X52" s="19">
        <f t="shared" si="11"/>
        <v>590894553.66335392</v>
      </c>
      <c r="Y52" s="15">
        <f t="shared" si="9"/>
        <v>15060.995956248817</v>
      </c>
    </row>
    <row r="53" spans="1:25" ht="18.75" customHeight="1" x14ac:dyDescent="0.6">
      <c r="A53" s="37">
        <v>910024</v>
      </c>
      <c r="B53" s="26" t="str">
        <f>VLOOKUP(A53,'Variable Input'!$1:$1048576,2,FALSE)</f>
        <v>Union Memorial Hospital</v>
      </c>
      <c r="C53" s="33">
        <f>VLOOKUP(A53,'Variable Input'!$1:$1048576,4,FALSE)</f>
        <v>5</v>
      </c>
      <c r="D53" s="35">
        <f>SUMIF($A$1:$A$65535,210024,D$1:D$65535)</f>
        <v>481457430.39623797</v>
      </c>
      <c r="E53" s="19">
        <f t="shared" si="0"/>
        <v>17832.24417168623</v>
      </c>
      <c r="F53" s="35">
        <f>SUMIF($A$1:$A$65535,210024,F$1:F$65535)</f>
        <v>139248.72459896962</v>
      </c>
      <c r="G53" s="19">
        <f t="shared" si="1"/>
        <v>481596679.12083691</v>
      </c>
      <c r="H53" s="19">
        <f t="shared" si="10"/>
        <v>17837.401672850145</v>
      </c>
      <c r="I53" s="272">
        <f>SUMIF($A$1:$A$65535,210024,I$1:I$65535)</f>
        <v>1.1223202362274129</v>
      </c>
      <c r="J53" s="19">
        <f t="shared" si="2"/>
        <v>429108077.69062823</v>
      </c>
      <c r="K53" s="35">
        <f>SUMIF($A$1:$A$65535,210024,K$1:K$65535)</f>
        <v>410123688.55888373</v>
      </c>
      <c r="L53" s="35">
        <f>SUMIF($A$1:$A$65535,210024,L$1:L$65535)</f>
        <v>12196844.09297953</v>
      </c>
      <c r="M53" s="22">
        <f t="shared" si="3"/>
        <v>397926844.46590418</v>
      </c>
      <c r="N53" s="272">
        <f>SUMIF($A$1:$A$65535,210024,N$1:N$65535)</f>
        <v>0.99671861092415948</v>
      </c>
      <c r="O53" s="22">
        <f t="shared" si="4"/>
        <v>399236896.05529249</v>
      </c>
      <c r="P53" s="35">
        <f>SUMIF($A$1:$A$65535,210024,P$1:P$65535)</f>
        <v>26999.26188542712</v>
      </c>
      <c r="Q53" s="18">
        <f t="shared" si="5"/>
        <v>14786.955945294972</v>
      </c>
      <c r="R53" s="18">
        <f t="shared" si="6"/>
        <v>399236896.05529249</v>
      </c>
      <c r="S53" s="273">
        <f>SUMIF($A$1:$A$65535,210024,S$1:S$65535)</f>
        <v>3.2593483619453344E-3</v>
      </c>
      <c r="T53" s="19">
        <f>IF(C53=5,(S53*P53)*IME!$L$7,(S53*P53)*IME!$L$8)</f>
        <v>30464543.933927789</v>
      </c>
      <c r="U53" s="19">
        <v>0</v>
      </c>
      <c r="V53" s="22">
        <f t="shared" si="7"/>
        <v>368772352.12136471</v>
      </c>
      <c r="W53" s="17">
        <f t="shared" si="8"/>
        <v>-7.6306935142859578E-2</v>
      </c>
      <c r="X53" s="19">
        <f t="shared" si="11"/>
        <v>368772352.12136471</v>
      </c>
      <c r="Y53" s="15">
        <f t="shared" si="9"/>
        <v>13658.608657017026</v>
      </c>
    </row>
    <row r="54" spans="1:25" ht="18.75" customHeight="1" x14ac:dyDescent="0.6">
      <c r="A54" s="37">
        <v>910029</v>
      </c>
      <c r="B54" s="26" t="str">
        <f>VLOOKUP(A54,'Variable Input'!$1:$1048576,2,FALSE)</f>
        <v>Johns Hopkins Bayview Medical Center</v>
      </c>
      <c r="C54" s="33">
        <f>VLOOKUP(A54,'Variable Input'!$1:$1048576,4,FALSE)</f>
        <v>5</v>
      </c>
      <c r="D54" s="35">
        <f>SUMIF($A$1:$A$65535,210029,D$1:D$65535)</f>
        <v>685641223.73208022</v>
      </c>
      <c r="E54" s="19">
        <f t="shared" si="0"/>
        <v>19291.665494546265</v>
      </c>
      <c r="F54" s="35">
        <f>SUMIF($A$1:$A$65535,210029,F$1:F$65535)</f>
        <v>28922398.799876198</v>
      </c>
      <c r="G54" s="19">
        <f t="shared" si="1"/>
        <v>714563622.53195643</v>
      </c>
      <c r="H54" s="19">
        <f t="shared" si="10"/>
        <v>20105.44568108462</v>
      </c>
      <c r="I54" s="272">
        <f>SUMIF($A$1:$A$65535,210029,I$1:I$65535)</f>
        <v>1.1160480491569686</v>
      </c>
      <c r="J54" s="19">
        <f t="shared" si="2"/>
        <v>640262417.97718096</v>
      </c>
      <c r="K54" s="35">
        <f>SUMIF($A$1:$A$65535,210029,K$1:K$65535)</f>
        <v>649367261.8051877</v>
      </c>
      <c r="L54" s="35">
        <f>SUMIF($A$1:$A$65535,210029,L$1:L$65535)</f>
        <v>27476780.845164478</v>
      </c>
      <c r="M54" s="22">
        <f t="shared" si="3"/>
        <v>621890480.96002316</v>
      </c>
      <c r="N54" s="272">
        <f>SUMIF($A$1:$A$65535,210029,N$1:N$65535)</f>
        <v>0.99671861092415948</v>
      </c>
      <c r="O54" s="22">
        <f t="shared" si="4"/>
        <v>623937863.8504653</v>
      </c>
      <c r="P54" s="35">
        <f>SUMIF($A$1:$A$65535,210029,P$1:P$65535)</f>
        <v>35540.799933832066</v>
      </c>
      <c r="Q54" s="18">
        <f t="shared" si="5"/>
        <v>17555.53800173544</v>
      </c>
      <c r="R54" s="18">
        <f t="shared" si="6"/>
        <v>623937863.8504653</v>
      </c>
      <c r="S54" s="273">
        <f>SUMIF($A$1:$A$65535,210029,S$1:S$65535)</f>
        <v>3.9704286039970822E-3</v>
      </c>
      <c r="T54" s="19">
        <f>IF(C54=5,(S54*P54)*IME!$L$7,(S54*P54)*IME!$L$8)</f>
        <v>48851353.187792964</v>
      </c>
      <c r="U54" s="19">
        <v>0</v>
      </c>
      <c r="V54" s="22">
        <f t="shared" si="7"/>
        <v>575086510.66267228</v>
      </c>
      <c r="W54" s="17">
        <f t="shared" si="8"/>
        <v>-7.8295221396438408E-2</v>
      </c>
      <c r="X54" s="19">
        <f t="shared" si="11"/>
        <v>575086510.66267228</v>
      </c>
      <c r="Y54" s="15">
        <f t="shared" si="9"/>
        <v>16181.023267155977</v>
      </c>
    </row>
    <row r="55" spans="1:25" ht="17.7" x14ac:dyDescent="0.6">
      <c r="A55" s="26"/>
      <c r="B55" s="26"/>
      <c r="C55" s="31"/>
      <c r="D55" s="19"/>
      <c r="E55" s="19"/>
      <c r="F55" s="19"/>
      <c r="G55" s="19"/>
      <c r="H55" s="19"/>
      <c r="I55" s="21"/>
      <c r="J55" s="19"/>
      <c r="K55" s="63"/>
      <c r="L55" s="19"/>
      <c r="M55" s="22"/>
      <c r="N55" s="21"/>
      <c r="O55" s="22"/>
      <c r="Q55" s="22"/>
      <c r="R55" s="22"/>
      <c r="S55" s="20"/>
      <c r="T55" s="19"/>
      <c r="U55" s="19"/>
      <c r="V55" s="19"/>
      <c r="W55" s="17"/>
      <c r="X55" s="19"/>
      <c r="Y55" s="15"/>
    </row>
    <row r="56" spans="1:25" ht="17.7" x14ac:dyDescent="0.6">
      <c r="A56" s="26"/>
      <c r="B56" s="26"/>
      <c r="C56" s="31"/>
      <c r="D56" s="19"/>
      <c r="E56" s="64"/>
      <c r="F56" s="65"/>
      <c r="G56" s="65"/>
      <c r="H56" s="65"/>
      <c r="I56" s="65"/>
      <c r="J56" s="65"/>
      <c r="K56" s="65"/>
      <c r="L56" s="65"/>
      <c r="M56" s="65"/>
      <c r="N56" s="67"/>
      <c r="O56" s="65"/>
      <c r="P56" s="67"/>
      <c r="Q56" s="67"/>
      <c r="R56" s="65"/>
      <c r="S56" s="275"/>
      <c r="T56" s="65"/>
      <c r="U56" s="66"/>
      <c r="V56" s="65"/>
      <c r="W56" s="17"/>
      <c r="X56" s="65"/>
      <c r="Y56" s="67"/>
    </row>
    <row r="57" spans="1:25" ht="17.7" x14ac:dyDescent="0.6">
      <c r="A57" s="26"/>
      <c r="B57" s="26"/>
      <c r="C57" s="31"/>
      <c r="D57" s="19"/>
      <c r="E57" s="19">
        <f>P4*2000</f>
        <v>106812225.09061423</v>
      </c>
      <c r="F57" s="65"/>
      <c r="G57" s="65"/>
      <c r="H57" s="65"/>
      <c r="I57" s="65"/>
      <c r="J57" s="65"/>
      <c r="K57" s="65"/>
      <c r="L57" s="65"/>
      <c r="M57" s="65"/>
      <c r="N57" s="21"/>
      <c r="O57" s="65"/>
      <c r="Q57" s="22"/>
      <c r="R57" s="65"/>
      <c r="S57" s="20"/>
      <c r="T57" s="65"/>
      <c r="U57" s="66"/>
      <c r="V57" s="65"/>
      <c r="W57" s="17"/>
      <c r="X57" s="65"/>
      <c r="Y57" s="15"/>
    </row>
    <row r="58" spans="1:25" ht="17.7" x14ac:dyDescent="0.6">
      <c r="A58" s="26"/>
      <c r="B58" s="26"/>
      <c r="C58" s="31"/>
      <c r="D58" s="19"/>
      <c r="E58" s="19"/>
      <c r="F58" s="64"/>
      <c r="G58" s="64"/>
      <c r="H58" s="19"/>
      <c r="I58" s="21"/>
      <c r="J58" s="64"/>
      <c r="K58" s="64"/>
      <c r="L58" s="64"/>
      <c r="M58" s="64"/>
      <c r="N58" s="21"/>
      <c r="O58" s="64"/>
      <c r="Q58" s="22"/>
      <c r="R58" s="65"/>
      <c r="S58" s="20"/>
      <c r="T58" s="64"/>
      <c r="U58" s="19"/>
      <c r="V58" s="64"/>
      <c r="W58" s="17"/>
      <c r="X58" s="64"/>
      <c r="Y58" s="15"/>
    </row>
    <row r="59" spans="1:25" ht="17.7" x14ac:dyDescent="0.6">
      <c r="A59" s="26"/>
      <c r="B59" s="26"/>
      <c r="C59" s="31"/>
      <c r="D59" s="19"/>
      <c r="E59" s="19"/>
      <c r="F59" s="19"/>
      <c r="G59" s="19"/>
      <c r="H59" s="19"/>
      <c r="I59" s="21"/>
      <c r="J59" s="19"/>
      <c r="K59" s="63"/>
      <c r="L59" s="19"/>
      <c r="M59" s="22"/>
      <c r="N59" s="21"/>
      <c r="O59" s="22"/>
      <c r="Q59" s="22"/>
      <c r="R59" s="22"/>
      <c r="S59" s="20"/>
      <c r="T59" s="19"/>
      <c r="U59" s="19"/>
      <c r="V59" s="19"/>
      <c r="W59" s="17"/>
      <c r="X59" s="19"/>
      <c r="Y59" s="15"/>
    </row>
    <row r="60" spans="1:25" ht="17.7" x14ac:dyDescent="0.6">
      <c r="A60" s="26"/>
      <c r="B60" s="26"/>
      <c r="C60" s="31"/>
      <c r="D60" s="19"/>
      <c r="E60" s="19"/>
      <c r="F60" s="19"/>
      <c r="G60" s="19"/>
      <c r="H60" s="19"/>
      <c r="I60" s="21"/>
      <c r="J60" s="19"/>
      <c r="K60" s="63"/>
      <c r="L60" s="19"/>
      <c r="M60" s="22"/>
      <c r="N60" s="21"/>
      <c r="O60" s="22"/>
      <c r="Q60" s="22"/>
      <c r="R60" s="22"/>
      <c r="S60" s="20"/>
      <c r="T60" s="19"/>
      <c r="U60" s="19"/>
      <c r="V60" s="19"/>
      <c r="W60" s="17"/>
      <c r="X60" s="19"/>
      <c r="Y60" s="15"/>
    </row>
    <row r="61" spans="1:25" ht="17.7" x14ac:dyDescent="0.6">
      <c r="A61" s="32" t="s">
        <v>78</v>
      </c>
      <c r="B61" s="26" t="s">
        <v>77</v>
      </c>
      <c r="C61" s="31"/>
      <c r="D61" s="19">
        <f>SUBTOTAL(9,D2:D59)</f>
        <v>20693365768.602127</v>
      </c>
      <c r="E61" s="19">
        <f>D61/P61</f>
        <v>17732.364353846948</v>
      </c>
      <c r="F61" s="19">
        <f>SUBTOTAL(9,F2:F59)</f>
        <v>484389338.39749277</v>
      </c>
      <c r="G61" s="19">
        <f>SUBTOTAL(9,G2:G59)</f>
        <v>21177755106.99963</v>
      </c>
      <c r="H61" s="19">
        <f>G61/P61</f>
        <v>18147.442709568859</v>
      </c>
      <c r="I61" s="21">
        <f>D61/J61</f>
        <v>1.0900365956927256</v>
      </c>
      <c r="J61" s="19">
        <f>SUBTOTAL(9,J2:J59)</f>
        <v>18984101864.443691</v>
      </c>
      <c r="K61" s="63" t="e">
        <f>SUBTOTAL(9,K2:K59)</f>
        <v>#N/A</v>
      </c>
      <c r="L61" s="19">
        <f>SUBTOTAL(9,L2:L59)</f>
        <v>393431841.98609471</v>
      </c>
      <c r="M61" s="22" t="e">
        <f>SUBTOTAL(9,M2:M59)</f>
        <v>#N/A</v>
      </c>
      <c r="N61" s="21" t="e">
        <f>M61/O61</f>
        <v>#N/A</v>
      </c>
      <c r="O61" s="22" t="e">
        <f>SUBTOTAL(9,O2:O59)</f>
        <v>#N/A</v>
      </c>
      <c r="P61" s="27">
        <f>SUBTOTAL(9,P2:P59)</f>
        <v>1166982.8882188969</v>
      </c>
      <c r="Q61" s="18" t="e">
        <f>+O61/P61</f>
        <v>#N/A</v>
      </c>
      <c r="R61" s="22">
        <f>SUBTOTAL(9,R2:R59)</f>
        <v>17061741071.909063</v>
      </c>
      <c r="S61" s="20"/>
      <c r="T61" s="22">
        <f>SUBTOTAL(9,T2:T59)</f>
        <v>680758206.98104036</v>
      </c>
      <c r="U61" s="19">
        <f>T61/P61</f>
        <v>583.34891955446312</v>
      </c>
      <c r="V61" s="22">
        <f>SUBTOTAL(9,V2:V59)</f>
        <v>16380982864.928019</v>
      </c>
      <c r="W61" s="17">
        <f>(V61/R61)-1</f>
        <v>-3.989969160309581E-2</v>
      </c>
      <c r="X61" s="22">
        <f>SUBTOTAL(9,X2:X59)</f>
        <v>16380982864.928019</v>
      </c>
      <c r="Y61" s="38">
        <f>X61/P61</f>
        <v>14037.037758050959</v>
      </c>
    </row>
    <row r="62" spans="1:25" ht="17.7" x14ac:dyDescent="0.6">
      <c r="A62" s="29">
        <v>99</v>
      </c>
      <c r="B62" s="25" t="s">
        <v>76</v>
      </c>
      <c r="C62" s="31"/>
      <c r="D62" s="19">
        <f>SUM(D3:D54)-SUMPRODUCT((LEFT($A$3:$A$54,1)+0=9)*D3:D54)</f>
        <v>17710547236.803329</v>
      </c>
      <c r="E62" s="19">
        <f>D62/P62</f>
        <v>17510.933986134045</v>
      </c>
      <c r="F62" s="19">
        <f>SUM(F3:F54)-SUMPRODUCT((LEFT($A$3:$A$54,1)+0=9)*F3:F54)</f>
        <v>407145469.81193542</v>
      </c>
      <c r="G62" s="19">
        <f>SUM(G3:G54)-SUMPRODUCT((LEFT($A$3:$A$54,1)+0=9)*G3:G54)</f>
        <v>18117692706.615276</v>
      </c>
      <c r="H62" s="19">
        <f>G62/P62</f>
        <v>17913.490572856284</v>
      </c>
      <c r="I62" s="21">
        <f>D62/J62</f>
        <v>1.090209793286856</v>
      </c>
      <c r="J62" s="19">
        <f>SUM(J3:J54)-SUMPRODUCT((LEFT($A$3:$A$54,1)+0=9)*J3:J54)</f>
        <v>16245081768.535654</v>
      </c>
      <c r="K62" s="63" t="e">
        <f>SUM(K3:K54)-SUMPRODUCT((LEFT($A$3:$A$54,1)+0=9)*K3:K54)</f>
        <v>#N/A</v>
      </c>
      <c r="L62" s="19">
        <f>SUM(L3:L54)-SUMPRODUCT((LEFT($A$3:$A$54,1)+0=9)*L3:L54)</f>
        <v>317393543.22387433</v>
      </c>
      <c r="M62" s="22" t="e">
        <f>SUM(M3:M54)-SUMPRODUCT((LEFT($A$3:$A$54,1)+0=9)*M3:M54)</f>
        <v>#N/A</v>
      </c>
      <c r="N62" s="21" t="e">
        <f>M62/O62</f>
        <v>#N/A</v>
      </c>
      <c r="O62" s="22" t="e">
        <f>SUM(O3:O54)-SUMPRODUCT((LEFT($A$3:$A$54,1)+0=9)*O3:O54)</f>
        <v>#N/A</v>
      </c>
      <c r="P62" s="27">
        <f>SUM(P3:P54)-SUMPRODUCT((LEFT($A$3:$A$54,1)+0=9)*P3:P54)</f>
        <v>1011399.3491624917</v>
      </c>
      <c r="Q62" s="18" t="e">
        <f>+O62/P62</f>
        <v>#N/A</v>
      </c>
      <c r="R62" s="22">
        <f>SUM(R3:R54)-SUMPRODUCT((LEFT($A$3:$A$54,1)+0=9)*R3:R54)</f>
        <v>14591716270.821009</v>
      </c>
      <c r="S62" s="20">
        <f>VLOOKUP(B62,RESCMAD!$1:$1048576,8,FALSE)</f>
        <v>2.0291140123764734E-3</v>
      </c>
      <c r="T62" s="22">
        <f>SUM(T3:T54)-SUMPRODUCT((LEFT($A$3:$A$54,1)+0=9)*T3:T54)</f>
        <v>524446455.53048307</v>
      </c>
      <c r="U62" s="19">
        <f>T62/P62</f>
        <v>518.53548844456031</v>
      </c>
      <c r="V62" s="22">
        <f>SUM(V3:V54)-SUMPRODUCT((LEFT($A$3:$A$54,1)+0=9)*V3:V54)</f>
        <v>14067269815.290522</v>
      </c>
      <c r="W62" s="17">
        <f>(V62/R62)-1</f>
        <v>-3.5941382480087047E-2</v>
      </c>
      <c r="X62" s="19">
        <f>SUM(X3:X54)-SUMPRODUCT((LEFT($A$3:$A$54,1)+0=9)*X3:X54)</f>
        <v>14067269815.290522</v>
      </c>
      <c r="Y62" s="15">
        <f>X62/P62</f>
        <v>13908.719465697886</v>
      </c>
    </row>
    <row r="63" spans="1:25" x14ac:dyDescent="0.5">
      <c r="T63" s="12"/>
      <c r="V63" s="12"/>
    </row>
    <row r="64" spans="1:25" x14ac:dyDescent="0.5">
      <c r="T64" s="12"/>
      <c r="V64" s="12"/>
    </row>
    <row r="65" spans="1:25" ht="17.7" x14ac:dyDescent="0.6">
      <c r="A65" s="31">
        <v>1</v>
      </c>
      <c r="B65" s="25" t="s">
        <v>75</v>
      </c>
      <c r="C65" s="31"/>
      <c r="D65" s="15">
        <f>SUMIF($C$1:$C$65535,1,D$1:D$65535)</f>
        <v>14054579503.392643</v>
      </c>
      <c r="E65" s="19">
        <f>D65/P65</f>
        <v>16563.319811929276</v>
      </c>
      <c r="F65" s="15">
        <f>SUMIF($C$1:$C$65535,1,F$1:F$65535)</f>
        <v>219413119.60816106</v>
      </c>
      <c r="G65" s="15">
        <f>SUMIF($C$1:$C$65535,1,G$1:G$65535)</f>
        <v>14273992623.000803</v>
      </c>
      <c r="H65" s="19">
        <f>G65/P65</f>
        <v>16821.89814009098</v>
      </c>
      <c r="I65" s="21">
        <f>D65/J65</f>
        <v>1.0993762674816792</v>
      </c>
      <c r="J65" s="15">
        <f>SUMIF($C$1:$C$65535,1,J$1:J$65535)</f>
        <v>12784139442.619776</v>
      </c>
      <c r="K65" s="62">
        <f>SUMIF($C$1:$C$65535,1,K$1:K$65535)</f>
        <v>11643557421.231026</v>
      </c>
      <c r="L65" s="15">
        <f>SUMIF($C$1:$C$65535,1,L$1:L$65535)</f>
        <v>135726645.33431077</v>
      </c>
      <c r="M65" s="18">
        <f>SUMIF($C$1:$C$65535,1,M$1:M$65535)</f>
        <v>11507830775.896715</v>
      </c>
      <c r="N65" s="21">
        <f>M65/O65</f>
        <v>1.0015807548338291</v>
      </c>
      <c r="O65" s="18">
        <f>SUMIF($C$1:$C$65535,1,O$1:O$65535)</f>
        <v>11489668426.991655</v>
      </c>
      <c r="P65" s="16">
        <f>SUMIF($C$1:$C$65535,1,P$1:P$65535)</f>
        <v>848536.38418973342</v>
      </c>
      <c r="Q65" s="18">
        <f>+O65/P65</f>
        <v>13540.572497622632</v>
      </c>
      <c r="R65" s="18">
        <f>SUMIF($C$1:$C$65535,1,R$1:R$65535)</f>
        <v>11489668426.991655</v>
      </c>
      <c r="S65" s="20">
        <f>VLOOKUP(B65,RESCMAD!$1:$1048576,8,FALSE)</f>
        <v>9.9509813604894862E-4</v>
      </c>
      <c r="T65" s="18">
        <f>SUMIF($C$1:$C$65535,1,T$1:T$65535)</f>
        <v>106297181.76820789</v>
      </c>
      <c r="U65" s="19">
        <f>T65/P65</f>
        <v>125.27121258295951</v>
      </c>
      <c r="V65" s="18">
        <f>SUMIF($C$1:$C$65535,1,V$1:V$65535)</f>
        <v>11383371245.223448</v>
      </c>
      <c r="W65" s="17">
        <f>(V65/R65)-1</f>
        <v>-9.2515447633365611E-3</v>
      </c>
      <c r="X65" s="15">
        <f>SUMIF($C$1:$C$65535,1,X$1:X$65535)</f>
        <v>11383371245.223448</v>
      </c>
      <c r="Y65" s="15">
        <f>X65/P65</f>
        <v>13415.301285039672</v>
      </c>
    </row>
    <row r="66" spans="1:25" ht="17.7" x14ac:dyDescent="0.6">
      <c r="A66" s="31">
        <v>3</v>
      </c>
      <c r="B66" s="25" t="s">
        <v>74</v>
      </c>
      <c r="C66" s="31"/>
      <c r="D66" s="15">
        <f>SUMIF($C$1:$C$65535,3,D$1:D$65535)</f>
        <v>0</v>
      </c>
      <c r="E66" s="19" t="e">
        <f>D66/P66</f>
        <v>#DIV/0!</v>
      </c>
      <c r="F66" s="15">
        <f>SUMIF($C$1:$C$65535,3,F$1:F$65535)</f>
        <v>0</v>
      </c>
      <c r="G66" s="15">
        <f>SUMIF($C$1:$C$65535,3,G$1:G$65535)</f>
        <v>0</v>
      </c>
      <c r="H66" s="19" t="e">
        <f>G66/P66</f>
        <v>#DIV/0!</v>
      </c>
      <c r="I66" s="21" t="e">
        <f>D66/J66</f>
        <v>#DIV/0!</v>
      </c>
      <c r="J66" s="15">
        <f>SUMIF($C$1:$C$65535,3,J$1:J$65535)</f>
        <v>0</v>
      </c>
      <c r="K66" s="62">
        <f>SUMIF($C$1:$C$65535,3,K$1:K$65535)</f>
        <v>0</v>
      </c>
      <c r="L66" s="15">
        <f>SUMIF($C$1:$C$65535,3,L$1:L$65535)</f>
        <v>0</v>
      </c>
      <c r="M66" s="18">
        <f>SUMIF($C$1:$C$65535,3,M$1:M$65535)</f>
        <v>0</v>
      </c>
      <c r="N66" s="21" t="e">
        <f>M66/O66</f>
        <v>#DIV/0!</v>
      </c>
      <c r="O66" s="18">
        <f>SUMIF($C$1:$C$65535,3,O$1:O$65535)</f>
        <v>0</v>
      </c>
      <c r="P66" s="16">
        <f>SUMIF($C$1:$C$65535,3,P$1:P$65535)</f>
        <v>0</v>
      </c>
      <c r="Q66" s="18" t="e">
        <f>+O66/P66</f>
        <v>#DIV/0!</v>
      </c>
      <c r="R66" s="18">
        <f>SUMIF($C$1:$C$65535,3,R$1:R$65535)</f>
        <v>0</v>
      </c>
      <c r="S66" s="20" t="e">
        <f>VLOOKUP(B66,RESCMAD!$1:$1048576,8,FALSE)</f>
        <v>#DIV/0!</v>
      </c>
      <c r="T66" s="18">
        <f>SUMIF($C$1:$C$65535,3,T$1:T$65535)</f>
        <v>0</v>
      </c>
      <c r="U66" s="19" t="e">
        <f>T66/P66</f>
        <v>#DIV/0!</v>
      </c>
      <c r="V66" s="18">
        <f>SUMIF($C$1:$C$65535,3,V$1:V$65535)</f>
        <v>0</v>
      </c>
      <c r="W66" s="17" t="e">
        <f>(V66/R66)-1</f>
        <v>#DIV/0!</v>
      </c>
      <c r="X66" s="15">
        <f>SUMIF($C$1:$C$65535,3,X$1:X$65535)</f>
        <v>0</v>
      </c>
      <c r="Y66" s="15" t="e">
        <f>X66/P66</f>
        <v>#DIV/0!</v>
      </c>
    </row>
    <row r="67" spans="1:25" ht="17.7" x14ac:dyDescent="0.6">
      <c r="A67" s="31">
        <v>4</v>
      </c>
      <c r="B67" s="25" t="s">
        <v>73</v>
      </c>
      <c r="C67" s="31"/>
      <c r="D67" s="15">
        <f>SUMIF($C$1:$C$65535,4,D$1:D$65535)</f>
        <v>0</v>
      </c>
      <c r="E67" s="19" t="e">
        <f>D67/P67</f>
        <v>#DIV/0!</v>
      </c>
      <c r="F67" s="15">
        <f>SUMIF($C$1:$C$65535,4,F$1:F$65535)</f>
        <v>0</v>
      </c>
      <c r="G67" s="15">
        <f>SUMIF($C$1:$C$65535,4,G$1:G$65535)</f>
        <v>0</v>
      </c>
      <c r="H67" s="19" t="e">
        <f>G67/P67</f>
        <v>#DIV/0!</v>
      </c>
      <c r="I67" s="21" t="e">
        <f>D67/J67</f>
        <v>#DIV/0!</v>
      </c>
      <c r="J67" s="15">
        <f>SUMIF($C$1:$C$65535,4,J$1:J$65535)</f>
        <v>0</v>
      </c>
      <c r="K67" s="62">
        <f>SUMIF($C$1:$C$65535,4,K$1:K$65535)</f>
        <v>0</v>
      </c>
      <c r="L67" s="15">
        <f>SUMIF($C$1:$C$65535,4,L$1:L$65535)</f>
        <v>0</v>
      </c>
      <c r="M67" s="18">
        <f>SUMIF($C$1:$C$65535,4,M$1:M$65535)</f>
        <v>0</v>
      </c>
      <c r="N67" s="21" t="e">
        <f>M67/O67</f>
        <v>#DIV/0!</v>
      </c>
      <c r="O67" s="18">
        <f>SUMIF($C$1:$C$65535,4,O$1:O$65535)</f>
        <v>0</v>
      </c>
      <c r="P67" s="16">
        <f>SUMIF($C$1:$C$65535,4,P$1:P$65535)</f>
        <v>0</v>
      </c>
      <c r="Q67" s="18" t="e">
        <f>+O67/P67</f>
        <v>#DIV/0!</v>
      </c>
      <c r="R67" s="18">
        <f>SUMIF($C$1:$C$65535,4,R$1:R$65535)</f>
        <v>0</v>
      </c>
      <c r="S67" s="20" t="e">
        <f>VLOOKUP(B67,RESCMAD!$1:$1048576,8,FALSE)</f>
        <v>#DIV/0!</v>
      </c>
      <c r="T67" s="18">
        <f>SUMIF($C$1:$C$65535,4,T$1:T$65535)</f>
        <v>0</v>
      </c>
      <c r="U67" s="19" t="e">
        <f>T67/P67</f>
        <v>#DIV/0!</v>
      </c>
      <c r="V67" s="18">
        <f>SUMIF($C$1:$C$65535,4,V$1:V$65535)</f>
        <v>0</v>
      </c>
      <c r="W67" s="17" t="e">
        <f>(V67/R67)-1</f>
        <v>#DIV/0!</v>
      </c>
      <c r="X67" s="15">
        <f>SUMIF($C$1:$C$65535,4,X$1:X$65535)</f>
        <v>0</v>
      </c>
      <c r="Y67" s="15" t="e">
        <f>X67/P67</f>
        <v>#DIV/0!</v>
      </c>
    </row>
    <row r="68" spans="1:25" ht="17.7" x14ac:dyDescent="0.6">
      <c r="A68" s="29">
        <v>5</v>
      </c>
      <c r="B68" s="25" t="s">
        <v>72</v>
      </c>
      <c r="C68" s="31"/>
      <c r="D68" s="15">
        <f>SUMIF($C$1:$C$65535,5,D$1:D$65535)</f>
        <v>6553470695.56777</v>
      </c>
      <c r="E68" s="19">
        <f>D68/P68</f>
        <v>20930.820299664054</v>
      </c>
      <c r="F68" s="15">
        <f>SUMIF($C$1:$C$65535,5,F$1:F$65535)</f>
        <v>264608224.11176425</v>
      </c>
      <c r="G68" s="15">
        <f>SUMIF($C$1:$C$65535,5,G$1:G$65535)</f>
        <v>6818078919.679533</v>
      </c>
      <c r="H68" s="19">
        <f>G68/P68</f>
        <v>21775.939999740276</v>
      </c>
      <c r="I68" s="21">
        <f>D68/J68</f>
        <v>1.0695902147917553</v>
      </c>
      <c r="J68" s="15">
        <f>SUMIF($C$1:$C$65535,5,J$1:J$65535)</f>
        <v>6127085499.602951</v>
      </c>
      <c r="K68" s="62">
        <f>SUMIF($C$1:$C$65535,5,K$1:K$65535)</f>
        <v>5817801072.4053555</v>
      </c>
      <c r="L68" s="15">
        <f>SUMIF($C$1:$C$65535,5,L$1:L$65535)</f>
        <v>257501081.74744377</v>
      </c>
      <c r="M68" s="18">
        <f>SUMIF($C$1:$C$65535,5,M$1:M$65535)</f>
        <v>5560299990.6579123</v>
      </c>
      <c r="N68" s="21">
        <f>M68/O68</f>
        <v>0.99788720373733242</v>
      </c>
      <c r="O68" s="18">
        <f>SUMIF($C$1:$C$65535,5,O$1:O$65535)</f>
        <v>5572072644.9174061</v>
      </c>
      <c r="P68" s="16">
        <f>SUMIF($C$1:$C$65535,5,P$1:P$65535)</f>
        <v>313101.47436853946</v>
      </c>
      <c r="Q68" s="18">
        <f>+O68/P68</f>
        <v>17796.379452237066</v>
      </c>
      <c r="R68" s="18">
        <f>SUMIF($C$1:$C$65535,5,R$1:R$65535)</f>
        <v>5572072644.9174061</v>
      </c>
      <c r="S68" s="20">
        <f>VLOOKUP(B68,RESCMAD!$1:$1048576,8,FALSE)</f>
        <v>3.8577512918237028E-3</v>
      </c>
      <c r="T68" s="18">
        <f>SUMIF($C$1:$C$65535,5,T$1:T$65535)</f>
        <v>574461025.21283245</v>
      </c>
      <c r="U68" s="19">
        <f>T68/P68</f>
        <v>1834.7439160783283</v>
      </c>
      <c r="V68" s="18">
        <f>SUMIF($C$1:$C$65535,5,V$1:V$65535)</f>
        <v>4997611619.7045727</v>
      </c>
      <c r="W68" s="17">
        <f>(V68/R68)-1</f>
        <v>-0.10309647088625651</v>
      </c>
      <c r="X68" s="15">
        <f>SUMIF($C$1:$C$65535,5,X$1:X$65535)</f>
        <v>4997611619.7045727</v>
      </c>
      <c r="Y68" s="15">
        <f>X68/P68</f>
        <v>15961.635536158734</v>
      </c>
    </row>
    <row r="70" spans="1:25" x14ac:dyDescent="0.5">
      <c r="K70" s="61"/>
      <c r="L70" s="59"/>
    </row>
    <row r="71" spans="1:25" x14ac:dyDescent="0.5">
      <c r="K71" s="60"/>
      <c r="L71" s="59"/>
    </row>
    <row r="72" spans="1:25" x14ac:dyDescent="0.5">
      <c r="L72" s="59"/>
    </row>
    <row r="73" spans="1:25" x14ac:dyDescent="0.5">
      <c r="L73" s="59"/>
    </row>
  </sheetData>
  <sheetCalcPr fullCalcOnLoad="1"/>
  <autoFilter ref="A2:AA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Y7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B3" sqref="AB3"/>
    </sheetView>
  </sheetViews>
  <sheetFormatPr defaultColWidth="12.41796875" defaultRowHeight="15" x14ac:dyDescent="0.5"/>
  <cols>
    <col min="1" max="1" width="15.15625" style="10" customWidth="1"/>
    <col min="2" max="2" width="49" style="10" bestFit="1" customWidth="1"/>
    <col min="3" max="3" width="13" style="58" customWidth="1"/>
    <col min="4" max="4" width="20.15625" style="11" customWidth="1"/>
    <col min="5" max="5" width="17.68359375" style="11" customWidth="1"/>
    <col min="6" max="8" width="20.15625" style="11" customWidth="1"/>
    <col min="9" max="9" width="12.41796875" style="10" customWidth="1"/>
    <col min="10" max="10" width="22.578125" style="11" customWidth="1"/>
    <col min="11" max="11" width="22.578125" style="57" customWidth="1"/>
    <col min="12" max="12" width="20.578125" style="11" customWidth="1"/>
    <col min="13" max="13" width="26.15625" style="12" bestFit="1" customWidth="1"/>
    <col min="14" max="14" width="12.41796875" style="10" customWidth="1"/>
    <col min="15" max="15" width="20.15625" style="12" customWidth="1"/>
    <col min="16" max="16" width="16.26171875" style="10" customWidth="1"/>
    <col min="17" max="17" width="20.578125" style="12" customWidth="1"/>
    <col min="18" max="18" width="19.41796875" style="12" customWidth="1"/>
    <col min="19" max="19" width="20.83984375" style="10" customWidth="1"/>
    <col min="20" max="20" width="18.41796875" style="11" customWidth="1"/>
    <col min="21" max="21" width="18" style="11" bestFit="1" customWidth="1"/>
    <col min="22" max="22" width="19.15625" style="11" customWidth="1"/>
    <col min="23" max="23" width="20.26171875" style="10" customWidth="1"/>
    <col min="24" max="24" width="18.83984375" style="11" customWidth="1"/>
    <col min="25" max="25" width="20" style="11" customWidth="1"/>
    <col min="26" max="16384" width="12.41796875" style="10"/>
  </cols>
  <sheetData>
    <row r="1" spans="1:25" ht="46.5" x14ac:dyDescent="1.5">
      <c r="A1" s="56" t="s">
        <v>498</v>
      </c>
      <c r="B1" s="55"/>
      <c r="C1" s="70"/>
      <c r="D1" s="50"/>
      <c r="E1" s="50"/>
      <c r="F1" s="50"/>
      <c r="G1" s="50"/>
      <c r="H1" s="50"/>
      <c r="I1" s="51"/>
      <c r="J1" s="50"/>
      <c r="K1" s="69"/>
      <c r="L1" s="50"/>
      <c r="M1" s="53"/>
      <c r="N1" s="49"/>
      <c r="O1" s="53"/>
      <c r="P1" s="49"/>
      <c r="Q1" s="53"/>
      <c r="R1" s="53"/>
      <c r="S1" s="52"/>
      <c r="T1" s="50"/>
      <c r="U1" s="50"/>
      <c r="V1" s="50"/>
      <c r="W1" s="51"/>
      <c r="X1" s="50"/>
      <c r="Y1" s="50"/>
    </row>
    <row r="2" spans="1:25" ht="90.3" x14ac:dyDescent="0.55000000000000004">
      <c r="A2" s="48" t="s">
        <v>106</v>
      </c>
      <c r="B2" s="47" t="s">
        <v>105</v>
      </c>
      <c r="C2" s="48" t="s">
        <v>104</v>
      </c>
      <c r="D2" s="46" t="s">
        <v>103</v>
      </c>
      <c r="E2" s="46" t="s">
        <v>102</v>
      </c>
      <c r="F2" s="286" t="s">
        <v>101</v>
      </c>
      <c r="G2" s="45" t="s">
        <v>100</v>
      </c>
      <c r="H2" s="45" t="s">
        <v>99</v>
      </c>
      <c r="I2" s="44" t="s">
        <v>98</v>
      </c>
      <c r="J2" s="40" t="s">
        <v>97</v>
      </c>
      <c r="K2" s="68" t="s">
        <v>109</v>
      </c>
      <c r="L2" s="287" t="s">
        <v>96</v>
      </c>
      <c r="M2" s="42" t="s">
        <v>95</v>
      </c>
      <c r="N2" s="44" t="s">
        <v>94</v>
      </c>
      <c r="O2" s="42" t="s">
        <v>93</v>
      </c>
      <c r="P2" s="41" t="s">
        <v>92</v>
      </c>
      <c r="Q2" s="42" t="s">
        <v>91</v>
      </c>
      <c r="R2" s="42" t="s">
        <v>90</v>
      </c>
      <c r="S2" s="43" t="s">
        <v>89</v>
      </c>
      <c r="T2" s="287" t="s">
        <v>88</v>
      </c>
      <c r="U2" s="40" t="s">
        <v>508</v>
      </c>
      <c r="V2" s="42" t="s">
        <v>85</v>
      </c>
      <c r="W2" s="41" t="s">
        <v>86</v>
      </c>
      <c r="X2" s="40" t="s">
        <v>108</v>
      </c>
      <c r="Y2" s="40" t="s">
        <v>107</v>
      </c>
    </row>
    <row r="3" spans="1:25" ht="18.75" customHeight="1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19">
        <f>IFERROR(VLOOKUP(A3,'Variable Input'!$1:$1048576,6,FALSE),0)+VLOOKUP(A3,'[11]Rate Application - ICC Cycle I'!$A:$IV,4,FALSE)+VLOOKUP(A3,'[12]REM Calculation (w profit adj)'!$A:$IV,4,FALSE)</f>
        <v>1095171073.4851339</v>
      </c>
      <c r="E3" s="19">
        <f t="shared" ref="E3:E54" si="0">IFERROR(D3/P3,0)</f>
        <v>13356.66447200244</v>
      </c>
      <c r="F3" s="19">
        <f>IFERROR(VLOOKUP(A3,'Drug Overhead'!$1:$1048576,13,FALSE)*VLOOKUP(A3,Volume!A:K,11,FALSE),0)+VLOOKUP(A3,'[11]Rate Application - ICC Cycle I'!$A:$IV,6,FALSE)+VLOOKUP(A3,'[12]REM Calculation (w profit adj)'!$A:$IV,6,FALSE)</f>
        <v>12600195.570836246</v>
      </c>
      <c r="G3" s="19">
        <f t="shared" ref="G3:G54" si="1">D3+F3</f>
        <v>1107771269.0559702</v>
      </c>
      <c r="H3" s="19">
        <f>IFERROR(G3/P3,0)</f>
        <v>13510.335974652437</v>
      </c>
      <c r="I3" s="36">
        <f>VLOOKUP(A3,'Variable Input'!$1:$1048576,8,FALSE)</f>
        <v>1.1196537153887776</v>
      </c>
      <c r="J3" s="19">
        <f t="shared" ref="J3:J54" si="2">G3/I3</f>
        <v>989387391.68236363</v>
      </c>
      <c r="K3" s="63">
        <f>J3*(1-VLOOKUP(A3,'PROFIT (18,19,22)'!$1:$1048576,7,FALSE))</f>
        <v>901832850.4468143</v>
      </c>
      <c r="L3" s="19">
        <f>IFERROR(VLOOKUP(A3,'Variable Input'!$1:$1048576,26,FALSE)*VLOOKUP(A3,Volume!A:K,11,FALSE),0)+VLOOKUP(A3,'[11]Rate Application - ICC Cycle I'!$A:$IV,12,FALSE)+VLOOKUP(A3,'[12]REM Calculation (w profit adj)'!$A:$IV,12,FALSE)</f>
        <v>12905672.485022506</v>
      </c>
      <c r="M3" s="22">
        <f t="shared" ref="M3:M54" si="3">K3-L3</f>
        <v>888927177.96179175</v>
      </c>
      <c r="N3" s="36">
        <f>VLOOKUP(A3,'Variable Input'!$1:$1048576,23,FALSE)</f>
        <v>0.99671861092415948</v>
      </c>
      <c r="O3" s="22">
        <f t="shared" ref="O3:O54" si="4">M3/N3</f>
        <v>891853696.94017923</v>
      </c>
      <c r="P3" s="27">
        <f>IFERROR(VLOOKUP(A3,'Variable Input'!$1:$1048576,7,FALSE),0)+VLOOKUP(A3,'[11]Rate Application - ICC Cycle I'!$A:$IV,16,FALSE)+VLOOKUP(A3,'[12]REM Calculation (w profit adj)'!$A:$IV,16,FALSE)</f>
        <v>81994.353888336103</v>
      </c>
      <c r="Q3" s="18">
        <f t="shared" ref="Q3:Q54" si="5">IFERROR(+O3/P3,0)</f>
        <v>10877.013533819036</v>
      </c>
      <c r="R3" s="18">
        <f t="shared" ref="R3:R54" si="6">+Q3*P3</f>
        <v>891853696.94017923</v>
      </c>
      <c r="S3" s="20">
        <f>IFERROR(VLOOKUP(A3,RESCMAD!$1:$1048576,8,FALSE),0)</f>
        <v>6.1572099365331744E-4</v>
      </c>
      <c r="T3" s="19">
        <f>IF(C3=5,(S3*P3)*IME!$L$7,(S3*P3)*IME!$L$8)+VLOOKUP(A3,'[11]Rate Application - ICC Cycle I'!$A:$IV,20,FALSE)+VLOOKUP(A3,'[12]REM Calculation (w profit adj)'!$A:$IV,20,FALSE)</f>
        <v>6355552.0248169005</v>
      </c>
      <c r="U3" s="19">
        <v>0</v>
      </c>
      <c r="V3" s="22">
        <f t="shared" ref="V3:V54" si="7">R3-T3</f>
        <v>885498144.91536236</v>
      </c>
      <c r="W3" s="17">
        <f t="shared" ref="W3:W54" si="8">IFERROR((V3/R3)-1,0)</f>
        <v>-7.1262271453511605E-3</v>
      </c>
      <c r="X3" s="19">
        <f>R3-T3-U3</f>
        <v>885498144.91536236</v>
      </c>
      <c r="Y3" s="15">
        <f>IFERROR(X3/P3,0)</f>
        <v>10799.501464713981</v>
      </c>
    </row>
    <row r="4" spans="1:25" ht="18.75" customHeight="1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19">
        <f>IFERROR(VLOOKUP(A4,'Variable Input'!$1:$1048576,6,FALSE),0)+VLOOKUP(A4,'[11]Rate Application - ICC Cycle I'!$A:$IV,4,FALSE)+VLOOKUP(A4,'[12]REM Calculation (w profit adj)'!$A:$IV,4,FALSE)</f>
        <v>3827057628.5974474</v>
      </c>
      <c r="E4" s="19">
        <f t="shared" si="0"/>
        <v>22501.728686733968</v>
      </c>
      <c r="F4" s="19">
        <f>IFERROR(VLOOKUP(A4,'Drug Overhead'!$1:$1048576,13,FALSE)*VLOOKUP(A4,Volume!A:K,11,FALSE),0)+VLOOKUP(A4,'[11]Rate Application - ICC Cycle I'!$A:$IV,6,FALSE)+VLOOKUP(A4,'[12]REM Calculation (w profit adj)'!$A:$IV,6,FALSE)</f>
        <v>140903083.38276017</v>
      </c>
      <c r="G4" s="19">
        <f t="shared" si="1"/>
        <v>3967960711.9802074</v>
      </c>
      <c r="H4" s="19">
        <f t="shared" ref="H4:H54" si="9">IFERROR(G4/P4,0)</f>
        <v>23330.188370672691</v>
      </c>
      <c r="I4" s="36">
        <f>VLOOKUP(A4,'Variable Input'!$1:$1048576,8,FALSE)</f>
        <v>1.1149630516096494</v>
      </c>
      <c r="J4" s="19">
        <f t="shared" si="2"/>
        <v>3558827089.6078067</v>
      </c>
      <c r="K4" s="63">
        <f>J4*(1-VLOOKUP(A4,'PROFIT (18,19,22)'!$1:$1048576,7,FALSE))</f>
        <v>3502587055.4287734</v>
      </c>
      <c r="L4" s="19">
        <f>IFERROR(VLOOKUP(A4,'Variable Input'!$1:$1048576,26,FALSE)*VLOOKUP(A4,Volume!A:K,11,FALSE),0)+VLOOKUP(A4,'[11]Rate Application - ICC Cycle I'!$A:$IV,12,FALSE)+VLOOKUP(A4,'[12]REM Calculation (w profit adj)'!$A:$IV,12,FALSE)</f>
        <v>162822000.92520198</v>
      </c>
      <c r="M4" s="22">
        <f t="shared" si="3"/>
        <v>3339765054.5035715</v>
      </c>
      <c r="N4" s="36">
        <f>VLOOKUP(A4,'Variable Input'!$1:$1048576,23,FALSE)</f>
        <v>0.99671861092415948</v>
      </c>
      <c r="O4" s="22">
        <f t="shared" si="4"/>
        <v>3350760202.4275784</v>
      </c>
      <c r="P4" s="27">
        <f>IFERROR(VLOOKUP(A4,'Variable Input'!$1:$1048576,7,FALSE),0)+VLOOKUP(A4,'[11]Rate Application - ICC Cycle I'!$A:$IV,16,FALSE)+VLOOKUP(A4,'[12]REM Calculation (w profit adj)'!$A:$IV,16,FALSE)</f>
        <v>170078.38294902706</v>
      </c>
      <c r="Q4" s="18">
        <f t="shared" si="5"/>
        <v>19701.270345637105</v>
      </c>
      <c r="R4" s="18">
        <f t="shared" si="6"/>
        <v>3350760202.4275784</v>
      </c>
      <c r="S4" s="20">
        <f>IFERROR(VLOOKUP(A4,RESCMAD!$1:$1048576,8,FALSE),0)</f>
        <v>8.0070950123769438E-3</v>
      </c>
      <c r="T4" s="19">
        <f>IF(C4=5,(S4*P4)*IME!$L$7,(S4*P4)*IME!$L$8)+VLOOKUP(A4,'[11]Rate Application - ICC Cycle I'!$A:$IV,20,FALSE)+VLOOKUP(A4,'[12]REM Calculation (w profit adj)'!$A:$IV,20,FALSE)</f>
        <v>777446095.09122694</v>
      </c>
      <c r="U4" s="19">
        <v>0</v>
      </c>
      <c r="V4" s="22">
        <f t="shared" si="7"/>
        <v>2573314107.3363514</v>
      </c>
      <c r="W4" s="17">
        <f t="shared" si="8"/>
        <v>-0.23202080964432437</v>
      </c>
      <c r="X4" s="19">
        <f t="shared" ref="X4:X54" si="10">R4-T4-U4</f>
        <v>2573314107.3363514</v>
      </c>
      <c r="Y4" s="15">
        <f t="shared" ref="Y4:Y54" si="11">IFERROR(X4/P4,0)</f>
        <v>15130.165649020666</v>
      </c>
    </row>
    <row r="5" spans="1:25" ht="18.75" customHeight="1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19">
        <f>IFERROR(VLOOKUP(A5,'Variable Input'!$1:$1048576,6,FALSE),0)+VLOOKUP(A5,'[11]Rate Application - ICC Cycle I'!$A:$IV,4,FALSE)+VLOOKUP(A5,'[12]REM Calculation (w profit adj)'!$A:$IV,4,FALSE)</f>
        <v>1018547309.8964415</v>
      </c>
      <c r="E5" s="19">
        <f t="shared" si="0"/>
        <v>19375.255068233313</v>
      </c>
      <c r="F5" s="19">
        <f>IFERROR(VLOOKUP(A5,'Drug Overhead'!$1:$1048576,13,FALSE)*VLOOKUP(A5,Volume!A:K,11,FALSE),0)+VLOOKUP(A5,'[11]Rate Application - ICC Cycle I'!$A:$IV,6,FALSE)+VLOOKUP(A5,'[12]REM Calculation (w profit adj)'!$A:$IV,6,FALSE)</f>
        <v>837154.81376225257</v>
      </c>
      <c r="G5" s="19">
        <f t="shared" si="1"/>
        <v>1019384464.7102038</v>
      </c>
      <c r="H5" s="19">
        <f t="shared" si="9"/>
        <v>19391.179795431202</v>
      </c>
      <c r="I5" s="36">
        <f>VLOOKUP(A5,'Variable Input'!$1:$1048576,8,FALSE)</f>
        <v>1.1150592197193865</v>
      </c>
      <c r="J5" s="19">
        <f t="shared" si="2"/>
        <v>914197601.95941877</v>
      </c>
      <c r="K5" s="63">
        <f>J5*(1-VLOOKUP(A5,'PROFIT (18,19,22)'!$1:$1048576,7,FALSE))</f>
        <v>807240088.93567359</v>
      </c>
      <c r="L5" s="19">
        <f>IFERROR(VLOOKUP(A5,'Variable Input'!$1:$1048576,26,FALSE)*VLOOKUP(A5,Volume!A:K,11,FALSE),0)+VLOOKUP(A5,'[11]Rate Application - ICC Cycle I'!$A:$IV,12,FALSE)+VLOOKUP(A5,'[12]REM Calculation (w profit adj)'!$A:$IV,12,FALSE)</f>
        <v>30730330.06088895</v>
      </c>
      <c r="M5" s="22">
        <f t="shared" si="3"/>
        <v>776509758.87478459</v>
      </c>
      <c r="N5" s="36">
        <f>VLOOKUP(A5,'Variable Input'!$1:$1048576,23,FALSE)</f>
        <v>1.0181752931904677</v>
      </c>
      <c r="O5" s="22">
        <f t="shared" si="4"/>
        <v>762648400.59276974</v>
      </c>
      <c r="P5" s="27">
        <f>IFERROR(VLOOKUP(A5,'Variable Input'!$1:$1048576,7,FALSE),0)+VLOOKUP(A5,'[11]Rate Application - ICC Cycle I'!$A:$IV,16,FALSE)+VLOOKUP(A5,'[12]REM Calculation (w profit adj)'!$A:$IV,16,FALSE)</f>
        <v>52569.491669113559</v>
      </c>
      <c r="Q5" s="18">
        <f t="shared" si="5"/>
        <v>14507.433425323623</v>
      </c>
      <c r="R5" s="18">
        <f t="shared" si="6"/>
        <v>762648400.59276974</v>
      </c>
      <c r="S5" s="20">
        <f>IFERROR(VLOOKUP(A5,RESCMAD!$1:$1048576,8,FALSE),0)</f>
        <v>2.8876763347746859E-3</v>
      </c>
      <c r="T5" s="19">
        <f>IF(C5=5,(S5*P5)*IME!$L$7,(S5*P5)*IME!$L$8)+VLOOKUP(A5,'[11]Rate Application - ICC Cycle I'!$A:$IV,20,FALSE)+VLOOKUP(A5,'[12]REM Calculation (w profit adj)'!$A:$IV,20,FALSE)</f>
        <v>30619141.552564021</v>
      </c>
      <c r="U5" s="19">
        <v>0</v>
      </c>
      <c r="V5" s="22">
        <f t="shared" si="7"/>
        <v>732029259.04020572</v>
      </c>
      <c r="W5" s="17">
        <f t="shared" si="8"/>
        <v>-4.0148437377912627E-2</v>
      </c>
      <c r="X5" s="19">
        <f t="shared" si="10"/>
        <v>732029259.04020572</v>
      </c>
      <c r="Y5" s="15">
        <f t="shared" si="11"/>
        <v>13924.98264293278</v>
      </c>
    </row>
    <row r="6" spans="1:25" ht="18.75" customHeight="1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19">
        <f>IFERROR(VLOOKUP(A6,'Variable Input'!$1:$1048576,6,FALSE),0)+VLOOKUP(A6,'[11]Rate Application - ICC Cycle I'!$A:$IV,4,FALSE)+VLOOKUP(A6,'[12]REM Calculation (w profit adj)'!$A:$IV,4,FALSE)</f>
        <v>1573693034.7293639</v>
      </c>
      <c r="E6" s="19">
        <f t="shared" si="0"/>
        <v>13959.591537601804</v>
      </c>
      <c r="F6" s="19">
        <f>IFERROR(VLOOKUP(A6,'Drug Overhead'!$1:$1048576,13,FALSE)*VLOOKUP(A6,Volume!A:K,11,FALSE),0)+VLOOKUP(A6,'[11]Rate Application - ICC Cycle I'!$A:$IV,6,FALSE)+VLOOKUP(A6,'[12]REM Calculation (w profit adj)'!$A:$IV,6,FALSE)</f>
        <v>5431927.2732413076</v>
      </c>
      <c r="G6" s="19">
        <f t="shared" si="1"/>
        <v>1579124962.0026052</v>
      </c>
      <c r="H6" s="19">
        <f t="shared" si="9"/>
        <v>14007.7759575128</v>
      </c>
      <c r="I6" s="36">
        <f>VLOOKUP(A6,'Variable Input'!$1:$1048576,8,FALSE)</f>
        <v>1.1099846191041804</v>
      </c>
      <c r="J6" s="19">
        <f t="shared" si="2"/>
        <v>1422654814.1514313</v>
      </c>
      <c r="K6" s="63">
        <f>J6*(1-VLOOKUP(A6,'PROFIT (18,19,22)'!$1:$1048576,7,FALSE))</f>
        <v>1245939151.6432414</v>
      </c>
      <c r="L6" s="19">
        <f>IFERROR(VLOOKUP(A6,'Variable Input'!$1:$1048576,26,FALSE)*VLOOKUP(A6,Volume!A:K,11,FALSE),0)+VLOOKUP(A6,'[11]Rate Application - ICC Cycle I'!$A:$IV,12,FALSE)+VLOOKUP(A6,'[12]REM Calculation (w profit adj)'!$A:$IV,12,FALSE)</f>
        <v>5979890.1047448367</v>
      </c>
      <c r="M6" s="22">
        <f t="shared" si="3"/>
        <v>1239959261.5384965</v>
      </c>
      <c r="N6" s="36">
        <f>VLOOKUP(A6,'Variable Input'!$1:$1048576,23,FALSE)</f>
        <v>1.0181752931904677</v>
      </c>
      <c r="O6" s="22">
        <f t="shared" si="4"/>
        <v>1217824936.2671778</v>
      </c>
      <c r="P6" s="27">
        <f>IFERROR(VLOOKUP(A6,'Variable Input'!$1:$1048576,7,FALSE),0)+VLOOKUP(A6,'[11]Rate Application - ICC Cycle I'!$A:$IV,16,FALSE)+VLOOKUP(A6,'[12]REM Calculation (w profit adj)'!$A:$IV,16,FALSE)</f>
        <v>112732.02589706413</v>
      </c>
      <c r="Q6" s="18">
        <f t="shared" si="5"/>
        <v>10802.830221282251</v>
      </c>
      <c r="R6" s="18">
        <f t="shared" si="6"/>
        <v>1217824936.2671778</v>
      </c>
      <c r="S6" s="20">
        <f>IFERROR(VLOOKUP(A6,RESCMAD!$1:$1048576,8,FALSE),0)</f>
        <v>5.3688736964906027E-4</v>
      </c>
      <c r="T6" s="19">
        <f>IF(C6=5,(S6*P6)*IME!$L$7,(S6*P6)*IME!$L$8)+VLOOKUP(A6,'[11]Rate Application - ICC Cycle I'!$A:$IV,20,FALSE)+VLOOKUP(A6,'[12]REM Calculation (w profit adj)'!$A:$IV,20,FALSE)</f>
        <v>12174894.341937033</v>
      </c>
      <c r="U6" s="19">
        <v>0</v>
      </c>
      <c r="V6" s="22">
        <f t="shared" si="7"/>
        <v>1205650041.9252408</v>
      </c>
      <c r="W6" s="17">
        <f t="shared" si="8"/>
        <v>-9.997245071409866E-3</v>
      </c>
      <c r="X6" s="19">
        <f t="shared" si="10"/>
        <v>1205650041.9252408</v>
      </c>
      <c r="Y6" s="15">
        <f t="shared" si="11"/>
        <v>10694.83168009526</v>
      </c>
    </row>
    <row r="7" spans="1:25" ht="18.75" customHeight="1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19">
        <f>IFERROR(VLOOKUP(A7,'Variable Input'!$1:$1048576,6,FALSE),0)+VLOOKUP(A7,'[11]Rate Application - ICC Cycle I'!$A:$IV,4,FALSE)+VLOOKUP(A7,'[12]REM Calculation (w profit adj)'!$A:$IV,4,FALSE)</f>
        <v>1108950499.2333853</v>
      </c>
      <c r="E7" s="19">
        <f t="shared" si="0"/>
        <v>14336.730074838149</v>
      </c>
      <c r="F7" s="19">
        <f>IFERROR(VLOOKUP(A7,'Drug Overhead'!$1:$1048576,13,FALSE)*VLOOKUP(A7,Volume!A:K,11,FALSE),0)+VLOOKUP(A7,'[11]Rate Application - ICC Cycle I'!$A:$IV,6,FALSE)+VLOOKUP(A7,'[12]REM Calculation (w profit adj)'!$A:$IV,6,FALSE)</f>
        <v>238826.4529695313</v>
      </c>
      <c r="G7" s="19">
        <f t="shared" si="1"/>
        <v>1109189325.6863549</v>
      </c>
      <c r="H7" s="19">
        <f t="shared" si="9"/>
        <v>14339.817670175655</v>
      </c>
      <c r="I7" s="36">
        <f>VLOOKUP(A7,'Variable Input'!$1:$1048576,8,FALSE)</f>
        <v>1.1133096880777904</v>
      </c>
      <c r="J7" s="19">
        <f t="shared" si="2"/>
        <v>996298997.09347749</v>
      </c>
      <c r="K7" s="63">
        <f>J7*(1-VLOOKUP(A7,'PROFIT (18,19,22)'!$1:$1048576,7,FALSE))</f>
        <v>865715836.49026287</v>
      </c>
      <c r="L7" s="19">
        <f>IFERROR(VLOOKUP(A7,'Variable Input'!$1:$1048576,26,FALSE)*VLOOKUP(A7,Volume!A:K,11,FALSE),0)+VLOOKUP(A7,'[11]Rate Application - ICC Cycle I'!$A:$IV,12,FALSE)+VLOOKUP(A7,'[12]REM Calculation (w profit adj)'!$A:$IV,12,FALSE)</f>
        <v>1156715.9127931921</v>
      </c>
      <c r="M7" s="22">
        <f t="shared" si="3"/>
        <v>864559120.57746971</v>
      </c>
      <c r="N7" s="36">
        <f>VLOOKUP(A7,'Variable Input'!$1:$1048576,23,FALSE)</f>
        <v>0.99671861092415948</v>
      </c>
      <c r="O7" s="22">
        <f t="shared" si="4"/>
        <v>867405415.23133469</v>
      </c>
      <c r="P7" s="27">
        <f>IFERROR(VLOOKUP(A7,'Variable Input'!$1:$1048576,7,FALSE),0)+VLOOKUP(A7,'[11]Rate Application - ICC Cycle I'!$A:$IV,16,FALSE)+VLOOKUP(A7,'[12]REM Calculation (w profit adj)'!$A:$IV,16,FALSE)</f>
        <v>77350.308853178605</v>
      </c>
      <c r="Q7" s="18">
        <f t="shared" si="5"/>
        <v>11213.987740860712</v>
      </c>
      <c r="R7" s="18">
        <f t="shared" si="6"/>
        <v>867405415.23133469</v>
      </c>
      <c r="S7" s="20">
        <f>IFERROR(VLOOKUP(A7,RESCMAD!$1:$1048576,8,FALSE),0)</f>
        <v>0</v>
      </c>
      <c r="T7" s="19">
        <f>IF(C7=5,(S7*P7)*IME!$L$7,(S7*P7)*IME!$L$8)+VLOOKUP(A7,'[11]Rate Application - ICC Cycle I'!$A:$IV,20,FALSE)+VLOOKUP(A7,'[12]REM Calculation (w profit adj)'!$A:$IV,20,FALSE)</f>
        <v>0</v>
      </c>
      <c r="U7" s="19">
        <v>0</v>
      </c>
      <c r="V7" s="22">
        <f t="shared" si="7"/>
        <v>867405415.23133469</v>
      </c>
      <c r="W7" s="17">
        <f t="shared" si="8"/>
        <v>0</v>
      </c>
      <c r="X7" s="19">
        <f t="shared" si="10"/>
        <v>867405415.23133469</v>
      </c>
      <c r="Y7" s="15">
        <f t="shared" si="11"/>
        <v>11213.987740860712</v>
      </c>
    </row>
    <row r="8" spans="1:25" ht="18.75" customHeight="1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19">
        <f>IFERROR(VLOOKUP(A8,'Variable Input'!$1:$1048576,6,FALSE),0)+VLOOKUP(A8,'[11]Rate Application - ICC Cycle I'!$A:$IV,4,FALSE)+VLOOKUP(A8,'[12]REM Calculation (w profit adj)'!$A:$IV,4,FALSE)</f>
        <v>327687969.41789246</v>
      </c>
      <c r="E8" s="19">
        <f t="shared" si="0"/>
        <v>15531.229879523147</v>
      </c>
      <c r="F8" s="19">
        <f>IFERROR(VLOOKUP(A8,'Drug Overhead'!$1:$1048576,13,FALSE)*VLOOKUP(A8,Volume!A:K,11,FALSE),0)+VLOOKUP(A8,'[11]Rate Application - ICC Cycle I'!$A:$IV,6,FALSE)+VLOOKUP(A8,'[12]REM Calculation (w profit adj)'!$A:$IV,6,FALSE)</f>
        <v>633377.89203676383</v>
      </c>
      <c r="G8" s="19">
        <f t="shared" si="1"/>
        <v>328321347.30992919</v>
      </c>
      <c r="H8" s="19">
        <f t="shared" si="9"/>
        <v>15561.249711069922</v>
      </c>
      <c r="I8" s="36">
        <f>VLOOKUP(A8,'Variable Input'!$1:$1048576,8,FALSE)</f>
        <v>1.1180012832443968</v>
      </c>
      <c r="J8" s="19">
        <f t="shared" si="2"/>
        <v>293668131.00352913</v>
      </c>
      <c r="K8" s="63">
        <f>J8*(1-VLOOKUP(A8,'PROFIT (18,19,22)'!$1:$1048576,7,FALSE))</f>
        <v>270371373.09851277</v>
      </c>
      <c r="L8" s="19">
        <f>IFERROR(VLOOKUP(A8,'Variable Input'!$1:$1048576,26,FALSE)*VLOOKUP(A8,Volume!A:K,11,FALSE),0)+VLOOKUP(A8,'[11]Rate Application - ICC Cycle I'!$A:$IV,12,FALSE)+VLOOKUP(A8,'[12]REM Calculation (w profit adj)'!$A:$IV,12,FALSE)</f>
        <v>0</v>
      </c>
      <c r="M8" s="22">
        <f t="shared" si="3"/>
        <v>270371373.09851277</v>
      </c>
      <c r="N8" s="36">
        <f>VLOOKUP(A8,'Variable Input'!$1:$1048576,23,FALSE)</f>
        <v>0.99671861092415948</v>
      </c>
      <c r="O8" s="22">
        <f t="shared" si="4"/>
        <v>271261487.58055586</v>
      </c>
      <c r="P8" s="27">
        <f>IFERROR(VLOOKUP(A8,'Variable Input'!$1:$1048576,7,FALSE),0)+VLOOKUP(A8,'[11]Rate Application - ICC Cycle I'!$A:$IV,16,FALSE)+VLOOKUP(A8,'[12]REM Calculation (w profit adj)'!$A:$IV,16,FALSE)</f>
        <v>21098.649106335513</v>
      </c>
      <c r="Q8" s="18">
        <f t="shared" si="5"/>
        <v>12856.817809207572</v>
      </c>
      <c r="R8" s="18">
        <f t="shared" si="6"/>
        <v>271261487.58055586</v>
      </c>
      <c r="S8" s="20">
        <f>IFERROR(VLOOKUP(A8,RESCMAD!$1:$1048576,8,FALSE),0)</f>
        <v>0</v>
      </c>
      <c r="T8" s="19">
        <f>IF(C8=5,(S8*P8)*IME!$L$7,(S8*P8)*IME!$L$8)+VLOOKUP(A8,'[11]Rate Application - ICC Cycle I'!$A:$IV,20,FALSE)+VLOOKUP(A8,'[12]REM Calculation (w profit adj)'!$A:$IV,20,FALSE)</f>
        <v>0</v>
      </c>
      <c r="U8" s="19">
        <v>0</v>
      </c>
      <c r="V8" s="22">
        <f t="shared" si="7"/>
        <v>271261487.58055586</v>
      </c>
      <c r="W8" s="17">
        <f t="shared" si="8"/>
        <v>0</v>
      </c>
      <c r="X8" s="19">
        <f t="shared" si="10"/>
        <v>271261487.58055586</v>
      </c>
      <c r="Y8" s="15">
        <f t="shared" si="11"/>
        <v>12856.817809207572</v>
      </c>
    </row>
    <row r="9" spans="1:25" ht="18.75" customHeight="1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19">
        <f>IFERROR(VLOOKUP(A9,'Variable Input'!$1:$1048576,6,FALSE),0)+VLOOKUP(A9,'[11]Rate Application - ICC Cycle I'!$A:$IV,4,FALSE)+VLOOKUP(A9,'[12]REM Calculation (w profit adj)'!$A:$IV,4,FALSE)</f>
        <v>1644970635.1084614</v>
      </c>
      <c r="E9" s="19">
        <f t="shared" si="0"/>
        <v>14992.646047692331</v>
      </c>
      <c r="F9" s="19">
        <f>IFERROR(VLOOKUP(A9,'Drug Overhead'!$1:$1048576,13,FALSE)*VLOOKUP(A9,Volume!A:K,11,FALSE),0)+VLOOKUP(A9,'[11]Rate Application - ICC Cycle I'!$A:$IV,6,FALSE)+VLOOKUP(A9,'[12]REM Calculation (w profit adj)'!$A:$IV,6,FALSE)</f>
        <v>38723955.468833148</v>
      </c>
      <c r="G9" s="19">
        <f t="shared" si="1"/>
        <v>1683694590.5772946</v>
      </c>
      <c r="H9" s="19">
        <f t="shared" si="9"/>
        <v>15345.585209960438</v>
      </c>
      <c r="I9" s="36">
        <f>VLOOKUP(A9,'Variable Input'!$1:$1048576,8,FALSE)</f>
        <v>1.1102695565875482</v>
      </c>
      <c r="J9" s="19">
        <f t="shared" si="2"/>
        <v>1516473707.2969811</v>
      </c>
      <c r="K9" s="63">
        <f>J9*(1-VLOOKUP(A9,'PROFIT (18,19,22)'!$1:$1048576,7,FALSE))</f>
        <v>1404877781.8820677</v>
      </c>
      <c r="L9" s="19">
        <f>IFERROR(VLOOKUP(A9,'Variable Input'!$1:$1048576,26,FALSE)*VLOOKUP(A9,Volume!A:K,11,FALSE),0)+VLOOKUP(A9,'[11]Rate Application - ICC Cycle I'!$A:$IV,12,FALSE)+VLOOKUP(A9,'[12]REM Calculation (w profit adj)'!$A:$IV,12,FALSE)</f>
        <v>15063982.432669738</v>
      </c>
      <c r="M9" s="22">
        <f t="shared" si="3"/>
        <v>1389813799.449398</v>
      </c>
      <c r="N9" s="36">
        <f>VLOOKUP(A9,'Variable Input'!$1:$1048576,23,FALSE)</f>
        <v>0.99671861092415948</v>
      </c>
      <c r="O9" s="22">
        <f t="shared" si="4"/>
        <v>1394389333.3754046</v>
      </c>
      <c r="P9" s="27">
        <f>IFERROR(VLOOKUP(A9,'Variable Input'!$1:$1048576,7,FALSE),0)+VLOOKUP(A9,'[11]Rate Application - ICC Cycle I'!$A:$IV,16,FALSE)+VLOOKUP(A9,'[12]REM Calculation (w profit adj)'!$A:$IV,16,FALSE)</f>
        <v>109718.49998163969</v>
      </c>
      <c r="Q9" s="18">
        <f t="shared" si="5"/>
        <v>12708.789617145167</v>
      </c>
      <c r="R9" s="18">
        <f t="shared" si="6"/>
        <v>1394389333.3754046</v>
      </c>
      <c r="S9" s="20">
        <f>IFERROR(VLOOKUP(A9,RESCMAD!$1:$1048576,8,FALSE),0)</f>
        <v>1.3017891569452743E-3</v>
      </c>
      <c r="T9" s="19">
        <f>IF(C9=5,(S9*P9)*IME!$L$7,(S9*P9)*IME!$L$8)+VLOOKUP(A9,'[11]Rate Application - ICC Cycle I'!$A:$IV,20,FALSE)+VLOOKUP(A9,'[12]REM Calculation (w profit adj)'!$A:$IV,20,FALSE)</f>
        <v>30739892.061559066</v>
      </c>
      <c r="U9" s="19">
        <v>0</v>
      </c>
      <c r="V9" s="22">
        <f t="shared" si="7"/>
        <v>1363649441.3138456</v>
      </c>
      <c r="W9" s="17">
        <f t="shared" si="8"/>
        <v>-2.2045415384200351E-2</v>
      </c>
      <c r="X9" s="19">
        <f t="shared" si="10"/>
        <v>1363649441.3138456</v>
      </c>
      <c r="Y9" s="15">
        <f t="shared" si="11"/>
        <v>12428.619071004789</v>
      </c>
    </row>
    <row r="10" spans="1:25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19">
        <f>IFERROR(VLOOKUP(A10,'Variable Input'!$1:$1048576,6,FALSE),0)+VLOOKUP(A10,'[11]Rate Application - ICC Cycle I'!$A:$IV,4,FALSE)+VLOOKUP(A10,'[12]REM Calculation (w profit adj)'!$A:$IV,4,FALSE)</f>
        <v>6623572618.0974731</v>
      </c>
      <c r="E10" s="19">
        <f t="shared" si="0"/>
        <v>20893.957726596971</v>
      </c>
      <c r="F10" s="19">
        <f>IFERROR(VLOOKUP(A10,'Drug Overhead'!$1:$1048576,13,FALSE)*VLOOKUP(A10,Volume!A:K,11,FALSE),0)+VLOOKUP(A10,'[11]Rate Application - ICC Cycle I'!$A:$IV,6,FALSE)+VLOOKUP(A10,'[12]REM Calculation (w profit adj)'!$A:$IV,6,FALSE)</f>
        <v>256036550.83153486</v>
      </c>
      <c r="G10" s="19">
        <f t="shared" si="1"/>
        <v>6879609168.9290085</v>
      </c>
      <c r="H10" s="19">
        <f t="shared" si="9"/>
        <v>21701.621079591871</v>
      </c>
      <c r="I10" s="36">
        <f>VLOOKUP(A10,'Variable Input'!$1:$1048576,8,FALSE)</f>
        <v>1.106052155233989</v>
      </c>
      <c r="J10" s="19">
        <f t="shared" si="2"/>
        <v>6219968141.9847727</v>
      </c>
      <c r="K10" s="63">
        <f>J10*(1-VLOOKUP(A10,'PROFIT (18,19,22)'!$1:$1048576,7,FALSE))</f>
        <v>6095821955.8136568</v>
      </c>
      <c r="L10" s="19">
        <f>IFERROR(VLOOKUP(A10,'Variable Input'!$1:$1048576,26,FALSE)*VLOOKUP(A10,Volume!A:K,11,FALSE),0)+VLOOKUP(A10,'[11]Rate Application - ICC Cycle I'!$A:$IV,12,FALSE)+VLOOKUP(A10,'[12]REM Calculation (w profit adj)'!$A:$IV,12,FALSE)</f>
        <v>354376077.75976634</v>
      </c>
      <c r="M10" s="22">
        <f t="shared" si="3"/>
        <v>5741445878.0538902</v>
      </c>
      <c r="N10" s="36">
        <f>VLOOKUP(A10,'Variable Input'!$1:$1048576,23,FALSE)</f>
        <v>0.99671861092415948</v>
      </c>
      <c r="O10" s="22">
        <f t="shared" si="4"/>
        <v>5760347820.4650059</v>
      </c>
      <c r="P10" s="27">
        <f>IFERROR(VLOOKUP(A10,'Variable Input'!$1:$1048576,7,FALSE),0)+VLOOKUP(A10,'[11]Rate Application - ICC Cycle I'!$A:$IV,16,FALSE)+VLOOKUP(A10,'[12]REM Calculation (w profit adj)'!$A:$IV,16,FALSE)</f>
        <v>317008.99871478125</v>
      </c>
      <c r="Q10" s="18">
        <f t="shared" si="5"/>
        <v>18170.928408400468</v>
      </c>
      <c r="R10" s="18">
        <f t="shared" si="6"/>
        <v>5760347820.4650059</v>
      </c>
      <c r="S10" s="20">
        <f>IFERROR(VLOOKUP(A10,RESCMAD!$1:$1048576,8,FALSE),0)</f>
        <v>7.4942478105740583E-3</v>
      </c>
      <c r="T10" s="19">
        <f>IF(C10=5,(S10*P10)*IME!$L$7,(S10*P10)*IME!$L$8)+VLOOKUP(A10,'[11]Rate Application - ICC Cycle I'!$A:$IV,20,FALSE)+VLOOKUP(A10,'[12]REM Calculation (w profit adj)'!$A:$IV,20,FALSE)</f>
        <v>1338690343.867908</v>
      </c>
      <c r="U10" s="19">
        <v>0</v>
      </c>
      <c r="V10" s="22">
        <f t="shared" si="7"/>
        <v>4421657476.5970974</v>
      </c>
      <c r="W10" s="17">
        <f t="shared" si="8"/>
        <v>-0.23239748459492193</v>
      </c>
      <c r="X10" s="19">
        <f t="shared" si="10"/>
        <v>4421657476.5970974</v>
      </c>
      <c r="Y10" s="15">
        <f t="shared" si="11"/>
        <v>13948.05035353379</v>
      </c>
    </row>
    <row r="11" spans="1:25" ht="18.75" customHeight="1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19">
        <f>IFERROR(VLOOKUP(A11,'Variable Input'!$1:$1048576,6,FALSE),0)+VLOOKUP(A11,'[11]Rate Application - ICC Cycle I'!$A:$IV,4,FALSE)+VLOOKUP(A11,'[12]REM Calculation (w profit adj)'!$A:$IV,4,FALSE)</f>
        <v>106718487.14663118</v>
      </c>
      <c r="E11" s="19">
        <f t="shared" si="0"/>
        <v>14666.393351687606</v>
      </c>
      <c r="F11" s="19">
        <f>IFERROR(VLOOKUP(A11,'Drug Overhead'!$1:$1048576,13,FALSE)*VLOOKUP(A11,Volume!A:K,11,FALSE),0)+VLOOKUP(A11,'[11]Rate Application - ICC Cycle I'!$A:$IV,6,FALSE)+VLOOKUP(A11,'[12]REM Calculation (w profit adj)'!$A:$IV,6,FALSE)</f>
        <v>54519.710557669081</v>
      </c>
      <c r="G11" s="19">
        <f t="shared" si="1"/>
        <v>106773006.85718885</v>
      </c>
      <c r="H11" s="19">
        <f t="shared" si="9"/>
        <v>14673.886032120381</v>
      </c>
      <c r="I11" s="36">
        <f>VLOOKUP(A11,'Variable Input'!$1:$1048576,8,FALSE)</f>
        <v>1.1237799950517624</v>
      </c>
      <c r="J11" s="19">
        <f t="shared" si="2"/>
        <v>95012375.489270732</v>
      </c>
      <c r="K11" s="63" t="e">
        <f>J11*(1-VLOOKUP(A11,'PROFIT (18,19,22)'!$1:$1048576,7,FALSE))</f>
        <v>#N/A</v>
      </c>
      <c r="L11" s="19">
        <f>IFERROR(VLOOKUP(A11,'Variable Input'!$1:$1048576,26,FALSE)*VLOOKUP(A11,Volume!A:K,11,FALSE),0)+VLOOKUP(A11,'[11]Rate Application - ICC Cycle I'!$A:$IV,12,FALSE)+VLOOKUP(A11,'[12]REM Calculation (w profit adj)'!$A:$IV,12,FALSE)</f>
        <v>357345.89027663122</v>
      </c>
      <c r="M11" s="22" t="e">
        <f t="shared" si="3"/>
        <v>#N/A</v>
      </c>
      <c r="N11" s="36">
        <f>VLOOKUP(A11,'Variable Input'!$1:$1048576,23,FALSE)</f>
        <v>0.99671861092415948</v>
      </c>
      <c r="O11" s="22" t="e">
        <f t="shared" si="4"/>
        <v>#N/A</v>
      </c>
      <c r="P11" s="27">
        <f>IFERROR(VLOOKUP(A11,'Variable Input'!$1:$1048576,7,FALSE),0)+VLOOKUP(A11,'[11]Rate Application - ICC Cycle I'!$A:$IV,16,FALSE)+VLOOKUP(A11,'[12]REM Calculation (w profit adj)'!$A:$IV,16,FALSE)</f>
        <v>7276.3960837278028</v>
      </c>
      <c r="Q11" s="18">
        <f t="shared" si="5"/>
        <v>0</v>
      </c>
      <c r="R11" s="18">
        <f t="shared" si="6"/>
        <v>0</v>
      </c>
      <c r="S11" s="20">
        <f>IFERROR(VLOOKUP(A11,RESCMAD!$1:$1048576,8,FALSE),0)</f>
        <v>0</v>
      </c>
      <c r="T11" s="19">
        <f>IF(C11=5,(S11*P11)*IME!$L$7,(S11*P11)*IME!$L$8)+VLOOKUP(A11,'[11]Rate Application - ICC Cycle I'!$A:$IV,20,FALSE)+VLOOKUP(A11,'[12]REM Calculation (w profit adj)'!$A:$IV,20,FALSE)</f>
        <v>0</v>
      </c>
      <c r="U11" s="19">
        <v>0</v>
      </c>
      <c r="V11" s="22">
        <f t="shared" si="7"/>
        <v>0</v>
      </c>
      <c r="W11" s="17">
        <f t="shared" si="8"/>
        <v>0</v>
      </c>
      <c r="X11" s="19">
        <f t="shared" si="10"/>
        <v>0</v>
      </c>
      <c r="Y11" s="15">
        <f t="shared" si="11"/>
        <v>0</v>
      </c>
    </row>
    <row r="12" spans="1:25" ht="18.75" customHeight="1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19">
        <f>IFERROR(VLOOKUP(A12,'Variable Input'!$1:$1048576,6,FALSE),0)+VLOOKUP(A12,'[11]Rate Application - ICC Cycle I'!$A:$IV,4,FALSE)+VLOOKUP(A12,'[12]REM Calculation (w profit adj)'!$A:$IV,4,FALSE)</f>
        <v>1268746880.2306283</v>
      </c>
      <c r="E12" s="19">
        <f t="shared" si="0"/>
        <v>16270.959824095529</v>
      </c>
      <c r="F12" s="19">
        <f>IFERROR(VLOOKUP(A12,'Drug Overhead'!$1:$1048576,13,FALSE)*VLOOKUP(A12,Volume!A:K,11,FALSE),0)+VLOOKUP(A12,'[11]Rate Application - ICC Cycle I'!$A:$IV,6,FALSE)+VLOOKUP(A12,'[12]REM Calculation (w profit adj)'!$A:$IV,6,FALSE)</f>
        <v>35656090.442823701</v>
      </c>
      <c r="G12" s="19">
        <f t="shared" si="1"/>
        <v>1304402970.6734519</v>
      </c>
      <c r="H12" s="19">
        <f t="shared" si="9"/>
        <v>16728.228980078828</v>
      </c>
      <c r="I12" s="36">
        <f>VLOOKUP(A12,'Variable Input'!$1:$1048576,8,FALSE)</f>
        <v>1.1208321340194023</v>
      </c>
      <c r="J12" s="19">
        <f t="shared" si="2"/>
        <v>1163780847.3564622</v>
      </c>
      <c r="K12" s="63">
        <f>J12*(1-VLOOKUP(A12,'PROFIT (18,19,22)'!$1:$1048576,7,FALSE))</f>
        <v>974334810.15412462</v>
      </c>
      <c r="L12" s="19">
        <f>IFERROR(VLOOKUP(A12,'Variable Input'!$1:$1048576,26,FALSE)*VLOOKUP(A12,Volume!A:K,11,FALSE),0)+VLOOKUP(A12,'[11]Rate Application - ICC Cycle I'!$A:$IV,12,FALSE)+VLOOKUP(A12,'[12]REM Calculation (w profit adj)'!$A:$IV,12,FALSE)</f>
        <v>21929177.480278891</v>
      </c>
      <c r="M12" s="22">
        <f t="shared" si="3"/>
        <v>952405632.67384577</v>
      </c>
      <c r="N12" s="36">
        <f>VLOOKUP(A12,'Variable Input'!$1:$1048576,23,FALSE)</f>
        <v>0.99671861092415948</v>
      </c>
      <c r="O12" s="22">
        <f t="shared" si="4"/>
        <v>955541134.9154737</v>
      </c>
      <c r="P12" s="27">
        <f>IFERROR(VLOOKUP(A12,'Variable Input'!$1:$1048576,7,FALSE),0)+VLOOKUP(A12,'[11]Rate Application - ICC Cycle I'!$A:$IV,16,FALSE)+VLOOKUP(A12,'[12]REM Calculation (w profit adj)'!$A:$IV,16,FALSE)</f>
        <v>77976.154691977761</v>
      </c>
      <c r="Q12" s="18">
        <f t="shared" si="5"/>
        <v>12254.273613389407</v>
      </c>
      <c r="R12" s="18">
        <f t="shared" si="6"/>
        <v>955541134.9154737</v>
      </c>
      <c r="S12" s="20">
        <f>IFERROR(VLOOKUP(A12,RESCMAD!$1:$1048576,8,FALSE),0)</f>
        <v>2.6691771620720953E-3</v>
      </c>
      <c r="T12" s="19">
        <f>IF(C12=5,(S12*P12)*IME!$L$7,(S12*P12)*IME!$L$8)+VLOOKUP(A12,'[11]Rate Application - ICC Cycle I'!$A:$IV,20,FALSE)+VLOOKUP(A12,'[12]REM Calculation (w profit adj)'!$A:$IV,20,FALSE)</f>
        <v>43704424.688588738</v>
      </c>
      <c r="U12" s="19">
        <v>0</v>
      </c>
      <c r="V12" s="22">
        <f t="shared" si="7"/>
        <v>911836710.22688496</v>
      </c>
      <c r="W12" s="17">
        <f t="shared" si="8"/>
        <v>-4.5737878874732907E-2</v>
      </c>
      <c r="X12" s="19">
        <f t="shared" si="10"/>
        <v>911836710.22688496</v>
      </c>
      <c r="Y12" s="15">
        <f t="shared" si="11"/>
        <v>11693.789131162368</v>
      </c>
    </row>
    <row r="13" spans="1:25" ht="18.75" customHeight="1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19">
        <f>IFERROR(VLOOKUP(A13,'Variable Input'!$1:$1048576,6,FALSE),0)+VLOOKUP(A13,'[11]Rate Application - ICC Cycle I'!$A:$IV,4,FALSE)+VLOOKUP(A13,'[12]REM Calculation (w profit adj)'!$A:$IV,4,FALSE)</f>
        <v>2263455177.8935127</v>
      </c>
      <c r="E13" s="19">
        <f t="shared" si="0"/>
        <v>19119.586125889746</v>
      </c>
      <c r="F13" s="19">
        <f>IFERROR(VLOOKUP(A13,'Drug Overhead'!$1:$1048576,13,FALSE)*VLOOKUP(A13,Volume!A:K,11,FALSE),0)+VLOOKUP(A13,'[11]Rate Application - ICC Cycle I'!$A:$IV,6,FALSE)+VLOOKUP(A13,'[12]REM Calculation (w profit adj)'!$A:$IV,6,FALSE)</f>
        <v>76902474.348241627</v>
      </c>
      <c r="G13" s="19">
        <f t="shared" si="1"/>
        <v>2340357652.2417545</v>
      </c>
      <c r="H13" s="19">
        <f t="shared" si="9"/>
        <v>19769.187450429166</v>
      </c>
      <c r="I13" s="36">
        <f>VLOOKUP(A13,'Variable Input'!$1:$1048576,8,FALSE)</f>
        <v>1.1214469245143464</v>
      </c>
      <c r="J13" s="19">
        <f t="shared" si="2"/>
        <v>2086908975.4339194</v>
      </c>
      <c r="K13" s="63">
        <f>J13*(1-VLOOKUP(A13,'PROFIT (18,19,22)'!$1:$1048576,7,FALSE))</f>
        <v>1815537658.8160007</v>
      </c>
      <c r="L13" s="19">
        <f>IFERROR(VLOOKUP(A13,'Variable Input'!$1:$1048576,26,FALSE)*VLOOKUP(A13,Volume!A:K,11,FALSE),0)+VLOOKUP(A13,'[11]Rate Application - ICC Cycle I'!$A:$IV,12,FALSE)+VLOOKUP(A13,'[12]REM Calculation (w profit adj)'!$A:$IV,12,FALSE)</f>
        <v>58366016.29591848</v>
      </c>
      <c r="M13" s="22">
        <f t="shared" si="3"/>
        <v>1757171642.5200822</v>
      </c>
      <c r="N13" s="36">
        <f>VLOOKUP(A13,'Variable Input'!$1:$1048576,23,FALSE)</f>
        <v>0.99671861092415948</v>
      </c>
      <c r="O13" s="22">
        <f t="shared" si="4"/>
        <v>1762956589.0124488</v>
      </c>
      <c r="P13" s="27">
        <f>IFERROR(VLOOKUP(A13,'Variable Input'!$1:$1048576,7,FALSE),0)+VLOOKUP(A13,'[11]Rate Application - ICC Cycle I'!$A:$IV,16,FALSE)+VLOOKUP(A13,'[12]REM Calculation (w profit adj)'!$A:$IV,16,FALSE)</f>
        <v>118384.10951943035</v>
      </c>
      <c r="Q13" s="18">
        <f t="shared" si="5"/>
        <v>14891.834691066331</v>
      </c>
      <c r="R13" s="18">
        <f t="shared" si="6"/>
        <v>1762956589.0124488</v>
      </c>
      <c r="S13" s="20">
        <f>IFERROR(VLOOKUP(A13,RESCMAD!$1:$1048576,8,FALSE),0)</f>
        <v>3.2115467619769343E-3</v>
      </c>
      <c r="T13" s="19">
        <f>IF(C13=5,(S13*P13)*IME!$L$7,(S13*P13)*IME!$L$8)+VLOOKUP(A13,'[11]Rate Application - ICC Cycle I'!$A:$IV,20,FALSE)+VLOOKUP(A13,'[12]REM Calculation (w profit adj)'!$A:$IV,20,FALSE)</f>
        <v>78072932.285627007</v>
      </c>
      <c r="U13" s="19">
        <v>0</v>
      </c>
      <c r="V13" s="22">
        <f t="shared" si="7"/>
        <v>1684883656.7268219</v>
      </c>
      <c r="W13" s="17">
        <f t="shared" si="8"/>
        <v>-4.4285226744783746E-2</v>
      </c>
      <c r="X13" s="19">
        <f t="shared" si="10"/>
        <v>1684883656.7268219</v>
      </c>
      <c r="Y13" s="15">
        <f t="shared" si="11"/>
        <v>14232.346415126622</v>
      </c>
    </row>
    <row r="14" spans="1:25" ht="18.75" customHeight="1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19">
        <f>IFERROR(VLOOKUP(A14,'Variable Input'!$1:$1048576,6,FALSE),0)+VLOOKUP(A14,'[11]Rate Application - ICC Cycle I'!$A:$IV,4,FALSE)+VLOOKUP(A14,'[12]REM Calculation (w profit adj)'!$A:$IV,4,FALSE)</f>
        <v>180906639.79596877</v>
      </c>
      <c r="E14" s="19">
        <f t="shared" si="0"/>
        <v>16340.498222588494</v>
      </c>
      <c r="F14" s="19">
        <f>IFERROR(VLOOKUP(A14,'Drug Overhead'!$1:$1048576,13,FALSE)*VLOOKUP(A14,Volume!A:K,11,FALSE),0)+VLOOKUP(A14,'[11]Rate Application - ICC Cycle I'!$A:$IV,6,FALSE)+VLOOKUP(A14,'[12]REM Calculation (w profit adj)'!$A:$IV,6,FALSE)</f>
        <v>3190379.8168685213</v>
      </c>
      <c r="G14" s="19">
        <f t="shared" si="1"/>
        <v>184097019.61283728</v>
      </c>
      <c r="H14" s="19">
        <f t="shared" si="9"/>
        <v>16628.671148611102</v>
      </c>
      <c r="I14" s="36">
        <f>VLOOKUP(A14,'Variable Input'!$1:$1048576,8,FALSE)</f>
        <v>1.1357641348932981</v>
      </c>
      <c r="J14" s="19">
        <f t="shared" si="2"/>
        <v>162090890.1390276</v>
      </c>
      <c r="K14" s="63" t="e">
        <f>J14*(1-VLOOKUP(A14,'PROFIT (18,19,22)'!$1:$1048576,7,FALSE))</f>
        <v>#N/A</v>
      </c>
      <c r="L14" s="19">
        <f>IFERROR(VLOOKUP(A14,'Variable Input'!$1:$1048576,26,FALSE)*VLOOKUP(A14,Volume!A:K,11,FALSE),0)+VLOOKUP(A14,'[11]Rate Application - ICC Cycle I'!$A:$IV,12,FALSE)+VLOOKUP(A14,'[12]REM Calculation (w profit adj)'!$A:$IV,12,FALSE)</f>
        <v>0</v>
      </c>
      <c r="M14" s="22" t="e">
        <f t="shared" si="3"/>
        <v>#N/A</v>
      </c>
      <c r="N14" s="36">
        <f>VLOOKUP(A14,'Variable Input'!$1:$1048576,23,FALSE)</f>
        <v>0.99671861092415948</v>
      </c>
      <c r="O14" s="22" t="e">
        <f t="shared" si="4"/>
        <v>#N/A</v>
      </c>
      <c r="P14" s="27">
        <f>IFERROR(VLOOKUP(A14,'Variable Input'!$1:$1048576,7,FALSE),0)+VLOOKUP(A14,'[11]Rate Application - ICC Cycle I'!$A:$IV,16,FALSE)+VLOOKUP(A14,'[12]REM Calculation (w profit adj)'!$A:$IV,16,FALSE)</f>
        <v>11071.060216872102</v>
      </c>
      <c r="Q14" s="18">
        <f t="shared" si="5"/>
        <v>0</v>
      </c>
      <c r="R14" s="18">
        <f t="shared" si="6"/>
        <v>0</v>
      </c>
      <c r="S14" s="20">
        <f>IFERROR(VLOOKUP(A14,RESCMAD!$1:$1048576,8,FALSE),0)</f>
        <v>0</v>
      </c>
      <c r="T14" s="19">
        <f>IF(C14=5,(S14*P14)*IME!$L$7,(S14*P14)*IME!$L$8)+VLOOKUP(A14,'[11]Rate Application - ICC Cycle I'!$A:$IV,20,FALSE)+VLOOKUP(A14,'[12]REM Calculation (w profit adj)'!$A:$IV,20,FALSE)</f>
        <v>0</v>
      </c>
      <c r="U14" s="19">
        <v>0</v>
      </c>
      <c r="V14" s="22">
        <f t="shared" si="7"/>
        <v>0</v>
      </c>
      <c r="W14" s="17">
        <f t="shared" si="8"/>
        <v>0</v>
      </c>
      <c r="X14" s="19">
        <f t="shared" si="10"/>
        <v>0</v>
      </c>
      <c r="Y14" s="15">
        <f t="shared" si="11"/>
        <v>0</v>
      </c>
    </row>
    <row r="15" spans="1:25" ht="18.75" customHeight="1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19">
        <f>IFERROR(VLOOKUP(A15,'Variable Input'!$1:$1048576,6,FALSE),0)+VLOOKUP(A15,'[11]Rate Application - ICC Cycle I'!$A:$IV,4,FALSE)+VLOOKUP(A15,'[12]REM Calculation (w profit adj)'!$A:$IV,4,FALSE)</f>
        <v>1576797173.5102546</v>
      </c>
      <c r="E15" s="19">
        <f t="shared" si="0"/>
        <v>15037.962916087059</v>
      </c>
      <c r="F15" s="19">
        <f>IFERROR(VLOOKUP(A15,'Drug Overhead'!$1:$1048576,13,FALSE)*VLOOKUP(A15,Volume!A:K,11,FALSE),0)+VLOOKUP(A15,'[11]Rate Application - ICC Cycle I'!$A:$IV,6,FALSE)+VLOOKUP(A15,'[12]REM Calculation (w profit adj)'!$A:$IV,6,FALSE)</f>
        <v>67015058.26084739</v>
      </c>
      <c r="G15" s="19">
        <f t="shared" si="1"/>
        <v>1643812231.771102</v>
      </c>
      <c r="H15" s="19">
        <f t="shared" si="9"/>
        <v>15677.087578330425</v>
      </c>
      <c r="I15" s="36">
        <f>VLOOKUP(A15,'Variable Input'!$1:$1048576,8,FALSE)</f>
        <v>1.1215228084765592</v>
      </c>
      <c r="J15" s="19">
        <f t="shared" si="2"/>
        <v>1465696657.5686536</v>
      </c>
      <c r="K15" s="63">
        <f>J15*(1-VLOOKUP(A15,'PROFIT (18,19,22)'!$1:$1048576,7,FALSE))</f>
        <v>1318495720.6666763</v>
      </c>
      <c r="L15" s="19">
        <f>IFERROR(VLOOKUP(A15,'Variable Input'!$1:$1048576,26,FALSE)*VLOOKUP(A15,Volume!A:K,11,FALSE),0)+VLOOKUP(A15,'[11]Rate Application - ICC Cycle I'!$A:$IV,12,FALSE)+VLOOKUP(A15,'[12]REM Calculation (w profit adj)'!$A:$IV,12,FALSE)</f>
        <v>28085714.851330481</v>
      </c>
      <c r="M15" s="22">
        <f t="shared" si="3"/>
        <v>1290410005.8153458</v>
      </c>
      <c r="N15" s="36">
        <f>VLOOKUP(A15,'Variable Input'!$1:$1048576,23,FALSE)</f>
        <v>0.99671861092415948</v>
      </c>
      <c r="O15" s="22">
        <f t="shared" si="4"/>
        <v>1294658283.3633206</v>
      </c>
      <c r="P15" s="27">
        <f>IFERROR(VLOOKUP(A15,'Variable Input'!$1:$1048576,7,FALSE),0)+VLOOKUP(A15,'[11]Rate Application - ICC Cycle I'!$A:$IV,16,FALSE)+VLOOKUP(A15,'[12]REM Calculation (w profit adj)'!$A:$IV,16,FALSE)</f>
        <v>104854.43954802249</v>
      </c>
      <c r="Q15" s="18">
        <f t="shared" si="5"/>
        <v>12347.195683310838</v>
      </c>
      <c r="R15" s="18">
        <f t="shared" si="6"/>
        <v>1294658283.3633206</v>
      </c>
      <c r="S15" s="20">
        <f>IFERROR(VLOOKUP(A15,RESCMAD!$1:$1048576,8,FALSE),0)</f>
        <v>2.1140055959183207E-3</v>
      </c>
      <c r="T15" s="19">
        <f>IF(C15=5,(S15*P15)*IME!$L$7,(S15*P15)*IME!$L$8)+VLOOKUP(A15,'[11]Rate Application - ICC Cycle I'!$A:$IV,20,FALSE)+VLOOKUP(A15,'[12]REM Calculation (w profit adj)'!$A:$IV,20,FALSE)</f>
        <v>44528524.708124653</v>
      </c>
      <c r="U15" s="19">
        <v>0</v>
      </c>
      <c r="V15" s="22">
        <f t="shared" si="7"/>
        <v>1250129758.655196</v>
      </c>
      <c r="W15" s="17">
        <f t="shared" si="8"/>
        <v>-3.439403685152076E-2</v>
      </c>
      <c r="X15" s="19">
        <f t="shared" si="10"/>
        <v>1250129758.655196</v>
      </c>
      <c r="Y15" s="15">
        <f t="shared" si="11"/>
        <v>11922.525779966109</v>
      </c>
    </row>
    <row r="16" spans="1:25" ht="18.75" customHeight="1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19">
        <f>IFERROR(VLOOKUP(A16,'Variable Input'!$1:$1048576,6,FALSE),0)+VLOOKUP(A16,'[11]Rate Application - ICC Cycle I'!$A:$IV,4,FALSE)+VLOOKUP(A16,'[12]REM Calculation (w profit adj)'!$A:$IV,4,FALSE)</f>
        <v>918399671.3263216</v>
      </c>
      <c r="E16" s="19">
        <f t="shared" si="0"/>
        <v>15808.993673714256</v>
      </c>
      <c r="F16" s="19">
        <f>IFERROR(VLOOKUP(A16,'Drug Overhead'!$1:$1048576,13,FALSE)*VLOOKUP(A16,Volume!A:K,11,FALSE),0)+VLOOKUP(A16,'[11]Rate Application - ICC Cycle I'!$A:$IV,6,FALSE)+VLOOKUP(A16,'[12]REM Calculation (w profit adj)'!$A:$IV,6,FALSE)</f>
        <v>2439639.6701760497</v>
      </c>
      <c r="G16" s="19">
        <f t="shared" si="1"/>
        <v>920839310.99649763</v>
      </c>
      <c r="H16" s="19">
        <f t="shared" si="9"/>
        <v>15850.988732419204</v>
      </c>
      <c r="I16" s="36">
        <f>VLOOKUP(A16,'Variable Input'!$1:$1048576,8,FALSE)</f>
        <v>1.1206186736274211</v>
      </c>
      <c r="J16" s="19">
        <f t="shared" si="2"/>
        <v>821724046.42853081</v>
      </c>
      <c r="K16" s="63">
        <f>J16*(1-VLOOKUP(A16,'PROFIT (18,19,22)'!$1:$1048576,7,FALSE))</f>
        <v>738104705.95890522</v>
      </c>
      <c r="L16" s="19">
        <f>IFERROR(VLOOKUP(A16,'Variable Input'!$1:$1048576,26,FALSE)*VLOOKUP(A16,Volume!A:K,11,FALSE),0)+VLOOKUP(A16,'[11]Rate Application - ICC Cycle I'!$A:$IV,12,FALSE)+VLOOKUP(A16,'[12]REM Calculation (w profit adj)'!$A:$IV,12,FALSE)</f>
        <v>0</v>
      </c>
      <c r="M16" s="22">
        <f t="shared" si="3"/>
        <v>738104705.95890522</v>
      </c>
      <c r="N16" s="36">
        <f>VLOOKUP(A16,'Variable Input'!$1:$1048576,23,FALSE)</f>
        <v>1.0181752931904677</v>
      </c>
      <c r="O16" s="22">
        <f t="shared" si="4"/>
        <v>724928910.46888685</v>
      </c>
      <c r="P16" s="27">
        <f>IFERROR(VLOOKUP(A16,'Variable Input'!$1:$1048576,7,FALSE),0)+VLOOKUP(A16,'[11]Rate Application - ICC Cycle I'!$A:$IV,16,FALSE)+VLOOKUP(A16,'[12]REM Calculation (w profit adj)'!$A:$IV,16,FALSE)</f>
        <v>58093.49350638</v>
      </c>
      <c r="Q16" s="18">
        <f t="shared" si="5"/>
        <v>12478.659256208666</v>
      </c>
      <c r="R16" s="18">
        <f t="shared" si="6"/>
        <v>724928910.46888685</v>
      </c>
      <c r="S16" s="20">
        <f>IFERROR(VLOOKUP(A16,RESCMAD!$1:$1048576,8,FALSE),0)</f>
        <v>0</v>
      </c>
      <c r="T16" s="19">
        <f>IF(C16=5,(S16*P16)*IME!$L$7,(S16*P16)*IME!$L$8)+VLOOKUP(A16,'[11]Rate Application - ICC Cycle I'!$A:$IV,20,FALSE)+VLOOKUP(A16,'[12]REM Calculation (w profit adj)'!$A:$IV,20,FALSE)</f>
        <v>0</v>
      </c>
      <c r="U16" s="19">
        <v>0</v>
      </c>
      <c r="V16" s="22">
        <f t="shared" si="7"/>
        <v>724928910.46888685</v>
      </c>
      <c r="W16" s="17">
        <f t="shared" si="8"/>
        <v>0</v>
      </c>
      <c r="X16" s="19">
        <f t="shared" si="10"/>
        <v>724928910.46888685</v>
      </c>
      <c r="Y16" s="15">
        <f t="shared" si="11"/>
        <v>12478.659256208666</v>
      </c>
    </row>
    <row r="17" spans="1:25" ht="18.75" customHeight="1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19">
        <f>IFERROR(VLOOKUP(A17,'Variable Input'!$1:$1048576,6,FALSE),0)+VLOOKUP(A17,'[11]Rate Application - ICC Cycle I'!$A:$IV,4,FALSE)+VLOOKUP(A17,'[12]REM Calculation (w profit adj)'!$A:$IV,4,FALSE)</f>
        <v>189912972.63272455</v>
      </c>
      <c r="E17" s="19">
        <f t="shared" si="0"/>
        <v>11536.423519440039</v>
      </c>
      <c r="F17" s="19">
        <f>IFERROR(VLOOKUP(A17,'Drug Overhead'!$1:$1048576,13,FALSE)*VLOOKUP(A17,Volume!A:K,11,FALSE),0)+VLOOKUP(A17,'[11]Rate Application - ICC Cycle I'!$A:$IV,6,FALSE)+VLOOKUP(A17,'[12]REM Calculation (w profit adj)'!$A:$IV,6,FALSE)</f>
        <v>4961534.3250953611</v>
      </c>
      <c r="G17" s="19">
        <f t="shared" si="1"/>
        <v>194874506.95781991</v>
      </c>
      <c r="H17" s="19">
        <f t="shared" si="9"/>
        <v>11837.81610198485</v>
      </c>
      <c r="I17" s="36">
        <f>VLOOKUP(A17,'Variable Input'!$1:$1048576,8,FALSE)</f>
        <v>1.1207568789217148</v>
      </c>
      <c r="J17" s="19">
        <f t="shared" si="2"/>
        <v>173877591.67296794</v>
      </c>
      <c r="K17" s="63">
        <f>J17*(1-VLOOKUP(A17,'PROFIT (18,19,22)'!$1:$1048576,7,FALSE))</f>
        <v>156498727.40308514</v>
      </c>
      <c r="L17" s="19">
        <f>IFERROR(VLOOKUP(A17,'Variable Input'!$1:$1048576,26,FALSE)*VLOOKUP(A17,Volume!A:K,11,FALSE),0)+VLOOKUP(A17,'[11]Rate Application - ICC Cycle I'!$A:$IV,12,FALSE)+VLOOKUP(A17,'[12]REM Calculation (w profit adj)'!$A:$IV,12,FALSE)</f>
        <v>0</v>
      </c>
      <c r="M17" s="22">
        <f t="shared" si="3"/>
        <v>156498727.40308514</v>
      </c>
      <c r="N17" s="36">
        <f>VLOOKUP(A17,'Variable Input'!$1:$1048576,23,FALSE)</f>
        <v>0.99671861092415948</v>
      </c>
      <c r="O17" s="22">
        <f t="shared" si="4"/>
        <v>157013951.26752898</v>
      </c>
      <c r="P17" s="27">
        <f>IFERROR(VLOOKUP(A17,'Variable Input'!$1:$1048576,7,FALSE),0)+VLOOKUP(A17,'[11]Rate Application - ICC Cycle I'!$A:$IV,16,FALSE)+VLOOKUP(A17,'[12]REM Calculation (w profit adj)'!$A:$IV,16,FALSE)</f>
        <v>16462.031955805196</v>
      </c>
      <c r="Q17" s="18">
        <f t="shared" si="5"/>
        <v>9537.9447500197166</v>
      </c>
      <c r="R17" s="18">
        <f t="shared" si="6"/>
        <v>157013951.26752898</v>
      </c>
      <c r="S17" s="20">
        <f>IFERROR(VLOOKUP(A17,RESCMAD!$1:$1048576,8,FALSE),0)</f>
        <v>0</v>
      </c>
      <c r="T17" s="19">
        <f>IF(C17=5,(S17*P17)*IME!$L$7,(S17*P17)*IME!$L$8)+VLOOKUP(A17,'[11]Rate Application - ICC Cycle I'!$A:$IV,20,FALSE)+VLOOKUP(A17,'[12]REM Calculation (w profit adj)'!$A:$IV,20,FALSE)</f>
        <v>0</v>
      </c>
      <c r="U17" s="19">
        <v>0</v>
      </c>
      <c r="V17" s="22">
        <f t="shared" si="7"/>
        <v>157013951.26752898</v>
      </c>
      <c r="W17" s="17">
        <f t="shared" si="8"/>
        <v>0</v>
      </c>
      <c r="X17" s="19">
        <f t="shared" si="10"/>
        <v>157013951.26752898</v>
      </c>
      <c r="Y17" s="15">
        <f t="shared" si="11"/>
        <v>9537.9447500197166</v>
      </c>
    </row>
    <row r="18" spans="1:25" ht="18.75" customHeight="1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19">
        <f>IFERROR(VLOOKUP(A18,'Variable Input'!$1:$1048576,6,FALSE),0)+VLOOKUP(A18,'[11]Rate Application - ICC Cycle I'!$A:$IV,4,FALSE)+VLOOKUP(A18,'[12]REM Calculation (w profit adj)'!$A:$IV,4,FALSE)</f>
        <v>518621877.86784309</v>
      </c>
      <c r="E18" s="19">
        <f t="shared" si="0"/>
        <v>15439.763163221874</v>
      </c>
      <c r="F18" s="19">
        <f>IFERROR(VLOOKUP(A18,'Drug Overhead'!$1:$1048576,13,FALSE)*VLOOKUP(A18,Volume!A:K,11,FALSE),0)+VLOOKUP(A18,'[11]Rate Application - ICC Cycle I'!$A:$IV,6,FALSE)+VLOOKUP(A18,'[12]REM Calculation (w profit adj)'!$A:$IV,6,FALSE)</f>
        <v>22313205.3798723</v>
      </c>
      <c r="G18" s="19">
        <f t="shared" si="1"/>
        <v>540935083.24771535</v>
      </c>
      <c r="H18" s="19">
        <f t="shared" si="9"/>
        <v>16104.044060691736</v>
      </c>
      <c r="I18" s="36">
        <f>VLOOKUP(A18,'Variable Input'!$1:$1048576,8,FALSE)</f>
        <v>1.1159266108518389</v>
      </c>
      <c r="J18" s="19">
        <f t="shared" si="2"/>
        <v>484740732.93654531</v>
      </c>
      <c r="K18" s="63">
        <f>J18*(1-VLOOKUP(A18,'PROFIT (18,19,22)'!$1:$1048576,7,FALSE))</f>
        <v>436659808.88435662</v>
      </c>
      <c r="L18" s="19">
        <f>IFERROR(VLOOKUP(A18,'Variable Input'!$1:$1048576,26,FALSE)*VLOOKUP(A18,Volume!A:K,11,FALSE),0)+VLOOKUP(A18,'[11]Rate Application - ICC Cycle I'!$A:$IV,12,FALSE)+VLOOKUP(A18,'[12]REM Calculation (w profit adj)'!$A:$IV,12,FALSE)</f>
        <v>0</v>
      </c>
      <c r="M18" s="22">
        <f t="shared" si="3"/>
        <v>436659808.88435662</v>
      </c>
      <c r="N18" s="36">
        <f>VLOOKUP(A18,'Variable Input'!$1:$1048576,23,FALSE)</f>
        <v>1.0181752931904677</v>
      </c>
      <c r="O18" s="22">
        <f t="shared" si="4"/>
        <v>428865060.66757572</v>
      </c>
      <c r="P18" s="27">
        <f>IFERROR(VLOOKUP(A18,'Variable Input'!$1:$1048576,7,FALSE),0)+VLOOKUP(A18,'[11]Rate Application - ICC Cycle I'!$A:$IV,16,FALSE)+VLOOKUP(A18,'[12]REM Calculation (w profit adj)'!$A:$IV,16,FALSE)</f>
        <v>33590.01510484441</v>
      </c>
      <c r="Q18" s="18">
        <f t="shared" si="5"/>
        <v>12767.635243061384</v>
      </c>
      <c r="R18" s="18">
        <f t="shared" si="6"/>
        <v>428865060.66757572</v>
      </c>
      <c r="S18" s="20">
        <f>IFERROR(VLOOKUP(A18,RESCMAD!$1:$1048576,8,FALSE),0)</f>
        <v>0</v>
      </c>
      <c r="T18" s="19">
        <f>IF(C18=5,(S18*P18)*IME!$L$7,(S18*P18)*IME!$L$8)+VLOOKUP(A18,'[11]Rate Application - ICC Cycle I'!$A:$IV,20,FALSE)+VLOOKUP(A18,'[12]REM Calculation (w profit adj)'!$A:$IV,20,FALSE)</f>
        <v>0</v>
      </c>
      <c r="U18" s="19">
        <v>0</v>
      </c>
      <c r="V18" s="22">
        <f t="shared" si="7"/>
        <v>428865060.66757572</v>
      </c>
      <c r="W18" s="17">
        <f t="shared" si="8"/>
        <v>0</v>
      </c>
      <c r="X18" s="19">
        <f t="shared" si="10"/>
        <v>428865060.66757572</v>
      </c>
      <c r="Y18" s="15">
        <f t="shared" si="11"/>
        <v>12767.635243061384</v>
      </c>
    </row>
    <row r="19" spans="1:25" ht="18.75" customHeight="1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19">
        <f>IFERROR(VLOOKUP(A19,'Variable Input'!$1:$1048576,6,FALSE),0)+VLOOKUP(A19,'[11]Rate Application - ICC Cycle I'!$A:$IV,4,FALSE)+VLOOKUP(A19,'[12]REM Calculation (w profit adj)'!$A:$IV,4,FALSE)</f>
        <v>1363647770.9255292</v>
      </c>
      <c r="E19" s="19">
        <f t="shared" si="0"/>
        <v>13212.129613828205</v>
      </c>
      <c r="F19" s="19">
        <f>IFERROR(VLOOKUP(A19,'Drug Overhead'!$1:$1048576,13,FALSE)*VLOOKUP(A19,Volume!A:K,11,FALSE),0)+VLOOKUP(A19,'[11]Rate Application - ICC Cycle I'!$A:$IV,6,FALSE)+VLOOKUP(A19,'[12]REM Calculation (w profit adj)'!$A:$IV,6,FALSE)</f>
        <v>31436768.009369068</v>
      </c>
      <c r="G19" s="19">
        <f t="shared" si="1"/>
        <v>1395084538.9348984</v>
      </c>
      <c r="H19" s="19">
        <f t="shared" si="9"/>
        <v>13516.714611827894</v>
      </c>
      <c r="I19" s="36">
        <f>VLOOKUP(A19,'Variable Input'!$1:$1048576,8,FALSE)</f>
        <v>1.1235285459397526</v>
      </c>
      <c r="J19" s="19">
        <f t="shared" si="2"/>
        <v>1241699237.6175082</v>
      </c>
      <c r="K19" s="63">
        <f>J19*(1-VLOOKUP(A19,'PROFIT (18,19,22)'!$1:$1048576,7,FALSE))</f>
        <v>1094429019.0604303</v>
      </c>
      <c r="L19" s="19">
        <f>IFERROR(VLOOKUP(A19,'Variable Input'!$1:$1048576,26,FALSE)*VLOOKUP(A19,Volume!A:K,11,FALSE),0)+VLOOKUP(A19,'[11]Rate Application - ICC Cycle I'!$A:$IV,12,FALSE)+VLOOKUP(A19,'[12]REM Calculation (w profit adj)'!$A:$IV,12,FALSE)</f>
        <v>7004216.9231013078</v>
      </c>
      <c r="M19" s="22">
        <f t="shared" si="3"/>
        <v>1087424802.1373289</v>
      </c>
      <c r="N19" s="36">
        <f>VLOOKUP(A19,'Variable Input'!$1:$1048576,23,FALSE)</f>
        <v>0.99671861092415948</v>
      </c>
      <c r="O19" s="22">
        <f t="shared" si="4"/>
        <v>1091004813.4137542</v>
      </c>
      <c r="P19" s="27">
        <f>IFERROR(VLOOKUP(A19,'Variable Input'!$1:$1048576,7,FALSE),0)+VLOOKUP(A19,'[11]Rate Application - ICC Cycle I'!$A:$IV,16,FALSE)+VLOOKUP(A19,'[12]REM Calculation (w profit adj)'!$A:$IV,16,FALSE)</f>
        <v>103211.80693673299</v>
      </c>
      <c r="Q19" s="18">
        <f t="shared" si="5"/>
        <v>10570.542710123473</v>
      </c>
      <c r="R19" s="18">
        <f t="shared" si="6"/>
        <v>1091004813.4137542</v>
      </c>
      <c r="S19" s="20">
        <f>IFERROR(VLOOKUP(A19,RESCMAD!$1:$1048576,8,FALSE),0)</f>
        <v>2.8109393220095488E-4</v>
      </c>
      <c r="T19" s="19">
        <f>IF(C19=5,(S19*P19)*IME!$L$7,(S19*P19)*IME!$L$8)+VLOOKUP(A19,'[11]Rate Application - ICC Cycle I'!$A:$IV,20,FALSE)+VLOOKUP(A19,'[12]REM Calculation (w profit adj)'!$A:$IV,20,FALSE)</f>
        <v>3652298.1283436008</v>
      </c>
      <c r="U19" s="19">
        <v>0</v>
      </c>
      <c r="V19" s="22">
        <f t="shared" si="7"/>
        <v>1087352515.2854106</v>
      </c>
      <c r="W19" s="17">
        <f t="shared" si="8"/>
        <v>-3.3476462096583282E-3</v>
      </c>
      <c r="X19" s="19">
        <f t="shared" si="10"/>
        <v>1087352515.2854106</v>
      </c>
      <c r="Y19" s="15">
        <f t="shared" si="11"/>
        <v>10535.156272885897</v>
      </c>
    </row>
    <row r="20" spans="1:25" ht="18.75" customHeight="1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19">
        <f>IFERROR(VLOOKUP(A20,'Variable Input'!$1:$1048576,6,FALSE),0)+VLOOKUP(A20,'[11]Rate Application - ICC Cycle I'!$A:$IV,4,FALSE)+VLOOKUP(A20,'[12]REM Calculation (w profit adj)'!$A:$IV,4,FALSE)</f>
        <v>1057035705.7126677</v>
      </c>
      <c r="E20" s="19">
        <f t="shared" si="0"/>
        <v>13945.558065547904</v>
      </c>
      <c r="F20" s="19">
        <f>IFERROR(VLOOKUP(A20,'Drug Overhead'!$1:$1048576,13,FALSE)*VLOOKUP(A20,Volume!A:K,11,FALSE),0)+VLOOKUP(A20,'[11]Rate Application - ICC Cycle I'!$A:$IV,6,FALSE)+VLOOKUP(A20,'[12]REM Calculation (w profit adj)'!$A:$IV,6,FALSE)</f>
        <v>3250947.513072534</v>
      </c>
      <c r="G20" s="19">
        <f t="shared" si="1"/>
        <v>1060286653.2257402</v>
      </c>
      <c r="H20" s="19">
        <f t="shared" si="9"/>
        <v>13988.448080583899</v>
      </c>
      <c r="I20" s="36">
        <f>VLOOKUP(A20,'Variable Input'!$1:$1048576,8,FALSE)</f>
        <v>1.106961162419857</v>
      </c>
      <c r="J20" s="19">
        <f t="shared" si="2"/>
        <v>957835459.11214745</v>
      </c>
      <c r="K20" s="63">
        <f>J20*(1-VLOOKUP(A20,'PROFIT (18,19,22)'!$1:$1048576,7,FALSE))</f>
        <v>877619737.16999221</v>
      </c>
      <c r="L20" s="19">
        <f>IFERROR(VLOOKUP(A20,'Variable Input'!$1:$1048576,26,FALSE)*VLOOKUP(A20,Volume!A:K,11,FALSE),0)+VLOOKUP(A20,'[11]Rate Application - ICC Cycle I'!$A:$IV,12,FALSE)+VLOOKUP(A20,'[12]REM Calculation (w profit adj)'!$A:$IV,12,FALSE)</f>
        <v>11924933.475615649</v>
      </c>
      <c r="M20" s="22">
        <f t="shared" si="3"/>
        <v>865694803.69437659</v>
      </c>
      <c r="N20" s="36">
        <f>VLOOKUP(A20,'Variable Input'!$1:$1048576,23,FALSE)</f>
        <v>1.0181752931904677</v>
      </c>
      <c r="O20" s="22">
        <f t="shared" si="4"/>
        <v>850241416.66383278</v>
      </c>
      <c r="P20" s="27">
        <f>IFERROR(VLOOKUP(A20,'Variable Input'!$1:$1048576,7,FALSE),0)+VLOOKUP(A20,'[11]Rate Application - ICC Cycle I'!$A:$IV,16,FALSE)+VLOOKUP(A20,'[12]REM Calculation (w profit adj)'!$A:$IV,16,FALSE)</f>
        <v>75797.30411248609</v>
      </c>
      <c r="Q20" s="18">
        <f t="shared" si="5"/>
        <v>11217.304185410632</v>
      </c>
      <c r="R20" s="18">
        <f t="shared" si="6"/>
        <v>850241416.66383278</v>
      </c>
      <c r="S20" s="20">
        <f>IFERROR(VLOOKUP(A20,RESCMAD!$1:$1048576,8,FALSE),0)</f>
        <v>1.6058397817026276E-4</v>
      </c>
      <c r="T20" s="19">
        <f>IF(C20=5,(S20*P20)*IME!$L$7,(S20*P20)*IME!$L$8)+VLOOKUP(A20,'[11]Rate Application - ICC Cycle I'!$A:$IV,20,FALSE)+VLOOKUP(A20,'[12]REM Calculation (w profit adj)'!$A:$IV,20,FALSE)</f>
        <v>2491360.8774466179</v>
      </c>
      <c r="U20" s="19">
        <v>0</v>
      </c>
      <c r="V20" s="22">
        <f t="shared" si="7"/>
        <v>847750055.78638613</v>
      </c>
      <c r="W20" s="17">
        <f t="shared" si="8"/>
        <v>-2.93018056826988E-3</v>
      </c>
      <c r="X20" s="19">
        <f t="shared" si="10"/>
        <v>847750055.78638613</v>
      </c>
      <c r="Y20" s="15">
        <f t="shared" si="11"/>
        <v>11184.43545865817</v>
      </c>
    </row>
    <row r="21" spans="1:25" ht="18.75" customHeight="1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19">
        <f>IFERROR(VLOOKUP(A21,'Variable Input'!$1:$1048576,6,FALSE),0)+VLOOKUP(A21,'[11]Rate Application - ICC Cycle I'!$A:$IV,4,FALSE)+VLOOKUP(A21,'[12]REM Calculation (w profit adj)'!$A:$IV,4,FALSE)</f>
        <v>1838305865.2187018</v>
      </c>
      <c r="E21" s="19">
        <f t="shared" si="0"/>
        <v>12625.361455377013</v>
      </c>
      <c r="F21" s="19">
        <f>IFERROR(VLOOKUP(A21,'Drug Overhead'!$1:$1048576,13,FALSE)*VLOOKUP(A21,Volume!A:K,11,FALSE),0)+VLOOKUP(A21,'[11]Rate Application - ICC Cycle I'!$A:$IV,6,FALSE)+VLOOKUP(A21,'[12]REM Calculation (w profit adj)'!$A:$IV,6,FALSE)</f>
        <v>63693876.492500432</v>
      </c>
      <c r="G21" s="19">
        <f t="shared" si="1"/>
        <v>1901999741.7112024</v>
      </c>
      <c r="H21" s="19">
        <f t="shared" si="9"/>
        <v>13062.80672954323</v>
      </c>
      <c r="I21" s="36">
        <f>VLOOKUP(A21,'Variable Input'!$1:$1048576,8,FALSE)</f>
        <v>1.1086069567461017</v>
      </c>
      <c r="J21" s="19">
        <f t="shared" si="2"/>
        <v>1715666431.7656877</v>
      </c>
      <c r="K21" s="63">
        <f>J21*(1-VLOOKUP(A21,'PROFIT (18,19,22)'!$1:$1048576,7,FALSE))</f>
        <v>1579502431.8549962</v>
      </c>
      <c r="L21" s="19">
        <f>IFERROR(VLOOKUP(A21,'Variable Input'!$1:$1048576,26,FALSE)*VLOOKUP(A21,Volume!A:K,11,FALSE),0)+VLOOKUP(A21,'[11]Rate Application - ICC Cycle I'!$A:$IV,12,FALSE)+VLOOKUP(A21,'[12]REM Calculation (w profit adj)'!$A:$IV,12,FALSE)</f>
        <v>6692185.3853537869</v>
      </c>
      <c r="M21" s="22">
        <f t="shared" si="3"/>
        <v>1572810246.4696424</v>
      </c>
      <c r="N21" s="36">
        <f>VLOOKUP(A21,'Variable Input'!$1:$1048576,23,FALSE)</f>
        <v>0.99671861092415948</v>
      </c>
      <c r="O21" s="22">
        <f t="shared" si="4"/>
        <v>1577988239.8416636</v>
      </c>
      <c r="P21" s="27">
        <f>IFERROR(VLOOKUP(A21,'Variable Input'!$1:$1048576,7,FALSE),0)+VLOOKUP(A21,'[11]Rate Application - ICC Cycle I'!$A:$IV,16,FALSE)+VLOOKUP(A21,'[12]REM Calculation (w profit adj)'!$A:$IV,16,FALSE)</f>
        <v>145604.2166963692</v>
      </c>
      <c r="Q21" s="18">
        <f t="shared" si="5"/>
        <v>10837.517454128871</v>
      </c>
      <c r="R21" s="18">
        <f t="shared" si="6"/>
        <v>1577988239.8416636</v>
      </c>
      <c r="S21" s="20">
        <f>IFERROR(VLOOKUP(A21,RESCMAD!$1:$1048576,8,FALSE),0)</f>
        <v>1.1527189246211215E-3</v>
      </c>
      <c r="T21" s="19">
        <f>IF(C21=5,(S21*P21)*IME!$L$7,(S21*P21)*IME!$L$8)+VLOOKUP(A21,'[11]Rate Application - ICC Cycle I'!$A:$IV,20,FALSE)+VLOOKUP(A21,'[12]REM Calculation (w profit adj)'!$A:$IV,20,FALSE)</f>
        <v>21129184.920756526</v>
      </c>
      <c r="U21" s="19">
        <v>0</v>
      </c>
      <c r="V21" s="22">
        <f t="shared" si="7"/>
        <v>1556859054.920907</v>
      </c>
      <c r="W21" s="17">
        <f t="shared" si="8"/>
        <v>-1.3389950816665608E-2</v>
      </c>
      <c r="X21" s="19">
        <f t="shared" si="10"/>
        <v>1556859054.920907</v>
      </c>
      <c r="Y21" s="15">
        <f t="shared" si="11"/>
        <v>10692.403628443331</v>
      </c>
    </row>
    <row r="22" spans="1:25" ht="18.75" customHeight="1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19">
        <f>IFERROR(VLOOKUP(A22,'Variable Input'!$1:$1048576,6,FALSE),0)+VLOOKUP(A22,'[11]Rate Application - ICC Cycle I'!$A:$IV,4,FALSE)+VLOOKUP(A22,'[12]REM Calculation (w profit adj)'!$A:$IV,4,FALSE)</f>
        <v>1326203310.5965068</v>
      </c>
      <c r="E22" s="19">
        <f t="shared" si="0"/>
        <v>16631.590626707359</v>
      </c>
      <c r="F22" s="19">
        <f>IFERROR(VLOOKUP(A22,'Drug Overhead'!$1:$1048576,13,FALSE)*VLOOKUP(A22,Volume!A:K,11,FALSE),0)+VLOOKUP(A22,'[11]Rate Application - ICC Cycle I'!$A:$IV,6,FALSE)+VLOOKUP(A22,'[12]REM Calculation (w profit adj)'!$A:$IV,6,FALSE)</f>
        <v>7838277.1806319784</v>
      </c>
      <c r="G22" s="19">
        <f t="shared" si="1"/>
        <v>1334041587.7771387</v>
      </c>
      <c r="H22" s="19">
        <f t="shared" si="9"/>
        <v>16729.888539437114</v>
      </c>
      <c r="I22" s="36">
        <f>VLOOKUP(A22,'Variable Input'!$1:$1048576,8,FALSE)</f>
        <v>1.1223202362274129</v>
      </c>
      <c r="J22" s="19">
        <f t="shared" si="2"/>
        <v>1188646114.286783</v>
      </c>
      <c r="K22" s="63">
        <f>J22*(1-VLOOKUP(A22,'PROFIT (18,19,22)'!$1:$1048576,7,FALSE))</f>
        <v>1104831162.6500368</v>
      </c>
      <c r="L22" s="19">
        <f>IFERROR(VLOOKUP(A22,'Variable Input'!$1:$1048576,26,FALSE)*VLOOKUP(A22,Volume!A:K,11,FALSE),0)+VLOOKUP(A22,'[11]Rate Application - ICC Cycle I'!$A:$IV,12,FALSE)+VLOOKUP(A22,'[12]REM Calculation (w profit adj)'!$A:$IV,12,FALSE)</f>
        <v>38504141.817720741</v>
      </c>
      <c r="M22" s="22">
        <f t="shared" si="3"/>
        <v>1066327020.832316</v>
      </c>
      <c r="N22" s="36">
        <f>VLOOKUP(A22,'Variable Input'!$1:$1048576,23,FALSE)</f>
        <v>0.99671861092415948</v>
      </c>
      <c r="O22" s="22">
        <f t="shared" si="4"/>
        <v>1069837574.1610919</v>
      </c>
      <c r="P22" s="27">
        <f>IFERROR(VLOOKUP(A22,'Variable Input'!$1:$1048576,7,FALSE),0)+VLOOKUP(A22,'[11]Rate Application - ICC Cycle I'!$A:$IV,16,FALSE)+VLOOKUP(A22,'[12]REM Calculation (w profit adj)'!$A:$IV,16,FALSE)</f>
        <v>79740.0164760466</v>
      </c>
      <c r="Q22" s="18">
        <f t="shared" si="5"/>
        <v>13416.570768861886</v>
      </c>
      <c r="R22" s="18">
        <f t="shared" si="6"/>
        <v>1069837574.1610919</v>
      </c>
      <c r="S22" s="20">
        <f>IFERROR(VLOOKUP(A22,RESCMAD!$1:$1048576,8,FALSE),0)</f>
        <v>3.2593483619453344E-3</v>
      </c>
      <c r="T22" s="19">
        <f>IF(C22=5,(S22*P22)*IME!$L$7,(S22*P22)*IME!$L$8)+VLOOKUP(A22,'[11]Rate Application - ICC Cycle I'!$A:$IV,20,FALSE)+VLOOKUP(A22,'[12]REM Calculation (w profit adj)'!$A:$IV,20,FALSE)</f>
        <v>51602165.879035398</v>
      </c>
      <c r="U22" s="19">
        <v>0</v>
      </c>
      <c r="V22" s="22">
        <f t="shared" si="7"/>
        <v>1018235408.2820566</v>
      </c>
      <c r="W22" s="17">
        <f t="shared" si="8"/>
        <v>-4.8233645111501078E-2</v>
      </c>
      <c r="X22" s="19">
        <f t="shared" si="10"/>
        <v>1018235408.2820566</v>
      </c>
      <c r="Y22" s="15">
        <f t="shared" si="11"/>
        <v>12769.440655783261</v>
      </c>
    </row>
    <row r="23" spans="1:25" ht="18.75" customHeight="1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19">
        <f>IFERROR(VLOOKUP(A23,'Variable Input'!$1:$1048576,6,FALSE),0)+VLOOKUP(A23,'[11]Rate Application - ICC Cycle I'!$A:$IV,4,FALSE)+VLOOKUP(A23,'[12]REM Calculation (w profit adj)'!$A:$IV,4,FALSE)</f>
        <v>930771077.91698265</v>
      </c>
      <c r="E23" s="19">
        <f t="shared" si="0"/>
        <v>13867.463778479767</v>
      </c>
      <c r="F23" s="19">
        <f>IFERROR(VLOOKUP(A23,'Drug Overhead'!$1:$1048576,13,FALSE)*VLOOKUP(A23,Volume!A:K,11,FALSE),0)+VLOOKUP(A23,'[11]Rate Application - ICC Cycle I'!$A:$IV,6,FALSE)+VLOOKUP(A23,'[12]REM Calculation (w profit adj)'!$A:$IV,6,FALSE)</f>
        <v>48156934.022527702</v>
      </c>
      <c r="G23" s="19">
        <f t="shared" si="1"/>
        <v>978928011.93951035</v>
      </c>
      <c r="H23" s="19">
        <f t="shared" si="9"/>
        <v>14584.949048579239</v>
      </c>
      <c r="I23" s="36">
        <f>VLOOKUP(A23,'Variable Input'!$1:$1048576,8,FALSE)</f>
        <v>1.1268001645719641</v>
      </c>
      <c r="J23" s="19">
        <f t="shared" si="2"/>
        <v>868768076.82343066</v>
      </c>
      <c r="K23" s="63">
        <f>J23*(1-VLOOKUP(A23,'PROFIT (18,19,22)'!$1:$1048576,7,FALSE))</f>
        <v>725322023.21909368</v>
      </c>
      <c r="L23" s="19">
        <f>IFERROR(VLOOKUP(A23,'Variable Input'!$1:$1048576,26,FALSE)*VLOOKUP(A23,Volume!A:K,11,FALSE),0)+VLOOKUP(A23,'[11]Rate Application - ICC Cycle I'!$A:$IV,12,FALSE)+VLOOKUP(A23,'[12]REM Calculation (w profit adj)'!$A:$IV,12,FALSE)</f>
        <v>5178064.7933736397</v>
      </c>
      <c r="M23" s="22">
        <f t="shared" si="3"/>
        <v>720143958.4257201</v>
      </c>
      <c r="N23" s="36">
        <f>VLOOKUP(A23,'Variable Input'!$1:$1048576,23,FALSE)</f>
        <v>0.99671861092415948</v>
      </c>
      <c r="O23" s="22">
        <f t="shared" si="4"/>
        <v>722514810.6324625</v>
      </c>
      <c r="P23" s="27">
        <f>IFERROR(VLOOKUP(A23,'Variable Input'!$1:$1048576,7,FALSE),0)+VLOOKUP(A23,'[11]Rate Application - ICC Cycle I'!$A:$IV,16,FALSE)+VLOOKUP(A23,'[12]REM Calculation (w profit adj)'!$A:$IV,16,FALSE)</f>
        <v>67119.055999367411</v>
      </c>
      <c r="Q23" s="18">
        <f t="shared" si="5"/>
        <v>10764.674798752714</v>
      </c>
      <c r="R23" s="18">
        <f t="shared" si="6"/>
        <v>722514810.6324625</v>
      </c>
      <c r="S23" s="20">
        <f>IFERROR(VLOOKUP(A23,RESCMAD!$1:$1048576,8,FALSE),0)</f>
        <v>0</v>
      </c>
      <c r="T23" s="19">
        <f>IF(C23=5,(S23*P23)*IME!$L$7,(S23*P23)*IME!$L$8)+VLOOKUP(A23,'[11]Rate Application - ICC Cycle I'!$A:$IV,20,FALSE)+VLOOKUP(A23,'[12]REM Calculation (w profit adj)'!$A:$IV,20,FALSE)</f>
        <v>0</v>
      </c>
      <c r="U23" s="19">
        <v>0</v>
      </c>
      <c r="V23" s="22">
        <f t="shared" si="7"/>
        <v>722514810.6324625</v>
      </c>
      <c r="W23" s="17">
        <f t="shared" si="8"/>
        <v>0</v>
      </c>
      <c r="X23" s="19">
        <f t="shared" si="10"/>
        <v>722514810.6324625</v>
      </c>
      <c r="Y23" s="15">
        <f t="shared" si="11"/>
        <v>10764.674798752714</v>
      </c>
    </row>
    <row r="24" spans="1:25" ht="18.75" customHeight="1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19">
        <f>IFERROR(VLOOKUP(A24,'Variable Input'!$1:$1048576,6,FALSE),0)+VLOOKUP(A24,'[11]Rate Application - ICC Cycle I'!$A:$IV,4,FALSE)+VLOOKUP(A24,'[12]REM Calculation (w profit adj)'!$A:$IV,4,FALSE)</f>
        <v>550152521.60876858</v>
      </c>
      <c r="E24" s="19">
        <f t="shared" si="0"/>
        <v>13309.424936156913</v>
      </c>
      <c r="F24" s="19">
        <f>IFERROR(VLOOKUP(A24,'Drug Overhead'!$1:$1048576,13,FALSE)*VLOOKUP(A24,Volume!A:K,11,FALSE),0)+VLOOKUP(A24,'[11]Rate Application - ICC Cycle I'!$A:$IV,6,FALSE)+VLOOKUP(A24,'[12]REM Calculation (w profit adj)'!$A:$IV,6,FALSE)</f>
        <v>18284034.554420851</v>
      </c>
      <c r="G24" s="19">
        <f t="shared" si="1"/>
        <v>568436556.16318941</v>
      </c>
      <c r="H24" s="19">
        <f t="shared" si="9"/>
        <v>13751.756791186048</v>
      </c>
      <c r="I24" s="36">
        <f>VLOOKUP(A24,'Variable Input'!$1:$1048576,8,FALSE)</f>
        <v>1.1136722213908725</v>
      </c>
      <c r="J24" s="19">
        <f t="shared" si="2"/>
        <v>510416391.14717728</v>
      </c>
      <c r="K24" s="63">
        <f>J24*(1-VLOOKUP(A24,'PROFIT (18,19,22)'!$1:$1048576,7,FALSE))</f>
        <v>436844485.8385092</v>
      </c>
      <c r="L24" s="19">
        <f>IFERROR(VLOOKUP(A24,'Variable Input'!$1:$1048576,26,FALSE)*VLOOKUP(A24,Volume!A:K,11,FALSE),0)+VLOOKUP(A24,'[11]Rate Application - ICC Cycle I'!$A:$IV,12,FALSE)+VLOOKUP(A24,'[12]REM Calculation (w profit adj)'!$A:$IV,12,FALSE)</f>
        <v>0</v>
      </c>
      <c r="M24" s="22">
        <f t="shared" si="3"/>
        <v>436844485.8385092</v>
      </c>
      <c r="N24" s="36">
        <f>VLOOKUP(A24,'Variable Input'!$1:$1048576,23,FALSE)</f>
        <v>0.99671861092415948</v>
      </c>
      <c r="O24" s="22">
        <f t="shared" si="4"/>
        <v>438282661.77699453</v>
      </c>
      <c r="P24" s="27">
        <f>IFERROR(VLOOKUP(A24,'Variable Input'!$1:$1048576,7,FALSE),0)+VLOOKUP(A24,'[11]Rate Application - ICC Cycle I'!$A:$IV,16,FALSE)+VLOOKUP(A24,'[12]REM Calculation (w profit adj)'!$A:$IV,16,FALSE)</f>
        <v>41335.559143070292</v>
      </c>
      <c r="Q24" s="18">
        <f t="shared" si="5"/>
        <v>10603.041808628117</v>
      </c>
      <c r="R24" s="18">
        <f t="shared" si="6"/>
        <v>438282661.77699453</v>
      </c>
      <c r="S24" s="20">
        <f>IFERROR(VLOOKUP(A24,RESCMAD!$1:$1048576,8,FALSE),0)</f>
        <v>0</v>
      </c>
      <c r="T24" s="19">
        <f>IF(C24=5,(S24*P24)*IME!$L$7,(S24*P24)*IME!$L$8)+VLOOKUP(A24,'[11]Rate Application - ICC Cycle I'!$A:$IV,20,FALSE)+VLOOKUP(A24,'[12]REM Calculation (w profit adj)'!$A:$IV,20,FALSE)</f>
        <v>0</v>
      </c>
      <c r="U24" s="19">
        <v>0</v>
      </c>
      <c r="V24" s="22">
        <f t="shared" si="7"/>
        <v>438282661.77699453</v>
      </c>
      <c r="W24" s="17">
        <f t="shared" si="8"/>
        <v>0</v>
      </c>
      <c r="X24" s="19">
        <f t="shared" si="10"/>
        <v>438282661.77699453</v>
      </c>
      <c r="Y24" s="15">
        <f t="shared" si="11"/>
        <v>10603.041808628117</v>
      </c>
    </row>
    <row r="25" spans="1:25" ht="18.75" customHeight="1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19">
        <f>IFERROR(VLOOKUP(A25,'Variable Input'!$1:$1048576,6,FALSE),0)+VLOOKUP(A25,'[11]Rate Application - ICC Cycle I'!$A:$IV,4,FALSE)+VLOOKUP(A25,'[12]REM Calculation (w profit adj)'!$A:$IV,4,FALSE)</f>
        <v>1910632810.5711179</v>
      </c>
      <c r="E25" s="19">
        <f t="shared" si="0"/>
        <v>17159.918067348026</v>
      </c>
      <c r="F25" s="19">
        <f>IFERROR(VLOOKUP(A25,'Drug Overhead'!$1:$1048576,13,FALSE)*VLOOKUP(A25,Volume!A:K,11,FALSE),0)+VLOOKUP(A25,'[11]Rate Application - ICC Cycle I'!$A:$IV,6,FALSE)+VLOOKUP(A25,'[12]REM Calculation (w profit adj)'!$A:$IV,6,FALSE)</f>
        <v>69721216.415867433</v>
      </c>
      <c r="G25" s="19">
        <f t="shared" si="1"/>
        <v>1980354026.9869852</v>
      </c>
      <c r="H25" s="19">
        <f t="shared" si="9"/>
        <v>17786.103462381881</v>
      </c>
      <c r="I25" s="36">
        <f>VLOOKUP(A25,'Variable Input'!$1:$1048576,8,FALSE)</f>
        <v>1.1160480491569686</v>
      </c>
      <c r="J25" s="19">
        <f t="shared" si="2"/>
        <v>1774434378.9524913</v>
      </c>
      <c r="K25" s="63">
        <f>J25*(1-VLOOKUP(A25,'PROFIT (18,19,22)'!$1:$1048576,7,FALSE))</f>
        <v>1777439686.700932</v>
      </c>
      <c r="L25" s="19">
        <f>IFERROR(VLOOKUP(A25,'Variable Input'!$1:$1048576,26,FALSE)*VLOOKUP(A25,Volume!A:K,11,FALSE),0)+VLOOKUP(A25,'[11]Rate Application - ICC Cycle I'!$A:$IV,12,FALSE)+VLOOKUP(A25,'[12]REM Calculation (w profit adj)'!$A:$IV,12,FALSE)</f>
        <v>72078269.463906452</v>
      </c>
      <c r="M25" s="22">
        <f t="shared" si="3"/>
        <v>1705361417.2370255</v>
      </c>
      <c r="N25" s="36">
        <f>VLOOKUP(A25,'Variable Input'!$1:$1048576,23,FALSE)</f>
        <v>0.99671861092415948</v>
      </c>
      <c r="O25" s="22">
        <f t="shared" si="4"/>
        <v>1710975794.5181851</v>
      </c>
      <c r="P25" s="27">
        <f>IFERROR(VLOOKUP(A25,'Variable Input'!$1:$1048576,7,FALSE),0)+VLOOKUP(A25,'[11]Rate Application - ICC Cycle I'!$A:$IV,16,FALSE)+VLOOKUP(A25,'[12]REM Calculation (w profit adj)'!$A:$IV,16,FALSE)</f>
        <v>111342.76999880781</v>
      </c>
      <c r="Q25" s="18">
        <f t="shared" si="5"/>
        <v>15366.743566165142</v>
      </c>
      <c r="R25" s="18">
        <f t="shared" si="6"/>
        <v>1710975794.5181851</v>
      </c>
      <c r="S25" s="20">
        <f>IFERROR(VLOOKUP(A25,RESCMAD!$1:$1048576,8,FALSE),0)</f>
        <v>3.9704286039970822E-3</v>
      </c>
      <c r="T25" s="19">
        <f>IF(C25=5,(S25*P25)*IME!$L$7,(S25*P25)*IME!$L$8)+VLOOKUP(A25,'[11]Rate Application - ICC Cycle I'!$A:$IV,20,FALSE)+VLOOKUP(A25,'[12]REM Calculation (w profit adj)'!$A:$IV,20,FALSE)</f>
        <v>89599090.114636704</v>
      </c>
      <c r="U25" s="19">
        <v>0</v>
      </c>
      <c r="V25" s="22">
        <f t="shared" si="7"/>
        <v>1621376704.4035485</v>
      </c>
      <c r="W25" s="17">
        <f t="shared" si="8"/>
        <v>-5.2367245873205293E-2</v>
      </c>
      <c r="X25" s="19">
        <f t="shared" si="10"/>
        <v>1621376704.4035485</v>
      </c>
      <c r="Y25" s="15">
        <f t="shared" si="11"/>
        <v>14562.029527565275</v>
      </c>
    </row>
    <row r="26" spans="1:25" ht="18.75" customHeight="1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19">
        <f>IFERROR(VLOOKUP(A26,'Variable Input'!$1:$1048576,6,FALSE),0)+VLOOKUP(A26,'[11]Rate Application - ICC Cycle I'!$A:$IV,4,FALSE)+VLOOKUP(A26,'[12]REM Calculation (w profit adj)'!$A:$IV,4,FALSE)</f>
        <v>153378219.55978748</v>
      </c>
      <c r="E26" s="19">
        <f t="shared" si="0"/>
        <v>18698.859687839966</v>
      </c>
      <c r="F26" s="19">
        <f>IFERROR(VLOOKUP(A26,'Drug Overhead'!$1:$1048576,13,FALSE)*VLOOKUP(A26,Volume!A:K,11,FALSE),0)+VLOOKUP(A26,'[11]Rate Application - ICC Cycle I'!$A:$IV,6,FALSE)+VLOOKUP(A26,'[12]REM Calculation (w profit adj)'!$A:$IV,6,FALSE)</f>
        <v>5062876.8265105728</v>
      </c>
      <c r="G26" s="19">
        <f t="shared" si="1"/>
        <v>158441096.38629806</v>
      </c>
      <c r="H26" s="19">
        <f t="shared" si="9"/>
        <v>19316.092197562997</v>
      </c>
      <c r="I26" s="36">
        <f>VLOOKUP(A26,'Variable Input'!$1:$1048576,8,FALSE)</f>
        <v>1.1237498376689119</v>
      </c>
      <c r="J26" s="19">
        <f t="shared" si="2"/>
        <v>140993209.5874342</v>
      </c>
      <c r="K26" s="63">
        <f>J26*(1-VLOOKUP(A26,'PROFIT (18,19,22)'!$1:$1048576,7,FALSE))</f>
        <v>116762018.99256606</v>
      </c>
      <c r="L26" s="19">
        <f>IFERROR(VLOOKUP(A26,'Variable Input'!$1:$1048576,26,FALSE)*VLOOKUP(A26,Volume!A:K,11,FALSE),0)+VLOOKUP(A26,'[11]Rate Application - ICC Cycle I'!$A:$IV,12,FALSE)+VLOOKUP(A26,'[12]REM Calculation (w profit adj)'!$A:$IV,12,FALSE)</f>
        <v>208535.14400062207</v>
      </c>
      <c r="M26" s="22">
        <f t="shared" si="3"/>
        <v>116553483.84856544</v>
      </c>
      <c r="N26" s="36">
        <f>VLOOKUP(A26,'Variable Input'!$1:$1048576,23,FALSE)</f>
        <v>0.99671861092415948</v>
      </c>
      <c r="O26" s="22">
        <f t="shared" si="4"/>
        <v>116937200.30018987</v>
      </c>
      <c r="P26" s="27">
        <f>IFERROR(VLOOKUP(A26,'Variable Input'!$1:$1048576,7,FALSE),0)+VLOOKUP(A26,'[11]Rate Application - ICC Cycle I'!$A:$IV,16,FALSE)+VLOOKUP(A26,'[12]REM Calculation (w profit adj)'!$A:$IV,16,FALSE)</f>
        <v>8202.5440117896978</v>
      </c>
      <c r="Q26" s="18">
        <f t="shared" si="5"/>
        <v>14256.211259837612</v>
      </c>
      <c r="R26" s="18">
        <f t="shared" si="6"/>
        <v>116937200.30018987</v>
      </c>
      <c r="S26" s="20">
        <f>IFERROR(VLOOKUP(A26,RESCMAD!$1:$1048576,8,FALSE),0)</f>
        <v>0</v>
      </c>
      <c r="T26" s="19">
        <f>IF(C26=5,(S26*P26)*IME!$L$7,(S26*P26)*IME!$L$8)+VLOOKUP(A26,'[11]Rate Application - ICC Cycle I'!$A:$IV,20,FALSE)+VLOOKUP(A26,'[12]REM Calculation (w profit adj)'!$A:$IV,20,FALSE)</f>
        <v>0</v>
      </c>
      <c r="U26" s="19">
        <v>0</v>
      </c>
      <c r="V26" s="22">
        <f t="shared" si="7"/>
        <v>116937200.30018987</v>
      </c>
      <c r="W26" s="17">
        <f t="shared" si="8"/>
        <v>0</v>
      </c>
      <c r="X26" s="19">
        <f t="shared" si="10"/>
        <v>116937200.30018987</v>
      </c>
      <c r="Y26" s="15">
        <f t="shared" si="11"/>
        <v>14256.211259837612</v>
      </c>
    </row>
    <row r="27" spans="1:25" ht="18.75" customHeight="1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19">
        <f>IFERROR(VLOOKUP(A27,'Variable Input'!$1:$1048576,6,FALSE),0)+VLOOKUP(A27,'[11]Rate Application - ICC Cycle I'!$A:$IV,4,FALSE)+VLOOKUP(A27,'[12]REM Calculation (w profit adj)'!$A:$IV,4,FALSE)</f>
        <v>492724702.55071855</v>
      </c>
      <c r="E27" s="19">
        <f t="shared" si="0"/>
        <v>16046.832330904965</v>
      </c>
      <c r="F27" s="19">
        <f>IFERROR(VLOOKUP(A27,'Drug Overhead'!$1:$1048576,13,FALSE)*VLOOKUP(A27,Volume!A:K,11,FALSE),0)+VLOOKUP(A27,'[11]Rate Application - ICC Cycle I'!$A:$IV,6,FALSE)+VLOOKUP(A27,'[12]REM Calculation (w profit adj)'!$A:$IV,6,FALSE)</f>
        <v>16547646.729259277</v>
      </c>
      <c r="G27" s="19">
        <f t="shared" si="1"/>
        <v>509272349.2799778</v>
      </c>
      <c r="H27" s="19">
        <f t="shared" si="9"/>
        <v>16585.748506937642</v>
      </c>
      <c r="I27" s="36">
        <f>VLOOKUP(A27,'Variable Input'!$1:$1048576,8,FALSE)</f>
        <v>1.1182795268578634</v>
      </c>
      <c r="J27" s="19">
        <f t="shared" si="2"/>
        <v>455407022.16996574</v>
      </c>
      <c r="K27" s="63">
        <f>J27*(1-VLOOKUP(A27,'PROFIT (18,19,22)'!$1:$1048576,7,FALSE))</f>
        <v>442149594.20637864</v>
      </c>
      <c r="L27" s="19">
        <f>IFERROR(VLOOKUP(A27,'Variable Input'!$1:$1048576,26,FALSE)*VLOOKUP(A27,Volume!A:K,11,FALSE),0)+VLOOKUP(A27,'[11]Rate Application - ICC Cycle I'!$A:$IV,12,FALSE)+VLOOKUP(A27,'[12]REM Calculation (w profit adj)'!$A:$IV,12,FALSE)</f>
        <v>0</v>
      </c>
      <c r="M27" s="22">
        <f t="shared" si="3"/>
        <v>442149594.20637864</v>
      </c>
      <c r="N27" s="36">
        <f>VLOOKUP(A27,'Variable Input'!$1:$1048576,23,FALSE)</f>
        <v>0.99671861092415948</v>
      </c>
      <c r="O27" s="22">
        <f t="shared" si="4"/>
        <v>443605235.58039784</v>
      </c>
      <c r="P27" s="27">
        <f>IFERROR(VLOOKUP(A27,'Variable Input'!$1:$1048576,7,FALSE),0)+VLOOKUP(A27,'[11]Rate Application - ICC Cycle I'!$A:$IV,16,FALSE)+VLOOKUP(A27,'[12]REM Calculation (w profit adj)'!$A:$IV,16,FALSE)</f>
        <v>30705.418514392317</v>
      </c>
      <c r="Q27" s="18">
        <f t="shared" si="5"/>
        <v>14447.132038681386</v>
      </c>
      <c r="R27" s="18">
        <f t="shared" si="6"/>
        <v>443605235.58039784</v>
      </c>
      <c r="S27" s="20">
        <f>IFERROR(VLOOKUP(A27,RESCMAD!$1:$1048576,8,FALSE),0)</f>
        <v>0</v>
      </c>
      <c r="T27" s="19">
        <f>IF(C27=5,(S27*P27)*IME!$L$7,(S27*P27)*IME!$L$8)+VLOOKUP(A27,'[11]Rate Application - ICC Cycle I'!$A:$IV,20,FALSE)+VLOOKUP(A27,'[12]REM Calculation (w profit adj)'!$A:$IV,20,FALSE)</f>
        <v>0</v>
      </c>
      <c r="U27" s="19">
        <v>0</v>
      </c>
      <c r="V27" s="22">
        <f t="shared" si="7"/>
        <v>443605235.58039784</v>
      </c>
      <c r="W27" s="17">
        <f t="shared" si="8"/>
        <v>0</v>
      </c>
      <c r="X27" s="19">
        <f t="shared" si="10"/>
        <v>443605235.58039784</v>
      </c>
      <c r="Y27" s="15">
        <f t="shared" si="11"/>
        <v>14447.132038681386</v>
      </c>
    </row>
    <row r="28" spans="1:25" ht="18.75" customHeight="1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19">
        <f>IFERROR(VLOOKUP(A28,'Variable Input'!$1:$1048576,6,FALSE),0)+VLOOKUP(A28,'[11]Rate Application - ICC Cycle I'!$A:$IV,4,FALSE)+VLOOKUP(A28,'[12]REM Calculation (w profit adj)'!$A:$IV,4,FALSE)</f>
        <v>733525210.24445343</v>
      </c>
      <c r="E28" s="19">
        <f t="shared" si="0"/>
        <v>15239.787677647608</v>
      </c>
      <c r="F28" s="19">
        <f>IFERROR(VLOOKUP(A28,'Drug Overhead'!$1:$1048576,13,FALSE)*VLOOKUP(A28,Volume!A:K,11,FALSE),0)+VLOOKUP(A28,'[11]Rate Application - ICC Cycle I'!$A:$IV,6,FALSE)+VLOOKUP(A28,'[12]REM Calculation (w profit adj)'!$A:$IV,6,FALSE)</f>
        <v>121586.81571872813</v>
      </c>
      <c r="G28" s="19">
        <f t="shared" si="1"/>
        <v>733646797.0601722</v>
      </c>
      <c r="H28" s="19">
        <f t="shared" si="9"/>
        <v>15242.313776587464</v>
      </c>
      <c r="I28" s="36">
        <f>VLOOKUP(A28,'Variable Input'!$1:$1048576,8,FALSE)</f>
        <v>1.1165021686409196</v>
      </c>
      <c r="J28" s="19">
        <f t="shared" si="2"/>
        <v>657093929.29636288</v>
      </c>
      <c r="K28" s="63">
        <f>J28*(1-VLOOKUP(A28,'PROFIT (18,19,22)'!$1:$1048576,7,FALSE))</f>
        <v>576324740.64795601</v>
      </c>
      <c r="L28" s="19">
        <f>IFERROR(VLOOKUP(A28,'Variable Input'!$1:$1048576,26,FALSE)*VLOOKUP(A28,Volume!A:K,11,FALSE),0)+VLOOKUP(A28,'[11]Rate Application - ICC Cycle I'!$A:$IV,12,FALSE)+VLOOKUP(A28,'[12]REM Calculation (w profit adj)'!$A:$IV,12,FALSE)</f>
        <v>0</v>
      </c>
      <c r="M28" s="22">
        <f t="shared" si="3"/>
        <v>576324740.64795601</v>
      </c>
      <c r="N28" s="36">
        <f>VLOOKUP(A28,'Variable Input'!$1:$1048576,23,FALSE)</f>
        <v>0.99671861092415948</v>
      </c>
      <c r="O28" s="22">
        <f t="shared" si="4"/>
        <v>578222112.37089932</v>
      </c>
      <c r="P28" s="27">
        <f>IFERROR(VLOOKUP(A28,'Variable Input'!$1:$1048576,7,FALSE),0)+VLOOKUP(A28,'[11]Rate Application - ICC Cycle I'!$A:$IV,16,FALSE)+VLOOKUP(A28,'[12]REM Calculation (w profit adj)'!$A:$IV,16,FALSE)</f>
        <v>48132.246049616835</v>
      </c>
      <c r="Q28" s="18">
        <f t="shared" si="5"/>
        <v>12013.19613829869</v>
      </c>
      <c r="R28" s="18">
        <f t="shared" si="6"/>
        <v>578222112.37089932</v>
      </c>
      <c r="S28" s="20">
        <f>IFERROR(VLOOKUP(A28,RESCMAD!$1:$1048576,8,FALSE),0)</f>
        <v>0</v>
      </c>
      <c r="T28" s="19">
        <f>IF(C28=5,(S28*P28)*IME!$L$7,(S28*P28)*IME!$L$8)+VLOOKUP(A28,'[11]Rate Application - ICC Cycle I'!$A:$IV,20,FALSE)+VLOOKUP(A28,'[12]REM Calculation (w profit adj)'!$A:$IV,20,FALSE)</f>
        <v>0</v>
      </c>
      <c r="U28" s="19">
        <v>0</v>
      </c>
      <c r="V28" s="22">
        <f t="shared" si="7"/>
        <v>578222112.37089932</v>
      </c>
      <c r="W28" s="17">
        <f t="shared" si="8"/>
        <v>0</v>
      </c>
      <c r="X28" s="19">
        <f t="shared" si="10"/>
        <v>578222112.37089932</v>
      </c>
      <c r="Y28" s="15">
        <f t="shared" si="11"/>
        <v>12013.19613829869</v>
      </c>
    </row>
    <row r="29" spans="1:25" ht="18.75" customHeight="1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19">
        <f>IFERROR(VLOOKUP(A29,'Variable Input'!$1:$1048576,6,FALSE),0)+VLOOKUP(A29,'[11]Rate Application - ICC Cycle I'!$A:$IV,4,FALSE)+VLOOKUP(A29,'[12]REM Calculation (w profit adj)'!$A:$IV,4,FALSE)</f>
        <v>579874112.8371166</v>
      </c>
      <c r="E29" s="19">
        <f t="shared" si="0"/>
        <v>16869.190282890755</v>
      </c>
      <c r="F29" s="19">
        <f>IFERROR(VLOOKUP(A29,'Drug Overhead'!$1:$1048576,13,FALSE)*VLOOKUP(A29,Volume!A:K,11,FALSE),0)+VLOOKUP(A29,'[11]Rate Application - ICC Cycle I'!$A:$IV,6,FALSE)+VLOOKUP(A29,'[12]REM Calculation (w profit adj)'!$A:$IV,6,FALSE)</f>
        <v>4199265.8196634771</v>
      </c>
      <c r="G29" s="19">
        <f t="shared" si="1"/>
        <v>584073378.65678012</v>
      </c>
      <c r="H29" s="19">
        <f t="shared" si="9"/>
        <v>16991.351649629058</v>
      </c>
      <c r="I29" s="36">
        <f>VLOOKUP(A29,'Variable Input'!$1:$1048576,8,FALSE)</f>
        <v>1.1252449607173489</v>
      </c>
      <c r="J29" s="19">
        <f t="shared" si="2"/>
        <v>519063314.25330764</v>
      </c>
      <c r="K29" s="63">
        <f>J29*(1-VLOOKUP(A29,'PROFIT (18,19,22)'!$1:$1048576,7,FALSE))</f>
        <v>467215373.03335357</v>
      </c>
      <c r="L29" s="19">
        <f>IFERROR(VLOOKUP(A29,'Variable Input'!$1:$1048576,26,FALSE)*VLOOKUP(A29,Volume!A:K,11,FALSE),0)+VLOOKUP(A29,'[11]Rate Application - ICC Cycle I'!$A:$IV,12,FALSE)+VLOOKUP(A29,'[12]REM Calculation (w profit adj)'!$A:$IV,12,FALSE)</f>
        <v>11788839.388229972</v>
      </c>
      <c r="M29" s="22">
        <f t="shared" si="3"/>
        <v>455426533.6451236</v>
      </c>
      <c r="N29" s="36">
        <f>VLOOKUP(A29,'Variable Input'!$1:$1048576,23,FALSE)</f>
        <v>0.99671861092415948</v>
      </c>
      <c r="O29" s="22">
        <f t="shared" si="4"/>
        <v>456925885.25346309</v>
      </c>
      <c r="P29" s="27">
        <f>IFERROR(VLOOKUP(A29,'Variable Input'!$1:$1048576,7,FALSE),0)+VLOOKUP(A29,'[11]Rate Application - ICC Cycle I'!$A:$IV,16,FALSE)+VLOOKUP(A29,'[12]REM Calculation (w profit adj)'!$A:$IV,16,FALSE)</f>
        <v>34374.744911452122</v>
      </c>
      <c r="Q29" s="18">
        <f t="shared" si="5"/>
        <v>13292.488029525301</v>
      </c>
      <c r="R29" s="18">
        <f t="shared" si="6"/>
        <v>456925885.25346309</v>
      </c>
      <c r="S29" s="20">
        <f>IFERROR(VLOOKUP(A29,RESCMAD!$1:$1048576,8,FALSE),0)</f>
        <v>1.6630799529427725E-3</v>
      </c>
      <c r="T29" s="19">
        <f>IF(C29=5,(S29*P29)*IME!$L$7,(S29*P29)*IME!$L$8)+VLOOKUP(A29,'[11]Rate Application - ICC Cycle I'!$A:$IV,20,FALSE)+VLOOKUP(A29,'[12]REM Calculation (w profit adj)'!$A:$IV,20,FALSE)</f>
        <v>16782927.227169842</v>
      </c>
      <c r="U29" s="19">
        <v>0</v>
      </c>
      <c r="V29" s="22">
        <f t="shared" si="7"/>
        <v>440142958.02629328</v>
      </c>
      <c r="W29" s="17">
        <f t="shared" si="8"/>
        <v>-3.6730086363700121E-2</v>
      </c>
      <c r="X29" s="19">
        <f t="shared" si="10"/>
        <v>440142958.02629328</v>
      </c>
      <c r="Y29" s="15">
        <f t="shared" si="11"/>
        <v>12804.253796212388</v>
      </c>
    </row>
    <row r="30" spans="1:25" ht="18.75" customHeight="1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19">
        <f>IFERROR(VLOOKUP(A30,'Variable Input'!$1:$1048576,6,FALSE),0)+VLOOKUP(A30,'[11]Rate Application - ICC Cycle I'!$A:$IV,4,FALSE)+VLOOKUP(A30,'[12]REM Calculation (w profit adj)'!$A:$IV,4,FALSE)</f>
        <v>482261608.98733664</v>
      </c>
      <c r="E30" s="19">
        <f t="shared" si="0"/>
        <v>13777.442053439016</v>
      </c>
      <c r="F30" s="19">
        <f>IFERROR(VLOOKUP(A30,'Drug Overhead'!$1:$1048576,13,FALSE)*VLOOKUP(A30,Volume!A:K,11,FALSE),0)+VLOOKUP(A30,'[11]Rate Application - ICC Cycle I'!$A:$IV,6,FALSE)+VLOOKUP(A30,'[12]REM Calculation (w profit adj)'!$A:$IV,6,FALSE)</f>
        <v>5057480.6277705971</v>
      </c>
      <c r="G30" s="19">
        <f t="shared" si="1"/>
        <v>487319089.61510724</v>
      </c>
      <c r="H30" s="19">
        <f t="shared" si="9"/>
        <v>13921.926177795945</v>
      </c>
      <c r="I30" s="36">
        <f>VLOOKUP(A30,'Variable Input'!$1:$1048576,8,FALSE)</f>
        <v>1.1148847928711076</v>
      </c>
      <c r="J30" s="19">
        <f t="shared" si="2"/>
        <v>437102643.00954229</v>
      </c>
      <c r="K30" s="63">
        <f>J30*(1-VLOOKUP(A30,'PROFIT (18,19,22)'!$1:$1048576,7,FALSE))</f>
        <v>390068551.84027326</v>
      </c>
      <c r="L30" s="19">
        <f>IFERROR(VLOOKUP(A30,'Variable Input'!$1:$1048576,26,FALSE)*VLOOKUP(A30,Volume!A:K,11,FALSE),0)+VLOOKUP(A30,'[11]Rate Application - ICC Cycle I'!$A:$IV,12,FALSE)+VLOOKUP(A30,'[12]REM Calculation (w profit adj)'!$A:$IV,12,FALSE)</f>
        <v>0</v>
      </c>
      <c r="M30" s="22">
        <f t="shared" si="3"/>
        <v>390068551.84027326</v>
      </c>
      <c r="N30" s="36">
        <f>VLOOKUP(A30,'Variable Input'!$1:$1048576,23,FALSE)</f>
        <v>0.99671861092415948</v>
      </c>
      <c r="O30" s="22">
        <f t="shared" si="4"/>
        <v>391352732.42124069</v>
      </c>
      <c r="P30" s="27">
        <f>IFERROR(VLOOKUP(A30,'Variable Input'!$1:$1048576,7,FALSE),0)+VLOOKUP(A30,'[11]Rate Application - ICC Cycle I'!$A:$IV,16,FALSE)+VLOOKUP(A30,'[12]REM Calculation (w profit adj)'!$A:$IV,16,FALSE)</f>
        <v>35003.71165538369</v>
      </c>
      <c r="Q30" s="18">
        <f t="shared" si="5"/>
        <v>11180.320997789082</v>
      </c>
      <c r="R30" s="18">
        <f t="shared" si="6"/>
        <v>391352732.42124069</v>
      </c>
      <c r="S30" s="20">
        <f>IFERROR(VLOOKUP(A30,RESCMAD!$1:$1048576,8,FALSE),0)</f>
        <v>0</v>
      </c>
      <c r="T30" s="19">
        <f>IF(C30=5,(S30*P30)*IME!$L$7,(S30*P30)*IME!$L$8)+VLOOKUP(A30,'[11]Rate Application - ICC Cycle I'!$A:$IV,20,FALSE)+VLOOKUP(A30,'[12]REM Calculation (w profit adj)'!$A:$IV,20,FALSE)</f>
        <v>0</v>
      </c>
      <c r="U30" s="19">
        <v>0</v>
      </c>
      <c r="V30" s="22">
        <f t="shared" si="7"/>
        <v>391352732.42124069</v>
      </c>
      <c r="W30" s="17">
        <f t="shared" si="8"/>
        <v>0</v>
      </c>
      <c r="X30" s="19">
        <f t="shared" si="10"/>
        <v>391352732.42124069</v>
      </c>
      <c r="Y30" s="15">
        <f t="shared" si="11"/>
        <v>11180.320997789082</v>
      </c>
    </row>
    <row r="31" spans="1:25" ht="18.75" customHeight="1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19">
        <f>IFERROR(VLOOKUP(A31,'Variable Input'!$1:$1048576,6,FALSE),0)+VLOOKUP(A31,'[11]Rate Application - ICC Cycle I'!$A:$IV,4,FALSE)+VLOOKUP(A31,'[12]REM Calculation (w profit adj)'!$A:$IV,4,FALSE)</f>
        <v>657534529.05030572</v>
      </c>
      <c r="E31" s="19">
        <f t="shared" si="0"/>
        <v>15766.284556743378</v>
      </c>
      <c r="F31" s="19">
        <f>IFERROR(VLOOKUP(A31,'Drug Overhead'!$1:$1048576,13,FALSE)*VLOOKUP(A31,Volume!A:K,11,FALSE),0)+VLOOKUP(A31,'[11]Rate Application - ICC Cycle I'!$A:$IV,6,FALSE)+VLOOKUP(A31,'[12]REM Calculation (w profit adj)'!$A:$IV,6,FALSE)</f>
        <v>27068998.406596635</v>
      </c>
      <c r="G31" s="19">
        <f t="shared" si="1"/>
        <v>684603527.45690238</v>
      </c>
      <c r="H31" s="19">
        <f t="shared" si="9"/>
        <v>16415.341773800621</v>
      </c>
      <c r="I31" s="36">
        <f>VLOOKUP(A31,'Variable Input'!$1:$1048576,8,FALSE)</f>
        <v>1.1240965147015685</v>
      </c>
      <c r="J31" s="19">
        <f t="shared" si="2"/>
        <v>609025576.09891248</v>
      </c>
      <c r="K31" s="63">
        <f>J31*(1-VLOOKUP(A31,'PROFIT (18,19,22)'!$1:$1048576,7,FALSE))</f>
        <v>476124744.53766209</v>
      </c>
      <c r="L31" s="19">
        <f>IFERROR(VLOOKUP(A31,'Variable Input'!$1:$1048576,26,FALSE)*VLOOKUP(A31,Volume!A:K,11,FALSE),0)+VLOOKUP(A31,'[11]Rate Application - ICC Cycle I'!$A:$IV,12,FALSE)+VLOOKUP(A31,'[12]REM Calculation (w profit adj)'!$A:$IV,12,FALSE)</f>
        <v>2702973.2072470207</v>
      </c>
      <c r="M31" s="22">
        <f t="shared" si="3"/>
        <v>473421771.33041507</v>
      </c>
      <c r="N31" s="36">
        <f>VLOOKUP(A31,'Variable Input'!$1:$1048576,23,FALSE)</f>
        <v>0.99671861092415948</v>
      </c>
      <c r="O31" s="22">
        <f t="shared" si="4"/>
        <v>474980366.71699893</v>
      </c>
      <c r="P31" s="27">
        <f>IFERROR(VLOOKUP(A31,'Variable Input'!$1:$1048576,7,FALSE),0)+VLOOKUP(A31,'[11]Rate Application - ICC Cycle I'!$A:$IV,16,FALSE)+VLOOKUP(A31,'[12]REM Calculation (w profit adj)'!$A:$IV,16,FALSE)</f>
        <v>41705.103487369983</v>
      </c>
      <c r="Q31" s="18">
        <f t="shared" si="5"/>
        <v>11389.022613523606</v>
      </c>
      <c r="R31" s="18">
        <f t="shared" si="6"/>
        <v>474980366.71699893</v>
      </c>
      <c r="S31" s="20">
        <f>IFERROR(VLOOKUP(A31,RESCMAD!$1:$1048576,8,FALSE),0)</f>
        <v>0</v>
      </c>
      <c r="T31" s="19">
        <f>IF(C31=5,(S31*P31)*IME!$L$7,(S31*P31)*IME!$L$8)+VLOOKUP(A31,'[11]Rate Application - ICC Cycle I'!$A:$IV,20,FALSE)+VLOOKUP(A31,'[12]REM Calculation (w profit adj)'!$A:$IV,20,FALSE)</f>
        <v>0</v>
      </c>
      <c r="U31" s="19">
        <v>0</v>
      </c>
      <c r="V31" s="22">
        <f t="shared" si="7"/>
        <v>474980366.71699893</v>
      </c>
      <c r="W31" s="17">
        <f t="shared" si="8"/>
        <v>0</v>
      </c>
      <c r="X31" s="19">
        <f t="shared" si="10"/>
        <v>474980366.71699893</v>
      </c>
      <c r="Y31" s="15">
        <f t="shared" si="11"/>
        <v>11389.022613523606</v>
      </c>
    </row>
    <row r="32" spans="1:25" ht="18.75" customHeight="1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19">
        <f>IFERROR(VLOOKUP(A32,'Variable Input'!$1:$1048576,6,FALSE),0)+VLOOKUP(A32,'[11]Rate Application - ICC Cycle I'!$A:$IV,4,FALSE)+VLOOKUP(A32,'[12]REM Calculation (w profit adj)'!$A:$IV,4,FALSE)</f>
        <v>660056368.26530826</v>
      </c>
      <c r="E32" s="19">
        <f t="shared" si="0"/>
        <v>21661.185150185109</v>
      </c>
      <c r="F32" s="19">
        <f>IFERROR(VLOOKUP(A32,'Drug Overhead'!$1:$1048576,13,FALSE)*VLOOKUP(A32,Volume!A:K,11,FALSE),0)+VLOOKUP(A32,'[11]Rate Application - ICC Cycle I'!$A:$IV,6,FALSE)+VLOOKUP(A32,'[12]REM Calculation (w profit adj)'!$A:$IV,6,FALSE)</f>
        <v>1342246.0070121831</v>
      </c>
      <c r="G32" s="19">
        <f t="shared" si="1"/>
        <v>661398614.27232039</v>
      </c>
      <c r="H32" s="19">
        <f t="shared" si="9"/>
        <v>21705.233871889584</v>
      </c>
      <c r="I32" s="36">
        <f>VLOOKUP(A32,'Variable Input'!$1:$1048576,8,FALSE)</f>
        <v>1.1259331913445376</v>
      </c>
      <c r="J32" s="19">
        <f t="shared" si="2"/>
        <v>587422610.29049921</v>
      </c>
      <c r="K32" s="63">
        <f>J32*(1-VLOOKUP(A32,'PROFIT (18,19,22)'!$1:$1048576,7,FALSE))</f>
        <v>542007360.59317613</v>
      </c>
      <c r="L32" s="19">
        <f>IFERROR(VLOOKUP(A32,'Variable Input'!$1:$1048576,26,FALSE)*VLOOKUP(A32,Volume!A:K,11,FALSE),0)+VLOOKUP(A32,'[11]Rate Application - ICC Cycle I'!$A:$IV,12,FALSE)+VLOOKUP(A32,'[12]REM Calculation (w profit adj)'!$A:$IV,12,FALSE)</f>
        <v>8836023.7396699712</v>
      </c>
      <c r="M32" s="22">
        <f t="shared" si="3"/>
        <v>533171336.85350615</v>
      </c>
      <c r="N32" s="36">
        <f>VLOOKUP(A32,'Variable Input'!$1:$1048576,23,FALSE)</f>
        <v>0.99671861092415948</v>
      </c>
      <c r="O32" s="22">
        <f t="shared" si="4"/>
        <v>534926639.28402883</v>
      </c>
      <c r="P32" s="27">
        <f>IFERROR(VLOOKUP(A32,'Variable Input'!$1:$1048576,7,FALSE),0)+VLOOKUP(A32,'[11]Rate Application - ICC Cycle I'!$A:$IV,16,FALSE)+VLOOKUP(A32,'[12]REM Calculation (w profit adj)'!$A:$IV,16,FALSE)</f>
        <v>30471.849240421994</v>
      </c>
      <c r="Q32" s="18">
        <f t="shared" si="5"/>
        <v>17554.780973857982</v>
      </c>
      <c r="R32" s="18">
        <f t="shared" si="6"/>
        <v>534926639.28402883</v>
      </c>
      <c r="S32" s="20">
        <f>IFERROR(VLOOKUP(A32,RESCMAD!$1:$1048576,8,FALSE),0)</f>
        <v>3.4768985729970833E-3</v>
      </c>
      <c r="T32" s="19">
        <f>IF(C32=5,(S32*P32)*IME!$L$7,(S32*P32)*IME!$L$8)+VLOOKUP(A32,'[11]Rate Application - ICC Cycle I'!$A:$IV,20,FALSE)+VLOOKUP(A32,'[12]REM Calculation (w profit adj)'!$A:$IV,20,FALSE)</f>
        <v>22087543.923282005</v>
      </c>
      <c r="U32" s="19">
        <v>0</v>
      </c>
      <c r="V32" s="22">
        <f t="shared" si="7"/>
        <v>512839095.3607468</v>
      </c>
      <c r="W32" s="17">
        <f t="shared" si="8"/>
        <v>-4.1290790738791827E-2</v>
      </c>
      <c r="X32" s="19">
        <f t="shared" si="10"/>
        <v>512839095.3607468</v>
      </c>
      <c r="Y32" s="15">
        <f t="shared" si="11"/>
        <v>16829.930186201087</v>
      </c>
    </row>
    <row r="33" spans="1:25" ht="18.75" customHeight="1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19">
        <f>IFERROR(VLOOKUP(A33,'Variable Input'!$1:$1048576,6,FALSE),0)+VLOOKUP(A33,'[11]Rate Application - ICC Cycle I'!$A:$IV,4,FALSE)+VLOOKUP(A33,'[12]REM Calculation (w profit adj)'!$A:$IV,4,FALSE)</f>
        <v>440102294.64176726</v>
      </c>
      <c r="E33" s="19">
        <f t="shared" si="0"/>
        <v>14589.146439176291</v>
      </c>
      <c r="F33" s="19">
        <f>IFERROR(VLOOKUP(A33,'Drug Overhead'!$1:$1048576,13,FALSE)*VLOOKUP(A33,Volume!A:K,11,FALSE),0)+VLOOKUP(A33,'[11]Rate Application - ICC Cycle I'!$A:$IV,6,FALSE)+VLOOKUP(A33,'[12]REM Calculation (w profit adj)'!$A:$IV,6,FALSE)</f>
        <v>13040887.903356915</v>
      </c>
      <c r="G33" s="19">
        <f t="shared" si="1"/>
        <v>453143182.54512417</v>
      </c>
      <c r="H33" s="19">
        <f t="shared" si="9"/>
        <v>15021.444624473917</v>
      </c>
      <c r="I33" s="36">
        <f>VLOOKUP(A33,'Variable Input'!$1:$1048576,8,FALSE)</f>
        <v>1.1205505604288228</v>
      </c>
      <c r="J33" s="19">
        <f t="shared" si="2"/>
        <v>404393338.90628827</v>
      </c>
      <c r="K33" s="63">
        <f>J33*(1-VLOOKUP(A33,'PROFIT (18,19,22)'!$1:$1048576,7,FALSE))</f>
        <v>364601651.1310606</v>
      </c>
      <c r="L33" s="19">
        <f>IFERROR(VLOOKUP(A33,'Variable Input'!$1:$1048576,26,FALSE)*VLOOKUP(A33,Volume!A:K,11,FALSE),0)+VLOOKUP(A33,'[11]Rate Application - ICC Cycle I'!$A:$IV,12,FALSE)+VLOOKUP(A33,'[12]REM Calculation (w profit adj)'!$A:$IV,12,FALSE)</f>
        <v>0</v>
      </c>
      <c r="M33" s="22">
        <f t="shared" si="3"/>
        <v>364601651.1310606</v>
      </c>
      <c r="N33" s="36">
        <f>VLOOKUP(A33,'Variable Input'!$1:$1048576,23,FALSE)</f>
        <v>0.99671861092415948</v>
      </c>
      <c r="O33" s="22">
        <f t="shared" si="4"/>
        <v>365801989.78425938</v>
      </c>
      <c r="P33" s="27">
        <f>IFERROR(VLOOKUP(A33,'Variable Input'!$1:$1048576,7,FALSE),0)+VLOOKUP(A33,'[11]Rate Application - ICC Cycle I'!$A:$IV,16,FALSE)+VLOOKUP(A33,'[12]REM Calculation (w profit adj)'!$A:$IV,16,FALSE)</f>
        <v>30166.418335479782</v>
      </c>
      <c r="Q33" s="18">
        <f t="shared" si="5"/>
        <v>12126.132632524917</v>
      </c>
      <c r="R33" s="18">
        <f t="shared" si="6"/>
        <v>365801989.78425938</v>
      </c>
      <c r="S33" s="20">
        <f>IFERROR(VLOOKUP(A33,RESCMAD!$1:$1048576,8,FALSE),0)</f>
        <v>0</v>
      </c>
      <c r="T33" s="19">
        <f>IF(C33=5,(S33*P33)*IME!$L$7,(S33*P33)*IME!$L$8)+VLOOKUP(A33,'[11]Rate Application - ICC Cycle I'!$A:$IV,20,FALSE)+VLOOKUP(A33,'[12]REM Calculation (w profit adj)'!$A:$IV,20,FALSE)</f>
        <v>0</v>
      </c>
      <c r="U33" s="19">
        <v>0</v>
      </c>
      <c r="V33" s="22">
        <f t="shared" si="7"/>
        <v>365801989.78425938</v>
      </c>
      <c r="W33" s="17">
        <f t="shared" si="8"/>
        <v>0</v>
      </c>
      <c r="X33" s="19">
        <f t="shared" si="10"/>
        <v>365801989.78425938</v>
      </c>
      <c r="Y33" s="15">
        <f t="shared" si="11"/>
        <v>12126.132632524917</v>
      </c>
    </row>
    <row r="34" spans="1:25" ht="18.75" customHeight="1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19">
        <f>IFERROR(VLOOKUP(A34,'Variable Input'!$1:$1048576,6,FALSE),0)+VLOOKUP(A34,'[11]Rate Application - ICC Cycle I'!$A:$IV,4,FALSE)+VLOOKUP(A34,'[12]REM Calculation (w profit adj)'!$A:$IV,4,FALSE)</f>
        <v>795556530.6813885</v>
      </c>
      <c r="E34" s="19">
        <f t="shared" si="0"/>
        <v>16078.437459009936</v>
      </c>
      <c r="F34" s="19">
        <f>IFERROR(VLOOKUP(A34,'Drug Overhead'!$1:$1048576,13,FALSE)*VLOOKUP(A34,Volume!A:K,11,FALSE),0)+VLOOKUP(A34,'[11]Rate Application - ICC Cycle I'!$A:$IV,6,FALSE)+VLOOKUP(A34,'[12]REM Calculation (w profit adj)'!$A:$IV,6,FALSE)</f>
        <v>23534614.821690321</v>
      </c>
      <c r="G34" s="19">
        <f t="shared" si="1"/>
        <v>819091145.50307882</v>
      </c>
      <c r="H34" s="19">
        <f t="shared" si="9"/>
        <v>16554.079123604581</v>
      </c>
      <c r="I34" s="36">
        <f>VLOOKUP(A34,'Variable Input'!$1:$1048576,8,FALSE)</f>
        <v>1.120710322524318</v>
      </c>
      <c r="J34" s="19">
        <f t="shared" si="2"/>
        <v>730867851.43384409</v>
      </c>
      <c r="K34" s="63">
        <f>J34*(1-VLOOKUP(A34,'PROFIT (18,19,22)'!$1:$1048576,7,FALSE))</f>
        <v>619546867.60250914</v>
      </c>
      <c r="L34" s="19">
        <f>IFERROR(VLOOKUP(A34,'Variable Input'!$1:$1048576,26,FALSE)*VLOOKUP(A34,Volume!A:K,11,FALSE),0)+VLOOKUP(A34,'[11]Rate Application - ICC Cycle I'!$A:$IV,12,FALSE)+VLOOKUP(A34,'[12]REM Calculation (w profit adj)'!$A:$IV,12,FALSE)</f>
        <v>0</v>
      </c>
      <c r="M34" s="22">
        <f t="shared" si="3"/>
        <v>619546867.60250914</v>
      </c>
      <c r="N34" s="36">
        <f>VLOOKUP(A34,'Variable Input'!$1:$1048576,23,FALSE)</f>
        <v>0.99671861092415948</v>
      </c>
      <c r="O34" s="22">
        <f t="shared" si="4"/>
        <v>621586534.86771357</v>
      </c>
      <c r="P34" s="27">
        <f>IFERROR(VLOOKUP(A34,'Variable Input'!$1:$1048576,7,FALSE),0)+VLOOKUP(A34,'[11]Rate Application - ICC Cycle I'!$A:$IV,16,FALSE)+VLOOKUP(A34,'[12]REM Calculation (w profit adj)'!$A:$IV,16,FALSE)</f>
        <v>49479.716714361406</v>
      </c>
      <c r="Q34" s="18">
        <f t="shared" si="5"/>
        <v>12562.451366810254</v>
      </c>
      <c r="R34" s="18">
        <f t="shared" si="6"/>
        <v>621586534.86771357</v>
      </c>
      <c r="S34" s="20">
        <f>IFERROR(VLOOKUP(A34,RESCMAD!$1:$1048576,8,FALSE),0)</f>
        <v>0</v>
      </c>
      <c r="T34" s="19">
        <f>IF(C34=5,(S34*P34)*IME!$L$7,(S34*P34)*IME!$L$8)+VLOOKUP(A34,'[11]Rate Application - ICC Cycle I'!$A:$IV,20,FALSE)+VLOOKUP(A34,'[12]REM Calculation (w profit adj)'!$A:$IV,20,FALSE)</f>
        <v>0</v>
      </c>
      <c r="U34" s="19">
        <v>0</v>
      </c>
      <c r="V34" s="22">
        <f t="shared" si="7"/>
        <v>621586534.86771357</v>
      </c>
      <c r="W34" s="17">
        <f t="shared" si="8"/>
        <v>0</v>
      </c>
      <c r="X34" s="19">
        <f t="shared" si="10"/>
        <v>621586534.86771357</v>
      </c>
      <c r="Y34" s="15">
        <f t="shared" si="11"/>
        <v>12562.451366810254</v>
      </c>
    </row>
    <row r="35" spans="1:25" ht="18.75" customHeight="1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19">
        <f>IFERROR(VLOOKUP(A35,'Variable Input'!$1:$1048576,6,FALSE),0)+VLOOKUP(A35,'[11]Rate Application - ICC Cycle I'!$A:$IV,4,FALSE)+VLOOKUP(A35,'[12]REM Calculation (w profit adj)'!$A:$IV,4,FALSE)</f>
        <v>1349983486.2513514</v>
      </c>
      <c r="E35" s="19">
        <f t="shared" si="0"/>
        <v>14192.188579395557</v>
      </c>
      <c r="F35" s="19">
        <f>IFERROR(VLOOKUP(A35,'Drug Overhead'!$1:$1048576,13,FALSE)*VLOOKUP(A35,Volume!A:K,11,FALSE),0)+VLOOKUP(A35,'[11]Rate Application - ICC Cycle I'!$A:$IV,6,FALSE)+VLOOKUP(A35,'[12]REM Calculation (w profit adj)'!$A:$IV,6,FALSE)</f>
        <v>8699277.8771821205</v>
      </c>
      <c r="G35" s="19">
        <f t="shared" si="1"/>
        <v>1358682764.1285334</v>
      </c>
      <c r="H35" s="19">
        <f t="shared" si="9"/>
        <v>14283.642877462831</v>
      </c>
      <c r="I35" s="36">
        <f>VLOOKUP(A35,'Variable Input'!$1:$1048576,8,FALSE)</f>
        <v>1.1174861425645124</v>
      </c>
      <c r="J35" s="19">
        <f t="shared" si="2"/>
        <v>1215838579.4480639</v>
      </c>
      <c r="K35" s="63">
        <f>J35*(1-VLOOKUP(A35,'PROFIT (18,19,22)'!$1:$1048576,7,FALSE))</f>
        <v>1101289923.6366365</v>
      </c>
      <c r="L35" s="19">
        <f>IFERROR(VLOOKUP(A35,'Variable Input'!$1:$1048576,26,FALSE)*VLOOKUP(A35,Volume!A:K,11,FALSE),0)+VLOOKUP(A35,'[11]Rate Application - ICC Cycle I'!$A:$IV,12,FALSE)+VLOOKUP(A35,'[12]REM Calculation (w profit adj)'!$A:$IV,12,FALSE)</f>
        <v>1982241.2732429495</v>
      </c>
      <c r="M35" s="22">
        <f t="shared" si="3"/>
        <v>1099307682.3633935</v>
      </c>
      <c r="N35" s="36">
        <f>VLOOKUP(A35,'Variable Input'!$1:$1048576,23,FALSE)</f>
        <v>0.99671861092415948</v>
      </c>
      <c r="O35" s="22">
        <f t="shared" si="4"/>
        <v>1102926814.3634975</v>
      </c>
      <c r="P35" s="27">
        <f>IFERROR(VLOOKUP(A35,'Variable Input'!$1:$1048576,7,FALSE),0)+VLOOKUP(A35,'[11]Rate Application - ICC Cycle I'!$A:$IV,16,FALSE)+VLOOKUP(A35,'[12]REM Calculation (w profit adj)'!$A:$IV,16,FALSE)</f>
        <v>95121.58598366419</v>
      </c>
      <c r="Q35" s="18">
        <f t="shared" si="5"/>
        <v>11594.916158703554</v>
      </c>
      <c r="R35" s="18">
        <f t="shared" si="6"/>
        <v>1102926814.3634975</v>
      </c>
      <c r="S35" s="20">
        <f>IFERROR(VLOOKUP(A35,RESCMAD!$1:$1048576,8,FALSE),0)</f>
        <v>1.6158473721128837E-4</v>
      </c>
      <c r="T35" s="19">
        <f>IF(C35=5,(S35*P35)*IME!$L$7,(S35*P35)*IME!$L$8)+VLOOKUP(A35,'[11]Rate Application - ICC Cycle I'!$A:$IV,20,FALSE)+VLOOKUP(A35,'[12]REM Calculation (w profit adj)'!$A:$IV,20,FALSE)</f>
        <v>3373532.244949867</v>
      </c>
      <c r="U35" s="19">
        <v>0</v>
      </c>
      <c r="V35" s="22">
        <f t="shared" si="7"/>
        <v>1099553282.1185477</v>
      </c>
      <c r="W35" s="17">
        <f t="shared" si="8"/>
        <v>-3.0587090648409587E-3</v>
      </c>
      <c r="X35" s="19">
        <f t="shared" si="10"/>
        <v>1099553282.1185477</v>
      </c>
      <c r="Y35" s="15">
        <f t="shared" si="11"/>
        <v>11559.450683542856</v>
      </c>
    </row>
    <row r="36" spans="1:25" ht="18.75" customHeight="1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19">
        <f>IFERROR(VLOOKUP(A36,'Variable Input'!$1:$1048576,6,FALSE),0)+VLOOKUP(A36,'[11]Rate Application - ICC Cycle I'!$A:$IV,4,FALSE)+VLOOKUP(A36,'[12]REM Calculation (w profit adj)'!$A:$IV,4,FALSE)</f>
        <v>1359661491.8317542</v>
      </c>
      <c r="E36" s="19">
        <f t="shared" si="0"/>
        <v>14220.019076211704</v>
      </c>
      <c r="F36" s="19">
        <f>IFERROR(VLOOKUP(A36,'Drug Overhead'!$1:$1048576,13,FALSE)*VLOOKUP(A36,Volume!A:K,11,FALSE),0)+VLOOKUP(A36,'[11]Rate Application - ICC Cycle I'!$A:$IV,6,FALSE)+VLOOKUP(A36,'[12]REM Calculation (w profit adj)'!$A:$IV,6,FALSE)</f>
        <v>25278693.111474425</v>
      </c>
      <c r="G36" s="19">
        <f t="shared" si="1"/>
        <v>1384940184.9432287</v>
      </c>
      <c r="H36" s="19">
        <f t="shared" si="9"/>
        <v>14484.396276291553</v>
      </c>
      <c r="I36" s="36">
        <f>VLOOKUP(A36,'Variable Input'!$1:$1048576,8,FALSE)</f>
        <v>1.1074866213835981</v>
      </c>
      <c r="J36" s="19">
        <f t="shared" si="2"/>
        <v>1250525431.3709037</v>
      </c>
      <c r="K36" s="63">
        <f>J36*(1-VLOOKUP(A36,'PROFIT (18,19,22)'!$1:$1048576,7,FALSE))</f>
        <v>1138881635.4099512</v>
      </c>
      <c r="L36" s="19">
        <f>IFERROR(VLOOKUP(A36,'Variable Input'!$1:$1048576,26,FALSE)*VLOOKUP(A36,Volume!A:K,11,FALSE),0)+VLOOKUP(A36,'[11]Rate Application - ICC Cycle I'!$A:$IV,12,FALSE)+VLOOKUP(A36,'[12]REM Calculation (w profit adj)'!$A:$IV,12,FALSE)</f>
        <v>18988796.521726195</v>
      </c>
      <c r="M36" s="22">
        <f t="shared" si="3"/>
        <v>1119892838.8882251</v>
      </c>
      <c r="N36" s="36">
        <f>VLOOKUP(A36,'Variable Input'!$1:$1048576,23,FALSE)</f>
        <v>0.99671861092415948</v>
      </c>
      <c r="O36" s="22">
        <f t="shared" si="4"/>
        <v>1123579741.1767583</v>
      </c>
      <c r="P36" s="27">
        <f>IFERROR(VLOOKUP(A36,'Variable Input'!$1:$1048576,7,FALSE),0)+VLOOKUP(A36,'[11]Rate Application - ICC Cycle I'!$A:$IV,16,FALSE)+VLOOKUP(A36,'[12]REM Calculation (w profit adj)'!$A:$IV,16,FALSE)</f>
        <v>95616.010396659462</v>
      </c>
      <c r="Q36" s="18">
        <f t="shared" si="5"/>
        <v>11750.958197436074</v>
      </c>
      <c r="R36" s="18">
        <f t="shared" si="6"/>
        <v>1123579741.1767583</v>
      </c>
      <c r="S36" s="20">
        <f>IFERROR(VLOOKUP(A36,RESCMAD!$1:$1048576,8,FALSE),0)</f>
        <v>1.893078772306939E-3</v>
      </c>
      <c r="T36" s="19">
        <f>IF(C36=5,(S36*P36)*IME!$L$7,(S36*P36)*IME!$L$8)+VLOOKUP(A36,'[11]Rate Application - ICC Cycle I'!$A:$IV,20,FALSE)+VLOOKUP(A36,'[12]REM Calculation (w profit adj)'!$A:$IV,20,FALSE)</f>
        <v>36362630.920377553</v>
      </c>
      <c r="U36" s="19">
        <v>0</v>
      </c>
      <c r="V36" s="22">
        <f t="shared" si="7"/>
        <v>1087217110.2563808</v>
      </c>
      <c r="W36" s="17">
        <f t="shared" si="8"/>
        <v>-3.2363195586184057E-2</v>
      </c>
      <c r="X36" s="19">
        <f t="shared" si="10"/>
        <v>1087217110.2563808</v>
      </c>
      <c r="Y36" s="15">
        <f t="shared" si="11"/>
        <v>11370.659638967376</v>
      </c>
    </row>
    <row r="37" spans="1:25" ht="18.75" customHeight="1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19">
        <f>IFERROR(VLOOKUP(A37,'Variable Input'!$1:$1048576,6,FALSE),0)+VLOOKUP(A37,'[11]Rate Application - ICC Cycle I'!$A:$IV,4,FALSE)+VLOOKUP(A37,'[12]REM Calculation (w profit adj)'!$A:$IV,4,FALSE)</f>
        <v>23682845.037509397</v>
      </c>
      <c r="E37" s="19">
        <f t="shared" si="0"/>
        <v>10361.539018706704</v>
      </c>
      <c r="F37" s="19">
        <f>IFERROR(VLOOKUP(A37,'Drug Overhead'!$1:$1048576,13,FALSE)*VLOOKUP(A37,Volume!A:K,11,FALSE),0)+VLOOKUP(A37,'[11]Rate Application - ICC Cycle I'!$A:$IV,6,FALSE)+VLOOKUP(A37,'[12]REM Calculation (w profit adj)'!$A:$IV,6,FALSE)</f>
        <v>441012.20479009749</v>
      </c>
      <c r="G37" s="19">
        <f t="shared" si="1"/>
        <v>24123857.242299493</v>
      </c>
      <c r="H37" s="19">
        <f t="shared" si="9"/>
        <v>10554.487338911522</v>
      </c>
      <c r="I37" s="36">
        <f>VLOOKUP(A37,'Variable Input'!$1:$1048576,8,FALSE)</f>
        <v>1.1235285459397526</v>
      </c>
      <c r="J37" s="19">
        <f t="shared" si="2"/>
        <v>21471512.521403346</v>
      </c>
      <c r="K37" s="63" t="e">
        <f>J37*(1-VLOOKUP(A37,'PROFIT (18,19,22)'!$1:$1048576,7,FALSE))</f>
        <v>#N/A</v>
      </c>
      <c r="L37" s="19">
        <f>IFERROR(VLOOKUP(A37,'Variable Input'!$1:$1048576,26,FALSE)*VLOOKUP(A37,Volume!A:K,11,FALSE),0)+VLOOKUP(A37,'[11]Rate Application - ICC Cycle I'!$A:$IV,12,FALSE)+VLOOKUP(A37,'[12]REM Calculation (w profit adj)'!$A:$IV,12,FALSE)</f>
        <v>0</v>
      </c>
      <c r="M37" s="22" t="e">
        <f t="shared" si="3"/>
        <v>#N/A</v>
      </c>
      <c r="N37" s="36">
        <f>VLOOKUP(A37,'Variable Input'!$1:$1048576,23,FALSE)</f>
        <v>0.99671861092415948</v>
      </c>
      <c r="O37" s="22" t="e">
        <f t="shared" si="4"/>
        <v>#N/A</v>
      </c>
      <c r="P37" s="27">
        <f>IFERROR(VLOOKUP(A37,'Variable Input'!$1:$1048576,7,FALSE),0)+VLOOKUP(A37,'[11]Rate Application - ICC Cycle I'!$A:$IV,16,FALSE)+VLOOKUP(A37,'[12]REM Calculation (w profit adj)'!$A:$IV,16,FALSE)</f>
        <v>2285.6493610410994</v>
      </c>
      <c r="Q37" s="18">
        <f t="shared" si="5"/>
        <v>0</v>
      </c>
      <c r="R37" s="18">
        <f t="shared" si="6"/>
        <v>0</v>
      </c>
      <c r="S37" s="20">
        <f>IFERROR(VLOOKUP(A37,RESCMAD!$1:$1048576,8,FALSE),0)</f>
        <v>0</v>
      </c>
      <c r="T37" s="19">
        <f>IF(C37=5,(S37*P37)*IME!$L$7,(S37*P37)*IME!$L$8)+VLOOKUP(A37,'[11]Rate Application - ICC Cycle I'!$A:$IV,20,FALSE)+VLOOKUP(A37,'[12]REM Calculation (w profit adj)'!$A:$IV,20,FALSE)</f>
        <v>0</v>
      </c>
      <c r="U37" s="19">
        <v>0</v>
      </c>
      <c r="V37" s="22">
        <f t="shared" si="7"/>
        <v>0</v>
      </c>
      <c r="W37" s="17">
        <f t="shared" si="8"/>
        <v>0</v>
      </c>
      <c r="X37" s="19">
        <f t="shared" si="10"/>
        <v>0</v>
      </c>
      <c r="Y37" s="15">
        <f t="shared" si="11"/>
        <v>0</v>
      </c>
    </row>
    <row r="38" spans="1:25" ht="18.75" customHeight="1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19">
        <f>IFERROR(VLOOKUP(A38,'Variable Input'!$1:$1048576,6,FALSE),0)+VLOOKUP(A38,'[11]Rate Application - ICC Cycle I'!$A:$IV,4,FALSE)+VLOOKUP(A38,'[12]REM Calculation (w profit adj)'!$A:$IV,4,FALSE)</f>
        <v>954872842.03115404</v>
      </c>
      <c r="E38" s="19">
        <f t="shared" si="0"/>
        <v>13051.71412382042</v>
      </c>
      <c r="F38" s="19">
        <f>IFERROR(VLOOKUP(A38,'Drug Overhead'!$1:$1048576,13,FALSE)*VLOOKUP(A38,Volume!A:K,11,FALSE),0)+VLOOKUP(A38,'[11]Rate Application - ICC Cycle I'!$A:$IV,6,FALSE)+VLOOKUP(A38,'[12]REM Calculation (w profit adj)'!$A:$IV,6,FALSE)</f>
        <v>1052521.1420435384</v>
      </c>
      <c r="G38" s="19">
        <f t="shared" si="1"/>
        <v>955925363.17319763</v>
      </c>
      <c r="H38" s="19">
        <f t="shared" si="9"/>
        <v>13066.100547279704</v>
      </c>
      <c r="I38" s="36">
        <f>VLOOKUP(A38,'Variable Input'!$1:$1048576,8,FALSE)</f>
        <v>1.1035189993630976</v>
      </c>
      <c r="J38" s="19">
        <f t="shared" si="2"/>
        <v>866251839.54686368</v>
      </c>
      <c r="K38" s="63">
        <f>J38*(1-VLOOKUP(A38,'PROFIT (18,19,22)'!$1:$1048576,7,FALSE))</f>
        <v>844455839.10571229</v>
      </c>
      <c r="L38" s="19">
        <f>IFERROR(VLOOKUP(A38,'Variable Input'!$1:$1048576,26,FALSE)*VLOOKUP(A38,Volume!A:K,11,FALSE),0)+VLOOKUP(A38,'[11]Rate Application - ICC Cycle I'!$A:$IV,12,FALSE)+VLOOKUP(A38,'[12]REM Calculation (w profit adj)'!$A:$IV,12,FALSE)</f>
        <v>0</v>
      </c>
      <c r="M38" s="22">
        <f t="shared" si="3"/>
        <v>844455839.10571229</v>
      </c>
      <c r="N38" s="36">
        <f>VLOOKUP(A38,'Variable Input'!$1:$1048576,23,FALSE)</f>
        <v>0.99671861092415948</v>
      </c>
      <c r="O38" s="22">
        <f t="shared" si="4"/>
        <v>847235949.89636159</v>
      </c>
      <c r="P38" s="27">
        <f>IFERROR(VLOOKUP(A38,'Variable Input'!$1:$1048576,7,FALSE),0)+VLOOKUP(A38,'[11]Rate Application - ICC Cycle I'!$A:$IV,16,FALSE)+VLOOKUP(A38,'[12]REM Calculation (w profit adj)'!$A:$IV,16,FALSE)</f>
        <v>73160.723026290842</v>
      </c>
      <c r="Q38" s="18">
        <f t="shared" si="5"/>
        <v>11580.475354130947</v>
      </c>
      <c r="R38" s="18">
        <f t="shared" si="6"/>
        <v>847235949.89636159</v>
      </c>
      <c r="S38" s="20">
        <f>IFERROR(VLOOKUP(A38,RESCMAD!$1:$1048576,8,FALSE),0)</f>
        <v>0</v>
      </c>
      <c r="T38" s="19">
        <f>IF(C38=5,(S38*P38)*IME!$L$7,(S38*P38)*IME!$L$8)+VLOOKUP(A38,'[11]Rate Application - ICC Cycle I'!$A:$IV,20,FALSE)+VLOOKUP(A38,'[12]REM Calculation (w profit adj)'!$A:$IV,20,FALSE)</f>
        <v>0</v>
      </c>
      <c r="U38" s="19">
        <v>0</v>
      </c>
      <c r="V38" s="22">
        <f t="shared" si="7"/>
        <v>847235949.89636159</v>
      </c>
      <c r="W38" s="17">
        <f t="shared" si="8"/>
        <v>0</v>
      </c>
      <c r="X38" s="19">
        <f t="shared" si="10"/>
        <v>847235949.89636159</v>
      </c>
      <c r="Y38" s="15">
        <f t="shared" si="11"/>
        <v>11580.475354130947</v>
      </c>
    </row>
    <row r="39" spans="1:25" ht="18.75" customHeight="1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19">
        <f>IFERROR(VLOOKUP(A39,'Variable Input'!$1:$1048576,6,FALSE),0)+VLOOKUP(A39,'[11]Rate Application - ICC Cycle I'!$A:$IV,4,FALSE)+VLOOKUP(A39,'[12]REM Calculation (w profit adj)'!$A:$IV,4,FALSE)</f>
        <v>1001015606.9983926</v>
      </c>
      <c r="E39" s="19">
        <f t="shared" si="0"/>
        <v>13806.355162374968</v>
      </c>
      <c r="F39" s="19">
        <f>IFERROR(VLOOKUP(A39,'Drug Overhead'!$1:$1048576,13,FALSE)*VLOOKUP(A39,Volume!A:K,11,FALSE),0)+VLOOKUP(A39,'[11]Rate Application - ICC Cycle I'!$A:$IV,6,FALSE)+VLOOKUP(A39,'[12]REM Calculation (w profit adj)'!$A:$IV,6,FALSE)</f>
        <v>11782906.841301851</v>
      </c>
      <c r="G39" s="19">
        <f t="shared" si="1"/>
        <v>1012798513.8396944</v>
      </c>
      <c r="H39" s="19">
        <f t="shared" si="9"/>
        <v>13968.869108769863</v>
      </c>
      <c r="I39" s="36">
        <f>VLOOKUP(A39,'Variable Input'!$1:$1048576,8,FALSE)</f>
        <v>1.1147926720978587</v>
      </c>
      <c r="J39" s="19">
        <f t="shared" si="2"/>
        <v>908508406.26156259</v>
      </c>
      <c r="K39" s="63">
        <f>J39*(1-VLOOKUP(A39,'PROFIT (18,19,22)'!$1:$1048576,7,FALSE))</f>
        <v>761169828.60593724</v>
      </c>
      <c r="L39" s="19">
        <f>IFERROR(VLOOKUP(A39,'Variable Input'!$1:$1048576,26,FALSE)*VLOOKUP(A39,Volume!A:K,11,FALSE),0)+VLOOKUP(A39,'[11]Rate Application - ICC Cycle I'!$A:$IV,12,FALSE)+VLOOKUP(A39,'[12]REM Calculation (w profit adj)'!$A:$IV,12,FALSE)</f>
        <v>0</v>
      </c>
      <c r="M39" s="22">
        <f t="shared" si="3"/>
        <v>761169828.60593724</v>
      </c>
      <c r="N39" s="36">
        <f>VLOOKUP(A39,'Variable Input'!$1:$1048576,23,FALSE)</f>
        <v>0.99671861092415948</v>
      </c>
      <c r="O39" s="22">
        <f t="shared" si="4"/>
        <v>763675745.85587311</v>
      </c>
      <c r="P39" s="27">
        <f>IFERROR(VLOOKUP(A39,'Variable Input'!$1:$1048576,7,FALSE),0)+VLOOKUP(A39,'[11]Rate Application - ICC Cycle I'!$A:$IV,16,FALSE)+VLOOKUP(A39,'[12]REM Calculation (w profit adj)'!$A:$IV,16,FALSE)</f>
        <v>72503.973367739876</v>
      </c>
      <c r="Q39" s="18">
        <f t="shared" si="5"/>
        <v>10532.881308207932</v>
      </c>
      <c r="R39" s="18">
        <f t="shared" si="6"/>
        <v>763675745.85587311</v>
      </c>
      <c r="S39" s="20">
        <f>IFERROR(VLOOKUP(A39,RESCMAD!$1:$1048576,8,FALSE),0)</f>
        <v>0</v>
      </c>
      <c r="T39" s="19">
        <f>IF(C39=5,(S39*P39)*IME!$L$7,(S39*P39)*IME!$L$8)+VLOOKUP(A39,'[11]Rate Application - ICC Cycle I'!$A:$IV,20,FALSE)+VLOOKUP(A39,'[12]REM Calculation (w profit adj)'!$A:$IV,20,FALSE)</f>
        <v>0</v>
      </c>
      <c r="U39" s="19">
        <v>0</v>
      </c>
      <c r="V39" s="22">
        <f t="shared" si="7"/>
        <v>763675745.85587311</v>
      </c>
      <c r="W39" s="17">
        <f t="shared" si="8"/>
        <v>0</v>
      </c>
      <c r="X39" s="19">
        <f t="shared" si="10"/>
        <v>763675745.85587311</v>
      </c>
      <c r="Y39" s="15">
        <f t="shared" si="11"/>
        <v>10532.881308207932</v>
      </c>
    </row>
    <row r="40" spans="1:25" ht="18.75" customHeight="1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19">
        <f>IFERROR(VLOOKUP(A40,'Variable Input'!$1:$1048576,6,FALSE),0)+VLOOKUP(A40,'[11]Rate Application - ICC Cycle I'!$A:$IV,4,FALSE)+VLOOKUP(A40,'[12]REM Calculation (w profit adj)'!$A:$IV,4,FALSE)</f>
        <v>793314907.24540806</v>
      </c>
      <c r="E40" s="19">
        <f t="shared" si="0"/>
        <v>15555.982049651957</v>
      </c>
      <c r="F40" s="19">
        <f>IFERROR(VLOOKUP(A40,'Drug Overhead'!$1:$1048576,13,FALSE)*VLOOKUP(A40,Volume!A:K,11,FALSE),0)+VLOOKUP(A40,'[11]Rate Application - ICC Cycle I'!$A:$IV,6,FALSE)+VLOOKUP(A40,'[12]REM Calculation (w profit adj)'!$A:$IV,6,FALSE)</f>
        <v>1005409.8883568686</v>
      </c>
      <c r="G40" s="19">
        <f t="shared" si="1"/>
        <v>794320317.13376498</v>
      </c>
      <c r="H40" s="19">
        <f t="shared" si="9"/>
        <v>15575.696967439308</v>
      </c>
      <c r="I40" s="36">
        <f>VLOOKUP(A40,'Variable Input'!$1:$1048576,8,FALSE)</f>
        <v>1.1175427593245362</v>
      </c>
      <c r="J40" s="19">
        <f t="shared" si="2"/>
        <v>710773982.0298841</v>
      </c>
      <c r="K40" s="63">
        <f>J40*(1-VLOOKUP(A40,'PROFIT (18,19,22)'!$1:$1048576,7,FALSE))</f>
        <v>652165443.00849795</v>
      </c>
      <c r="L40" s="19">
        <f>IFERROR(VLOOKUP(A40,'Variable Input'!$1:$1048576,26,FALSE)*VLOOKUP(A40,Volume!A:K,11,FALSE),0)+VLOOKUP(A40,'[11]Rate Application - ICC Cycle I'!$A:$IV,12,FALSE)+VLOOKUP(A40,'[12]REM Calculation (w profit adj)'!$A:$IV,12,FALSE)</f>
        <v>0</v>
      </c>
      <c r="M40" s="22">
        <f t="shared" si="3"/>
        <v>652165443.00849795</v>
      </c>
      <c r="N40" s="36">
        <f>VLOOKUP(A40,'Variable Input'!$1:$1048576,23,FALSE)</f>
        <v>1.0181752931904677</v>
      </c>
      <c r="O40" s="22">
        <f t="shared" si="4"/>
        <v>640523736.30568826</v>
      </c>
      <c r="P40" s="27">
        <f>IFERROR(VLOOKUP(A40,'Variable Input'!$1:$1048576,7,FALSE),0)+VLOOKUP(A40,'[11]Rate Application - ICC Cycle I'!$A:$IV,16,FALSE)+VLOOKUP(A40,'[12]REM Calculation (w profit adj)'!$A:$IV,16,FALSE)</f>
        <v>50997.417245229939</v>
      </c>
      <c r="Q40" s="18">
        <f t="shared" si="5"/>
        <v>12559.925010037638</v>
      </c>
      <c r="R40" s="18">
        <f t="shared" si="6"/>
        <v>640523736.30568826</v>
      </c>
      <c r="S40" s="20">
        <f>IFERROR(VLOOKUP(A40,RESCMAD!$1:$1048576,8,FALSE),0)</f>
        <v>0</v>
      </c>
      <c r="T40" s="19">
        <f>IF(C40=5,(S40*P40)*IME!$L$7,(S40*P40)*IME!$L$8)+VLOOKUP(A40,'[11]Rate Application - ICC Cycle I'!$A:$IV,20,FALSE)+VLOOKUP(A40,'[12]REM Calculation (w profit adj)'!$A:$IV,20,FALSE)</f>
        <v>0</v>
      </c>
      <c r="U40" s="19">
        <v>0</v>
      </c>
      <c r="V40" s="22">
        <f t="shared" si="7"/>
        <v>640523736.30568826</v>
      </c>
      <c r="W40" s="17">
        <f t="shared" si="8"/>
        <v>0</v>
      </c>
      <c r="X40" s="19">
        <f t="shared" si="10"/>
        <v>640523736.30568826</v>
      </c>
      <c r="Y40" s="15">
        <f t="shared" si="11"/>
        <v>12559.925010037638</v>
      </c>
    </row>
    <row r="41" spans="1:25" ht="18.75" customHeight="1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19">
        <f>IFERROR(VLOOKUP(A41,'Variable Input'!$1:$1048576,6,FALSE),0)+VLOOKUP(A41,'[11]Rate Application - ICC Cycle I'!$A:$IV,4,FALSE)+VLOOKUP(A41,'[12]REM Calculation (w profit adj)'!$A:$IV,4,FALSE)</f>
        <v>161123090.11238307</v>
      </c>
      <c r="E41" s="19">
        <f t="shared" si="0"/>
        <v>13298.846989570678</v>
      </c>
      <c r="F41" s="19">
        <f>IFERROR(VLOOKUP(A41,'Drug Overhead'!$1:$1048576,13,FALSE)*VLOOKUP(A41,Volume!A:K,11,FALSE),0)+VLOOKUP(A41,'[11]Rate Application - ICC Cycle I'!$A:$IV,6,FALSE)+VLOOKUP(A41,'[12]REM Calculation (w profit adj)'!$A:$IV,6,FALSE)</f>
        <v>1678361.0214998405</v>
      </c>
      <c r="G41" s="19">
        <f t="shared" si="1"/>
        <v>162801451.13388291</v>
      </c>
      <c r="H41" s="19">
        <f t="shared" si="9"/>
        <v>13437.37627424749</v>
      </c>
      <c r="I41" s="36">
        <f>VLOOKUP(A41,'Variable Input'!$1:$1048576,8,FALSE)</f>
        <v>1.2317684965243516</v>
      </c>
      <c r="J41" s="19">
        <f t="shared" si="2"/>
        <v>132168870.68735354</v>
      </c>
      <c r="K41" s="63" t="e">
        <f>J41*(1-VLOOKUP(A41,'PROFIT (18,19,22)'!$1:$1048576,7,FALSE))</f>
        <v>#N/A</v>
      </c>
      <c r="L41" s="19">
        <f>IFERROR(VLOOKUP(A41,'Variable Input'!$1:$1048576,26,FALSE)*VLOOKUP(A41,Volume!A:K,11,FALSE),0)+VLOOKUP(A41,'[11]Rate Application - ICC Cycle I'!$A:$IV,12,FALSE)+VLOOKUP(A41,'[12]REM Calculation (w profit adj)'!$A:$IV,12,FALSE)</f>
        <v>142002.60406345228</v>
      </c>
      <c r="M41" s="22" t="e">
        <f t="shared" si="3"/>
        <v>#N/A</v>
      </c>
      <c r="N41" s="36">
        <f>VLOOKUP(A41,'Variable Input'!$1:$1048576,23,FALSE)</f>
        <v>1.0181752931904677</v>
      </c>
      <c r="O41" s="22" t="e">
        <f t="shared" si="4"/>
        <v>#N/A</v>
      </c>
      <c r="P41" s="27">
        <f>IFERROR(VLOOKUP(A41,'Variable Input'!$1:$1048576,7,FALSE),0)+VLOOKUP(A41,'[11]Rate Application - ICC Cycle I'!$A:$IV,16,FALSE)+VLOOKUP(A41,'[12]REM Calculation (w profit adj)'!$A:$IV,16,FALSE)</f>
        <v>12115.568382638001</v>
      </c>
      <c r="Q41" s="18">
        <f t="shared" si="5"/>
        <v>0</v>
      </c>
      <c r="R41" s="18">
        <f t="shared" si="6"/>
        <v>0</v>
      </c>
      <c r="S41" s="20">
        <f>IFERROR(VLOOKUP(A41,RESCMAD!$1:$1048576,8,FALSE),0)</f>
        <v>0</v>
      </c>
      <c r="T41" s="19">
        <f>IF(C41=5,(S41*P41)*IME!$L$7,(S41*P41)*IME!$L$8)+VLOOKUP(A41,'[11]Rate Application - ICC Cycle I'!$A:$IV,20,FALSE)+VLOOKUP(A41,'[12]REM Calculation (w profit adj)'!$A:$IV,20,FALSE)</f>
        <v>0</v>
      </c>
      <c r="U41" s="19">
        <v>0</v>
      </c>
      <c r="V41" s="22">
        <f t="shared" si="7"/>
        <v>0</v>
      </c>
      <c r="W41" s="17">
        <f t="shared" si="8"/>
        <v>0</v>
      </c>
      <c r="X41" s="19">
        <f t="shared" si="10"/>
        <v>0</v>
      </c>
      <c r="Y41" s="15">
        <f t="shared" si="11"/>
        <v>0</v>
      </c>
    </row>
    <row r="42" spans="1:25" ht="18.75" customHeight="1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19">
        <f>IFERROR(VLOOKUP(A42,'Variable Input'!$1:$1048576,6,FALSE),0)+VLOOKUP(A42,'[11]Rate Application - ICC Cycle I'!$A:$IV,4,FALSE)+VLOOKUP(A42,'[12]REM Calculation (w profit adj)'!$A:$IV,4,FALSE)</f>
        <v>828733555.06607771</v>
      </c>
      <c r="E42" s="19">
        <f t="shared" si="0"/>
        <v>17096.016588378574</v>
      </c>
      <c r="F42" s="19">
        <f>IFERROR(VLOOKUP(A42,'Drug Overhead'!$1:$1048576,13,FALSE)*VLOOKUP(A42,Volume!A:K,11,FALSE),0)+VLOOKUP(A42,'[11]Rate Application - ICC Cycle I'!$A:$IV,6,FALSE)+VLOOKUP(A42,'[12]REM Calculation (w profit adj)'!$A:$IV,6,FALSE)</f>
        <v>4040673.9849843266</v>
      </c>
      <c r="G42" s="19">
        <f t="shared" si="1"/>
        <v>832774229.05106199</v>
      </c>
      <c r="H42" s="19">
        <f t="shared" si="9"/>
        <v>17179.372003461303</v>
      </c>
      <c r="I42" s="36">
        <f>VLOOKUP(A42,'Variable Input'!$1:$1048576,8,FALSE)</f>
        <v>1.1293262174048309</v>
      </c>
      <c r="J42" s="19">
        <f t="shared" si="2"/>
        <v>737408036.94858038</v>
      </c>
      <c r="K42" s="63">
        <f>J42*(1-VLOOKUP(A42,'PROFIT (18,19,22)'!$1:$1048576,7,FALSE))</f>
        <v>683319578.79887629</v>
      </c>
      <c r="L42" s="19">
        <f>IFERROR(VLOOKUP(A42,'Variable Input'!$1:$1048576,26,FALSE)*VLOOKUP(A42,Volume!A:K,11,FALSE),0)+VLOOKUP(A42,'[11]Rate Application - ICC Cycle I'!$A:$IV,12,FALSE)+VLOOKUP(A42,'[12]REM Calculation (w profit adj)'!$A:$IV,12,FALSE)</f>
        <v>11046720.034111682</v>
      </c>
      <c r="M42" s="22">
        <f t="shared" si="3"/>
        <v>672272858.76476455</v>
      </c>
      <c r="N42" s="36">
        <f>VLOOKUP(A42,'Variable Input'!$1:$1048576,23,FALSE)</f>
        <v>0.99671861092415948</v>
      </c>
      <c r="O42" s="22">
        <f t="shared" si="4"/>
        <v>674486110.11831295</v>
      </c>
      <c r="P42" s="27">
        <f>IFERROR(VLOOKUP(A42,'Variable Input'!$1:$1048576,7,FALSE),0)+VLOOKUP(A42,'[11]Rate Application - ICC Cycle I'!$A:$IV,16,FALSE)+VLOOKUP(A42,'[12]REM Calculation (w profit adj)'!$A:$IV,16,FALSE)</f>
        <v>48475.242801848312</v>
      </c>
      <c r="Q42" s="18">
        <f t="shared" si="5"/>
        <v>13914.032630540954</v>
      </c>
      <c r="R42" s="18">
        <f t="shared" si="6"/>
        <v>674486110.11831295</v>
      </c>
      <c r="S42" s="20">
        <f>IFERROR(VLOOKUP(A42,RESCMAD!$1:$1048576,8,FALSE),0)</f>
        <v>8.9597682467736116E-4</v>
      </c>
      <c r="T42" s="19">
        <f>IF(C42=5,(S42*P42)*IME!$L$7,(S42*P42)*IME!$L$8)+VLOOKUP(A42,'[11]Rate Application - ICC Cycle I'!$A:$IV,20,FALSE)+VLOOKUP(A42,'[12]REM Calculation (w profit adj)'!$A:$IV,20,FALSE)</f>
        <v>14436610.661690556</v>
      </c>
      <c r="U42" s="19">
        <v>0</v>
      </c>
      <c r="V42" s="22">
        <f t="shared" si="7"/>
        <v>660049499.45662236</v>
      </c>
      <c r="W42" s="17">
        <f t="shared" si="8"/>
        <v>-2.1403866506840674E-2</v>
      </c>
      <c r="X42" s="19">
        <f t="shared" si="10"/>
        <v>660049499.45662236</v>
      </c>
      <c r="Y42" s="15">
        <f t="shared" si="11"/>
        <v>13616.218533545032</v>
      </c>
    </row>
    <row r="43" spans="1:25" ht="18.75" customHeight="1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19">
        <f>IFERROR(VLOOKUP(A43,'Variable Input'!$1:$1048576,6,FALSE),0)+VLOOKUP(A43,'[11]Rate Application - ICC Cycle I'!$A:$IV,4,FALSE)+VLOOKUP(A43,'[12]REM Calculation (w profit adj)'!$A:$IV,4,FALSE)</f>
        <v>1341362942.2209888</v>
      </c>
      <c r="E43" s="19">
        <f t="shared" si="0"/>
        <v>15230.534429033891</v>
      </c>
      <c r="F43" s="19">
        <f>IFERROR(VLOOKUP(A43,'Drug Overhead'!$1:$1048576,13,FALSE)*VLOOKUP(A43,Volume!A:K,11,FALSE),0)+VLOOKUP(A43,'[11]Rate Application - ICC Cycle I'!$A:$IV,6,FALSE)+VLOOKUP(A43,'[12]REM Calculation (w profit adj)'!$A:$IV,6,FALSE)</f>
        <v>12835357.374216691</v>
      </c>
      <c r="G43" s="19">
        <f t="shared" si="1"/>
        <v>1354198299.5952055</v>
      </c>
      <c r="H43" s="19">
        <f t="shared" si="9"/>
        <v>15376.273770895592</v>
      </c>
      <c r="I43" s="36">
        <f>VLOOKUP(A43,'Variable Input'!$1:$1048576,8,FALSE)</f>
        <v>1.1115105879568932</v>
      </c>
      <c r="J43" s="19">
        <f t="shared" si="2"/>
        <v>1218340440.7189727</v>
      </c>
      <c r="K43" s="63">
        <f>J43*(1-VLOOKUP(A43,'PROFIT (18,19,22)'!$1:$1048576,7,FALSE))</f>
        <v>1071234543.4231076</v>
      </c>
      <c r="L43" s="19">
        <f>IFERROR(VLOOKUP(A43,'Variable Input'!$1:$1048576,26,FALSE)*VLOOKUP(A43,Volume!A:K,11,FALSE),0)+VLOOKUP(A43,'[11]Rate Application - ICC Cycle I'!$A:$IV,12,FALSE)+VLOOKUP(A43,'[12]REM Calculation (w profit adj)'!$A:$IV,12,FALSE)</f>
        <v>0</v>
      </c>
      <c r="M43" s="22">
        <f t="shared" si="3"/>
        <v>1071234543.4231076</v>
      </c>
      <c r="N43" s="36">
        <f>VLOOKUP(A43,'Variable Input'!$1:$1048576,23,FALSE)</f>
        <v>1.0181752931904677</v>
      </c>
      <c r="O43" s="22">
        <f t="shared" si="4"/>
        <v>1052112097.5803468</v>
      </c>
      <c r="P43" s="27">
        <f>IFERROR(VLOOKUP(A43,'Variable Input'!$1:$1048576,7,FALSE),0)+VLOOKUP(A43,'[11]Rate Application - ICC Cycle I'!$A:$IV,16,FALSE)+VLOOKUP(A43,'[12]REM Calculation (w profit adj)'!$A:$IV,16,FALSE)</f>
        <v>88070.641806498621</v>
      </c>
      <c r="Q43" s="18">
        <f t="shared" si="5"/>
        <v>11946.229481238011</v>
      </c>
      <c r="R43" s="18">
        <f t="shared" si="6"/>
        <v>1052112097.5803467</v>
      </c>
      <c r="S43" s="20">
        <f>IFERROR(VLOOKUP(A43,RESCMAD!$1:$1048576,8,FALSE),0)</f>
        <v>0</v>
      </c>
      <c r="T43" s="19">
        <f>IF(C43=5,(S43*P43)*IME!$L$7,(S43*P43)*IME!$L$8)+VLOOKUP(A43,'[11]Rate Application - ICC Cycle I'!$A:$IV,20,FALSE)+VLOOKUP(A43,'[12]REM Calculation (w profit adj)'!$A:$IV,20,FALSE)</f>
        <v>0</v>
      </c>
      <c r="U43" s="19">
        <v>0</v>
      </c>
      <c r="V43" s="22">
        <f t="shared" si="7"/>
        <v>1052112097.5803467</v>
      </c>
      <c r="W43" s="17">
        <f t="shared" si="8"/>
        <v>0</v>
      </c>
      <c r="X43" s="19">
        <f t="shared" si="10"/>
        <v>1052112097.5803467</v>
      </c>
      <c r="Y43" s="15">
        <f t="shared" si="11"/>
        <v>11946.229481238011</v>
      </c>
    </row>
    <row r="44" spans="1:25" ht="18.75" customHeight="1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19">
        <f>IFERROR(VLOOKUP(A44,'Variable Input'!$1:$1048576,6,FALSE),0)+VLOOKUP(A44,'[11]Rate Application - ICC Cycle I'!$A:$IV,4,FALSE)+VLOOKUP(A44,'[12]REM Calculation (w profit adj)'!$A:$IV,4,FALSE)</f>
        <v>329113080.70379543</v>
      </c>
      <c r="E44" s="19">
        <f>IFERROR(D44/P44,0)</f>
        <v>18539.900882157228</v>
      </c>
      <c r="F44" s="19">
        <f>IFERROR(VLOOKUP(A44,'Drug Overhead'!$1:$1048576,13,FALSE)*VLOOKUP(A44,Volume!A:K,11,FALSE),0)+VLOOKUP(A44,'[11]Rate Application - ICC Cycle I'!$A:$IV,6,FALSE)+VLOOKUP(A44,'[12]REM Calculation (w profit adj)'!$A:$IV,6,FALSE)</f>
        <v>3012743.0949710142</v>
      </c>
      <c r="G44" s="19">
        <f t="shared" si="1"/>
        <v>332125823.79876643</v>
      </c>
      <c r="H44" s="19">
        <f t="shared" si="9"/>
        <v>18709.61749823557</v>
      </c>
      <c r="I44" s="36">
        <f>VLOOKUP(A44,'Variable Input'!$1:$1048576,8,FALSE)</f>
        <v>1.1120223070717381</v>
      </c>
      <c r="J44" s="19">
        <f t="shared" si="2"/>
        <v>298668310.59652525</v>
      </c>
      <c r="K44" s="63">
        <f>J44*(1-VLOOKUP(A44,'PROFIT (18,19,22)'!$1:$1048576,7,FALSE))</f>
        <v>275963131.58436793</v>
      </c>
      <c r="L44" s="19">
        <f>IFERROR(VLOOKUP(A44,'Variable Input'!$1:$1048576,26,FALSE)*VLOOKUP(A44,Volume!A:K,11,FALSE),0)+VLOOKUP(A44,'[11]Rate Application - ICC Cycle I'!$A:$IV,12,FALSE)+VLOOKUP(A44,'[12]REM Calculation (w profit adj)'!$A:$IV,12,FALSE)</f>
        <v>5790408.855673179</v>
      </c>
      <c r="M44" s="22">
        <f t="shared" si="3"/>
        <v>270172722.72869474</v>
      </c>
      <c r="N44" s="36">
        <f>VLOOKUP(A44,'Variable Input'!$1:$1048576,23,FALSE)</f>
        <v>0.99671861092415948</v>
      </c>
      <c r="O44" s="22">
        <f t="shared" si="4"/>
        <v>271062183.21557182</v>
      </c>
      <c r="P44" s="27">
        <f>IFERROR(VLOOKUP(A44,'Variable Input'!$1:$1048576,7,FALSE),0)+VLOOKUP(A44,'[11]Rate Application - ICC Cycle I'!$A:$IV,16,FALSE)+VLOOKUP(A44,'[12]REM Calculation (w profit adj)'!$A:$IV,16,FALSE)</f>
        <v>17751.609504047206</v>
      </c>
      <c r="Q44" s="18">
        <f t="shared" si="5"/>
        <v>15269.724311689715</v>
      </c>
      <c r="R44" s="18">
        <f t="shared" si="6"/>
        <v>271062183.21557182</v>
      </c>
      <c r="S44" s="20">
        <f>IFERROR(VLOOKUP(A44,RESCMAD!$1:$1048576,8,FALSE),0)</f>
        <v>1.8078109788817528E-3</v>
      </c>
      <c r="T44" s="19">
        <f>IF(C44=5,(S44*P44)*IME!$L$7,(S44*P44)*IME!$L$8)+VLOOKUP(A44,'[11]Rate Application - ICC Cycle I'!$A:$IV,20,FALSE)+VLOOKUP(A44,'[12]REM Calculation (w profit adj)'!$A:$IV,20,FALSE)</f>
        <v>7175583.5348459799</v>
      </c>
      <c r="U44" s="19">
        <v>0</v>
      </c>
      <c r="V44" s="22">
        <f t="shared" si="7"/>
        <v>263886599.68072584</v>
      </c>
      <c r="W44" s="17">
        <f t="shared" si="8"/>
        <v>-2.6472093782035744E-2</v>
      </c>
      <c r="X44" s="19">
        <f t="shared" si="10"/>
        <v>263886599.68072584</v>
      </c>
      <c r="Y44" s="15">
        <f t="shared" si="11"/>
        <v>14865.502737684832</v>
      </c>
    </row>
    <row r="45" spans="1:25" ht="18.75" customHeight="1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19">
        <f>IFERROR(VLOOKUP(A45,'Variable Input'!$1:$1048576,6,FALSE),0)+VLOOKUP(A45,'[11]Rate Application - ICC Cycle I'!$A:$IV,4,FALSE)+VLOOKUP(A45,'[12]REM Calculation (w profit adj)'!$A:$IV,4,FALSE)</f>
        <v>168670672.12711287</v>
      </c>
      <c r="E45" s="19">
        <f t="shared" si="0"/>
        <v>14215.164517675114</v>
      </c>
      <c r="F45" s="19">
        <f>IFERROR(VLOOKUP(A45,'Drug Overhead'!$1:$1048576,13,FALSE)*VLOOKUP(A45,Volume!A:K,11,FALSE),0)+VLOOKUP(A45,'[11]Rate Application - ICC Cycle I'!$A:$IV,6,FALSE)+VLOOKUP(A45,'[12]REM Calculation (w profit adj)'!$A:$IV,6,FALSE)</f>
        <v>20544.505947089045</v>
      </c>
      <c r="G45" s="19">
        <f t="shared" si="1"/>
        <v>168691216.63305995</v>
      </c>
      <c r="H45" s="19">
        <f t="shared" si="9"/>
        <v>14216.895959948326</v>
      </c>
      <c r="I45" s="36">
        <f>VLOOKUP(A45,'Variable Input'!$1:$1048576,8,FALSE)</f>
        <v>1.1180896691644482</v>
      </c>
      <c r="J45" s="19">
        <f t="shared" si="2"/>
        <v>150874497.17617318</v>
      </c>
      <c r="K45" s="63">
        <f>J45*(1-VLOOKUP(A45,'PROFIT (18,19,22)'!$1:$1048576,7,FALSE))</f>
        <v>142437179.60979465</v>
      </c>
      <c r="L45" s="19">
        <f>IFERROR(VLOOKUP(A45,'Variable Input'!$1:$1048576,26,FALSE)*VLOOKUP(A45,Volume!A:K,11,FALSE),0)+VLOOKUP(A45,'[11]Rate Application - ICC Cycle I'!$A:$IV,12,FALSE)+VLOOKUP(A45,'[12]REM Calculation (w profit adj)'!$A:$IV,12,FALSE)</f>
        <v>0</v>
      </c>
      <c r="M45" s="22">
        <f t="shared" si="3"/>
        <v>142437179.60979465</v>
      </c>
      <c r="N45" s="36">
        <f>VLOOKUP(A45,'Variable Input'!$1:$1048576,23,FALSE)</f>
        <v>1.0181752931904677</v>
      </c>
      <c r="O45" s="22">
        <f t="shared" si="4"/>
        <v>139894555.05590355</v>
      </c>
      <c r="P45" s="27">
        <f>IFERROR(VLOOKUP(A45,'Variable Input'!$1:$1048576,7,FALSE),0)+VLOOKUP(A45,'[11]Rate Application - ICC Cycle I'!$A:$IV,16,FALSE)+VLOOKUP(A45,'[12]REM Calculation (w profit adj)'!$A:$IV,16,FALSE)</f>
        <v>11865.544849473112</v>
      </c>
      <c r="Q45" s="18">
        <f t="shared" si="5"/>
        <v>11789.981566848619</v>
      </c>
      <c r="R45" s="18">
        <f t="shared" si="6"/>
        <v>139894555.05590355</v>
      </c>
      <c r="S45" s="20">
        <f>IFERROR(VLOOKUP(A45,RESCMAD!$1:$1048576,8,FALSE),0)</f>
        <v>0</v>
      </c>
      <c r="T45" s="19">
        <f>IF(C45=5,(S45*P45)*IME!$L$7,(S45*P45)*IME!$L$8)+VLOOKUP(A45,'[11]Rate Application - ICC Cycle I'!$A:$IV,20,FALSE)+VLOOKUP(A45,'[12]REM Calculation (w profit adj)'!$A:$IV,20,FALSE)</f>
        <v>0</v>
      </c>
      <c r="U45" s="19">
        <v>0</v>
      </c>
      <c r="V45" s="22">
        <f t="shared" si="7"/>
        <v>139894555.05590355</v>
      </c>
      <c r="W45" s="17">
        <f t="shared" si="8"/>
        <v>0</v>
      </c>
      <c r="X45" s="19">
        <f t="shared" si="10"/>
        <v>139894555.05590355</v>
      </c>
      <c r="Y45" s="15">
        <f t="shared" si="11"/>
        <v>11789.981566848619</v>
      </c>
    </row>
    <row r="46" spans="1:25" ht="18.75" customHeight="1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19">
        <f>IFERROR(VLOOKUP(A46,'Variable Input'!$1:$1048576,6,FALSE),0)+VLOOKUP(A46,'[11]Rate Application - ICC Cycle I'!$A:$IV,4,FALSE)+VLOOKUP(A46,'[12]REM Calculation (w profit adj)'!$A:$IV,4,FALSE)</f>
        <v>331531184.41494548</v>
      </c>
      <c r="E46" s="19">
        <f t="shared" si="0"/>
        <v>12573.287265621981</v>
      </c>
      <c r="F46" s="19">
        <f>IFERROR(VLOOKUP(A46,'Drug Overhead'!$1:$1048576,13,FALSE)*VLOOKUP(A46,Volume!A:K,11,FALSE),0)+VLOOKUP(A46,'[11]Rate Application - ICC Cycle I'!$A:$IV,6,FALSE)+VLOOKUP(A46,'[12]REM Calculation (w profit adj)'!$A:$IV,6,FALSE)</f>
        <v>4212585.6869623968</v>
      </c>
      <c r="G46" s="19">
        <f t="shared" si="1"/>
        <v>335743770.10190791</v>
      </c>
      <c r="H46" s="19">
        <f t="shared" si="9"/>
        <v>12733.049159715581</v>
      </c>
      <c r="I46" s="36">
        <f>VLOOKUP(A46,'Variable Input'!$1:$1048576,8,FALSE)</f>
        <v>1.1146605541082666</v>
      </c>
      <c r="J46" s="19">
        <f t="shared" si="2"/>
        <v>301207187.12478745</v>
      </c>
      <c r="K46" s="63">
        <f>J46*(1-VLOOKUP(A46,'PROFIT (18,19,22)'!$1:$1048576,7,FALSE))</f>
        <v>246165900.15367678</v>
      </c>
      <c r="L46" s="19">
        <f>IFERROR(VLOOKUP(A46,'Variable Input'!$1:$1048576,26,FALSE)*VLOOKUP(A46,Volume!A:K,11,FALSE),0)+VLOOKUP(A46,'[11]Rate Application - ICC Cycle I'!$A:$IV,12,FALSE)+VLOOKUP(A46,'[12]REM Calculation (w profit adj)'!$A:$IV,12,FALSE)</f>
        <v>0</v>
      </c>
      <c r="M46" s="22">
        <f t="shared" si="3"/>
        <v>246165900.15367678</v>
      </c>
      <c r="N46" s="36">
        <f>VLOOKUP(A46,'Variable Input'!$1:$1048576,23,FALSE)</f>
        <v>0.99671861092415948</v>
      </c>
      <c r="O46" s="22">
        <f t="shared" si="4"/>
        <v>246976325.57039469</v>
      </c>
      <c r="P46" s="27">
        <f>IFERROR(VLOOKUP(A46,'Variable Input'!$1:$1048576,7,FALSE),0)+VLOOKUP(A46,'[11]Rate Application - ICC Cycle I'!$A:$IV,16,FALSE)+VLOOKUP(A46,'[12]REM Calculation (w profit adj)'!$A:$IV,16,FALSE)</f>
        <v>26367.900248443511</v>
      </c>
      <c r="Q46" s="18">
        <f t="shared" si="5"/>
        <v>9366.5526357175004</v>
      </c>
      <c r="R46" s="18">
        <f t="shared" si="6"/>
        <v>246976325.57039469</v>
      </c>
      <c r="S46" s="20">
        <f>IFERROR(VLOOKUP(A46,RESCMAD!$1:$1048576,8,FALSE),0)</f>
        <v>0</v>
      </c>
      <c r="T46" s="19">
        <f>IF(C46=5,(S46*P46)*IME!$L$7,(S46*P46)*IME!$L$8)+VLOOKUP(A46,'[11]Rate Application - ICC Cycle I'!$A:$IV,20,FALSE)+VLOOKUP(A46,'[12]REM Calculation (w profit adj)'!$A:$IV,20,FALSE)</f>
        <v>0</v>
      </c>
      <c r="U46" s="19">
        <v>0</v>
      </c>
      <c r="V46" s="22">
        <f t="shared" si="7"/>
        <v>246976325.57039469</v>
      </c>
      <c r="W46" s="17">
        <f t="shared" si="8"/>
        <v>0</v>
      </c>
      <c r="X46" s="19">
        <f t="shared" si="10"/>
        <v>246976325.57039469</v>
      </c>
      <c r="Y46" s="15">
        <f t="shared" si="11"/>
        <v>9366.5526357175004</v>
      </c>
    </row>
    <row r="47" spans="1:25" ht="18.75" customHeight="1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19">
        <f>IFERROR(VLOOKUP(A47,'Variable Input'!$1:$1048576,6,FALSE),0)+VLOOKUP(A47,'[11]Rate Application - ICC Cycle I'!$A:$IV,4,FALSE)+VLOOKUP(A47,'[12]REM Calculation (w profit adj)'!$A:$IV,4,FALSE)</f>
        <v>862011184.51488352</v>
      </c>
      <c r="E47" s="19">
        <f t="shared" si="0"/>
        <v>17155.464933741277</v>
      </c>
      <c r="F47" s="19">
        <f>IFERROR(VLOOKUP(A47,'Drug Overhead'!$1:$1048576,13,FALSE)*VLOOKUP(A47,Volume!A:K,11,FALSE),0)+VLOOKUP(A47,'[11]Rate Application - ICC Cycle I'!$A:$IV,6,FALSE)+VLOOKUP(A47,'[12]REM Calculation (w profit adj)'!$A:$IV,6,FALSE)</f>
        <v>292349.62215318083</v>
      </c>
      <c r="G47" s="19">
        <f t="shared" si="1"/>
        <v>862303534.13703668</v>
      </c>
      <c r="H47" s="19">
        <f t="shared" si="9"/>
        <v>17161.283180396702</v>
      </c>
      <c r="I47" s="36">
        <f>VLOOKUP(A47,'Variable Input'!$1:$1048576,8,FALSE)</f>
        <v>1.1171440000317876</v>
      </c>
      <c r="J47" s="19">
        <f t="shared" si="2"/>
        <v>771882169.27495503</v>
      </c>
      <c r="K47" s="63">
        <f>J47*(1-VLOOKUP(A47,'PROFIT (18,19,22)'!$1:$1048576,7,FALSE))</f>
        <v>736206934.96032238</v>
      </c>
      <c r="L47" s="19">
        <f>IFERROR(VLOOKUP(A47,'Variable Input'!$1:$1048576,26,FALSE)*VLOOKUP(A47,Volume!A:K,11,FALSE),0)+VLOOKUP(A47,'[11]Rate Application - ICC Cycle I'!$A:$IV,12,FALSE)+VLOOKUP(A47,'[12]REM Calculation (w profit adj)'!$A:$IV,12,FALSE)</f>
        <v>0</v>
      </c>
      <c r="M47" s="22">
        <f t="shared" si="3"/>
        <v>736206934.96032238</v>
      </c>
      <c r="N47" s="36">
        <f>VLOOKUP(A47,'Variable Input'!$1:$1048576,23,FALSE)</f>
        <v>1.0181752931904677</v>
      </c>
      <c r="O47" s="22">
        <f t="shared" si="4"/>
        <v>723065016.29341912</v>
      </c>
      <c r="P47" s="27">
        <f>IFERROR(VLOOKUP(A47,'Variable Input'!$1:$1048576,7,FALSE),0)+VLOOKUP(A47,'[11]Rate Application - ICC Cycle I'!$A:$IV,16,FALSE)+VLOOKUP(A47,'[12]REM Calculation (w profit adj)'!$A:$IV,16,FALSE)</f>
        <v>50247.031359638902</v>
      </c>
      <c r="Q47" s="18">
        <f t="shared" si="5"/>
        <v>14390.203694187267</v>
      </c>
      <c r="R47" s="18">
        <f t="shared" si="6"/>
        <v>723065016.29341912</v>
      </c>
      <c r="S47" s="20">
        <f>IFERROR(VLOOKUP(A47,RESCMAD!$1:$1048576,8,FALSE),0)</f>
        <v>0</v>
      </c>
      <c r="T47" s="19">
        <f>IF(C47=5,(S47*P47)*IME!$L$7,(S47*P47)*IME!$L$8)+VLOOKUP(A47,'[11]Rate Application - ICC Cycle I'!$A:$IV,20,FALSE)+VLOOKUP(A47,'[12]REM Calculation (w profit adj)'!$A:$IV,20,FALSE)</f>
        <v>0</v>
      </c>
      <c r="U47" s="19">
        <v>0</v>
      </c>
      <c r="V47" s="22">
        <f t="shared" si="7"/>
        <v>723065016.29341912</v>
      </c>
      <c r="W47" s="17">
        <f t="shared" si="8"/>
        <v>0</v>
      </c>
      <c r="X47" s="19">
        <f t="shared" si="10"/>
        <v>723065016.29341912</v>
      </c>
      <c r="Y47" s="15">
        <f t="shared" si="11"/>
        <v>14390.203694187267</v>
      </c>
    </row>
    <row r="48" spans="1:25" ht="18.75" customHeight="1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19">
        <f>IFERROR(VLOOKUP(A48,'Variable Input'!$1:$1048576,6,FALSE),0)+VLOOKUP(A48,'[11]Rate Application - ICC Cycle I'!$A:$IV,4,FALSE)+VLOOKUP(A48,'[12]REM Calculation (w profit adj)'!$A:$IV,4,FALSE)</f>
        <v>1211710814.2834592</v>
      </c>
      <c r="E48" s="19">
        <f t="shared" si="0"/>
        <v>13713.259826129839</v>
      </c>
      <c r="F48" s="19">
        <f>IFERROR(VLOOKUP(A48,'Drug Overhead'!$1:$1048576,13,FALSE)*VLOOKUP(A48,Volume!A:K,11,FALSE),0)+VLOOKUP(A48,'[11]Rate Application - ICC Cycle I'!$A:$IV,6,FALSE)+VLOOKUP(A48,'[12]REM Calculation (w profit adj)'!$A:$IV,6,FALSE)</f>
        <v>9378600.0930323675</v>
      </c>
      <c r="G48" s="19">
        <f t="shared" si="1"/>
        <v>1221089414.3764915</v>
      </c>
      <c r="H48" s="19">
        <f t="shared" si="9"/>
        <v>13819.399986277846</v>
      </c>
      <c r="I48" s="36">
        <f>VLOOKUP(A48,'Variable Input'!$1:$1048576,8,FALSE)</f>
        <v>1.1140199775247721</v>
      </c>
      <c r="J48" s="19">
        <f t="shared" si="2"/>
        <v>1096110876.8350956</v>
      </c>
      <c r="K48" s="63">
        <f>J48*(1-VLOOKUP(A48,'PROFIT (18,19,22)'!$1:$1048576,7,FALSE))</f>
        <v>947507350.96833932</v>
      </c>
      <c r="L48" s="19">
        <f>IFERROR(VLOOKUP(A48,'Variable Input'!$1:$1048576,26,FALSE)*VLOOKUP(A48,Volume!A:K,11,FALSE),0)+VLOOKUP(A48,'[11]Rate Application - ICC Cycle I'!$A:$IV,12,FALSE)+VLOOKUP(A48,'[12]REM Calculation (w profit adj)'!$A:$IV,12,FALSE)</f>
        <v>0</v>
      </c>
      <c r="M48" s="22">
        <f t="shared" si="3"/>
        <v>947507350.96833932</v>
      </c>
      <c r="N48" s="36">
        <f>VLOOKUP(A48,'Variable Input'!$1:$1048576,23,FALSE)</f>
        <v>0.99671861092415948</v>
      </c>
      <c r="O48" s="22">
        <f t="shared" si="4"/>
        <v>950626727.12593234</v>
      </c>
      <c r="P48" s="27">
        <f>IFERROR(VLOOKUP(A48,'Variable Input'!$1:$1048576,7,FALSE),0)+VLOOKUP(A48,'[11]Rate Application - ICC Cycle I'!$A:$IV,16,FALSE)+VLOOKUP(A48,'[12]REM Calculation (w profit adj)'!$A:$IV,16,FALSE)</f>
        <v>88360.523292544414</v>
      </c>
      <c r="Q48" s="18">
        <f t="shared" si="5"/>
        <v>10758.500421942876</v>
      </c>
      <c r="R48" s="18">
        <f t="shared" si="6"/>
        <v>950626727.12593234</v>
      </c>
      <c r="S48" s="20">
        <f>IFERROR(VLOOKUP(A48,RESCMAD!$1:$1048576,8,FALSE),0)</f>
        <v>0</v>
      </c>
      <c r="T48" s="19">
        <f>IF(C48=5,(S48*P48)*IME!$L$7,(S48*P48)*IME!$L$8)+VLOOKUP(A48,'[11]Rate Application - ICC Cycle I'!$A:$IV,20,FALSE)+VLOOKUP(A48,'[12]REM Calculation (w profit adj)'!$A:$IV,20,FALSE)</f>
        <v>0</v>
      </c>
      <c r="U48" s="19">
        <v>0</v>
      </c>
      <c r="V48" s="22">
        <f t="shared" si="7"/>
        <v>950626727.12593234</v>
      </c>
      <c r="W48" s="17">
        <f t="shared" si="8"/>
        <v>0</v>
      </c>
      <c r="X48" s="19">
        <f t="shared" si="10"/>
        <v>950626727.12593234</v>
      </c>
      <c r="Y48" s="15">
        <f t="shared" si="11"/>
        <v>10758.500421942876</v>
      </c>
    </row>
    <row r="49" spans="1:25" ht="18.75" customHeight="1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19">
        <f>IFERROR(VLOOKUP(A49,'Variable Input'!$1:$1048576,6,FALSE),0)+VLOOKUP(A49,'[11]Rate Application - ICC Cycle I'!$A:$IV,4,FALSE)+VLOOKUP(A49,'[12]REM Calculation (w profit adj)'!$A:$IV,4,FALSE)</f>
        <v>366765567.84201878</v>
      </c>
      <c r="E49" s="19">
        <f t="shared" si="0"/>
        <v>14293.767403211185</v>
      </c>
      <c r="F49" s="19">
        <f>IFERROR(VLOOKUP(A49,'Drug Overhead'!$1:$1048576,13,FALSE)*VLOOKUP(A49,Volume!A:K,11,FALSE),0)+VLOOKUP(A49,'[11]Rate Application - ICC Cycle I'!$A:$IV,6,FALSE)+VLOOKUP(A49,'[12]REM Calculation (w profit adj)'!$A:$IV,6,FALSE)</f>
        <v>25760.00418255254</v>
      </c>
      <c r="G49" s="19">
        <f t="shared" si="1"/>
        <v>366791327.84620136</v>
      </c>
      <c r="H49" s="19">
        <f t="shared" si="9"/>
        <v>14294.771334715055</v>
      </c>
      <c r="I49" s="36">
        <f>VLOOKUP(A49,'Variable Input'!$1:$1048576,8,FALSE)</f>
        <v>1.1083143930424924</v>
      </c>
      <c r="J49" s="19">
        <f t="shared" si="2"/>
        <v>330945199.43867475</v>
      </c>
      <c r="K49" s="63">
        <f>J49*(1-VLOOKUP(A49,'PROFIT (18,19,22)'!$1:$1048576,7,FALSE))</f>
        <v>342008290.38457656</v>
      </c>
      <c r="L49" s="19">
        <f>IFERROR(VLOOKUP(A49,'Variable Input'!$1:$1048576,26,FALSE)*VLOOKUP(A49,Volume!A:K,11,FALSE),0)+VLOOKUP(A49,'[11]Rate Application - ICC Cycle I'!$A:$IV,12,FALSE)+VLOOKUP(A49,'[12]REM Calculation (w profit adj)'!$A:$IV,12,FALSE)</f>
        <v>0</v>
      </c>
      <c r="M49" s="22">
        <f t="shared" si="3"/>
        <v>342008290.38457656</v>
      </c>
      <c r="N49" s="36">
        <f>VLOOKUP(A49,'Variable Input'!$1:$1048576,23,FALSE)</f>
        <v>1.0181752931904677</v>
      </c>
      <c r="O49" s="22">
        <f t="shared" si="4"/>
        <v>335903152.11135048</v>
      </c>
      <c r="P49" s="27">
        <f>IFERROR(VLOOKUP(A49,'Variable Input'!$1:$1048576,7,FALSE),0)+VLOOKUP(A49,'[11]Rate Application - ICC Cycle I'!$A:$IV,16,FALSE)+VLOOKUP(A49,'[12]REM Calculation (w profit adj)'!$A:$IV,16,FALSE)</f>
        <v>25659.125232415816</v>
      </c>
      <c r="Q49" s="18">
        <f t="shared" si="5"/>
        <v>13090.982216611017</v>
      </c>
      <c r="R49" s="18">
        <f t="shared" si="6"/>
        <v>335903152.11135048</v>
      </c>
      <c r="S49" s="20">
        <f>IFERROR(VLOOKUP(A49,RESCMAD!$1:$1048576,8,FALSE),0)</f>
        <v>0</v>
      </c>
      <c r="T49" s="19">
        <f>IF(C49=5,(S49*P49)*IME!$L$7,(S49*P49)*IME!$L$8)+VLOOKUP(A49,'[11]Rate Application - ICC Cycle I'!$A:$IV,20,FALSE)+VLOOKUP(A49,'[12]REM Calculation (w profit adj)'!$A:$IV,20,FALSE)</f>
        <v>0</v>
      </c>
      <c r="U49" s="19">
        <v>0</v>
      </c>
      <c r="V49" s="22">
        <f t="shared" si="7"/>
        <v>335903152.11135048</v>
      </c>
      <c r="W49" s="17">
        <f t="shared" si="8"/>
        <v>0</v>
      </c>
      <c r="X49" s="19">
        <f t="shared" si="10"/>
        <v>335903152.11135048</v>
      </c>
      <c r="Y49" s="15">
        <f t="shared" si="11"/>
        <v>13090.982216611017</v>
      </c>
    </row>
    <row r="50" spans="1:25" ht="18.75" customHeight="1" x14ac:dyDescent="0.6">
      <c r="A50" s="37">
        <v>910003</v>
      </c>
      <c r="B50" s="26" t="str">
        <f>VLOOKUP(A50,'Variable Input'!$1:$1048576,2,FALSE)</f>
        <v>Prince Georges Hospital</v>
      </c>
      <c r="C50" s="33">
        <f>VLOOKUP(A50,'Variable Input'!$1:$1048576,4,FALSE)</f>
        <v>5</v>
      </c>
      <c r="D50" s="19">
        <f>IFERROR(VLOOKUP(A50,'Variable Input'!$1:$1048576,6,FALSE),0)+VLOOKUP(A50,'[11]Rate Application - ICC Cycle I'!$A:$IV,4,FALSE)+VLOOKUP(A50,'[12]REM Calculation (w profit adj)'!$A:$IV,4,FALSE)</f>
        <v>1018547309.8964415</v>
      </c>
      <c r="E50" s="19">
        <f t="shared" si="0"/>
        <v>19375.255068233313</v>
      </c>
      <c r="F50" s="19">
        <f>IFERROR(VLOOKUP(A50,'Drug Overhead'!$1:$1048576,13,FALSE)*VLOOKUP(A50,Volume!A:K,11,FALSE),0)+VLOOKUP(A50,'[11]Rate Application - ICC Cycle I'!$A:$IV,6,FALSE)+VLOOKUP(A50,'[12]REM Calculation (w profit adj)'!$A:$IV,6,FALSE)</f>
        <v>377483.33126677002</v>
      </c>
      <c r="G50" s="19">
        <f t="shared" si="1"/>
        <v>1018924793.2277082</v>
      </c>
      <c r="H50" s="19">
        <f t="shared" si="9"/>
        <v>19382.435722245395</v>
      </c>
      <c r="I50" s="272">
        <f>SUMIF($A$1:$A$65535,210003,I$1:I$65535)</f>
        <v>1.1150592197193865</v>
      </c>
      <c r="J50" s="19">
        <f t="shared" si="2"/>
        <v>913785362.43494654</v>
      </c>
      <c r="K50" s="35">
        <f>SUMIF($A$1:$A$65535,210003,K$1:K$65535)</f>
        <v>807240088.93567359</v>
      </c>
      <c r="L50" s="19">
        <f>IFERROR(VLOOKUP(A50,'Variable Input'!$1:$1048576,26,FALSE)*VLOOKUP(A50,Volume!A:K,11,FALSE),0)+VLOOKUP(A50,'[11]Rate Application - ICC Cycle I'!$A:$IV,12,FALSE)+VLOOKUP(A50,'[12]REM Calculation (w profit adj)'!$A:$IV,12,FALSE)</f>
        <v>20129432.280267306</v>
      </c>
      <c r="M50" s="22">
        <f t="shared" si="3"/>
        <v>787110656.65540624</v>
      </c>
      <c r="N50" s="272">
        <f>SUMIF($A$1:$A$65535,210003,N$1:N$65535)</f>
        <v>1.0181752931904677</v>
      </c>
      <c r="O50" s="22">
        <f t="shared" si="4"/>
        <v>773060063.35017526</v>
      </c>
      <c r="P50" s="27">
        <f>IFERROR(VLOOKUP(A50,'Variable Input'!$1:$1048576,7,FALSE),0)+VLOOKUP(A50,'[11]Rate Application - ICC Cycle I'!$A:$IV,16,FALSE)+VLOOKUP(A50,'[12]REM Calculation (w profit adj)'!$A:$IV,16,FALSE)</f>
        <v>52569.491669113559</v>
      </c>
      <c r="Q50" s="18">
        <f t="shared" si="5"/>
        <v>14705.488655207511</v>
      </c>
      <c r="R50" s="18">
        <f t="shared" si="6"/>
        <v>773060063.35017526</v>
      </c>
      <c r="S50" s="273">
        <f>SUMIF($A$1:$A$65535,210003,S$1:S$65535)</f>
        <v>2.8876763347746859E-3</v>
      </c>
      <c r="T50" s="19">
        <f>IF(C50=5,(S50*P50)*IME!$L$7,(S50*P50)*IME!$L$8)+VLOOKUP(A50,'[11]Rate Application - ICC Cycle I'!$A:$IV,20,FALSE)+VLOOKUP(A50,'[12]REM Calculation (w profit adj)'!$A:$IV,20,FALSE)</f>
        <v>64061445.960738577</v>
      </c>
      <c r="U50" s="19">
        <v>0</v>
      </c>
      <c r="V50" s="22">
        <f t="shared" si="7"/>
        <v>708998617.38943672</v>
      </c>
      <c r="W50" s="17">
        <f t="shared" si="8"/>
        <v>-8.2867359210251235E-2</v>
      </c>
      <c r="X50" s="19">
        <f t="shared" si="10"/>
        <v>708998617.38943672</v>
      </c>
      <c r="Y50" s="15">
        <f t="shared" si="11"/>
        <v>13486.883644454158</v>
      </c>
    </row>
    <row r="51" spans="1:25" ht="18.75" customHeight="1" x14ac:dyDescent="0.6">
      <c r="A51" s="37">
        <v>910008</v>
      </c>
      <c r="B51" s="26" t="str">
        <f>VLOOKUP(A51,'Variable Input'!$1:$1048576,2,FALSE)</f>
        <v>Mercy Medical Center</v>
      </c>
      <c r="C51" s="33">
        <f>VLOOKUP(A51,'Variable Input'!$1:$1048576,4,FALSE)</f>
        <v>5</v>
      </c>
      <c r="D51" s="19">
        <f>IFERROR(VLOOKUP(A51,'Variable Input'!$1:$1048576,6,FALSE),0)+VLOOKUP(A51,'[11]Rate Application - ICC Cycle I'!$A:$IV,4,FALSE)+VLOOKUP(A51,'[12]REM Calculation (w profit adj)'!$A:$IV,4,FALSE)</f>
        <v>1644970635.1084614</v>
      </c>
      <c r="E51" s="19">
        <f t="shared" si="0"/>
        <v>14992.646047692331</v>
      </c>
      <c r="F51" s="19">
        <f>IFERROR(VLOOKUP(A51,'Drug Overhead'!$1:$1048576,13,FALSE)*VLOOKUP(A51,Volume!A:K,11,FALSE),0)+VLOOKUP(A51,'[11]Rate Application - ICC Cycle I'!$A:$IV,6,FALSE)+VLOOKUP(A51,'[12]REM Calculation (w profit adj)'!$A:$IV,6,FALSE)</f>
        <v>24443363.988681592</v>
      </c>
      <c r="G51" s="19">
        <f t="shared" si="1"/>
        <v>1669413999.0971429</v>
      </c>
      <c r="H51" s="19">
        <f t="shared" si="9"/>
        <v>15215.42856834994</v>
      </c>
      <c r="I51" s="272">
        <f>SUMIF($A$1:$A$65535,210008,I$1:I$65535)</f>
        <v>1.1102695565875482</v>
      </c>
      <c r="J51" s="19">
        <f t="shared" si="2"/>
        <v>1503611433.0903068</v>
      </c>
      <c r="K51" s="35">
        <f>SUMIF($A$1:$A$65535,210008,K$1:K$65535)</f>
        <v>1404877781.8820677</v>
      </c>
      <c r="L51" s="19">
        <f>IFERROR(VLOOKUP(A51,'Variable Input'!$1:$1048576,26,FALSE)*VLOOKUP(A51,Volume!A:K,11,FALSE),0)+VLOOKUP(A51,'[11]Rate Application - ICC Cycle I'!$A:$IV,12,FALSE)+VLOOKUP(A51,'[12]REM Calculation (w profit adj)'!$A:$IV,12,FALSE)</f>
        <v>10060774.745197</v>
      </c>
      <c r="M51" s="22">
        <f t="shared" si="3"/>
        <v>1394817007.1368706</v>
      </c>
      <c r="N51" s="272">
        <f>SUMIF($A$1:$A$65535,210008,N$1:N$65535)</f>
        <v>0.99671861092415948</v>
      </c>
      <c r="O51" s="22">
        <f t="shared" si="4"/>
        <v>1399409012.5833945</v>
      </c>
      <c r="P51" s="27">
        <f>IFERROR(VLOOKUP(A51,'Variable Input'!$1:$1048576,7,FALSE),0)+VLOOKUP(A51,'[11]Rate Application - ICC Cycle I'!$A:$IV,16,FALSE)+VLOOKUP(A51,'[12]REM Calculation (w profit adj)'!$A:$IV,16,FALSE)</f>
        <v>109718.49998163969</v>
      </c>
      <c r="Q51" s="18">
        <f t="shared" si="5"/>
        <v>12754.540144256182</v>
      </c>
      <c r="R51" s="18">
        <f t="shared" si="6"/>
        <v>1399409012.5833945</v>
      </c>
      <c r="S51" s="273">
        <f>SUMIF($A$1:$A$65535,210008,S$1:S$65535)</f>
        <v>1.3017891569452743E-3</v>
      </c>
      <c r="T51" s="19">
        <f>IF(C51=5,(S51*P51)*IME!$L$7,(S51*P51)*IME!$L$8)+VLOOKUP(A51,'[11]Rate Application - ICC Cycle I'!$A:$IV,20,FALSE)+VLOOKUP(A51,'[12]REM Calculation (w profit adj)'!$A:$IV,20,FALSE)</f>
        <v>62205376.015600331</v>
      </c>
      <c r="U51" s="19">
        <v>0</v>
      </c>
      <c r="V51" s="22">
        <f t="shared" si="7"/>
        <v>1337203636.5677941</v>
      </c>
      <c r="W51" s="17">
        <f t="shared" si="8"/>
        <v>-4.4451175786531127E-2</v>
      </c>
      <c r="X51" s="19">
        <f t="shared" si="10"/>
        <v>1337203636.5677941</v>
      </c>
      <c r="Y51" s="15">
        <f t="shared" si="11"/>
        <v>12187.585838227482</v>
      </c>
    </row>
    <row r="52" spans="1:25" ht="18.75" customHeight="1" x14ac:dyDescent="0.6">
      <c r="A52" s="37">
        <v>910012</v>
      </c>
      <c r="B52" s="26" t="str">
        <f>VLOOKUP(A52,'Variable Input'!$1:$1048576,2,FALSE)</f>
        <v>Sinai Hospital</v>
      </c>
      <c r="C52" s="33">
        <f>VLOOKUP(A52,'Variable Input'!$1:$1048576,4,FALSE)</f>
        <v>5</v>
      </c>
      <c r="D52" s="19">
        <f>IFERROR(VLOOKUP(A52,'Variable Input'!$1:$1048576,6,FALSE),0)+VLOOKUP(A52,'[11]Rate Application - ICC Cycle I'!$A:$IV,4,FALSE)+VLOOKUP(A52,'[12]REM Calculation (w profit adj)'!$A:$IV,4,FALSE)</f>
        <v>2263455177.8935127</v>
      </c>
      <c r="E52" s="19">
        <f t="shared" si="0"/>
        <v>19119.586125889746</v>
      </c>
      <c r="F52" s="19">
        <f>IFERROR(VLOOKUP(A52,'Drug Overhead'!$1:$1048576,13,FALSE)*VLOOKUP(A52,Volume!A:K,11,FALSE),0)+VLOOKUP(A52,'[11]Rate Application - ICC Cycle I'!$A:$IV,6,FALSE)+VLOOKUP(A52,'[12]REM Calculation (w profit adj)'!$A:$IV,6,FALSE)</f>
        <v>43460516.249806523</v>
      </c>
      <c r="G52" s="19">
        <f t="shared" si="1"/>
        <v>2306915694.1433191</v>
      </c>
      <c r="H52" s="19">
        <f t="shared" si="9"/>
        <v>19486.700567399086</v>
      </c>
      <c r="I52" s="272">
        <f>SUMIF($A$1:$A$65535,210012,I$1:I$65535)</f>
        <v>1.1214469245143464</v>
      </c>
      <c r="J52" s="19">
        <f t="shared" si="2"/>
        <v>2057088609.1130455</v>
      </c>
      <c r="K52" s="35">
        <f>SUMIF($A$1:$A$65535,210012,K$1:K$65535)</f>
        <v>1815537658.8160007</v>
      </c>
      <c r="L52" s="19">
        <f>IFERROR(VLOOKUP(A52,'Variable Input'!$1:$1048576,26,FALSE)*VLOOKUP(A52,Volume!A:K,11,FALSE),0)+VLOOKUP(A52,'[11]Rate Application - ICC Cycle I'!$A:$IV,12,FALSE)+VLOOKUP(A52,'[12]REM Calculation (w profit adj)'!$A:$IV,12,FALSE)</f>
        <v>37605447.939936504</v>
      </c>
      <c r="M52" s="22">
        <f t="shared" si="3"/>
        <v>1777932210.8760643</v>
      </c>
      <c r="N52" s="272">
        <f>SUMIF($A$1:$A$65535,210012,N$1:N$65535)</f>
        <v>0.99671861092415948</v>
      </c>
      <c r="O52" s="22">
        <f t="shared" si="4"/>
        <v>1783785505.1462941</v>
      </c>
      <c r="P52" s="27">
        <f>IFERROR(VLOOKUP(A52,'Variable Input'!$1:$1048576,7,FALSE),0)+VLOOKUP(A52,'[11]Rate Application - ICC Cycle I'!$A:$IV,16,FALSE)+VLOOKUP(A52,'[12]REM Calculation (w profit adj)'!$A:$IV,16,FALSE)</f>
        <v>118384.10951943035</v>
      </c>
      <c r="Q52" s="18">
        <f t="shared" si="5"/>
        <v>15067.778204248958</v>
      </c>
      <c r="R52" s="18">
        <f t="shared" si="6"/>
        <v>1783785505.1462941</v>
      </c>
      <c r="S52" s="273">
        <f>SUMIF($A$1:$A$65535,210012,S$1:S$65535)</f>
        <v>3.2115467619769343E-3</v>
      </c>
      <c r="T52" s="19">
        <f>IF(C52=5,(S52*P52)*IME!$L$7,(S52*P52)*IME!$L$8)+VLOOKUP(A52,'[11]Rate Application - ICC Cycle I'!$A:$IV,20,FALSE)+VLOOKUP(A52,'[12]REM Calculation (w profit adj)'!$A:$IV,20,FALSE)</f>
        <v>161830019.6008966</v>
      </c>
      <c r="U52" s="19">
        <v>0</v>
      </c>
      <c r="V52" s="22">
        <f t="shared" si="7"/>
        <v>1621955485.5453975</v>
      </c>
      <c r="W52" s="17">
        <f t="shared" si="8"/>
        <v>-9.0722802228188515E-2</v>
      </c>
      <c r="X52" s="19">
        <f t="shared" si="10"/>
        <v>1621955485.5453975</v>
      </c>
      <c r="Y52" s="15">
        <f t="shared" si="11"/>
        <v>13700.787142206669</v>
      </c>
    </row>
    <row r="53" spans="1:25" ht="18.75" customHeight="1" x14ac:dyDescent="0.6">
      <c r="A53" s="37">
        <v>910024</v>
      </c>
      <c r="B53" s="26" t="str">
        <f>VLOOKUP(A53,'Variable Input'!$1:$1048576,2,FALSE)</f>
        <v>Union Memorial Hospital</v>
      </c>
      <c r="C53" s="33">
        <f>VLOOKUP(A53,'Variable Input'!$1:$1048576,4,FALSE)</f>
        <v>5</v>
      </c>
      <c r="D53" s="19">
        <f>IFERROR(VLOOKUP(A53,'Variable Input'!$1:$1048576,6,FALSE),0)+VLOOKUP(A53,'[11]Rate Application - ICC Cycle I'!$A:$IV,4,FALSE)+VLOOKUP(A53,'[12]REM Calculation (w profit adj)'!$A:$IV,4,FALSE)</f>
        <v>1326203310.5965068</v>
      </c>
      <c r="E53" s="19">
        <f t="shared" si="0"/>
        <v>16631.590626707359</v>
      </c>
      <c r="F53" s="19">
        <f>IFERROR(VLOOKUP(A53,'Drug Overhead'!$1:$1048576,13,FALSE)*VLOOKUP(A53,Volume!A:K,11,FALSE),0)+VLOOKUP(A53,'[11]Rate Application - ICC Cycle I'!$A:$IV,6,FALSE)+VLOOKUP(A53,'[12]REM Calculation (w profit adj)'!$A:$IV,6,FALSE)</f>
        <v>7699028.4560330091</v>
      </c>
      <c r="G53" s="19">
        <f t="shared" si="1"/>
        <v>1333902339.0525398</v>
      </c>
      <c r="H53" s="19">
        <f t="shared" si="9"/>
        <v>16728.142255315885</v>
      </c>
      <c r="I53" s="272">
        <f>SUMIF($A$1:$A$65535,210024,I$1:I$65535)</f>
        <v>1.1223202362274129</v>
      </c>
      <c r="J53" s="19">
        <f t="shared" si="2"/>
        <v>1188522042.1012301</v>
      </c>
      <c r="K53" s="35">
        <f>SUMIF($A$1:$A$65535,210024,K$1:K$65535)</f>
        <v>1104831162.6500368</v>
      </c>
      <c r="L53" s="19">
        <f>IFERROR(VLOOKUP(A53,'Variable Input'!$1:$1048576,26,FALSE)*VLOOKUP(A53,Volume!A:K,11,FALSE),0)+VLOOKUP(A53,'[11]Rate Application - ICC Cycle I'!$A:$IV,12,FALSE)+VLOOKUP(A53,'[12]REM Calculation (w profit adj)'!$A:$IV,12,FALSE)</f>
        <v>26307297.724741213</v>
      </c>
      <c r="M53" s="22">
        <f t="shared" si="3"/>
        <v>1078523864.9252956</v>
      </c>
      <c r="N53" s="272">
        <f>SUMIF($A$1:$A$65535,210024,N$1:N$65535)</f>
        <v>0.99671861092415948</v>
      </c>
      <c r="O53" s="22">
        <f t="shared" si="4"/>
        <v>1082074572.6070933</v>
      </c>
      <c r="P53" s="27">
        <f>IFERROR(VLOOKUP(A53,'Variable Input'!$1:$1048576,7,FALSE),0)+VLOOKUP(A53,'[11]Rate Application - ICC Cycle I'!$A:$IV,16,FALSE)+VLOOKUP(A53,'[12]REM Calculation (w profit adj)'!$A:$IV,16,FALSE)</f>
        <v>79740.0164760466</v>
      </c>
      <c r="Q53" s="18">
        <f t="shared" si="5"/>
        <v>13570.031966724533</v>
      </c>
      <c r="R53" s="18">
        <f t="shared" si="6"/>
        <v>1082074572.6070933</v>
      </c>
      <c r="S53" s="273">
        <f>SUMIF($A$1:$A$65535,210024,S$1:S$65535)</f>
        <v>3.2593483619453344E-3</v>
      </c>
      <c r="T53" s="19">
        <f>IF(C53=5,(S53*P53)*IME!$L$7,(S53*P53)*IME!$L$8)+VLOOKUP(A53,'[11]Rate Application - ICC Cycle I'!$A:$IV,20,FALSE)+VLOOKUP(A53,'[12]REM Calculation (w profit adj)'!$A:$IV,20,FALSE)</f>
        <v>108858166.14500917</v>
      </c>
      <c r="U53" s="19">
        <v>0</v>
      </c>
      <c r="V53" s="22">
        <f t="shared" si="7"/>
        <v>973216406.46208417</v>
      </c>
      <c r="W53" s="17">
        <f t="shared" si="8"/>
        <v>-0.10060135308672125</v>
      </c>
      <c r="X53" s="19">
        <f t="shared" si="10"/>
        <v>973216406.46208417</v>
      </c>
      <c r="Y53" s="15">
        <f t="shared" si="11"/>
        <v>12204.868389441985</v>
      </c>
    </row>
    <row r="54" spans="1:25" ht="18.75" customHeight="1" x14ac:dyDescent="0.6">
      <c r="A54" s="37">
        <v>910029</v>
      </c>
      <c r="B54" s="26" t="str">
        <f>VLOOKUP(A54,'Variable Input'!$1:$1048576,2,FALSE)</f>
        <v>Johns Hopkins Bayview Medical Center</v>
      </c>
      <c r="C54" s="33">
        <f>VLOOKUP(A54,'Variable Input'!$1:$1048576,4,FALSE)</f>
        <v>5</v>
      </c>
      <c r="D54" s="19">
        <f>IFERROR(VLOOKUP(A54,'Variable Input'!$1:$1048576,6,FALSE),0)+VLOOKUP(A54,'[11]Rate Application - ICC Cycle I'!$A:$IV,4,FALSE)+VLOOKUP(A54,'[12]REM Calculation (w profit adj)'!$A:$IV,4,FALSE)</f>
        <v>1910632810.5711179</v>
      </c>
      <c r="E54" s="19">
        <f t="shared" si="0"/>
        <v>17159.918067348026</v>
      </c>
      <c r="F54" s="19">
        <f>IFERROR(VLOOKUP(A54,'Drug Overhead'!$1:$1048576,13,FALSE)*VLOOKUP(A54,Volume!A:K,11,FALSE),0)+VLOOKUP(A54,'[11]Rate Application - ICC Cycle I'!$A:$IV,6,FALSE)+VLOOKUP(A54,'[12]REM Calculation (w profit adj)'!$A:$IV,6,FALSE)</f>
        <v>40798817.615991235</v>
      </c>
      <c r="G54" s="19">
        <f t="shared" si="1"/>
        <v>1951431628.187109</v>
      </c>
      <c r="H54" s="19">
        <f t="shared" si="9"/>
        <v>17526.343454613208</v>
      </c>
      <c r="I54" s="272">
        <f>SUMIF($A$1:$A$65535,210029,I$1:I$65535)</f>
        <v>1.1160480491569686</v>
      </c>
      <c r="J54" s="19">
        <f t="shared" si="2"/>
        <v>1748519366.7612839</v>
      </c>
      <c r="K54" s="35">
        <f>SUMIF($A$1:$A$65535,210029,K$1:K$65535)</f>
        <v>1777439686.700932</v>
      </c>
      <c r="L54" s="19">
        <f>IFERROR(VLOOKUP(A54,'Variable Input'!$1:$1048576,26,FALSE)*VLOOKUP(A54,Volume!A:K,11,FALSE),0)+VLOOKUP(A54,'[11]Rate Application - ICC Cycle I'!$A:$IV,12,FALSE)+VLOOKUP(A54,'[12]REM Calculation (w profit adj)'!$A:$IV,12,FALSE)</f>
        <v>44601488.618741974</v>
      </c>
      <c r="M54" s="22">
        <f t="shared" si="3"/>
        <v>1732838198.08219</v>
      </c>
      <c r="N54" s="272">
        <f>SUMIF($A$1:$A$65535,210029,N$1:N$65535)</f>
        <v>0.99671861092415948</v>
      </c>
      <c r="O54" s="22">
        <f t="shared" si="4"/>
        <v>1738543034.2025008</v>
      </c>
      <c r="P54" s="27">
        <f>IFERROR(VLOOKUP(A54,'Variable Input'!$1:$1048576,7,FALSE),0)+VLOOKUP(A54,'[11]Rate Application - ICC Cycle I'!$A:$IV,16,FALSE)+VLOOKUP(A54,'[12]REM Calculation (w profit adj)'!$A:$IV,16,FALSE)</f>
        <v>111342.76999880781</v>
      </c>
      <c r="Q54" s="18">
        <f t="shared" si="5"/>
        <v>15614.332517693929</v>
      </c>
      <c r="R54" s="18">
        <f t="shared" si="6"/>
        <v>1738543034.2025008</v>
      </c>
      <c r="S54" s="273">
        <f>SUMIF($A$1:$A$65535,210029,S$1:S$65535)</f>
        <v>3.9704286039970822E-3</v>
      </c>
      <c r="T54" s="19">
        <f>IF(C54=5,(S54*P54)*IME!$L$7,(S54*P54)*IME!$L$8)+VLOOKUP(A54,'[11]Rate Application - ICC Cycle I'!$A:$IV,20,FALSE)+VLOOKUP(A54,'[12]REM Calculation (w profit adj)'!$A:$IV,20,FALSE)</f>
        <v>186988854.90542814</v>
      </c>
      <c r="U54" s="19">
        <v>0</v>
      </c>
      <c r="V54" s="22">
        <f t="shared" si="7"/>
        <v>1551554179.2970726</v>
      </c>
      <c r="W54" s="17">
        <f t="shared" si="8"/>
        <v>-0.10755491881810286</v>
      </c>
      <c r="X54" s="19">
        <f t="shared" si="10"/>
        <v>1551554179.2970726</v>
      </c>
      <c r="Y54" s="15">
        <f t="shared" si="11"/>
        <v>13934.934251354494</v>
      </c>
    </row>
    <row r="55" spans="1:25" ht="17.7" x14ac:dyDescent="0.6">
      <c r="A55" s="26"/>
      <c r="B55" s="26"/>
      <c r="C55" s="31"/>
      <c r="D55" s="19"/>
      <c r="E55" s="19"/>
      <c r="F55" s="19"/>
      <c r="G55" s="19"/>
      <c r="H55" s="19"/>
      <c r="I55" s="21"/>
      <c r="J55" s="19"/>
      <c r="K55" s="63"/>
      <c r="L55" s="19"/>
      <c r="M55" s="22"/>
      <c r="N55" s="21"/>
      <c r="O55" s="22"/>
      <c r="Q55" s="22"/>
      <c r="R55" s="22"/>
      <c r="S55" s="20"/>
      <c r="T55" s="19"/>
      <c r="U55" s="19"/>
      <c r="V55" s="19"/>
      <c r="W55" s="17"/>
      <c r="X55" s="19"/>
      <c r="Y55" s="15"/>
    </row>
    <row r="56" spans="1:25" ht="17.7" x14ac:dyDescent="0.6">
      <c r="A56" s="26"/>
      <c r="B56" s="26"/>
      <c r="C56" s="31"/>
      <c r="D56" s="19"/>
      <c r="E56" s="64"/>
      <c r="F56" s="65"/>
      <c r="G56" s="65"/>
      <c r="H56" s="65"/>
      <c r="I56" s="65"/>
      <c r="J56" s="65"/>
      <c r="K56" s="65"/>
      <c r="L56" s="65"/>
      <c r="M56" s="65"/>
      <c r="N56" s="67"/>
      <c r="O56" s="65"/>
      <c r="P56" s="67"/>
      <c r="Q56" s="67"/>
      <c r="R56" s="65"/>
      <c r="S56" s="275"/>
      <c r="T56" s="65"/>
      <c r="U56" s="66"/>
      <c r="V56" s="65"/>
      <c r="W56" s="17"/>
      <c r="X56" s="65"/>
      <c r="Y56" s="67"/>
    </row>
    <row r="57" spans="1:25" ht="17.7" x14ac:dyDescent="0.6">
      <c r="A57" s="26"/>
      <c r="B57" s="26"/>
      <c r="C57" s="31"/>
      <c r="D57" s="19"/>
      <c r="E57" s="19">
        <f>P4*2000</f>
        <v>340156765.89805412</v>
      </c>
      <c r="F57" s="65"/>
      <c r="G57" s="65"/>
      <c r="H57" s="65"/>
      <c r="I57" s="65"/>
      <c r="J57" s="65"/>
      <c r="K57" s="65"/>
      <c r="L57" s="65"/>
      <c r="M57" s="65"/>
      <c r="N57" s="21"/>
      <c r="O57" s="65"/>
      <c r="Q57" s="22"/>
      <c r="R57" s="65"/>
      <c r="S57" s="20"/>
      <c r="T57" s="65"/>
      <c r="U57" s="66"/>
      <c r="V57" s="65"/>
      <c r="W57" s="17"/>
      <c r="X57" s="65"/>
      <c r="Y57" s="15"/>
    </row>
    <row r="58" spans="1:25" ht="17.7" x14ac:dyDescent="0.6">
      <c r="A58" s="26"/>
      <c r="B58" s="26"/>
      <c r="C58" s="31"/>
      <c r="D58" s="19"/>
      <c r="E58" s="19"/>
      <c r="F58" s="64"/>
      <c r="G58" s="64"/>
      <c r="H58" s="19"/>
      <c r="I58" s="21"/>
      <c r="J58" s="64"/>
      <c r="K58" s="64"/>
      <c r="L58" s="64"/>
      <c r="M58" s="64"/>
      <c r="N58" s="21"/>
      <c r="O58" s="64"/>
      <c r="Q58" s="22"/>
      <c r="R58" s="65"/>
      <c r="S58" s="20"/>
      <c r="T58" s="64"/>
      <c r="U58" s="19"/>
      <c r="V58" s="64"/>
      <c r="W58" s="17"/>
      <c r="X58" s="64"/>
      <c r="Y58" s="15"/>
    </row>
    <row r="59" spans="1:25" ht="17.7" x14ac:dyDescent="0.6">
      <c r="A59" s="26"/>
      <c r="B59" s="26"/>
      <c r="C59" s="31"/>
      <c r="D59" s="19"/>
      <c r="E59" s="19"/>
      <c r="F59" s="19"/>
      <c r="G59" s="19"/>
      <c r="H59" s="19"/>
      <c r="I59" s="21"/>
      <c r="J59" s="19"/>
      <c r="K59" s="63"/>
      <c r="L59" s="19"/>
      <c r="M59" s="22"/>
      <c r="N59" s="21"/>
      <c r="O59" s="22"/>
      <c r="Q59" s="22"/>
      <c r="R59" s="22"/>
      <c r="S59" s="20"/>
      <c r="T59" s="19"/>
      <c r="U59" s="19"/>
      <c r="V59" s="19"/>
      <c r="W59" s="17"/>
      <c r="X59" s="19"/>
      <c r="Y59" s="15"/>
    </row>
    <row r="60" spans="1:25" ht="17.7" x14ac:dyDescent="0.6">
      <c r="A60" s="26"/>
      <c r="B60" s="26"/>
      <c r="C60" s="31"/>
      <c r="D60" s="19"/>
      <c r="E60" s="19"/>
      <c r="F60" s="19"/>
      <c r="G60" s="19"/>
      <c r="H60" s="19"/>
      <c r="I60" s="21"/>
      <c r="J60" s="19"/>
      <c r="K60" s="63"/>
      <c r="L60" s="19"/>
      <c r="M60" s="22"/>
      <c r="N60" s="21"/>
      <c r="O60" s="22"/>
      <c r="Q60" s="22"/>
      <c r="R60" s="22"/>
      <c r="S60" s="20"/>
      <c r="T60" s="19"/>
      <c r="U60" s="19"/>
      <c r="V60" s="19"/>
      <c r="W60" s="17"/>
      <c r="X60" s="19"/>
      <c r="Y60" s="15"/>
    </row>
    <row r="61" spans="1:25" ht="17.7" x14ac:dyDescent="0.6">
      <c r="A61" s="32" t="s">
        <v>78</v>
      </c>
      <c r="B61" s="26" t="s">
        <v>77</v>
      </c>
      <c r="C61" s="31"/>
      <c r="D61" s="19">
        <f>SUBTOTAL(9,D2:D59)</f>
        <v>57462334803.085197</v>
      </c>
      <c r="E61" s="19">
        <f>D61/P61</f>
        <v>16264.439400764246</v>
      </c>
      <c r="F61" s="19">
        <f>SUBTOTAL(9,F2:F59)</f>
        <v>1206831637.8813033</v>
      </c>
      <c r="G61" s="19">
        <f>SUBTOTAL(9,G2:G59)</f>
        <v>58669166440.96653</v>
      </c>
      <c r="H61" s="19">
        <f>G61/P61</f>
        <v>16606.027331510704</v>
      </c>
      <c r="I61" s="21">
        <f>D61/J61</f>
        <v>1.0927172479887433</v>
      </c>
      <c r="J61" s="19">
        <f>SUBTOTAL(9,J2:J59)</f>
        <v>52586645730.037155</v>
      </c>
      <c r="K61" s="63" t="e">
        <f>SUBTOTAL(9,K2:K59)</f>
        <v>#N/A</v>
      </c>
      <c r="L61" s="19">
        <f>SUBTOTAL(9,L2:L59)</f>
        <v>1033345718.1348128</v>
      </c>
      <c r="M61" s="22" t="e">
        <f>SUBTOTAL(9,M2:M59)</f>
        <v>#N/A</v>
      </c>
      <c r="N61" s="21" t="e">
        <f>M61/O61</f>
        <v>#N/A</v>
      </c>
      <c r="O61" s="22" t="e">
        <f>SUBTOTAL(9,O2:O59)</f>
        <v>#N/A</v>
      </c>
      <c r="P61" s="27">
        <f>SUBTOTAL(9,P2:P59)</f>
        <v>3533004.328472896</v>
      </c>
      <c r="Q61" s="18" t="e">
        <f>+O61/P61</f>
        <v>#N/A</v>
      </c>
      <c r="R61" s="22">
        <f>SUBTOTAL(9,R2:R59)</f>
        <v>46934579572.721283</v>
      </c>
      <c r="S61" s="20"/>
      <c r="T61" s="22">
        <f>SUBTOTAL(9,T2:T59)</f>
        <v>3214968591.68256</v>
      </c>
      <c r="U61" s="19">
        <f>T61/P61</f>
        <v>909.98150377930517</v>
      </c>
      <c r="V61" s="22">
        <f>SUBTOTAL(9,V2:V59)</f>
        <v>43719610981.038719</v>
      </c>
      <c r="W61" s="17">
        <f>(V61/R61)-1</f>
        <v>-6.8498932363956433E-2</v>
      </c>
      <c r="X61" s="22">
        <f>SUBTOTAL(9,X2:X59)</f>
        <v>43719610981.038719</v>
      </c>
      <c r="Y61" s="38">
        <f>X61/P61</f>
        <v>12374.627064194983</v>
      </c>
    </row>
    <row r="62" spans="1:25" ht="17.7" x14ac:dyDescent="0.6">
      <c r="A62" s="29">
        <v>99</v>
      </c>
      <c r="B62" s="25" t="s">
        <v>76</v>
      </c>
      <c r="C62" s="31"/>
      <c r="D62" s="19">
        <f>SUM(D3:D54)-SUMPRODUCT((LEFT($A$3:$A$54,1)+0=9)*D3:D54)</f>
        <v>49298525559.019157</v>
      </c>
      <c r="E62" s="19">
        <f>D62/P62</f>
        <v>16104.053757111438</v>
      </c>
      <c r="F62" s="19">
        <f>SUM(F3:F54)-SUMPRODUCT((LEFT($A$3:$A$54,1)+0=9)*F3:F54)</f>
        <v>1090052428.2395241</v>
      </c>
      <c r="G62" s="19">
        <f>SUM(G3:G54)-SUMPRODUCT((LEFT($A$3:$A$54,1)+0=9)*G3:G54)</f>
        <v>50388577987.258713</v>
      </c>
      <c r="H62" s="19">
        <f>G62/P62</f>
        <v>16460.134648038369</v>
      </c>
      <c r="I62" s="21">
        <f>D62/J62</f>
        <v>1.0912760550802543</v>
      </c>
      <c r="J62" s="19">
        <f>SUM(J3:J54)-SUMPRODUCT((LEFT($A$3:$A$54,1)+0=9)*J3:J54)</f>
        <v>45175118916.536346</v>
      </c>
      <c r="K62" s="63" t="e">
        <f>SUM(K3:K54)-SUMPRODUCT((LEFT($A$3:$A$54,1)+0=9)*K3:K54)</f>
        <v>#N/A</v>
      </c>
      <c r="L62" s="19">
        <f>SUM(L3:L54)-SUMPRODUCT((LEFT($A$3:$A$54,1)+0=9)*L3:L54)</f>
        <v>894641276.82592881</v>
      </c>
      <c r="M62" s="22" t="e">
        <f>SUM(M3:M54)-SUMPRODUCT((LEFT($A$3:$A$54,1)+0=9)*M3:M54)</f>
        <v>#N/A</v>
      </c>
      <c r="N62" s="21" t="e">
        <f>M62/O62</f>
        <v>#N/A</v>
      </c>
      <c r="O62" s="22" t="e">
        <f>SUM(O3:O54)-SUMPRODUCT((LEFT($A$3:$A$54,1)+0=9)*O3:O54)</f>
        <v>#N/A</v>
      </c>
      <c r="P62" s="27">
        <f>SUM(P3:P54)-SUMPRODUCT((LEFT($A$3:$A$54,1)+0=9)*P3:P54)</f>
        <v>3061249.4408278582</v>
      </c>
      <c r="Q62" s="18" t="e">
        <f>+O62/P62</f>
        <v>#N/A</v>
      </c>
      <c r="R62" s="22">
        <f>SUM(R3:R54)-SUMPRODUCT((LEFT($A$3:$A$54,1)+0=9)*R3:R54)</f>
        <v>40157707384.831825</v>
      </c>
      <c r="S62" s="20">
        <f>VLOOKUP(B62,RESCMAD!$1:$1048576,8,FALSE)</f>
        <v>2.0291140123764734E-3</v>
      </c>
      <c r="T62" s="22">
        <f>SUM(T3:T54)-SUMPRODUCT((LEFT($A$3:$A$54,1)+0=9)*T3:T54)</f>
        <v>2631024729.0548873</v>
      </c>
      <c r="U62" s="19">
        <f>T62/P62</f>
        <v>859.4610729739735</v>
      </c>
      <c r="V62" s="22">
        <f>SUM(V3:V54)-SUMPRODUCT((LEFT($A$3:$A$54,1)+0=9)*V3:V54)</f>
        <v>37526682655.776932</v>
      </c>
      <c r="W62" s="17">
        <f>(V62/R62)-1</f>
        <v>-6.5517304158869138E-2</v>
      </c>
      <c r="X62" s="19">
        <f>SUM(X3:X54)-SUMPRODUCT((LEFT($A$3:$A$54,1)+0=9)*X3:X54)</f>
        <v>37526682655.776932</v>
      </c>
      <c r="Y62" s="15">
        <f>X62/P62</f>
        <v>12258.616418278067</v>
      </c>
    </row>
    <row r="63" spans="1:25" x14ac:dyDescent="0.5">
      <c r="T63" s="12"/>
      <c r="V63" s="12"/>
    </row>
    <row r="64" spans="1:25" x14ac:dyDescent="0.5">
      <c r="T64" s="12"/>
      <c r="V64" s="12"/>
    </row>
    <row r="65" spans="1:25" ht="17.7" x14ac:dyDescent="0.6">
      <c r="A65" s="31">
        <v>1</v>
      </c>
      <c r="B65" s="25" t="s">
        <v>75</v>
      </c>
      <c r="C65" s="31"/>
      <c r="D65" s="15">
        <f>SUMIF($C$1:$C$65535,1,D$1:D$65535)</f>
        <v>38375464250.231766</v>
      </c>
      <c r="E65" s="19">
        <f>D65/P65</f>
        <v>15100.048057873606</v>
      </c>
      <c r="F65" s="15">
        <f>SUMIF($C$1:$C$65535,1,F$1:F$65535)</f>
        <v>687748521.27151263</v>
      </c>
      <c r="G65" s="15">
        <f>SUMIF($C$1:$C$65535,1,G$1:G$65535)</f>
        <v>39063212771.503273</v>
      </c>
      <c r="H65" s="19">
        <f>G65/P65</f>
        <v>15370.664607427623</v>
      </c>
      <c r="I65" s="21">
        <f>D65/J65</f>
        <v>1.0968937548163142</v>
      </c>
      <c r="J65" s="15">
        <f>SUMIF($C$1:$C$65535,1,J$1:J$65535)</f>
        <v>34985580036.106705</v>
      </c>
      <c r="K65" s="62">
        <f>SUMIF($C$1:$C$65535,1,K$1:K$65535)</f>
        <v>31469203543.108444</v>
      </c>
      <c r="L65" s="15">
        <f>SUMIF($C$1:$C$65535,1,L$1:L$65535)</f>
        <v>376943849.64662027</v>
      </c>
      <c r="M65" s="18">
        <f>SUMIF($C$1:$C$65535,1,M$1:M$65535)</f>
        <v>31092259693.461819</v>
      </c>
      <c r="N65" s="21">
        <f>M65/O65</f>
        <v>1.0014707031514229</v>
      </c>
      <c r="O65" s="18">
        <f>SUMIF($C$1:$C$65535,1,O$1:O$65535)</f>
        <v>31046599361.939247</v>
      </c>
      <c r="P65" s="16">
        <f>SUMIF($C$1:$C$65535,1,P$1:P$65535)</f>
        <v>2541413.3851197697</v>
      </c>
      <c r="Q65" s="18">
        <f>+O65/P65</f>
        <v>12216.272859708775</v>
      </c>
      <c r="R65" s="18">
        <f>SUMIF($C$1:$C$65535,1,R$1:R$65535)</f>
        <v>31046599361.939247</v>
      </c>
      <c r="S65" s="20">
        <f>VLOOKUP(B65,RESCMAD!$1:$1048576,8,FALSE)</f>
        <v>9.9509813604894862E-4</v>
      </c>
      <c r="T65" s="18">
        <f>SUMIF($C$1:$C$65535,1,T$1:T$65535)</f>
        <v>514888290.09575212</v>
      </c>
      <c r="U65" s="19">
        <f>T65/P65</f>
        <v>202.59918874688969</v>
      </c>
      <c r="V65" s="18">
        <f>SUMIF($C$1:$C$65535,1,V$1:V$65535)</f>
        <v>30531711071.843498</v>
      </c>
      <c r="W65" s="17">
        <f>(V65/R65)-1</f>
        <v>-1.658436996893653E-2</v>
      </c>
      <c r="X65" s="15">
        <f>SUMIF($C$1:$C$65535,1,X$1:X$65535)</f>
        <v>30531711071.843498</v>
      </c>
      <c r="Y65" s="15">
        <f>X65/P65</f>
        <v>12013.673670961887</v>
      </c>
    </row>
    <row r="66" spans="1:25" ht="17.7" x14ac:dyDescent="0.6">
      <c r="A66" s="31">
        <v>3</v>
      </c>
      <c r="B66" s="25" t="s">
        <v>74</v>
      </c>
      <c r="C66" s="31"/>
      <c r="D66" s="15">
        <f>SUMIF($C$1:$C$65535,3,D$1:D$65535)</f>
        <v>0</v>
      </c>
      <c r="E66" s="19" t="e">
        <f>D66/P66</f>
        <v>#DIV/0!</v>
      </c>
      <c r="F66" s="15">
        <f>SUMIF($C$1:$C$65535,3,F$1:F$65535)</f>
        <v>0</v>
      </c>
      <c r="G66" s="15">
        <f>SUMIF($C$1:$C$65535,3,G$1:G$65535)</f>
        <v>0</v>
      </c>
      <c r="H66" s="19" t="e">
        <f>G66/P66</f>
        <v>#DIV/0!</v>
      </c>
      <c r="I66" s="21" t="e">
        <f>D66/J66</f>
        <v>#DIV/0!</v>
      </c>
      <c r="J66" s="15">
        <f>SUMIF($C$1:$C$65535,3,J$1:J$65535)</f>
        <v>0</v>
      </c>
      <c r="K66" s="62">
        <f>SUMIF($C$1:$C$65535,3,K$1:K$65535)</f>
        <v>0</v>
      </c>
      <c r="L66" s="15">
        <f>SUMIF($C$1:$C$65535,3,L$1:L$65535)</f>
        <v>0</v>
      </c>
      <c r="M66" s="18">
        <f>SUMIF($C$1:$C$65535,3,M$1:M$65535)</f>
        <v>0</v>
      </c>
      <c r="N66" s="21" t="e">
        <f>M66/O66</f>
        <v>#DIV/0!</v>
      </c>
      <c r="O66" s="18">
        <f>SUMIF($C$1:$C$65535,3,O$1:O$65535)</f>
        <v>0</v>
      </c>
      <c r="P66" s="16">
        <f>SUMIF($C$1:$C$65535,3,P$1:P$65535)</f>
        <v>0</v>
      </c>
      <c r="Q66" s="18" t="e">
        <f>+O66/P66</f>
        <v>#DIV/0!</v>
      </c>
      <c r="R66" s="18">
        <f>SUMIF($C$1:$C$65535,3,R$1:R$65535)</f>
        <v>0</v>
      </c>
      <c r="S66" s="20" t="e">
        <f>VLOOKUP(B66,RESCMAD!$1:$1048576,8,FALSE)</f>
        <v>#DIV/0!</v>
      </c>
      <c r="T66" s="18">
        <f>SUMIF($C$1:$C$65535,3,T$1:T$65535)</f>
        <v>0</v>
      </c>
      <c r="U66" s="19" t="e">
        <f>T66/P66</f>
        <v>#DIV/0!</v>
      </c>
      <c r="V66" s="18">
        <f>SUMIF($C$1:$C$65535,3,V$1:V$65535)</f>
        <v>0</v>
      </c>
      <c r="W66" s="17" t="e">
        <f>(V66/R66)-1</f>
        <v>#DIV/0!</v>
      </c>
      <c r="X66" s="15">
        <f>SUMIF($C$1:$C$65535,3,X$1:X$65535)</f>
        <v>0</v>
      </c>
      <c r="Y66" s="15" t="e">
        <f>X66/P66</f>
        <v>#DIV/0!</v>
      </c>
    </row>
    <row r="67" spans="1:25" ht="17.7" x14ac:dyDescent="0.6">
      <c r="A67" s="31">
        <v>4</v>
      </c>
      <c r="B67" s="25" t="s">
        <v>73</v>
      </c>
      <c r="C67" s="31"/>
      <c r="D67" s="15">
        <f>SUMIF($C$1:$C$65535,4,D$1:D$65535)</f>
        <v>0</v>
      </c>
      <c r="E67" s="19" t="e">
        <f>D67/P67</f>
        <v>#DIV/0!</v>
      </c>
      <c r="F67" s="15">
        <f>SUMIF($C$1:$C$65535,4,F$1:F$65535)</f>
        <v>0</v>
      </c>
      <c r="G67" s="15">
        <f>SUMIF($C$1:$C$65535,4,G$1:G$65535)</f>
        <v>0</v>
      </c>
      <c r="H67" s="19" t="e">
        <f>G67/P67</f>
        <v>#DIV/0!</v>
      </c>
      <c r="I67" s="21" t="e">
        <f>D67/J67</f>
        <v>#DIV/0!</v>
      </c>
      <c r="J67" s="15">
        <f>SUMIF($C$1:$C$65535,4,J$1:J$65535)</f>
        <v>0</v>
      </c>
      <c r="K67" s="62">
        <f>SUMIF($C$1:$C$65535,4,K$1:K$65535)</f>
        <v>0</v>
      </c>
      <c r="L67" s="15">
        <f>SUMIF($C$1:$C$65535,4,L$1:L$65535)</f>
        <v>0</v>
      </c>
      <c r="M67" s="18">
        <f>SUMIF($C$1:$C$65535,4,M$1:M$65535)</f>
        <v>0</v>
      </c>
      <c r="N67" s="21" t="e">
        <f>M67/O67</f>
        <v>#DIV/0!</v>
      </c>
      <c r="O67" s="18">
        <f>SUMIF($C$1:$C$65535,4,O$1:O$65535)</f>
        <v>0</v>
      </c>
      <c r="P67" s="16">
        <f>SUMIF($C$1:$C$65535,4,P$1:P$65535)</f>
        <v>0</v>
      </c>
      <c r="Q67" s="18" t="e">
        <f>+O67/P67</f>
        <v>#DIV/0!</v>
      </c>
      <c r="R67" s="18">
        <f>SUMIF($C$1:$C$65535,4,R$1:R$65535)</f>
        <v>0</v>
      </c>
      <c r="S67" s="20" t="e">
        <f>VLOOKUP(B67,RESCMAD!$1:$1048576,8,FALSE)</f>
        <v>#DIV/0!</v>
      </c>
      <c r="T67" s="18">
        <f>SUMIF($C$1:$C$65535,4,T$1:T$65535)</f>
        <v>0</v>
      </c>
      <c r="U67" s="19" t="e">
        <f>T67/P67</f>
        <v>#DIV/0!</v>
      </c>
      <c r="V67" s="18">
        <f>SUMIF($C$1:$C$65535,4,V$1:V$65535)</f>
        <v>0</v>
      </c>
      <c r="W67" s="17" t="e">
        <f>(V67/R67)-1</f>
        <v>#DIV/0!</v>
      </c>
      <c r="X67" s="15">
        <f>SUMIF($C$1:$C$65535,4,X$1:X$65535)</f>
        <v>0</v>
      </c>
      <c r="Y67" s="15" t="e">
        <f>X67/P67</f>
        <v>#DIV/0!</v>
      </c>
    </row>
    <row r="68" spans="1:25" ht="17.7" x14ac:dyDescent="0.6">
      <c r="A68" s="29">
        <v>5</v>
      </c>
      <c r="B68" s="25" t="s">
        <v>72</v>
      </c>
      <c r="C68" s="31"/>
      <c r="D68" s="15">
        <f>SUMIF($C$1:$C$65535,5,D$1:D$65535)</f>
        <v>18614439490.76096</v>
      </c>
      <c r="E68" s="19">
        <f>D68/P68</f>
        <v>19413.453168036322</v>
      </c>
      <c r="F68" s="15">
        <f>SUMIF($C$1:$C$65535,5,F$1:F$65535)</f>
        <v>513718843.85607415</v>
      </c>
      <c r="G68" s="15">
        <f>SUMIF($C$1:$C$65535,5,G$1:G$65535)</f>
        <v>19128158334.617035</v>
      </c>
      <c r="H68" s="19">
        <f>G68/P68</f>
        <v>19949.223085883576</v>
      </c>
      <c r="I68" s="21">
        <f>D68/J68</f>
        <v>1.0828441399720055</v>
      </c>
      <c r="J68" s="15">
        <f>SUMIF($C$1:$C$65535,5,J$1:J$65535)</f>
        <v>17190322045.093391</v>
      </c>
      <c r="K68" s="62">
        <f>SUMIF($C$1:$C$65535,5,K$1:K$65535)</f>
        <v>16508335390.227139</v>
      </c>
      <c r="L68" s="15">
        <f>SUMIF($C$1:$C$65535,5,L$1:L$65535)</f>
        <v>655902519.9938525</v>
      </c>
      <c r="M68" s="18">
        <f>SUMIF($C$1:$C$65535,5,M$1:M$65535)</f>
        <v>15852432870.233288</v>
      </c>
      <c r="N68" s="21">
        <f>M68/O68</f>
        <v>0.99776262683631545</v>
      </c>
      <c r="O68" s="18">
        <f>SUMIF($C$1:$C$65535,5,O$1:O$65535)</f>
        <v>15887980210.782043</v>
      </c>
      <c r="P68" s="16">
        <f>SUMIF($C$1:$C$65535,5,P$1:P$65535)</f>
        <v>958842.26930884633</v>
      </c>
      <c r="Q68" s="18">
        <f>+O68/P68</f>
        <v>16569.962254828872</v>
      </c>
      <c r="R68" s="18">
        <f>SUMIF($C$1:$C$65535,5,R$1:R$65535)</f>
        <v>15887980210.782043</v>
      </c>
      <c r="S68" s="20">
        <f>VLOOKUP(B68,RESCMAD!$1:$1048576,8,FALSE)</f>
        <v>3.8577512918237028E-3</v>
      </c>
      <c r="T68" s="18">
        <f>SUMIF($C$1:$C$65535,5,T$1:T$65535)</f>
        <v>2700080301.5868073</v>
      </c>
      <c r="U68" s="19">
        <f>T68/P68</f>
        <v>2815.979632951603</v>
      </c>
      <c r="V68" s="18">
        <f>SUMIF($C$1:$C$65535,5,V$1:V$65535)</f>
        <v>13187899909.195234</v>
      </c>
      <c r="W68" s="17">
        <f>(V68/R68)-1</f>
        <v>-0.16994484294199064</v>
      </c>
      <c r="X68" s="15">
        <f>SUMIF($C$1:$C$65535,5,X$1:X$65535)</f>
        <v>13187899909.195234</v>
      </c>
      <c r="Y68" s="15">
        <f>X68/P68</f>
        <v>13753.982621877267</v>
      </c>
    </row>
    <row r="70" spans="1:25" x14ac:dyDescent="0.5">
      <c r="K70" s="61"/>
      <c r="L70" s="59"/>
    </row>
    <row r="71" spans="1:25" x14ac:dyDescent="0.5">
      <c r="K71" s="60"/>
      <c r="L71" s="59"/>
    </row>
    <row r="72" spans="1:25" x14ac:dyDescent="0.5">
      <c r="L72" s="59"/>
    </row>
    <row r="73" spans="1:25" x14ac:dyDescent="0.5">
      <c r="L73" s="59"/>
    </row>
  </sheetData>
  <sheetCalcPr fullCalcOnLoad="1"/>
  <autoFilter ref="A2:AA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0"/>
  <sheetViews>
    <sheetView topLeftCell="A6" workbookViewId="0">
      <selection activeCell="C27" sqref="C27"/>
    </sheetView>
  </sheetViews>
  <sheetFormatPr defaultRowHeight="14.4" x14ac:dyDescent="0.55000000000000004"/>
  <cols>
    <col min="1" max="1" width="23.83984375" bestFit="1" customWidth="1"/>
    <col min="2" max="2" width="17.41796875" bestFit="1" customWidth="1"/>
    <col min="3" max="3" width="16.41796875" bestFit="1" customWidth="1"/>
    <col min="4" max="4" width="20.41796875" bestFit="1" customWidth="1"/>
    <col min="5" max="5" width="21.15625" bestFit="1" customWidth="1"/>
    <col min="6" max="6" width="22" bestFit="1" customWidth="1"/>
    <col min="7" max="7" width="19.83984375" bestFit="1" customWidth="1"/>
    <col min="8" max="8" width="41" bestFit="1" customWidth="1"/>
    <col min="9" max="9" width="34.15625" bestFit="1" customWidth="1"/>
    <col min="10" max="10" width="26.15625" bestFit="1" customWidth="1"/>
    <col min="11" max="11" width="26.26171875" bestFit="1" customWidth="1"/>
  </cols>
  <sheetData>
    <row r="1" spans="1:11" x14ac:dyDescent="0.55000000000000004">
      <c r="A1" s="1" t="s">
        <v>612</v>
      </c>
      <c r="B1" s="318">
        <v>1</v>
      </c>
    </row>
    <row r="2" spans="1:11" x14ac:dyDescent="0.55000000000000004">
      <c r="A2" s="1" t="s">
        <v>576</v>
      </c>
      <c r="B2" t="s">
        <v>51</v>
      </c>
      <c r="G2" s="92"/>
      <c r="H2" s="281"/>
      <c r="I2" s="281"/>
    </row>
    <row r="4" spans="1:11" ht="16.2" x14ac:dyDescent="0.85">
      <c r="A4" s="1" t="s">
        <v>274</v>
      </c>
      <c r="B4" s="1" t="s">
        <v>265</v>
      </c>
      <c r="C4" t="s">
        <v>273</v>
      </c>
      <c r="D4" t="s">
        <v>574</v>
      </c>
      <c r="E4" t="s">
        <v>575</v>
      </c>
      <c r="F4" s="189" t="s">
        <v>272</v>
      </c>
      <c r="G4" s="411" t="s">
        <v>271</v>
      </c>
      <c r="H4" s="189" t="s">
        <v>270</v>
      </c>
      <c r="I4" s="189" t="s">
        <v>269</v>
      </c>
      <c r="J4" s="412" t="s">
        <v>268</v>
      </c>
      <c r="K4" s="412" t="s">
        <v>267</v>
      </c>
    </row>
    <row r="5" spans="1:11" x14ac:dyDescent="0.55000000000000004">
      <c r="A5">
        <v>210001</v>
      </c>
      <c r="B5" t="s">
        <v>28</v>
      </c>
      <c r="C5" s="281">
        <v>5067.2999999999993</v>
      </c>
      <c r="D5" s="335">
        <v>18</v>
      </c>
      <c r="E5" s="281">
        <v>281.51666666666665</v>
      </c>
      <c r="F5" s="92">
        <f>IF(E5-$E$24&gt;0,E5-$E$24,0)</f>
        <v>113.59864641596764</v>
      </c>
      <c r="G5" s="92">
        <f>VLOOKUP(A5,'Variable Input'!$1:$1048576,20,FALSE)</f>
        <v>18</v>
      </c>
      <c r="H5" s="92">
        <f>G5*F5</f>
        <v>2044.7756354874175</v>
      </c>
      <c r="I5" s="413">
        <f>IF((D5-G5)*E5&gt;0,(D5-G5)*E5,0)</f>
        <v>0</v>
      </c>
      <c r="J5" s="413">
        <f>H5+I5</f>
        <v>2044.7756354874175</v>
      </c>
      <c r="K5" s="413">
        <f>IF(G5-D5&gt;0,G5-D5,0)</f>
        <v>0</v>
      </c>
    </row>
    <row r="6" spans="1:11" x14ac:dyDescent="0.55000000000000004">
      <c r="A6">
        <v>210002</v>
      </c>
      <c r="B6" t="s">
        <v>42</v>
      </c>
      <c r="C6" s="281">
        <v>146521.70961469889</v>
      </c>
      <c r="D6" s="335">
        <v>519.82700244852253</v>
      </c>
      <c r="E6" s="281">
        <v>281.86629190969865</v>
      </c>
      <c r="F6" s="92">
        <f t="shared" ref="F6:F21" si="0">IF(E6-$E$24&gt;0,E6-$E$24,0)</f>
        <v>113.94827165899963</v>
      </c>
      <c r="G6" s="92">
        <f>VLOOKUP(A6,'Variable Input'!$1:$1048576,20,FALSE)</f>
        <v>525.1</v>
      </c>
      <c r="H6" s="92">
        <f t="shared" ref="H6:H23" si="1">G6*F6</f>
        <v>59834.23744814071</v>
      </c>
      <c r="I6" s="413">
        <f t="shared" ref="I6:I23" si="2">IF((D6-G6)*E6&gt;0,(D6-G6)*E6,0)</f>
        <v>0</v>
      </c>
      <c r="J6" s="413">
        <f t="shared" ref="J6:J23" si="3">H6+I6</f>
        <v>59834.23744814071</v>
      </c>
      <c r="K6" s="413">
        <f t="shared" ref="K6:K23" si="4">IF(G6-D6&gt;0,G6-D6,0)</f>
        <v>5.2729975514774878</v>
      </c>
    </row>
    <row r="7" spans="1:11" x14ac:dyDescent="0.55000000000000004">
      <c r="A7">
        <v>210003</v>
      </c>
      <c r="B7" t="s">
        <v>216</v>
      </c>
      <c r="C7" s="281">
        <v>5899.6141900000002</v>
      </c>
      <c r="D7" s="335">
        <v>63.80619230769237</v>
      </c>
      <c r="E7" s="281">
        <v>92.461467713828029</v>
      </c>
      <c r="F7" s="92">
        <f t="shared" si="0"/>
        <v>0</v>
      </c>
      <c r="G7" s="92">
        <f>VLOOKUP(A7,'Variable Input'!$1:$1048576,20,FALSE)</f>
        <v>48</v>
      </c>
      <c r="H7" s="92">
        <f t="shared" si="1"/>
        <v>0</v>
      </c>
      <c r="I7" s="413">
        <f t="shared" si="2"/>
        <v>1461.4637397362551</v>
      </c>
      <c r="J7" s="413">
        <f t="shared" si="3"/>
        <v>1461.4637397362551</v>
      </c>
      <c r="K7" s="413">
        <f t="shared" si="4"/>
        <v>0</v>
      </c>
    </row>
    <row r="8" spans="1:11" x14ac:dyDescent="0.55000000000000004">
      <c r="A8">
        <v>210004</v>
      </c>
      <c r="B8" t="s">
        <v>15</v>
      </c>
      <c r="C8" s="281">
        <v>2445.27</v>
      </c>
      <c r="D8" s="335">
        <v>23.92</v>
      </c>
      <c r="E8" s="281">
        <v>102.2270066889632</v>
      </c>
      <c r="F8" s="92">
        <f t="shared" si="0"/>
        <v>0</v>
      </c>
      <c r="G8" s="92">
        <f>VLOOKUP(A8,'Variable Input'!$1:$1048576,20,FALSE)</f>
        <v>19</v>
      </c>
      <c r="H8" s="92">
        <f t="shared" si="1"/>
        <v>0</v>
      </c>
      <c r="I8" s="413">
        <f t="shared" si="2"/>
        <v>502.95687290969914</v>
      </c>
      <c r="J8" s="413">
        <f t="shared" si="3"/>
        <v>502.95687290969914</v>
      </c>
      <c r="K8" s="413">
        <f t="shared" si="4"/>
        <v>0</v>
      </c>
    </row>
    <row r="9" spans="1:11" x14ac:dyDescent="0.55000000000000004">
      <c r="A9">
        <v>210008</v>
      </c>
      <c r="B9" t="s">
        <v>27</v>
      </c>
      <c r="C9" s="281">
        <v>5003.2076874727391</v>
      </c>
      <c r="D9" s="335">
        <v>48.410524038461546</v>
      </c>
      <c r="E9" s="281">
        <v>103.3495874470963</v>
      </c>
      <c r="F9" s="92">
        <f t="shared" si="0"/>
        <v>0</v>
      </c>
      <c r="G9" s="92">
        <f>VLOOKUP(A9,'Variable Input'!$1:$1048576,20,FALSE)</f>
        <v>63</v>
      </c>
      <c r="H9" s="92">
        <f>G9*F9</f>
        <v>0</v>
      </c>
      <c r="I9" s="413">
        <f t="shared" si="2"/>
        <v>0</v>
      </c>
      <c r="J9" s="413">
        <f t="shared" si="3"/>
        <v>0</v>
      </c>
      <c r="K9" s="413">
        <f t="shared" si="4"/>
        <v>14.589475961538454</v>
      </c>
    </row>
    <row r="10" spans="1:11" x14ac:dyDescent="0.55000000000000004">
      <c r="A10">
        <v>210009</v>
      </c>
      <c r="B10" t="s">
        <v>18</v>
      </c>
      <c r="C10" s="281">
        <v>126582.41774030872</v>
      </c>
      <c r="D10" s="335">
        <v>902.5599999999996</v>
      </c>
      <c r="E10" s="281">
        <v>140.24820260183122</v>
      </c>
      <c r="F10" s="92">
        <f t="shared" si="0"/>
        <v>0</v>
      </c>
      <c r="G10" s="92">
        <f>VLOOKUP(A10,'Variable Input'!$1:$1048576,20,FALSE)</f>
        <v>868</v>
      </c>
      <c r="H10" s="92">
        <f t="shared" si="1"/>
        <v>0</v>
      </c>
      <c r="I10" s="413">
        <f t="shared" si="2"/>
        <v>4846.9778819192315</v>
      </c>
      <c r="J10" s="413">
        <f t="shared" si="3"/>
        <v>4846.9778819192315</v>
      </c>
      <c r="K10" s="413">
        <f t="shared" si="4"/>
        <v>0</v>
      </c>
    </row>
    <row r="11" spans="1:11" x14ac:dyDescent="0.55000000000000004">
      <c r="A11">
        <v>210011</v>
      </c>
      <c r="B11" t="s">
        <v>33</v>
      </c>
      <c r="C11" s="281">
        <v>5944.1615154257033</v>
      </c>
      <c r="D11" s="335">
        <v>64.700000000000017</v>
      </c>
      <c r="E11" s="281">
        <v>91.8726663898872</v>
      </c>
      <c r="F11" s="92">
        <f t="shared" si="0"/>
        <v>0</v>
      </c>
      <c r="G11" s="92">
        <f>VLOOKUP(A11,'Variable Input'!$1:$1048576,20,FALSE)</f>
        <v>73</v>
      </c>
      <c r="H11" s="92">
        <f t="shared" si="1"/>
        <v>0</v>
      </c>
      <c r="I11" s="413">
        <f t="shared" si="2"/>
        <v>0</v>
      </c>
      <c r="J11" s="413">
        <f t="shared" si="3"/>
        <v>0</v>
      </c>
      <c r="K11" s="413">
        <f t="shared" si="4"/>
        <v>8.2999999999999829</v>
      </c>
    </row>
    <row r="12" spans="1:11" x14ac:dyDescent="0.55000000000000004">
      <c r="A12">
        <v>210012</v>
      </c>
      <c r="B12" t="s">
        <v>32</v>
      </c>
      <c r="C12" s="281">
        <v>20400.776102135242</v>
      </c>
      <c r="D12" s="335">
        <v>154.9444759615385</v>
      </c>
      <c r="E12" s="281">
        <v>131.66507534737332</v>
      </c>
      <c r="F12" s="92">
        <f t="shared" si="0"/>
        <v>0</v>
      </c>
      <c r="G12" s="92">
        <f>VLOOKUP(A12,'Variable Input'!$1:$1048576,20,FALSE)</f>
        <v>126</v>
      </c>
      <c r="H12" s="92">
        <f t="shared" si="1"/>
        <v>0</v>
      </c>
      <c r="I12" s="413">
        <f t="shared" si="2"/>
        <v>3810.9766083662025</v>
      </c>
      <c r="J12" s="413">
        <f t="shared" si="3"/>
        <v>3810.9766083662025</v>
      </c>
      <c r="K12" s="413">
        <f t="shared" si="4"/>
        <v>0</v>
      </c>
    </row>
    <row r="13" spans="1:11" x14ac:dyDescent="0.55000000000000004">
      <c r="A13">
        <v>210015</v>
      </c>
      <c r="B13" t="s">
        <v>20</v>
      </c>
      <c r="C13" s="281">
        <v>10939.283621875122</v>
      </c>
      <c r="D13" s="335">
        <v>79.59643835616545</v>
      </c>
      <c r="E13" s="281">
        <v>137.43433560338164</v>
      </c>
      <c r="F13" s="92">
        <f t="shared" si="0"/>
        <v>0</v>
      </c>
      <c r="G13" s="92">
        <f>VLOOKUP(A13,'Variable Input'!$1:$1048576,20,FALSE)</f>
        <v>78</v>
      </c>
      <c r="H13" s="92">
        <f t="shared" si="1"/>
        <v>0</v>
      </c>
      <c r="I13" s="413">
        <f t="shared" si="2"/>
        <v>219.40544481135336</v>
      </c>
      <c r="J13" s="413">
        <f t="shared" si="3"/>
        <v>219.40544481135336</v>
      </c>
      <c r="K13" s="413">
        <f t="shared" si="4"/>
        <v>0</v>
      </c>
    </row>
    <row r="14" spans="1:11" x14ac:dyDescent="0.55000000000000004">
      <c r="A14">
        <v>210022</v>
      </c>
      <c r="B14" t="s">
        <v>34</v>
      </c>
      <c r="C14" s="281">
        <v>448.86860354999999</v>
      </c>
      <c r="D14" s="335">
        <v>4.8995999999999995</v>
      </c>
      <c r="E14" s="281">
        <v>91.613316097232428</v>
      </c>
      <c r="F14" s="92">
        <f t="shared" si="0"/>
        <v>0</v>
      </c>
      <c r="G14" s="92">
        <f>VLOOKUP(A14,'Variable Input'!$1:$1048576,20,FALSE)</f>
        <v>4</v>
      </c>
      <c r="H14" s="92">
        <f t="shared" si="1"/>
        <v>0</v>
      </c>
      <c r="I14" s="413">
        <f t="shared" si="2"/>
        <v>82.41533916107025</v>
      </c>
      <c r="J14" s="413">
        <f t="shared" si="3"/>
        <v>82.41533916107025</v>
      </c>
      <c r="K14" s="413">
        <f t="shared" si="4"/>
        <v>0</v>
      </c>
    </row>
    <row r="15" spans="1:11" x14ac:dyDescent="0.55000000000000004">
      <c r="A15">
        <v>210023</v>
      </c>
      <c r="B15" t="s">
        <v>4</v>
      </c>
      <c r="C15" s="281">
        <v>5968.6354724685425</v>
      </c>
      <c r="D15" s="335">
        <v>55.1</v>
      </c>
      <c r="E15" s="281">
        <v>108.323692785273</v>
      </c>
      <c r="F15" s="92">
        <f t="shared" si="0"/>
        <v>0</v>
      </c>
      <c r="G15" s="92">
        <f>VLOOKUP(A15,'Variable Input'!$1:$1048576,20,FALSE)</f>
        <v>76</v>
      </c>
      <c r="H15" s="92">
        <f t="shared" si="1"/>
        <v>0</v>
      </c>
      <c r="I15" s="413">
        <f t="shared" si="2"/>
        <v>0</v>
      </c>
      <c r="J15" s="413">
        <f t="shared" si="3"/>
        <v>0</v>
      </c>
      <c r="K15" s="414">
        <f>IF(G15-D15&gt;0,G15-D15,0)</f>
        <v>20.9</v>
      </c>
    </row>
    <row r="16" spans="1:11" x14ac:dyDescent="0.55000000000000004">
      <c r="A16">
        <v>210024</v>
      </c>
      <c r="B16" t="s">
        <v>26</v>
      </c>
      <c r="C16" s="281">
        <v>12353.291781843525</v>
      </c>
      <c r="D16" s="335">
        <v>89.12876712328854</v>
      </c>
      <c r="E16" s="281">
        <v>138.60050105658561</v>
      </c>
      <c r="F16" s="92">
        <f t="shared" si="0"/>
        <v>0</v>
      </c>
      <c r="G16" s="92">
        <f>VLOOKUP(A16,'Variable Input'!$1:$1048576,20,FALSE)</f>
        <v>88</v>
      </c>
      <c r="H16" s="92">
        <f t="shared" si="1"/>
        <v>0</v>
      </c>
      <c r="I16" s="413">
        <f t="shared" si="2"/>
        <v>156.4476888639924</v>
      </c>
      <c r="J16" s="413">
        <f t="shared" si="3"/>
        <v>156.4476888639924</v>
      </c>
      <c r="K16" s="413">
        <f t="shared" si="4"/>
        <v>0</v>
      </c>
    </row>
    <row r="17" spans="1:11" x14ac:dyDescent="0.55000000000000004">
      <c r="A17">
        <v>210029</v>
      </c>
      <c r="B17" t="s">
        <v>17</v>
      </c>
      <c r="C17" s="281">
        <v>27599.516851944394</v>
      </c>
      <c r="D17" s="335">
        <v>162.70999999999998</v>
      </c>
      <c r="E17" s="281">
        <v>169.62397426061335</v>
      </c>
      <c r="F17" s="92">
        <f t="shared" si="0"/>
        <v>1.7059540099143362</v>
      </c>
      <c r="G17" s="92">
        <f>VLOOKUP(A17,'Variable Input'!$1:$1048576,20,FALSE)</f>
        <v>147</v>
      </c>
      <c r="H17" s="92">
        <f t="shared" si="1"/>
        <v>250.77523945740742</v>
      </c>
      <c r="I17" s="413">
        <f t="shared" si="2"/>
        <v>2664.7926356342323</v>
      </c>
      <c r="J17" s="413">
        <f t="shared" si="3"/>
        <v>2915.5678750916395</v>
      </c>
      <c r="K17" s="413">
        <f t="shared" si="4"/>
        <v>0</v>
      </c>
    </row>
    <row r="18" spans="1:11" x14ac:dyDescent="0.55000000000000004">
      <c r="A18">
        <v>210034</v>
      </c>
      <c r="B18" t="s">
        <v>22</v>
      </c>
      <c r="C18" s="281">
        <v>2578.3379692581757</v>
      </c>
      <c r="D18" s="335">
        <v>19.353424657534269</v>
      </c>
      <c r="E18" s="281">
        <v>133.22386166183932</v>
      </c>
      <c r="F18" s="92">
        <f t="shared" si="0"/>
        <v>0</v>
      </c>
      <c r="G18" s="92">
        <f>VLOOKUP(A18,'Variable Input'!$1:$1048576,20,FALSE)</f>
        <v>46</v>
      </c>
      <c r="H18" s="92">
        <f t="shared" si="1"/>
        <v>0</v>
      </c>
      <c r="I18" s="413">
        <f t="shared" si="2"/>
        <v>0</v>
      </c>
      <c r="J18" s="413">
        <f t="shared" si="3"/>
        <v>0</v>
      </c>
      <c r="K18" s="413">
        <f t="shared" si="4"/>
        <v>26.646575342465731</v>
      </c>
    </row>
    <row r="19" spans="1:11" x14ac:dyDescent="0.55000000000000004">
      <c r="A19">
        <v>210038</v>
      </c>
      <c r="B19" t="s">
        <v>43</v>
      </c>
      <c r="C19" s="281">
        <v>3792.6557229999999</v>
      </c>
      <c r="D19" s="335">
        <v>51.026923076923076</v>
      </c>
      <c r="E19" s="281">
        <v>74.326561240672348</v>
      </c>
      <c r="F19" s="92">
        <f t="shared" si="0"/>
        <v>0</v>
      </c>
      <c r="G19" s="92">
        <f>VLOOKUP(A19,'Variable Input'!$1:$1048576,20,FALSE)</f>
        <v>40</v>
      </c>
      <c r="H19" s="92">
        <f t="shared" si="1"/>
        <v>0</v>
      </c>
      <c r="I19" s="413">
        <f t="shared" si="2"/>
        <v>819.59327337310617</v>
      </c>
      <c r="J19" s="413">
        <f t="shared" si="3"/>
        <v>819.59327337310617</v>
      </c>
      <c r="K19" s="413">
        <f t="shared" si="4"/>
        <v>0</v>
      </c>
    </row>
    <row r="20" spans="1:11" x14ac:dyDescent="0.55000000000000004">
      <c r="A20">
        <v>210043</v>
      </c>
      <c r="B20" t="s">
        <v>35</v>
      </c>
      <c r="C20" s="281">
        <v>751.4203248961918</v>
      </c>
      <c r="D20" s="335">
        <v>5</v>
      </c>
      <c r="E20" s="281">
        <v>150.28406497923837</v>
      </c>
      <c r="F20" s="92">
        <f t="shared" si="0"/>
        <v>0</v>
      </c>
      <c r="G20" s="92">
        <f>VLOOKUP(A20,'Variable Input'!$1:$1048576,20,FALSE)</f>
        <v>7</v>
      </c>
      <c r="H20" s="92">
        <f t="shared" si="1"/>
        <v>0</v>
      </c>
      <c r="I20" s="413">
        <f t="shared" si="2"/>
        <v>0</v>
      </c>
      <c r="J20" s="413">
        <f t="shared" si="3"/>
        <v>0</v>
      </c>
      <c r="K20" s="413">
        <f t="shared" si="4"/>
        <v>2</v>
      </c>
    </row>
    <row r="21" spans="1:11" x14ac:dyDescent="0.55000000000000004">
      <c r="A21">
        <v>210044</v>
      </c>
      <c r="B21" t="s">
        <v>13</v>
      </c>
      <c r="C21" s="281">
        <v>7585.1824091490498</v>
      </c>
      <c r="D21" s="335">
        <v>60.510692307692324</v>
      </c>
      <c r="E21" s="281">
        <v>125.35276196443047</v>
      </c>
      <c r="F21" s="92">
        <f t="shared" si="0"/>
        <v>0</v>
      </c>
      <c r="G21" s="92">
        <f>VLOOKUP(A21,'Variable Input'!$1:$1048576,20,FALSE)</f>
        <v>58</v>
      </c>
      <c r="H21" s="92">
        <f t="shared" si="1"/>
        <v>0</v>
      </c>
      <c r="I21" s="413">
        <f t="shared" si="2"/>
        <v>314.72221521208246</v>
      </c>
      <c r="J21" s="413">
        <f t="shared" si="3"/>
        <v>314.72221521208246</v>
      </c>
      <c r="K21" s="413">
        <f t="shared" si="4"/>
        <v>0</v>
      </c>
    </row>
    <row r="22" spans="1:11" x14ac:dyDescent="0.55000000000000004">
      <c r="A22">
        <v>210056</v>
      </c>
      <c r="B22" t="s">
        <v>21</v>
      </c>
      <c r="C22" s="281">
        <v>2972.6994278841644</v>
      </c>
      <c r="D22" s="335">
        <v>15.12547945205479</v>
      </c>
      <c r="E22" s="281">
        <v>196.53588088279241</v>
      </c>
      <c r="F22" s="92">
        <f>IF(E22-$E$24&gt;0,E22-$E$24,0)</f>
        <v>28.617860632093397</v>
      </c>
      <c r="G22" s="92">
        <f>VLOOKUP(A22,'Variable Input'!$1:$1048576,20,FALSE)</f>
        <v>41</v>
      </c>
      <c r="H22" s="92">
        <f t="shared" si="1"/>
        <v>1173.3322859158293</v>
      </c>
      <c r="I22" s="413">
        <f t="shared" si="2"/>
        <v>0</v>
      </c>
      <c r="J22" s="413">
        <f t="shared" si="3"/>
        <v>1173.3322859158293</v>
      </c>
      <c r="K22" s="413">
        <f t="shared" si="4"/>
        <v>25.87452054794521</v>
      </c>
    </row>
    <row r="23" spans="1:11" x14ac:dyDescent="0.55000000000000004">
      <c r="A23">
        <v>210058</v>
      </c>
      <c r="B23" t="s">
        <v>45</v>
      </c>
      <c r="C23" s="281">
        <v>1773.0680696528809</v>
      </c>
      <c r="D23" s="335">
        <v>11.5</v>
      </c>
      <c r="E23" s="281">
        <v>154.17983214372879</v>
      </c>
      <c r="F23" s="92">
        <f>IF(E23-$E$24&gt;0,E23-$E$24,0)</f>
        <v>0</v>
      </c>
      <c r="G23" s="92">
        <f>VLOOKUP(A23,'Variable Input'!$1:$1048576,20,FALSE)</f>
        <v>15</v>
      </c>
      <c r="H23" s="92">
        <f t="shared" si="1"/>
        <v>0</v>
      </c>
      <c r="I23" s="413">
        <f t="shared" si="2"/>
        <v>0</v>
      </c>
      <c r="J23" s="413">
        <f t="shared" si="3"/>
        <v>0</v>
      </c>
      <c r="K23" s="413">
        <f t="shared" si="4"/>
        <v>3.5</v>
      </c>
    </row>
    <row r="24" spans="1:11" x14ac:dyDescent="0.55000000000000004">
      <c r="A24" t="s">
        <v>1</v>
      </c>
      <c r="C24" s="281">
        <v>394627.41710556339</v>
      </c>
      <c r="D24" s="281">
        <v>2350.1195197298725</v>
      </c>
      <c r="E24" s="281">
        <v>167.91802025069902</v>
      </c>
      <c r="F24" s="281">
        <f t="shared" ref="F24:K24" si="5">SUM(F5:F23)</f>
        <v>257.870732716975</v>
      </c>
      <c r="G24" s="281">
        <f t="shared" si="5"/>
        <v>2340.1</v>
      </c>
      <c r="H24" s="281">
        <f t="shared" si="5"/>
        <v>63303.120609001358</v>
      </c>
      <c r="I24" s="281">
        <f t="shared" si="5"/>
        <v>14879.751699987226</v>
      </c>
      <c r="J24" s="281">
        <f t="shared" si="5"/>
        <v>78182.87230898859</v>
      </c>
      <c r="K24" s="281">
        <f t="shared" si="5"/>
        <v>107.08356940342686</v>
      </c>
    </row>
    <row r="26" spans="1:11" x14ac:dyDescent="0.55000000000000004">
      <c r="A26">
        <v>210019</v>
      </c>
      <c r="C26" s="281">
        <f>D26*E50</f>
        <v>1309.8957672268555</v>
      </c>
      <c r="D26" s="281">
        <v>10</v>
      </c>
      <c r="G26">
        <v>65</v>
      </c>
      <c r="K26" s="413">
        <f>IF(G26-D26&gt;0,G26-D26,0)</f>
        <v>55</v>
      </c>
    </row>
    <row r="27" spans="1:11" x14ac:dyDescent="0.55000000000000004">
      <c r="E27" s="281"/>
    </row>
    <row r="28" spans="1:11" x14ac:dyDescent="0.55000000000000004">
      <c r="E28" s="281"/>
    </row>
    <row r="29" spans="1:11" x14ac:dyDescent="0.55000000000000004">
      <c r="A29" s="1" t="s">
        <v>612</v>
      </c>
      <c r="B29" s="318">
        <v>1</v>
      </c>
    </row>
    <row r="30" spans="1:11" x14ac:dyDescent="0.55000000000000004">
      <c r="A30" s="1" t="s">
        <v>576</v>
      </c>
      <c r="B30" t="s">
        <v>51</v>
      </c>
    </row>
    <row r="32" spans="1:11" x14ac:dyDescent="0.55000000000000004">
      <c r="A32" s="1" t="s">
        <v>274</v>
      </c>
      <c r="B32" s="1" t="s">
        <v>265</v>
      </c>
      <c r="C32" t="s">
        <v>273</v>
      </c>
      <c r="D32" t="s">
        <v>574</v>
      </c>
      <c r="E32" t="s">
        <v>575</v>
      </c>
    </row>
    <row r="33" spans="1:5" x14ac:dyDescent="0.55000000000000004">
      <c r="A33">
        <v>210001</v>
      </c>
      <c r="B33" t="s">
        <v>28</v>
      </c>
      <c r="C33" s="281">
        <v>5067.2999999999993</v>
      </c>
      <c r="D33" s="281">
        <v>18</v>
      </c>
      <c r="E33" s="281">
        <v>281.51666666666665</v>
      </c>
    </row>
    <row r="34" spans="1:5" x14ac:dyDescent="0.55000000000000004">
      <c r="A34">
        <v>210003</v>
      </c>
      <c r="B34" t="s">
        <v>216</v>
      </c>
      <c r="C34" s="281">
        <v>5899.6141900000002</v>
      </c>
      <c r="D34" s="281">
        <v>63.80619230769237</v>
      </c>
      <c r="E34" s="281">
        <v>92.461467713828029</v>
      </c>
    </row>
    <row r="35" spans="1:5" x14ac:dyDescent="0.55000000000000004">
      <c r="A35">
        <v>210004</v>
      </c>
      <c r="B35" t="s">
        <v>15</v>
      </c>
      <c r="C35" s="281">
        <v>2445.27</v>
      </c>
      <c r="D35" s="281">
        <v>23.92</v>
      </c>
      <c r="E35" s="281">
        <v>102.2270066889632</v>
      </c>
    </row>
    <row r="36" spans="1:5" x14ac:dyDescent="0.55000000000000004">
      <c r="A36">
        <v>210008</v>
      </c>
      <c r="B36" t="s">
        <v>27</v>
      </c>
      <c r="C36" s="281">
        <v>5003.2076874727391</v>
      </c>
      <c r="D36" s="281">
        <v>48.410524038461546</v>
      </c>
      <c r="E36" s="281">
        <v>103.3495874470963</v>
      </c>
    </row>
    <row r="37" spans="1:5" x14ac:dyDescent="0.55000000000000004">
      <c r="A37">
        <v>210011</v>
      </c>
      <c r="B37" t="s">
        <v>33</v>
      </c>
      <c r="C37" s="281">
        <v>5944.1615154257033</v>
      </c>
      <c r="D37" s="281">
        <v>64.700000000000017</v>
      </c>
      <c r="E37" s="281">
        <v>91.8726663898872</v>
      </c>
    </row>
    <row r="38" spans="1:5" x14ac:dyDescent="0.55000000000000004">
      <c r="A38">
        <v>210012</v>
      </c>
      <c r="B38" t="s">
        <v>32</v>
      </c>
      <c r="C38" s="281">
        <v>20400.776102135242</v>
      </c>
      <c r="D38" s="281">
        <v>154.9444759615385</v>
      </c>
      <c r="E38" s="281">
        <v>131.66507534737332</v>
      </c>
    </row>
    <row r="39" spans="1:5" x14ac:dyDescent="0.55000000000000004">
      <c r="A39">
        <v>210015</v>
      </c>
      <c r="B39" t="s">
        <v>20</v>
      </c>
      <c r="C39" s="281">
        <v>10939.283621875122</v>
      </c>
      <c r="D39" s="281">
        <v>79.59643835616545</v>
      </c>
      <c r="E39" s="281">
        <v>137.43433560338164</v>
      </c>
    </row>
    <row r="40" spans="1:5" x14ac:dyDescent="0.55000000000000004">
      <c r="A40">
        <v>210022</v>
      </c>
      <c r="B40" t="s">
        <v>34</v>
      </c>
      <c r="C40" s="281">
        <v>448.86860354999999</v>
      </c>
      <c r="D40" s="281">
        <v>4.8995999999999995</v>
      </c>
      <c r="E40" s="281">
        <v>91.613316097232428</v>
      </c>
    </row>
    <row r="41" spans="1:5" x14ac:dyDescent="0.55000000000000004">
      <c r="A41">
        <v>210023</v>
      </c>
      <c r="B41" t="s">
        <v>4</v>
      </c>
      <c r="C41" s="281">
        <v>5968.6354724685425</v>
      </c>
      <c r="D41" s="281">
        <v>55.1</v>
      </c>
      <c r="E41" s="281">
        <v>108.323692785273</v>
      </c>
    </row>
    <row r="42" spans="1:5" x14ac:dyDescent="0.55000000000000004">
      <c r="A42">
        <v>210024</v>
      </c>
      <c r="B42" t="s">
        <v>26</v>
      </c>
      <c r="C42" s="281">
        <v>12353.291781843525</v>
      </c>
      <c r="D42" s="281">
        <v>89.12876712328854</v>
      </c>
      <c r="E42" s="281">
        <v>138.60050105658561</v>
      </c>
    </row>
    <row r="43" spans="1:5" x14ac:dyDescent="0.55000000000000004">
      <c r="A43">
        <v>210029</v>
      </c>
      <c r="B43" t="s">
        <v>17</v>
      </c>
      <c r="C43" s="281">
        <v>27599.516851944391</v>
      </c>
      <c r="D43" s="281">
        <v>162.71</v>
      </c>
      <c r="E43" s="281">
        <v>169.62397426061329</v>
      </c>
    </row>
    <row r="44" spans="1:5" x14ac:dyDescent="0.55000000000000004">
      <c r="A44">
        <v>210034</v>
      </c>
      <c r="B44" t="s">
        <v>22</v>
      </c>
      <c r="C44" s="281">
        <v>2578.3379692581757</v>
      </c>
      <c r="D44" s="281">
        <v>19.353424657534269</v>
      </c>
      <c r="E44" s="281">
        <v>133.22386166183932</v>
      </c>
    </row>
    <row r="45" spans="1:5" x14ac:dyDescent="0.55000000000000004">
      <c r="A45">
        <v>210038</v>
      </c>
      <c r="B45" t="s">
        <v>43</v>
      </c>
      <c r="C45" s="281">
        <v>3792.6557229999999</v>
      </c>
      <c r="D45" s="281">
        <v>51.026923076923076</v>
      </c>
      <c r="E45" s="281">
        <v>74.326561240672348</v>
      </c>
    </row>
    <row r="46" spans="1:5" x14ac:dyDescent="0.55000000000000004">
      <c r="A46">
        <v>210043</v>
      </c>
      <c r="B46" t="s">
        <v>35</v>
      </c>
      <c r="C46" s="281">
        <v>751.4203248961918</v>
      </c>
      <c r="D46" s="281">
        <v>5</v>
      </c>
      <c r="E46" s="281">
        <v>150.28406497923837</v>
      </c>
    </row>
    <row r="47" spans="1:5" x14ac:dyDescent="0.55000000000000004">
      <c r="A47">
        <v>210044</v>
      </c>
      <c r="B47" t="s">
        <v>13</v>
      </c>
      <c r="C47" s="281">
        <v>7585.1824091490498</v>
      </c>
      <c r="D47" s="281">
        <v>60.510692307692324</v>
      </c>
      <c r="E47" s="281">
        <v>125.35276196443047</v>
      </c>
    </row>
    <row r="48" spans="1:5" x14ac:dyDescent="0.55000000000000004">
      <c r="A48">
        <v>210056</v>
      </c>
      <c r="B48" t="s">
        <v>21</v>
      </c>
      <c r="C48" s="281">
        <v>2972.6994278841644</v>
      </c>
      <c r="D48" s="281">
        <v>15.12547945205479</v>
      </c>
      <c r="E48" s="281">
        <v>196.53588088279241</v>
      </c>
    </row>
    <row r="49" spans="1:5" x14ac:dyDescent="0.55000000000000004">
      <c r="A49">
        <v>210058</v>
      </c>
      <c r="B49" t="s">
        <v>45</v>
      </c>
      <c r="C49" s="281">
        <v>1773.0680696528809</v>
      </c>
      <c r="D49" s="281">
        <v>11.5</v>
      </c>
      <c r="E49" s="281">
        <v>154.17983214372879</v>
      </c>
    </row>
    <row r="50" spans="1:5" x14ac:dyDescent="0.55000000000000004">
      <c r="A50" t="s">
        <v>1</v>
      </c>
      <c r="C50" s="281">
        <v>121523.28975055575</v>
      </c>
      <c r="D50" s="281">
        <v>927.73251728135085</v>
      </c>
      <c r="E50" s="281">
        <v>130.98957672268554</v>
      </c>
    </row>
  </sheetData>
  <sheetCalcPr fullCalcOnLoa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J50"/>
  <sheetViews>
    <sheetView topLeftCell="A26" workbookViewId="0">
      <selection activeCell="F53" sqref="F53"/>
    </sheetView>
  </sheetViews>
  <sheetFormatPr defaultColWidth="9.15625" defaultRowHeight="15.3" x14ac:dyDescent="0.55000000000000004"/>
  <cols>
    <col min="1" max="1" width="13" style="176" bestFit="1" customWidth="1"/>
    <col min="2" max="2" width="39.83984375" style="107" bestFit="1" customWidth="1"/>
    <col min="3" max="3" width="10.68359375" style="107" bestFit="1" customWidth="1"/>
    <col min="4" max="4" width="14.68359375" style="107" bestFit="1" customWidth="1"/>
    <col min="5" max="5" width="15.68359375" style="107" customWidth="1"/>
    <col min="6" max="6" width="13.83984375" style="107" bestFit="1" customWidth="1"/>
    <col min="7" max="7" width="9.15625" style="107"/>
    <col min="8" max="8" width="21.83984375" style="107" bestFit="1" customWidth="1"/>
    <col min="9" max="9" width="9.15625" style="107"/>
    <col min="10" max="10" width="18.68359375" style="92" bestFit="1" customWidth="1"/>
    <col min="11" max="16384" width="9.15625" style="107"/>
  </cols>
  <sheetData>
    <row r="2" spans="1:10" ht="18.600000000000001" thickBot="1" x14ac:dyDescent="0.75">
      <c r="A2" s="187" t="s">
        <v>266</v>
      </c>
      <c r="B2" s="187"/>
      <c r="C2" s="187"/>
      <c r="D2" s="187"/>
      <c r="E2" s="186"/>
      <c r="H2" s="110"/>
      <c r="J2" s="185"/>
    </row>
    <row r="3" spans="1:10" ht="70.8" x14ac:dyDescent="0.55000000000000004">
      <c r="A3" s="184" t="s">
        <v>106</v>
      </c>
      <c r="B3" s="183" t="s">
        <v>265</v>
      </c>
      <c r="C3" s="182" t="s">
        <v>264</v>
      </c>
      <c r="D3" s="327" t="s">
        <v>263</v>
      </c>
      <c r="E3" s="327" t="s">
        <v>613</v>
      </c>
      <c r="F3" s="182" t="s">
        <v>614</v>
      </c>
      <c r="G3" s="110"/>
    </row>
    <row r="4" spans="1:10" x14ac:dyDescent="0.55000000000000004">
      <c r="A4" s="181">
        <v>210001</v>
      </c>
      <c r="B4" s="180" t="s">
        <v>28</v>
      </c>
      <c r="C4" s="177">
        <f>VLOOKUP(A4,'Variable Input'!$1:$1048576,14,FALSE)</f>
        <v>3022524.3645125814</v>
      </c>
      <c r="D4" s="179">
        <v>0</v>
      </c>
      <c r="E4" s="178">
        <f>VLOOKUP(A4,'GBR Revenue for ICC'!$1:$1048576,11,FALSE)+VLOOKUP(A4,'GBR Revenue for ICC'!$1:$1048576,9,FALSE)</f>
        <v>0</v>
      </c>
      <c r="F4" s="177">
        <f>C4*(1-SUM(D4:E4))</f>
        <v>3022524.3645125814</v>
      </c>
      <c r="I4" s="93"/>
    </row>
    <row r="5" spans="1:10" x14ac:dyDescent="0.55000000000000004">
      <c r="A5" s="181">
        <v>210002</v>
      </c>
      <c r="B5" s="180" t="s">
        <v>110</v>
      </c>
      <c r="C5" s="177">
        <f>VLOOKUP(A5,'Variable Input'!$1:$1048576,14,FALSE)</f>
        <v>86687472.166558176</v>
      </c>
      <c r="D5" s="326">
        <f>Volume!AM7/Volume!AM8</f>
        <v>0.14347090563038936</v>
      </c>
      <c r="E5" s="178">
        <f>VLOOKUP(A5,'GBR Revenue for ICC'!$1:$1048576,11,FALSE)+VLOOKUP(A5,'GBR Revenue for ICC'!$1:$1048576,9,FALSE)</f>
        <v>0.17558405076471564</v>
      </c>
      <c r="F5" s="177">
        <f t="shared" ref="F5:F50" si="0">C5*(1-SUM(D5:E5))</f>
        <v>59029404.514455073</v>
      </c>
      <c r="I5" s="93"/>
    </row>
    <row r="6" spans="1:10" x14ac:dyDescent="0.55000000000000004">
      <c r="A6" s="181">
        <v>210003</v>
      </c>
      <c r="B6" s="180" t="s">
        <v>114</v>
      </c>
      <c r="C6" s="177">
        <f>VLOOKUP(A6,'Variable Input'!$1:$1048576,14,FALSE)</f>
        <v>4438150.4502637452</v>
      </c>
      <c r="D6" s="179">
        <v>0</v>
      </c>
      <c r="E6" s="178">
        <f>VLOOKUP(A6,'GBR Revenue for ICC'!$1:$1048576,11,FALSE)+VLOOKUP(A6,'GBR Revenue for ICC'!$1:$1048576,9,FALSE)</f>
        <v>0</v>
      </c>
      <c r="F6" s="177">
        <f t="shared" si="0"/>
        <v>4438150.4502637452</v>
      </c>
      <c r="I6" s="93"/>
    </row>
    <row r="7" spans="1:10" x14ac:dyDescent="0.55000000000000004">
      <c r="A7" s="181">
        <v>210004</v>
      </c>
      <c r="B7" s="180" t="s">
        <v>196</v>
      </c>
      <c r="C7" s="177">
        <f>VLOOKUP(A7,'Variable Input'!$1:$1048576,14,FALSE)</f>
        <v>1942313.1270903009</v>
      </c>
      <c r="D7" s="179">
        <v>0</v>
      </c>
      <c r="E7" s="178">
        <f>VLOOKUP(A7,'GBR Revenue for ICC'!$1:$1048576,11,FALSE)+VLOOKUP(A7,'GBR Revenue for ICC'!$1:$1048576,9,FALSE)</f>
        <v>0</v>
      </c>
      <c r="F7" s="177">
        <f t="shared" si="0"/>
        <v>1942313.1270903009</v>
      </c>
      <c r="I7" s="93"/>
    </row>
    <row r="8" spans="1:10" x14ac:dyDescent="0.55000000000000004">
      <c r="A8" s="181">
        <v>210005</v>
      </c>
      <c r="B8" s="180" t="s">
        <v>136</v>
      </c>
      <c r="C8" s="177">
        <f>VLOOKUP(A8,'Variable Input'!$1:$1048576,14,FALSE)</f>
        <v>0</v>
      </c>
      <c r="D8" s="179">
        <v>0</v>
      </c>
      <c r="E8" s="178">
        <f>VLOOKUP(A8,'GBR Revenue for ICC'!$1:$1048576,11,FALSE)+VLOOKUP(A8,'GBR Revenue for ICC'!$1:$1048576,9,FALSE)</f>
        <v>0</v>
      </c>
      <c r="F8" s="177">
        <f t="shared" si="0"/>
        <v>0</v>
      </c>
      <c r="I8" s="93"/>
    </row>
    <row r="9" spans="1:10" x14ac:dyDescent="0.55000000000000004">
      <c r="A9" s="181">
        <v>210006</v>
      </c>
      <c r="B9" s="180" t="s">
        <v>134</v>
      </c>
      <c r="C9" s="177">
        <f>VLOOKUP(A9,'Variable Input'!$1:$1048576,14,FALSE)</f>
        <v>0</v>
      </c>
      <c r="D9" s="179">
        <v>0</v>
      </c>
      <c r="E9" s="178">
        <f>VLOOKUP(A9,'GBR Revenue for ICC'!$1:$1048576,11,FALSE)+VLOOKUP(A9,'GBR Revenue for ICC'!$1:$1048576,9,FALSE)</f>
        <v>0</v>
      </c>
      <c r="F9" s="177">
        <f t="shared" si="0"/>
        <v>0</v>
      </c>
      <c r="I9" s="93"/>
    </row>
    <row r="10" spans="1:10" x14ac:dyDescent="0.55000000000000004">
      <c r="A10" s="181">
        <v>210008</v>
      </c>
      <c r="B10" s="180" t="s">
        <v>115</v>
      </c>
      <c r="C10" s="177">
        <f>VLOOKUP(A10,'Variable Input'!$1:$1048576,14,FALSE)</f>
        <v>5003207.6874727393</v>
      </c>
      <c r="D10" s="179">
        <v>0</v>
      </c>
      <c r="E10" s="178">
        <f>VLOOKUP(A10,'GBR Revenue for ICC'!$1:$1048576,11,FALSE)+VLOOKUP(A10,'GBR Revenue for ICC'!$1:$1048576,9,FALSE)</f>
        <v>0</v>
      </c>
      <c r="F10" s="177">
        <f t="shared" si="0"/>
        <v>5003207.6874727393</v>
      </c>
      <c r="I10" s="93"/>
    </row>
    <row r="11" spans="1:10" x14ac:dyDescent="0.55000000000000004">
      <c r="A11" s="181">
        <v>210009</v>
      </c>
      <c r="B11" s="180" t="s">
        <v>111</v>
      </c>
      <c r="C11" s="177">
        <f>VLOOKUP(A11,'Variable Input'!$1:$1048576,14,FALSE)</f>
        <v>121735439.85838948</v>
      </c>
      <c r="D11" s="179">
        <v>0</v>
      </c>
      <c r="E11" s="178">
        <f>VLOOKUP(A11,'GBR Revenue for ICC'!$1:$1048576,11,FALSE)+VLOOKUP(A11,'GBR Revenue for ICC'!$1:$1048576,9,FALSE)</f>
        <v>0.10110622139957544</v>
      </c>
      <c r="F11" s="177">
        <f t="shared" si="0"/>
        <v>109427229.52389245</v>
      </c>
      <c r="I11" s="93"/>
    </row>
    <row r="12" spans="1:10" x14ac:dyDescent="0.55000000000000004">
      <c r="A12" s="181">
        <v>210010</v>
      </c>
      <c r="B12" s="180" t="s">
        <v>126</v>
      </c>
      <c r="C12" s="177">
        <f>VLOOKUP(A12,'Variable Input'!$1:$1048576,14,FALSE)</f>
        <v>0</v>
      </c>
      <c r="D12" s="179">
        <v>0</v>
      </c>
      <c r="E12" s="178">
        <f>VLOOKUP(A12,'GBR Revenue for ICC'!$1:$1048576,11,FALSE)+VLOOKUP(A12,'GBR Revenue for ICC'!$1:$1048576,9,FALSE)</f>
        <v>0</v>
      </c>
      <c r="F12" s="177">
        <f t="shared" si="0"/>
        <v>0</v>
      </c>
      <c r="I12" s="93"/>
    </row>
    <row r="13" spans="1:10" x14ac:dyDescent="0.55000000000000004">
      <c r="A13" s="181">
        <v>210011</v>
      </c>
      <c r="B13" s="180" t="s">
        <v>146</v>
      </c>
      <c r="C13" s="177">
        <f>VLOOKUP(A13,'Variable Input'!$1:$1048576,14,FALSE)</f>
        <v>5944161.5154257035</v>
      </c>
      <c r="D13" s="179">
        <v>0</v>
      </c>
      <c r="E13" s="178">
        <f>VLOOKUP(A13,'GBR Revenue for ICC'!$1:$1048576,11,FALSE)+VLOOKUP(A13,'GBR Revenue for ICC'!$1:$1048576,9,FALSE)</f>
        <v>0</v>
      </c>
      <c r="F13" s="177">
        <f t="shared" si="0"/>
        <v>5944161.5154257035</v>
      </c>
      <c r="I13" s="93"/>
    </row>
    <row r="14" spans="1:10" x14ac:dyDescent="0.55000000000000004">
      <c r="A14" s="181">
        <v>210012</v>
      </c>
      <c r="B14" s="180" t="s">
        <v>113</v>
      </c>
      <c r="C14" s="177">
        <f>VLOOKUP(A14,'Variable Input'!$1:$1048576,14,FALSE)</f>
        <v>16589799.493769038</v>
      </c>
      <c r="D14" s="179">
        <v>0</v>
      </c>
      <c r="E14" s="178">
        <f>VLOOKUP(A14,'GBR Revenue for ICC'!$1:$1048576,11,FALSE)+VLOOKUP(A14,'GBR Revenue for ICC'!$1:$1048576,9,FALSE)</f>
        <v>0</v>
      </c>
      <c r="F14" s="177">
        <f t="shared" si="0"/>
        <v>16589799.493769038</v>
      </c>
      <c r="I14" s="93"/>
    </row>
    <row r="15" spans="1:10" x14ac:dyDescent="0.55000000000000004">
      <c r="A15" s="181">
        <v>210013</v>
      </c>
      <c r="B15" s="180" t="s">
        <v>118</v>
      </c>
      <c r="C15" s="177">
        <f>VLOOKUP(A15,'Variable Input'!$1:$1048576,14,FALSE)</f>
        <v>0</v>
      </c>
      <c r="D15" s="179">
        <v>0</v>
      </c>
      <c r="E15" s="178">
        <f>VLOOKUP(A15,'GBR Revenue for ICC'!$1:$1048576,11,FALSE)+VLOOKUP(A15,'GBR Revenue for ICC'!$1:$1048576,9,FALSE)</f>
        <v>0</v>
      </c>
      <c r="F15" s="177">
        <f t="shared" si="0"/>
        <v>0</v>
      </c>
      <c r="I15" s="93"/>
    </row>
    <row r="16" spans="1:10" x14ac:dyDescent="0.55000000000000004">
      <c r="A16" s="181">
        <v>210015</v>
      </c>
      <c r="B16" s="180" t="s">
        <v>150</v>
      </c>
      <c r="C16" s="177">
        <f>VLOOKUP(A16,'Variable Input'!$1:$1048576,14,FALSE)</f>
        <v>10719878.177063769</v>
      </c>
      <c r="D16" s="179">
        <v>0</v>
      </c>
      <c r="E16" s="178">
        <f>VLOOKUP(A16,'GBR Revenue for ICC'!$1:$1048576,11,FALSE)+VLOOKUP(A16,'GBR Revenue for ICC'!$1:$1048576,9,FALSE)</f>
        <v>0</v>
      </c>
      <c r="F16" s="177">
        <f t="shared" si="0"/>
        <v>10719878.177063769</v>
      </c>
    </row>
    <row r="17" spans="1:6" x14ac:dyDescent="0.55000000000000004">
      <c r="A17" s="181">
        <v>210016</v>
      </c>
      <c r="B17" s="180" t="s">
        <v>120</v>
      </c>
      <c r="C17" s="177">
        <f>VLOOKUP(A17,'Variable Input'!$1:$1048576,14,FALSE)</f>
        <v>0</v>
      </c>
      <c r="D17" s="179">
        <v>0</v>
      </c>
      <c r="E17" s="178">
        <f>VLOOKUP(A17,'GBR Revenue for ICC'!$1:$1048576,11,FALSE)+VLOOKUP(A17,'GBR Revenue for ICC'!$1:$1048576,9,FALSE)</f>
        <v>0</v>
      </c>
      <c r="F17" s="177">
        <f t="shared" si="0"/>
        <v>0</v>
      </c>
    </row>
    <row r="18" spans="1:6" x14ac:dyDescent="0.55000000000000004">
      <c r="A18" s="181">
        <v>210017</v>
      </c>
      <c r="B18" s="180" t="s">
        <v>135</v>
      </c>
      <c r="C18" s="177">
        <f>VLOOKUP(A18,'Variable Input'!$1:$1048576,14,FALSE)</f>
        <v>0</v>
      </c>
      <c r="D18" s="179">
        <v>0</v>
      </c>
      <c r="E18" s="178">
        <f>VLOOKUP(A18,'GBR Revenue for ICC'!$1:$1048576,11,FALSE)+VLOOKUP(A18,'GBR Revenue for ICC'!$1:$1048576,9,FALSE)</f>
        <v>0</v>
      </c>
      <c r="F18" s="177">
        <f t="shared" si="0"/>
        <v>0</v>
      </c>
    </row>
    <row r="19" spans="1:6" x14ac:dyDescent="0.55000000000000004">
      <c r="A19" s="181">
        <v>210018</v>
      </c>
      <c r="B19" s="180" t="s">
        <v>130</v>
      </c>
      <c r="C19" s="177">
        <f>VLOOKUP(A19,'Variable Input'!$1:$1048576,14,FALSE)</f>
        <v>0</v>
      </c>
      <c r="D19" s="179">
        <v>0</v>
      </c>
      <c r="E19" s="178">
        <f>VLOOKUP(A19,'GBR Revenue for ICC'!$1:$1048576,11,FALSE)+VLOOKUP(A19,'GBR Revenue for ICC'!$1:$1048576,9,FALSE)</f>
        <v>0</v>
      </c>
      <c r="F19" s="177">
        <f t="shared" si="0"/>
        <v>0</v>
      </c>
    </row>
    <row r="20" spans="1:6" x14ac:dyDescent="0.55000000000000004">
      <c r="A20" s="181">
        <v>210019</v>
      </c>
      <c r="B20" s="180" t="s">
        <v>128</v>
      </c>
      <c r="C20" s="177">
        <f>VLOOKUP(A20,'Variable Input'!$1:$1048576,14,FALSE)</f>
        <v>1309895.7672268555</v>
      </c>
      <c r="D20" s="179">
        <v>0</v>
      </c>
      <c r="E20" s="178">
        <f>VLOOKUP(A20,'GBR Revenue for ICC'!$1:$1048576,11,FALSE)+VLOOKUP(A20,'GBR Revenue for ICC'!$1:$1048576,9,FALSE)</f>
        <v>0</v>
      </c>
      <c r="F20" s="177">
        <f t="shared" si="0"/>
        <v>1309895.7672268555</v>
      </c>
    </row>
    <row r="21" spans="1:6" x14ac:dyDescent="0.55000000000000004">
      <c r="A21" s="181">
        <v>210022</v>
      </c>
      <c r="B21" s="180" t="s">
        <v>145</v>
      </c>
      <c r="C21" s="177">
        <f>VLOOKUP(A21,'Variable Input'!$1:$1048576,14,FALSE)</f>
        <v>366453.26438892976</v>
      </c>
      <c r="D21" s="179">
        <v>0</v>
      </c>
      <c r="E21" s="178">
        <f>VLOOKUP(A21,'GBR Revenue for ICC'!$1:$1048576,11,FALSE)+VLOOKUP(A21,'GBR Revenue for ICC'!$1:$1048576,9,FALSE)</f>
        <v>0</v>
      </c>
      <c r="F21" s="177">
        <f t="shared" si="0"/>
        <v>366453.26438892976</v>
      </c>
    </row>
    <row r="22" spans="1:6" x14ac:dyDescent="0.55000000000000004">
      <c r="A22" s="181">
        <v>210023</v>
      </c>
      <c r="B22" s="180" t="s">
        <v>144</v>
      </c>
      <c r="C22" s="177">
        <f>VLOOKUP(A22,'Variable Input'!$1:$1048576,14,FALSE)</f>
        <v>5968635.4724685429</v>
      </c>
      <c r="D22" s="179">
        <v>0</v>
      </c>
      <c r="E22" s="178">
        <f>VLOOKUP(A22,'GBR Revenue for ICC'!$1:$1048576,11,FALSE)+VLOOKUP(A22,'GBR Revenue for ICC'!$1:$1048576,9,FALSE)</f>
        <v>0</v>
      </c>
      <c r="F22" s="177">
        <f t="shared" si="0"/>
        <v>5968635.4724685429</v>
      </c>
    </row>
    <row r="23" spans="1:6" x14ac:dyDescent="0.55000000000000004">
      <c r="A23" s="181">
        <v>210024</v>
      </c>
      <c r="B23" s="180" t="s">
        <v>112</v>
      </c>
      <c r="C23" s="177">
        <f>VLOOKUP(A23,'Variable Input'!$1:$1048576,14,FALSE)</f>
        <v>12196844.092979532</v>
      </c>
      <c r="D23" s="179">
        <v>0</v>
      </c>
      <c r="E23" s="178">
        <f>VLOOKUP(A23,'GBR Revenue for ICC'!$1:$1048576,11,FALSE)+VLOOKUP(A23,'GBR Revenue for ICC'!$1:$1048576,9,FALSE)</f>
        <v>0</v>
      </c>
      <c r="F23" s="177">
        <f t="shared" si="0"/>
        <v>12196844.092979532</v>
      </c>
    </row>
    <row r="24" spans="1:6" x14ac:dyDescent="0.55000000000000004">
      <c r="A24" s="181">
        <v>210027</v>
      </c>
      <c r="B24" s="180" t="s">
        <v>119</v>
      </c>
      <c r="C24" s="177">
        <f>VLOOKUP(A24,'Variable Input'!$1:$1048576,14,FALSE)</f>
        <v>0</v>
      </c>
      <c r="D24" s="179">
        <v>0</v>
      </c>
      <c r="E24" s="178">
        <f>VLOOKUP(A24,'GBR Revenue for ICC'!$1:$1048576,11,FALSE)+VLOOKUP(A24,'GBR Revenue for ICC'!$1:$1048576,9,FALSE)</f>
        <v>0</v>
      </c>
      <c r="F24" s="177">
        <f t="shared" si="0"/>
        <v>0</v>
      </c>
    </row>
    <row r="25" spans="1:6" x14ac:dyDescent="0.55000000000000004">
      <c r="A25" s="181">
        <v>210028</v>
      </c>
      <c r="B25" s="180" t="s">
        <v>122</v>
      </c>
      <c r="C25" s="177">
        <f>VLOOKUP(A25,'Variable Input'!$1:$1048576,14,FALSE)</f>
        <v>0</v>
      </c>
      <c r="D25" s="179">
        <v>0</v>
      </c>
      <c r="E25" s="178">
        <f>VLOOKUP(A25,'GBR Revenue for ICC'!$1:$1048576,11,FALSE)+VLOOKUP(A25,'GBR Revenue for ICC'!$1:$1048576,9,FALSE)</f>
        <v>0</v>
      </c>
      <c r="F25" s="177">
        <f t="shared" si="0"/>
        <v>0</v>
      </c>
    </row>
    <row r="26" spans="1:6" x14ac:dyDescent="0.55000000000000004">
      <c r="A26" s="181">
        <v>210029</v>
      </c>
      <c r="B26" s="180" t="s">
        <v>116</v>
      </c>
      <c r="C26" s="177">
        <f>VLOOKUP(A26,'Variable Input'!$1:$1048576,14,FALSE)</f>
        <v>24683948.976852756</v>
      </c>
      <c r="D26" s="179">
        <v>0</v>
      </c>
      <c r="E26" s="178">
        <f>VLOOKUP(A26,'GBR Revenue for ICC'!$1:$1048576,11,FALSE)+VLOOKUP(A26,'GBR Revenue for ICC'!$1:$1048576,9,FALSE)</f>
        <v>4.0053002270582214E-2</v>
      </c>
      <c r="F26" s="177">
        <f t="shared" si="0"/>
        <v>23695282.712435938</v>
      </c>
    </row>
    <row r="27" spans="1:6" x14ac:dyDescent="0.55000000000000004">
      <c r="A27" s="181">
        <v>210030</v>
      </c>
      <c r="B27" s="180" t="s">
        <v>139</v>
      </c>
      <c r="C27" s="177">
        <f>VLOOKUP(A27,'Variable Input'!$1:$1048576,14,FALSE)</f>
        <v>0</v>
      </c>
      <c r="D27" s="179">
        <v>0</v>
      </c>
      <c r="E27" s="178">
        <f>VLOOKUP(A27,'GBR Revenue for ICC'!$1:$1048576,11,FALSE)+VLOOKUP(A27,'GBR Revenue for ICC'!$1:$1048576,9,FALSE)</f>
        <v>0</v>
      </c>
      <c r="F27" s="177">
        <f t="shared" si="0"/>
        <v>0</v>
      </c>
    </row>
    <row r="28" spans="1:6" x14ac:dyDescent="0.55000000000000004">
      <c r="A28" s="181">
        <v>210032</v>
      </c>
      <c r="B28" s="180" t="s">
        <v>48</v>
      </c>
      <c r="C28" s="177">
        <f>VLOOKUP(A28,'Variable Input'!$1:$1048576,14,FALSE)</f>
        <v>0</v>
      </c>
      <c r="D28" s="179">
        <v>0</v>
      </c>
      <c r="E28" s="178">
        <f>VLOOKUP(A28,'GBR Revenue for ICC'!$1:$1048576,11,FALSE)+VLOOKUP(A28,'GBR Revenue for ICC'!$1:$1048576,9,FALSE)</f>
        <v>0</v>
      </c>
      <c r="F28" s="177">
        <f t="shared" si="0"/>
        <v>0</v>
      </c>
    </row>
    <row r="29" spans="1:6" x14ac:dyDescent="0.55000000000000004">
      <c r="A29" s="181">
        <v>210033</v>
      </c>
      <c r="B29" s="180" t="s">
        <v>141</v>
      </c>
      <c r="C29" s="177">
        <f>VLOOKUP(A29,'Variable Input'!$1:$1048576,14,FALSE)</f>
        <v>0</v>
      </c>
      <c r="D29" s="179">
        <v>0</v>
      </c>
      <c r="E29" s="178">
        <f>VLOOKUP(A29,'GBR Revenue for ICC'!$1:$1048576,11,FALSE)+VLOOKUP(A29,'GBR Revenue for ICC'!$1:$1048576,9,FALSE)</f>
        <v>0</v>
      </c>
      <c r="F29" s="177">
        <f t="shared" si="0"/>
        <v>0</v>
      </c>
    </row>
    <row r="30" spans="1:6" x14ac:dyDescent="0.55000000000000004">
      <c r="A30" s="181">
        <v>210034</v>
      </c>
      <c r="B30" s="180" t="s">
        <v>117</v>
      </c>
      <c r="C30" s="177">
        <f>VLOOKUP(A30,'Variable Input'!$1:$1048576,14,FALSE)</f>
        <v>2578337.9692581757</v>
      </c>
      <c r="D30" s="179">
        <v>0</v>
      </c>
      <c r="E30" s="178">
        <f>VLOOKUP(A30,'GBR Revenue for ICC'!$1:$1048576,11,FALSE)+VLOOKUP(A30,'GBR Revenue for ICC'!$1:$1048576,9,FALSE)</f>
        <v>0</v>
      </c>
      <c r="F30" s="177">
        <f t="shared" si="0"/>
        <v>2578337.9692581757</v>
      </c>
    </row>
    <row r="31" spans="1:6" x14ac:dyDescent="0.55000000000000004">
      <c r="A31" s="181">
        <v>210035</v>
      </c>
      <c r="B31" s="180" t="s">
        <v>140</v>
      </c>
      <c r="C31" s="177">
        <f>VLOOKUP(A31,'Variable Input'!$1:$1048576,14,FALSE)</f>
        <v>0</v>
      </c>
      <c r="D31" s="179">
        <v>0</v>
      </c>
      <c r="E31" s="178">
        <f>VLOOKUP(A31,'GBR Revenue for ICC'!$1:$1048576,11,FALSE)+VLOOKUP(A31,'GBR Revenue for ICC'!$1:$1048576,9,FALSE)</f>
        <v>0</v>
      </c>
      <c r="F31" s="177">
        <f t="shared" si="0"/>
        <v>0</v>
      </c>
    </row>
    <row r="32" spans="1:6" x14ac:dyDescent="0.55000000000000004">
      <c r="A32" s="181">
        <v>210037</v>
      </c>
      <c r="B32" s="180" t="s">
        <v>125</v>
      </c>
      <c r="C32" s="177">
        <f>VLOOKUP(A32,'Variable Input'!$1:$1048576,14,FALSE)</f>
        <v>0</v>
      </c>
      <c r="D32" s="179">
        <v>0</v>
      </c>
      <c r="E32" s="178">
        <f>VLOOKUP(A32,'GBR Revenue for ICC'!$1:$1048576,11,FALSE)+VLOOKUP(A32,'GBR Revenue for ICC'!$1:$1048576,9,FALSE)</f>
        <v>0</v>
      </c>
      <c r="F32" s="177">
        <f t="shared" si="0"/>
        <v>0</v>
      </c>
    </row>
    <row r="33" spans="1:6" x14ac:dyDescent="0.55000000000000004">
      <c r="A33" s="181">
        <v>210038</v>
      </c>
      <c r="B33" s="180" t="s">
        <v>43</v>
      </c>
      <c r="C33" s="177">
        <f>VLOOKUP(A33,'Variable Input'!$1:$1048576,14,FALSE)</f>
        <v>2973062.4496268937</v>
      </c>
      <c r="D33" s="179">
        <v>0</v>
      </c>
      <c r="E33" s="178">
        <f>VLOOKUP(A33,'GBR Revenue for ICC'!$1:$1048576,11,FALSE)+VLOOKUP(A33,'GBR Revenue for ICC'!$1:$1048576,9,FALSE)</f>
        <v>7.3545761704891605E-2</v>
      </c>
      <c r="F33" s="177">
        <f t="shared" si="0"/>
        <v>2754406.3071728731</v>
      </c>
    </row>
    <row r="34" spans="1:6" x14ac:dyDescent="0.55000000000000004">
      <c r="A34" s="181">
        <v>210039</v>
      </c>
      <c r="B34" s="180" t="s">
        <v>142</v>
      </c>
      <c r="C34" s="177">
        <f>VLOOKUP(A34,'Variable Input'!$1:$1048576,14,FALSE)</f>
        <v>0</v>
      </c>
      <c r="D34" s="179">
        <v>0</v>
      </c>
      <c r="E34" s="178">
        <f>VLOOKUP(A34,'GBR Revenue for ICC'!$1:$1048576,11,FALSE)+VLOOKUP(A34,'GBR Revenue for ICC'!$1:$1048576,9,FALSE)</f>
        <v>0</v>
      </c>
      <c r="F34" s="177">
        <f t="shared" si="0"/>
        <v>0</v>
      </c>
    </row>
    <row r="35" spans="1:6" x14ac:dyDescent="0.55000000000000004">
      <c r="A35" s="181">
        <v>210040</v>
      </c>
      <c r="B35" s="180" t="s">
        <v>129</v>
      </c>
      <c r="C35" s="177">
        <f>VLOOKUP(A35,'Variable Input'!$1:$1048576,14,FALSE)</f>
        <v>0</v>
      </c>
      <c r="D35" s="179">
        <v>0</v>
      </c>
      <c r="E35" s="178">
        <f>VLOOKUP(A35,'GBR Revenue for ICC'!$1:$1048576,11,FALSE)+VLOOKUP(A35,'GBR Revenue for ICC'!$1:$1048576,9,FALSE)</f>
        <v>0</v>
      </c>
      <c r="F35" s="177">
        <f t="shared" si="0"/>
        <v>0</v>
      </c>
    </row>
    <row r="36" spans="1:6" x14ac:dyDescent="0.55000000000000004">
      <c r="A36" s="181">
        <v>210043</v>
      </c>
      <c r="B36" s="180" t="s">
        <v>151</v>
      </c>
      <c r="C36" s="177">
        <f>VLOOKUP(A36,'Variable Input'!$1:$1048576,14,FALSE)</f>
        <v>751420.32489619183</v>
      </c>
      <c r="D36" s="179">
        <v>0</v>
      </c>
      <c r="E36" s="178">
        <f>VLOOKUP(A36,'GBR Revenue for ICC'!$1:$1048576,11,FALSE)+VLOOKUP(A36,'GBR Revenue for ICC'!$1:$1048576,9,FALSE)</f>
        <v>0</v>
      </c>
      <c r="F36" s="177">
        <f t="shared" si="0"/>
        <v>751420.32489619183</v>
      </c>
    </row>
    <row r="37" spans="1:6" x14ac:dyDescent="0.55000000000000004">
      <c r="A37" s="181">
        <v>210044</v>
      </c>
      <c r="B37" s="180" t="s">
        <v>148</v>
      </c>
      <c r="C37" s="177">
        <f>VLOOKUP(A37,'Variable Input'!$1:$1048576,14,FALSE)</f>
        <v>7270460.1939369673</v>
      </c>
      <c r="D37" s="179">
        <v>0</v>
      </c>
      <c r="E37" s="178">
        <f>VLOOKUP(A37,'GBR Revenue for ICC'!$1:$1048576,11,FALSE)+VLOOKUP(A37,'GBR Revenue for ICC'!$1:$1048576,9,FALSE)</f>
        <v>0</v>
      </c>
      <c r="F37" s="177">
        <f t="shared" si="0"/>
        <v>7270460.1939369673</v>
      </c>
    </row>
    <row r="38" spans="1:6" x14ac:dyDescent="0.55000000000000004">
      <c r="A38" s="181">
        <v>210045</v>
      </c>
      <c r="B38" s="180" t="s">
        <v>131</v>
      </c>
      <c r="C38" s="177">
        <f>VLOOKUP(A38,'Variable Input'!$1:$1048576,14,FALSE)</f>
        <v>0</v>
      </c>
      <c r="D38" s="179">
        <v>0</v>
      </c>
      <c r="E38" s="178">
        <f>VLOOKUP(A38,'GBR Revenue for ICC'!$1:$1048576,11,FALSE)+VLOOKUP(A38,'GBR Revenue for ICC'!$1:$1048576,9,FALSE)</f>
        <v>0</v>
      </c>
      <c r="F38" s="177">
        <f t="shared" si="0"/>
        <v>0</v>
      </c>
    </row>
    <row r="39" spans="1:6" x14ac:dyDescent="0.55000000000000004">
      <c r="A39" s="181">
        <v>210048</v>
      </c>
      <c r="B39" s="180" t="s">
        <v>133</v>
      </c>
      <c r="C39" s="177">
        <f>VLOOKUP(A39,'Variable Input'!$1:$1048576,14,FALSE)</f>
        <v>0</v>
      </c>
      <c r="D39" s="179">
        <v>0</v>
      </c>
      <c r="E39" s="178">
        <f>VLOOKUP(A39,'GBR Revenue for ICC'!$1:$1048576,11,FALSE)+VLOOKUP(A39,'GBR Revenue for ICC'!$1:$1048576,9,FALSE)</f>
        <v>0</v>
      </c>
      <c r="F39" s="177">
        <f t="shared" si="0"/>
        <v>0</v>
      </c>
    </row>
    <row r="40" spans="1:6" x14ac:dyDescent="0.55000000000000004">
      <c r="A40" s="181">
        <v>210049</v>
      </c>
      <c r="B40" s="180" t="s">
        <v>121</v>
      </c>
      <c r="C40" s="177">
        <f>VLOOKUP(A40,'Variable Input'!$1:$1048576,14,FALSE)</f>
        <v>0</v>
      </c>
      <c r="D40" s="179">
        <v>0</v>
      </c>
      <c r="E40" s="178">
        <f>VLOOKUP(A40,'GBR Revenue for ICC'!$1:$1048576,11,FALSE)+VLOOKUP(A40,'GBR Revenue for ICC'!$1:$1048576,9,FALSE)</f>
        <v>0</v>
      </c>
      <c r="F40" s="177">
        <f t="shared" si="0"/>
        <v>0</v>
      </c>
    </row>
    <row r="41" spans="1:6" x14ac:dyDescent="0.55000000000000004">
      <c r="A41" s="181">
        <v>210051</v>
      </c>
      <c r="B41" s="180" t="s">
        <v>138</v>
      </c>
      <c r="C41" s="177">
        <f>VLOOKUP(A41,'Variable Input'!$1:$1048576,14,FALSE)</f>
        <v>0</v>
      </c>
      <c r="D41" s="179">
        <v>0</v>
      </c>
      <c r="E41" s="178">
        <f>VLOOKUP(A41,'GBR Revenue for ICC'!$1:$1048576,11,FALSE)+VLOOKUP(A41,'GBR Revenue for ICC'!$1:$1048576,9,FALSE)</f>
        <v>0</v>
      </c>
      <c r="F41" s="177">
        <f t="shared" si="0"/>
        <v>0</v>
      </c>
    </row>
    <row r="42" spans="1:6" x14ac:dyDescent="0.55000000000000004">
      <c r="A42" s="181">
        <v>210055</v>
      </c>
      <c r="B42" s="180" t="s">
        <v>132</v>
      </c>
      <c r="C42" s="177">
        <f>VLOOKUP(A42,'Variable Input'!$1:$1048576,14,FALSE)</f>
        <v>0</v>
      </c>
      <c r="D42" s="179">
        <v>0</v>
      </c>
      <c r="E42" s="178">
        <f>VLOOKUP(A42,'GBR Revenue for ICC'!$1:$1048576,11,FALSE)+VLOOKUP(A42,'GBR Revenue for ICC'!$1:$1048576,9,FALSE)</f>
        <v>0</v>
      </c>
      <c r="F42" s="177">
        <f t="shared" si="0"/>
        <v>0</v>
      </c>
    </row>
    <row r="43" spans="1:6" x14ac:dyDescent="0.55000000000000004">
      <c r="A43" s="181">
        <v>210056</v>
      </c>
      <c r="B43" s="180" t="s">
        <v>149</v>
      </c>
      <c r="C43" s="177">
        <f>VLOOKUP(A43,'Variable Input'!$1:$1048576,14,FALSE)</f>
        <v>1799367.141968335</v>
      </c>
      <c r="D43" s="179">
        <v>0</v>
      </c>
      <c r="E43" s="178">
        <f>VLOOKUP(A43,'GBR Revenue for ICC'!$1:$1048576,11,FALSE)+VLOOKUP(A43,'GBR Revenue for ICC'!$1:$1048576,9,FALSE)</f>
        <v>0</v>
      </c>
      <c r="F43" s="177">
        <f t="shared" si="0"/>
        <v>1799367.141968335</v>
      </c>
    </row>
    <row r="44" spans="1:6" x14ac:dyDescent="0.55000000000000004">
      <c r="A44" s="181">
        <v>210057</v>
      </c>
      <c r="B44" s="180" t="s">
        <v>127</v>
      </c>
      <c r="C44" s="177">
        <f>VLOOKUP(A44,'Variable Input'!$1:$1048576,14,FALSE)</f>
        <v>0</v>
      </c>
      <c r="D44" s="179">
        <v>0</v>
      </c>
      <c r="E44" s="178">
        <f>VLOOKUP(A44,'GBR Revenue for ICC'!$1:$1048576,11,FALSE)+VLOOKUP(A44,'GBR Revenue for ICC'!$1:$1048576,9,FALSE)</f>
        <v>0</v>
      </c>
      <c r="F44" s="177">
        <f t="shared" si="0"/>
        <v>0</v>
      </c>
    </row>
    <row r="45" spans="1:6" x14ac:dyDescent="0.55000000000000004">
      <c r="A45" s="181">
        <v>210058</v>
      </c>
      <c r="B45" s="180" t="s">
        <v>147</v>
      </c>
      <c r="C45" s="177">
        <f>VLOOKUP(A45,'Variable Input'!$1:$1048576,14,FALSE)</f>
        <v>1773068.069652881</v>
      </c>
      <c r="D45" s="179">
        <v>0</v>
      </c>
      <c r="E45" s="178">
        <f>VLOOKUP(A45,'GBR Revenue for ICC'!$1:$1048576,11,FALSE)+VLOOKUP(A45,'GBR Revenue for ICC'!$1:$1048576,9,FALSE)</f>
        <v>0.13218880461074214</v>
      </c>
      <c r="F45" s="177">
        <f t="shared" si="0"/>
        <v>1538688.3210319907</v>
      </c>
    </row>
    <row r="46" spans="1:6" x14ac:dyDescent="0.55000000000000004">
      <c r="A46" s="181">
        <v>210060</v>
      </c>
      <c r="B46" s="180" t="s">
        <v>137</v>
      </c>
      <c r="C46" s="177">
        <f>VLOOKUP(A46,'Variable Input'!$1:$1048576,14,FALSE)</f>
        <v>0</v>
      </c>
      <c r="D46" s="179">
        <v>0</v>
      </c>
      <c r="E46" s="178">
        <f>VLOOKUP(A46,'GBR Revenue for ICC'!$1:$1048576,11,FALSE)+VLOOKUP(A46,'GBR Revenue for ICC'!$1:$1048576,9,FALSE)</f>
        <v>0</v>
      </c>
      <c r="F46" s="177">
        <f t="shared" si="0"/>
        <v>0</v>
      </c>
    </row>
    <row r="47" spans="1:6" x14ac:dyDescent="0.55000000000000004">
      <c r="A47" s="181">
        <v>210061</v>
      </c>
      <c r="B47" s="180" t="s">
        <v>143</v>
      </c>
      <c r="C47" s="177">
        <f>VLOOKUP(A47,'Variable Input'!$1:$1048576,14,FALSE)</f>
        <v>0</v>
      </c>
      <c r="D47" s="179">
        <v>0</v>
      </c>
      <c r="E47" s="178">
        <f>VLOOKUP(A47,'GBR Revenue for ICC'!$1:$1048576,11,FALSE)+VLOOKUP(A47,'GBR Revenue for ICC'!$1:$1048576,9,FALSE)</f>
        <v>0</v>
      </c>
      <c r="F47" s="177">
        <f t="shared" si="0"/>
        <v>0</v>
      </c>
    </row>
    <row r="48" spans="1:6" x14ac:dyDescent="0.55000000000000004">
      <c r="A48" s="181">
        <v>210062</v>
      </c>
      <c r="B48" s="180" t="s">
        <v>124</v>
      </c>
      <c r="C48" s="177">
        <f>VLOOKUP(A48,'Variable Input'!$1:$1048576,14,FALSE)</f>
        <v>0</v>
      </c>
      <c r="D48" s="179">
        <v>0</v>
      </c>
      <c r="E48" s="178">
        <f>VLOOKUP(A48,'GBR Revenue for ICC'!$1:$1048576,11,FALSE)+VLOOKUP(A48,'GBR Revenue for ICC'!$1:$1048576,9,FALSE)</f>
        <v>0</v>
      </c>
      <c r="F48" s="177">
        <f t="shared" si="0"/>
        <v>0</v>
      </c>
    </row>
    <row r="49" spans="1:6" x14ac:dyDescent="0.55000000000000004">
      <c r="A49" s="181">
        <v>210063</v>
      </c>
      <c r="B49" s="180" t="s">
        <v>123</v>
      </c>
      <c r="C49" s="177">
        <f>VLOOKUP(A49,'Variable Input'!$1:$1048576,14,FALSE)</f>
        <v>0</v>
      </c>
      <c r="D49" s="179">
        <v>0</v>
      </c>
      <c r="E49" s="178">
        <f>VLOOKUP(A49,'GBR Revenue for ICC'!$1:$1048576,11,FALSE)+VLOOKUP(A49,'GBR Revenue for ICC'!$1:$1048576,9,FALSE)</f>
        <v>0</v>
      </c>
      <c r="F49" s="177">
        <f t="shared" si="0"/>
        <v>0</v>
      </c>
    </row>
    <row r="50" spans="1:6" x14ac:dyDescent="0.55000000000000004">
      <c r="A50" s="181">
        <v>210065</v>
      </c>
      <c r="B50" s="180" t="s">
        <v>81</v>
      </c>
      <c r="C50" s="177">
        <f>VLOOKUP(A50,'Variable Input'!$1:$1048576,14,FALSE)</f>
        <v>0</v>
      </c>
      <c r="D50" s="179">
        <v>0</v>
      </c>
      <c r="E50" s="178">
        <f>VLOOKUP(A50,'GBR Revenue for ICC'!$1:$1048576,11,FALSE)+VLOOKUP(A50,'GBR Revenue for ICC'!$1:$1048576,9,FALSE)</f>
        <v>0</v>
      </c>
      <c r="F50" s="177">
        <f t="shared" si="0"/>
        <v>0</v>
      </c>
    </row>
  </sheetData>
  <sheetCalcPr fullCalcOnLoa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A71"/>
  <sheetViews>
    <sheetView topLeftCell="J1" zoomScale="85" zoomScaleNormal="85" workbookViewId="0">
      <pane ySplit="2" topLeftCell="A3" activePane="bottomLeft" state="frozen"/>
      <selection pane="bottomLeft" activeCell="S3" sqref="S3:S54"/>
    </sheetView>
  </sheetViews>
  <sheetFormatPr defaultColWidth="12.41796875" defaultRowHeight="15" x14ac:dyDescent="0.5"/>
  <cols>
    <col min="1" max="1" width="15.15625" style="10" customWidth="1"/>
    <col min="2" max="2" width="39.41796875" style="10" customWidth="1"/>
    <col min="3" max="3" width="12.41796875" style="10" customWidth="1"/>
    <col min="4" max="4" width="19.15625" style="13" customWidth="1"/>
    <col min="5" max="5" width="19.15625" style="12" customWidth="1"/>
    <col min="6" max="6" width="19.15625" style="13" customWidth="1"/>
    <col min="7" max="8" width="19.15625" style="12" customWidth="1"/>
    <col min="9" max="9" width="12.41796875" style="10" customWidth="1"/>
    <col min="10" max="10" width="22.578125" style="11" customWidth="1"/>
    <col min="11" max="11" width="20.578125" style="11" customWidth="1"/>
    <col min="12" max="12" width="20.578125" style="12" customWidth="1"/>
    <col min="13" max="13" width="12.41796875" style="10" customWidth="1"/>
    <col min="14" max="14" width="20.15625" style="12" customWidth="1"/>
    <col min="15" max="15" width="16.26171875" style="10" customWidth="1"/>
    <col min="16" max="16" width="20.578125" style="12" customWidth="1"/>
    <col min="17" max="17" width="19.41796875" style="12" customWidth="1"/>
    <col min="18" max="18" width="20.83984375" style="10" customWidth="1"/>
    <col min="19" max="19" width="18.41796875" style="11" customWidth="1"/>
    <col min="20" max="20" width="15" style="11" customWidth="1"/>
    <col min="21" max="21" width="19.15625" style="11" customWidth="1"/>
    <col min="22" max="22" width="20.26171875" style="10" customWidth="1"/>
    <col min="23" max="23" width="26.83984375" style="10" bestFit="1" customWidth="1"/>
    <col min="24" max="24" width="20" style="11" customWidth="1"/>
    <col min="25" max="25" width="20" style="10" customWidth="1"/>
    <col min="26" max="26" width="20.15625" style="10" customWidth="1"/>
    <col min="27" max="27" width="20" style="10" hidden="1" customWidth="1"/>
    <col min="28" max="16384" width="12.41796875" style="10"/>
  </cols>
  <sheetData>
    <row r="1" spans="1:27" ht="46.5" x14ac:dyDescent="1.5">
      <c r="A1" s="56" t="s">
        <v>497</v>
      </c>
      <c r="B1" s="55"/>
      <c r="C1" s="55"/>
      <c r="D1" s="54"/>
      <c r="E1" s="53"/>
      <c r="F1" s="54"/>
      <c r="G1" s="53"/>
      <c r="H1" s="53"/>
      <c r="I1" s="51"/>
      <c r="J1" s="50"/>
      <c r="K1" s="50"/>
      <c r="L1" s="53"/>
      <c r="M1" s="49"/>
      <c r="N1" s="53"/>
      <c r="O1" s="49"/>
      <c r="P1" s="53"/>
      <c r="Q1" s="53"/>
      <c r="R1" s="52"/>
      <c r="S1" s="50"/>
      <c r="T1" s="50"/>
      <c r="U1" s="50"/>
      <c r="V1" s="51"/>
      <c r="W1" s="51"/>
      <c r="X1" s="50"/>
      <c r="Y1" s="49"/>
      <c r="Z1" s="49"/>
    </row>
    <row r="2" spans="1:27" ht="105.3" x14ac:dyDescent="0.55000000000000004">
      <c r="A2" s="48" t="s">
        <v>106</v>
      </c>
      <c r="B2" s="47" t="s">
        <v>105</v>
      </c>
      <c r="C2" s="47" t="s">
        <v>104</v>
      </c>
      <c r="D2" s="45" t="s">
        <v>103</v>
      </c>
      <c r="E2" s="46" t="s">
        <v>102</v>
      </c>
      <c r="F2" s="286" t="s">
        <v>101</v>
      </c>
      <c r="G2" s="45" t="s">
        <v>100</v>
      </c>
      <c r="H2" s="45" t="s">
        <v>99</v>
      </c>
      <c r="I2" s="44" t="s">
        <v>98</v>
      </c>
      <c r="J2" s="40" t="s">
        <v>97</v>
      </c>
      <c r="K2" s="287" t="s">
        <v>96</v>
      </c>
      <c r="L2" s="42" t="s">
        <v>95</v>
      </c>
      <c r="M2" s="44" t="s">
        <v>94</v>
      </c>
      <c r="N2" s="42" t="s">
        <v>93</v>
      </c>
      <c r="O2" s="41" t="s">
        <v>92</v>
      </c>
      <c r="P2" s="42" t="s">
        <v>91</v>
      </c>
      <c r="Q2" s="42" t="s">
        <v>90</v>
      </c>
      <c r="R2" s="43" t="s">
        <v>89</v>
      </c>
      <c r="S2" s="287" t="s">
        <v>88</v>
      </c>
      <c r="T2" s="40" t="s">
        <v>87</v>
      </c>
      <c r="U2" s="42" t="s">
        <v>85</v>
      </c>
      <c r="V2" s="41" t="s">
        <v>86</v>
      </c>
      <c r="W2" s="41" t="s">
        <v>85</v>
      </c>
      <c r="X2" s="40" t="s">
        <v>84</v>
      </c>
      <c r="Y2" s="39" t="s">
        <v>83</v>
      </c>
      <c r="Z2" s="39" t="s">
        <v>82</v>
      </c>
      <c r="AA2" s="39" t="s">
        <v>468</v>
      </c>
    </row>
    <row r="3" spans="1:27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19">
        <f>IFERROR(VLOOKUP(A3,'Variable Input'!$1:$1048576,6,FALSE),0)</f>
        <v>406935783.94573671</v>
      </c>
      <c r="E3" s="19">
        <f t="shared" ref="E3:E34" si="0">IFERROR(D3/O3,0)</f>
        <v>13919.939180231155</v>
      </c>
      <c r="F3" s="19">
        <f>IFERROR(VLOOKUP(A3,'Drug Overhead'!$1:$1048576,13,FALSE)*VLOOKUP(A3,Volume!$A:$K,11,FALSE),0)</f>
        <v>2293988.6249724138</v>
      </c>
      <c r="G3" s="19">
        <f t="shared" ref="G3:G34" si="1">D3+F3</f>
        <v>409229772.57070911</v>
      </c>
      <c r="H3" s="19">
        <f t="shared" ref="H3:H34" si="2">IFERROR(G3/O3,0)</f>
        <v>13998.409011097678</v>
      </c>
      <c r="I3" s="36">
        <f>VLOOKUP(A3,'Variable Input'!$1:$1048576,8,FALSE)</f>
        <v>1.1196537153887776</v>
      </c>
      <c r="J3" s="19">
        <f t="shared" ref="J3:J34" si="3">G3/I3</f>
        <v>365496730.77145302</v>
      </c>
      <c r="K3" s="19">
        <f>IFERROR(VLOOKUP(A3,'Variable Input'!$1:$1048576,26,FALSE)*VLOOKUP(A3,Volume!$A:$K,11,FALSE),0)</f>
        <v>6625379.0220225165</v>
      </c>
      <c r="L3" s="22">
        <f t="shared" ref="L3:L34" si="4">J3-K3</f>
        <v>358871351.74943048</v>
      </c>
      <c r="M3" s="36">
        <f>VLOOKUP(A3,'Variable Input'!$1:$1048576,23,FALSE)</f>
        <v>0.99671861092415948</v>
      </c>
      <c r="N3" s="22">
        <f t="shared" ref="N3:N34" si="5">L3/M3</f>
        <v>360052825.15662497</v>
      </c>
      <c r="O3" s="27">
        <f>IFERROR(VLOOKUP(A3,'Variable Input'!$1:$1048576,7,FALSE),0)</f>
        <v>29234.020255178955</v>
      </c>
      <c r="P3" s="18">
        <f t="shared" ref="P3:P34" si="6">IFERROR(+N3/O3,0)</f>
        <v>12316.226848506742</v>
      </c>
      <c r="Q3" s="18">
        <f t="shared" ref="Q3:Q34" si="7">+P3*O3</f>
        <v>360052825.15662497</v>
      </c>
      <c r="R3" s="20">
        <f>IFERROR(VLOOKUP(A3,RESCMAD!$1:$1048576,8,FALSE),0)</f>
        <v>6.1572099365331744E-4</v>
      </c>
      <c r="S3" s="19">
        <f>IF(C3=5,(R3*O3)*IME!$M$7,(R3*O3)*IME!$M$8)</f>
        <v>2374575.6102015208</v>
      </c>
      <c r="T3" s="19">
        <f t="shared" ref="T3:T34" si="8">IFERROR(S3/O3,0)</f>
        <v>81.226447456567413</v>
      </c>
      <c r="U3" s="22">
        <f t="shared" ref="U3:U34" si="9">Q3-S3</f>
        <v>357678249.54642344</v>
      </c>
      <c r="V3" s="17">
        <f t="shared" ref="V3:V34" si="10">IFERROR((U3/Q3)-1,0)</f>
        <v>-6.5950756230521712E-3</v>
      </c>
      <c r="W3" s="19">
        <f t="shared" ref="W3:W34" si="11">Q3-S3</f>
        <v>357678249.54642344</v>
      </c>
      <c r="X3" s="15">
        <f t="shared" ref="X3:X34" si="12">IFERROR(W3/O3,0)</f>
        <v>12235.000401050174</v>
      </c>
      <c r="Y3" s="14">
        <f t="shared" ref="Y3:Y34" si="13">IFERROR(X3/VLOOKUP(C3,$61:$68,24,FALSE)-1," ")</f>
        <v>-0.17066712562638131</v>
      </c>
      <c r="Z3" s="14">
        <f t="shared" ref="Z3:Z34" si="14">X3/$X$62-1</f>
        <v>-0.1948684895415298</v>
      </c>
      <c r="AA3" s="10">
        <v>1</v>
      </c>
    </row>
    <row r="4" spans="1:27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19">
        <f>IFERROR(VLOOKUP(A4,'Variable Input'!$1:$1048576,6,FALSE),0)</f>
        <v>1254329650.1456954</v>
      </c>
      <c r="E4" s="19">
        <f t="shared" si="0"/>
        <v>23486.630843643299</v>
      </c>
      <c r="F4" s="19">
        <f>IFERROR(VLOOKUP(A4,'Drug Overhead'!$1:$1048576,13,FALSE)*VLOOKUP(A4,Volume!$A:$K,11,FALSE),0)</f>
        <v>76919616.087280333</v>
      </c>
      <c r="G4" s="19">
        <f t="shared" si="1"/>
        <v>1331249266.2329757</v>
      </c>
      <c r="H4" s="19">
        <f t="shared" si="2"/>
        <v>24926.908228034936</v>
      </c>
      <c r="I4" s="36">
        <f>VLOOKUP(A4,'Variable Input'!$1:$1048576,8,FALSE)</f>
        <v>1.1149630516096494</v>
      </c>
      <c r="J4" s="19">
        <f t="shared" si="3"/>
        <v>1193985096.0182745</v>
      </c>
      <c r="K4" s="19">
        <f>IFERROR(VLOOKUP(A4,'Variable Input'!$1:$1048576,26,FALSE)*VLOOKUP(A4,Volume!$A:$K,11,FALSE),0)</f>
        <v>59584704.514455065</v>
      </c>
      <c r="L4" s="22">
        <f t="shared" si="4"/>
        <v>1134400391.5038195</v>
      </c>
      <c r="M4" s="36">
        <f>VLOOKUP(A4,'Variable Input'!$1:$1048576,23,FALSE)</f>
        <v>0.99671861092415948</v>
      </c>
      <c r="N4" s="22">
        <f t="shared" si="5"/>
        <v>1138135055.4415767</v>
      </c>
      <c r="O4" s="27">
        <f>IFERROR(VLOOKUP(A4,'Variable Input'!$1:$1048576,7,FALSE),0)</f>
        <v>53406.112545307114</v>
      </c>
      <c r="P4" s="18">
        <f t="shared" si="6"/>
        <v>21310.951147699412</v>
      </c>
      <c r="Q4" s="18">
        <f t="shared" si="7"/>
        <v>1138135055.4415767</v>
      </c>
      <c r="R4" s="20">
        <f>IFERROR(VLOOKUP(A4,RESCMAD!$1:$1048576,8,FALSE),0)</f>
        <v>8.0070950123769438E-3</v>
      </c>
      <c r="S4" s="19">
        <f>IF(C4=5,(R4*O4)*IME!$M$7,(R4*O4)*IME!$M$8)</f>
        <v>155133677.04599613</v>
      </c>
      <c r="T4" s="19">
        <f t="shared" si="8"/>
        <v>2904.7925350190649</v>
      </c>
      <c r="U4" s="22">
        <f t="shared" si="9"/>
        <v>983001378.39558053</v>
      </c>
      <c r="V4" s="17">
        <f t="shared" si="10"/>
        <v>-0.13630515667212006</v>
      </c>
      <c r="W4" s="19">
        <f t="shared" si="11"/>
        <v>983001378.39558053</v>
      </c>
      <c r="X4" s="15">
        <f t="shared" si="12"/>
        <v>18406.158612680349</v>
      </c>
      <c r="Y4" s="14">
        <f t="shared" si="13"/>
        <v>9.1487676394615303E-2</v>
      </c>
      <c r="Z4" s="14">
        <f t="shared" si="14"/>
        <v>0.21122826316323695</v>
      </c>
      <c r="AA4" s="10">
        <v>1</v>
      </c>
    </row>
    <row r="5" spans="1:27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19">
        <f>IFERROR(VLOOKUP(A5,'Variable Input'!$1:$1048576,6,FALSE),0)</f>
        <v>379138438.61161411</v>
      </c>
      <c r="E5" s="19">
        <f t="shared" si="0"/>
        <v>22808.939516295475</v>
      </c>
      <c r="F5" s="19">
        <f>IFERROR(VLOOKUP(A5,'Drug Overhead'!$1:$1048576,13,FALSE)*VLOOKUP(A5,Volume!$A:$K,11,FALSE),0)</f>
        <v>459671.4824954826</v>
      </c>
      <c r="G5" s="22">
        <f t="shared" si="1"/>
        <v>379598110.09410959</v>
      </c>
      <c r="H5" s="19">
        <f t="shared" si="2"/>
        <v>22836.59331758241</v>
      </c>
      <c r="I5" s="36">
        <f>VLOOKUP(A5,'Variable Input'!$1:$1048576,8,FALSE)</f>
        <v>1.1150592197193865</v>
      </c>
      <c r="J5" s="19">
        <f t="shared" si="3"/>
        <v>340428654.71274114</v>
      </c>
      <c r="K5" s="19">
        <f>IFERROR(VLOOKUP(A5,'Variable Input'!$1:$1048576,26,FALSE)*VLOOKUP(A5,Volume!$A:$K,11,FALSE),0)</f>
        <v>10600897.780621644</v>
      </c>
      <c r="L5" s="22">
        <f t="shared" si="4"/>
        <v>329827756.93211949</v>
      </c>
      <c r="M5" s="36">
        <f>VLOOKUP(A5,'Variable Input'!$1:$1048576,23,FALSE)</f>
        <v>1.0181752931904677</v>
      </c>
      <c r="N5" s="22">
        <f t="shared" si="5"/>
        <v>323940051.51961523</v>
      </c>
      <c r="O5" s="27">
        <f>IFERROR(VLOOKUP(A5,'Variable Input'!$1:$1048576,7,FALSE),0)</f>
        <v>16622.361523679996</v>
      </c>
      <c r="P5" s="18">
        <f t="shared" si="6"/>
        <v>19488.208763726776</v>
      </c>
      <c r="Q5" s="18">
        <f t="shared" si="7"/>
        <v>323940051.51961529</v>
      </c>
      <c r="R5" s="20">
        <f>IFERROR(VLOOKUP(A5,RESCMAD!$1:$1048576,8,FALSE),0)</f>
        <v>2.8876763347746859E-3</v>
      </c>
      <c r="S5" s="19">
        <f>IF(C5=5,(R5*O5)*IME!$M$7,(R5*O5)*IME!$M$8)</f>
        <v>6332201.6272040587</v>
      </c>
      <c r="T5" s="19">
        <f t="shared" si="8"/>
        <v>380.94476637289404</v>
      </c>
      <c r="U5" s="22">
        <f t="shared" si="9"/>
        <v>317607849.89241123</v>
      </c>
      <c r="V5" s="17">
        <f t="shared" si="10"/>
        <v>-1.9547448972423886E-2</v>
      </c>
      <c r="W5" s="19">
        <f t="shared" si="11"/>
        <v>317607849.89241123</v>
      </c>
      <c r="X5" s="15">
        <f t="shared" si="12"/>
        <v>19107.263997353883</v>
      </c>
      <c r="Y5" s="14">
        <f t="shared" si="13"/>
        <v>0.29515992259231227</v>
      </c>
      <c r="Z5" s="14">
        <f t="shared" si="14"/>
        <v>0.25736492183505177</v>
      </c>
      <c r="AA5" s="10">
        <v>1</v>
      </c>
    </row>
    <row r="6" spans="1:27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19">
        <f>IFERROR(VLOOKUP(A6,'Variable Input'!$1:$1048576,6,FALSE),0)</f>
        <v>560071845.3178103</v>
      </c>
      <c r="E6" s="19">
        <f t="shared" si="0"/>
        <v>15826.078939324987</v>
      </c>
      <c r="F6" s="19">
        <f>IFERROR(VLOOKUP(A6,'Drug Overhead'!$1:$1048576,13,FALSE)*VLOOKUP(A6,Volume!$A:$K,11,FALSE),0)</f>
        <v>2090680.9190701842</v>
      </c>
      <c r="G6" s="19">
        <f t="shared" si="1"/>
        <v>562162526.23688054</v>
      </c>
      <c r="H6" s="19">
        <f t="shared" si="2"/>
        <v>15885.15579087315</v>
      </c>
      <c r="I6" s="36">
        <f>VLOOKUP(A6,'Variable Input'!$1:$1048576,8,FALSE)</f>
        <v>1.1099846191041804</v>
      </c>
      <c r="J6" s="19">
        <f t="shared" si="3"/>
        <v>506459744.18147981</v>
      </c>
      <c r="K6" s="19">
        <f>IFERROR(VLOOKUP(A6,'Variable Input'!$1:$1048576,26,FALSE)*VLOOKUP(A6,Volume!$A:$K,11,FALSE),0)</f>
        <v>1942313.1270902995</v>
      </c>
      <c r="L6" s="22">
        <f t="shared" si="4"/>
        <v>504517431.05438954</v>
      </c>
      <c r="M6" s="36">
        <f>VLOOKUP(A6,'Variable Input'!$1:$1048576,23,FALSE)</f>
        <v>1.0181752931904677</v>
      </c>
      <c r="N6" s="22">
        <f t="shared" si="5"/>
        <v>495511366.68566817</v>
      </c>
      <c r="O6" s="27">
        <f>IFERROR(VLOOKUP(A6,'Variable Input'!$1:$1048576,7,FALSE),0)</f>
        <v>35389.172988776867</v>
      </c>
      <c r="P6" s="18">
        <f t="shared" si="6"/>
        <v>14001.778646898925</v>
      </c>
      <c r="Q6" s="18">
        <f t="shared" si="7"/>
        <v>495511366.68566817</v>
      </c>
      <c r="R6" s="20">
        <f>IFERROR(VLOOKUP(A6,RESCMAD!$1:$1048576,8,FALSE),0)</f>
        <v>5.3688736964906027E-4</v>
      </c>
      <c r="S6" s="19">
        <f>IF(C6=5,(R6*O6)*IME!$M$7,(R6*O6)*IME!$M$8)</f>
        <v>2506496.4774349369</v>
      </c>
      <c r="T6" s="19">
        <f t="shared" si="8"/>
        <v>70.826647410772608</v>
      </c>
      <c r="U6" s="22">
        <f t="shared" si="9"/>
        <v>493004870.20823324</v>
      </c>
      <c r="V6" s="17">
        <f t="shared" si="10"/>
        <v>-5.058403592636318E-3</v>
      </c>
      <c r="W6" s="19">
        <f t="shared" si="11"/>
        <v>493004870.20823324</v>
      </c>
      <c r="X6" s="15">
        <f t="shared" si="12"/>
        <v>13930.951999488154</v>
      </c>
      <c r="Y6" s="14">
        <f t="shared" si="13"/>
        <v>-5.5709351386310502E-2</v>
      </c>
      <c r="Z6" s="14">
        <f t="shared" si="14"/>
        <v>-8.3265381461727461E-2</v>
      </c>
    </row>
    <row r="7" spans="1:27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19">
        <f>IFERROR(VLOOKUP(A7,'Variable Input'!$1:$1048576,6,FALSE),0)</f>
        <v>403101812.74028164</v>
      </c>
      <c r="E7" s="19">
        <f t="shared" si="0"/>
        <v>16345.190741038119</v>
      </c>
      <c r="F7" s="19">
        <f>IFERROR(VLOOKUP(A7,'Drug Overhead'!$1:$1048576,13,FALSE)*VLOOKUP(A7,Volume!$A:$K,11,FALSE),0)</f>
        <v>99848.296926082141</v>
      </c>
      <c r="G7" s="19">
        <f t="shared" si="1"/>
        <v>403201661.03720772</v>
      </c>
      <c r="H7" s="19">
        <f t="shared" si="2"/>
        <v>16349.23944388897</v>
      </c>
      <c r="I7" s="36">
        <f>VLOOKUP(A7,'Variable Input'!$1:$1048576,8,FALSE)</f>
        <v>1.1133096880777904</v>
      </c>
      <c r="J7" s="19">
        <f t="shared" si="3"/>
        <v>362164872.32170278</v>
      </c>
      <c r="K7" s="19">
        <f>IFERROR(VLOOKUP(A7,'Variable Input'!$1:$1048576,26,FALSE)*VLOOKUP(A7,Volume!$A:$K,11,FALSE),0)</f>
        <v>424862.32800000021</v>
      </c>
      <c r="L7" s="22">
        <f t="shared" si="4"/>
        <v>361740009.99370277</v>
      </c>
      <c r="M7" s="36">
        <f>VLOOKUP(A7,'Variable Input'!$1:$1048576,23,FALSE)</f>
        <v>0.99671861092415948</v>
      </c>
      <c r="N7" s="22">
        <f t="shared" si="5"/>
        <v>362930927.57473117</v>
      </c>
      <c r="O7" s="27">
        <f>IFERROR(VLOOKUP(A7,'Variable Input'!$1:$1048576,7,FALSE),0)</f>
        <v>24661.79924888902</v>
      </c>
      <c r="P7" s="18">
        <f t="shared" si="6"/>
        <v>14716.319921024446</v>
      </c>
      <c r="Q7" s="18">
        <f t="shared" si="7"/>
        <v>362930927.57473117</v>
      </c>
      <c r="R7" s="20">
        <f>IFERROR(VLOOKUP(A7,RESCMAD!$1:$1048576,8,FALSE),0)</f>
        <v>0</v>
      </c>
      <c r="S7" s="19">
        <f>IF(C7=5,(R7*O7)*IME!$M$7,(R7*O7)*IME!$M$8)</f>
        <v>0</v>
      </c>
      <c r="T7" s="19">
        <f t="shared" si="8"/>
        <v>0</v>
      </c>
      <c r="U7" s="22">
        <f t="shared" si="9"/>
        <v>362930927.57473117</v>
      </c>
      <c r="V7" s="17">
        <f t="shared" si="10"/>
        <v>0</v>
      </c>
      <c r="W7" s="19">
        <f t="shared" si="11"/>
        <v>362930927.57473117</v>
      </c>
      <c r="X7" s="15">
        <f t="shared" si="12"/>
        <v>14716.319921024446</v>
      </c>
      <c r="Y7" s="14">
        <f t="shared" si="13"/>
        <v>-2.4742541686085806E-3</v>
      </c>
      <c r="Z7" s="14">
        <f t="shared" si="14"/>
        <v>-3.1583776214058723E-2</v>
      </c>
      <c r="AA7" s="10">
        <v>1</v>
      </c>
    </row>
    <row r="8" spans="1:27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19">
        <f>IFERROR(VLOOKUP(A8,'Variable Input'!$1:$1048576,6,FALSE),0)</f>
        <v>114755783.67342256</v>
      </c>
      <c r="E8" s="19">
        <f t="shared" si="0"/>
        <v>17917.836302367868</v>
      </c>
      <c r="F8" s="19">
        <f>IFERROR(VLOOKUP(A8,'Drug Overhead'!$1:$1048576,13,FALSE)*VLOOKUP(A8,Volume!$A:$K,11,FALSE),0)</f>
        <v>482131.81749379146</v>
      </c>
      <c r="G8" s="19">
        <f t="shared" si="1"/>
        <v>115237915.49091636</v>
      </c>
      <c r="H8" s="19">
        <f t="shared" si="2"/>
        <v>17993.115810776799</v>
      </c>
      <c r="I8" s="36">
        <f>VLOOKUP(A8,'Variable Input'!$1:$1048576,8,FALSE)</f>
        <v>1.1180012832443968</v>
      </c>
      <c r="J8" s="19">
        <f t="shared" si="3"/>
        <v>103074940.26885223</v>
      </c>
      <c r="K8" s="19">
        <f>IFERROR(VLOOKUP(A8,'Variable Input'!$1:$1048576,26,FALSE)*VLOOKUP(A8,Volume!$A:$K,11,FALSE),0)</f>
        <v>0</v>
      </c>
      <c r="L8" s="22">
        <f t="shared" si="4"/>
        <v>103074940.26885223</v>
      </c>
      <c r="M8" s="36">
        <f>VLOOKUP(A8,'Variable Input'!$1:$1048576,23,FALSE)</f>
        <v>0.99671861092415948</v>
      </c>
      <c r="N8" s="22">
        <f t="shared" si="5"/>
        <v>103414282.76660846</v>
      </c>
      <c r="O8" s="27">
        <f>IFERROR(VLOOKUP(A8,'Variable Input'!$1:$1048576,7,FALSE),0)</f>
        <v>6404.5558703010038</v>
      </c>
      <c r="P8" s="18">
        <f t="shared" si="6"/>
        <v>16146.987372872767</v>
      </c>
      <c r="Q8" s="18">
        <f t="shared" si="7"/>
        <v>103414282.76660846</v>
      </c>
      <c r="R8" s="20">
        <f>IFERROR(VLOOKUP(A8,RESCMAD!$1:$1048576,8,FALSE),0)</f>
        <v>0</v>
      </c>
      <c r="S8" s="19">
        <f>IF(C8=5,(R8*O8)*IME!$M$7,(R8*O8)*IME!$M$8)</f>
        <v>0</v>
      </c>
      <c r="T8" s="19">
        <f t="shared" si="8"/>
        <v>0</v>
      </c>
      <c r="U8" s="22">
        <f t="shared" si="9"/>
        <v>103414282.76660846</v>
      </c>
      <c r="V8" s="17">
        <f t="shared" si="10"/>
        <v>0</v>
      </c>
      <c r="W8" s="19">
        <f t="shared" si="11"/>
        <v>103414282.76660846</v>
      </c>
      <c r="X8" s="15">
        <f t="shared" si="12"/>
        <v>16146.987372872767</v>
      </c>
      <c r="Y8" s="14">
        <f t="shared" si="13"/>
        <v>9.4501594725708404E-2</v>
      </c>
      <c r="Z8" s="14">
        <f t="shared" si="14"/>
        <v>6.2562150121304505E-2</v>
      </c>
      <c r="AA8" s="10">
        <v>1</v>
      </c>
    </row>
    <row r="9" spans="1:27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19">
        <f>IFERROR(VLOOKUP(A9,'Variable Input'!$1:$1048576,6,FALSE),0)</f>
        <v>616154621.82218134</v>
      </c>
      <c r="E9" s="19">
        <f t="shared" si="0"/>
        <v>16568.781718879367</v>
      </c>
      <c r="F9" s="19">
        <f>IFERROR(VLOOKUP(A9,'Drug Overhead'!$1:$1048576,13,FALSE)*VLOOKUP(A9,Volume!$A:$K,11,FALSE),0)</f>
        <v>14280591.48015156</v>
      </c>
      <c r="G9" s="22">
        <f t="shared" si="1"/>
        <v>630435213.30233288</v>
      </c>
      <c r="H9" s="19">
        <f t="shared" si="2"/>
        <v>16952.79572229847</v>
      </c>
      <c r="I9" s="36">
        <f>VLOOKUP(A9,'Variable Input'!$1:$1048576,8,FALSE)</f>
        <v>1.1102695565875482</v>
      </c>
      <c r="J9" s="19">
        <f t="shared" si="3"/>
        <v>567821759.64546597</v>
      </c>
      <c r="K9" s="19">
        <f>IFERROR(VLOOKUP(A9,'Variable Input'!$1:$1048576,26,FALSE)*VLOOKUP(A9,Volume!$A:$K,11,FALSE),0)</f>
        <v>5003207.6874727393</v>
      </c>
      <c r="L9" s="22">
        <f t="shared" si="4"/>
        <v>562818551.95799327</v>
      </c>
      <c r="M9" s="36">
        <f>VLOOKUP(A9,'Variable Input'!$1:$1048576,23,FALSE)</f>
        <v>0.99671861092415948</v>
      </c>
      <c r="N9" s="22">
        <f t="shared" si="5"/>
        <v>564671458.71405649</v>
      </c>
      <c r="O9" s="27">
        <f>IFERROR(VLOOKUP(A9,'Variable Input'!$1:$1048576,7,FALSE),0)</f>
        <v>37187.68418079293</v>
      </c>
      <c r="P9" s="18">
        <f t="shared" si="6"/>
        <v>15184.367382728922</v>
      </c>
      <c r="Q9" s="18">
        <f t="shared" si="7"/>
        <v>564671458.71405649</v>
      </c>
      <c r="R9" s="20">
        <f>IFERROR(VLOOKUP(A9,RESCMAD!$1:$1048576,8,FALSE),0)</f>
        <v>1.3017891569452743E-3</v>
      </c>
      <c r="S9" s="19">
        <f>IF(C9=5,(R9*O9)*IME!$M$7,(R9*O9)*IME!$M$8)</f>
        <v>6386358.3143780688</v>
      </c>
      <c r="T9" s="19">
        <f t="shared" si="8"/>
        <v>171.73315453928049</v>
      </c>
      <c r="U9" s="22">
        <f t="shared" si="9"/>
        <v>558285100.39967847</v>
      </c>
      <c r="V9" s="17">
        <f t="shared" si="10"/>
        <v>-1.1309865614461678E-2</v>
      </c>
      <c r="W9" s="19">
        <f t="shared" si="11"/>
        <v>558285100.39967847</v>
      </c>
      <c r="X9" s="15">
        <f t="shared" si="12"/>
        <v>15012.634228189643</v>
      </c>
      <c r="Y9" s="14">
        <f t="shared" si="13"/>
        <v>1.7611008440638898E-2</v>
      </c>
      <c r="Z9" s="14">
        <f t="shared" si="14"/>
        <v>-1.2084636215837441E-2</v>
      </c>
      <c r="AA9" s="10">
        <v>1</v>
      </c>
    </row>
    <row r="10" spans="1:27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19">
        <f>IFERROR(VLOOKUP(A10,'Variable Input'!$1:$1048576,6,FALSE),0)</f>
        <v>2316322513.6232748</v>
      </c>
      <c r="E10" s="19">
        <f t="shared" si="0"/>
        <v>22248.409950625879</v>
      </c>
      <c r="F10" s="19">
        <f>IFERROR(VLOOKUP(A10,'Drug Overhead'!$1:$1048576,13,FALSE)*VLOOKUP(A10,Volume!$A:$K,11,FALSE),0)</f>
        <v>110444739.43892661</v>
      </c>
      <c r="G10" s="19">
        <f t="shared" si="1"/>
        <v>2426767253.0622015</v>
      </c>
      <c r="H10" s="19">
        <f t="shared" si="2"/>
        <v>23309.23797672127</v>
      </c>
      <c r="I10" s="36">
        <f>VLOOKUP(A10,'Variable Input'!$1:$1048576,8,FALSE)</f>
        <v>1.106052155233989</v>
      </c>
      <c r="J10" s="19">
        <f t="shared" si="3"/>
        <v>2194080307.67664</v>
      </c>
      <c r="K10" s="19">
        <f>IFERROR(VLOOKUP(A10,'Variable Input'!$1:$1048576,26,FALSE)*VLOOKUP(A10,Volume!$A:$K,11,FALSE),0)</f>
        <v>121878078.47076836</v>
      </c>
      <c r="L10" s="22">
        <f t="shared" si="4"/>
        <v>2072202229.2058716</v>
      </c>
      <c r="M10" s="36">
        <f>VLOOKUP(A10,'Variable Input'!$1:$1048576,23,FALSE)</f>
        <v>0.99671861092415948</v>
      </c>
      <c r="N10" s="22">
        <f t="shared" si="5"/>
        <v>2079024316.8877137</v>
      </c>
      <c r="O10" s="27">
        <f>IFERROR(VLOOKUP(A10,'Variable Input'!$1:$1048576,7,FALSE),0)</f>
        <v>104111.82276682714</v>
      </c>
      <c r="P10" s="18">
        <f t="shared" si="6"/>
        <v>19969.147226861802</v>
      </c>
      <c r="Q10" s="18">
        <f t="shared" si="7"/>
        <v>2079024316.8877137</v>
      </c>
      <c r="R10" s="20">
        <f>IFERROR(VLOOKUP(A10,RESCMAD!$1:$1048576,8,FALSE),0)</f>
        <v>7.4942478105740583E-3</v>
      </c>
      <c r="S10" s="19">
        <f>IF(C10=5,(R10*O10)*IME!$M$7,(R10*O10)*IME!$M$8)</f>
        <v>283053309.91496724</v>
      </c>
      <c r="T10" s="19">
        <f t="shared" si="8"/>
        <v>2718.743197387912</v>
      </c>
      <c r="U10" s="22">
        <f t="shared" si="9"/>
        <v>1795971006.9727464</v>
      </c>
      <c r="V10" s="17">
        <f t="shared" si="10"/>
        <v>-0.13614718578121121</v>
      </c>
      <c r="W10" s="19">
        <f t="shared" si="11"/>
        <v>1795971006.9727464</v>
      </c>
      <c r="X10" s="15">
        <f t="shared" si="12"/>
        <v>17250.404029473888</v>
      </c>
      <c r="Y10" s="14">
        <f t="shared" si="13"/>
        <v>2.2951274473283378E-2</v>
      </c>
      <c r="Z10" s="14">
        <f t="shared" si="14"/>
        <v>0.13517314237906053</v>
      </c>
      <c r="AA10" s="10">
        <v>1</v>
      </c>
    </row>
    <row r="11" spans="1:27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19">
        <f>IFERROR(VLOOKUP(A11,'Variable Input'!$1:$1048576,6,FALSE),0)</f>
        <v>13957386.461778674</v>
      </c>
      <c r="E11" s="19">
        <f t="shared" si="0"/>
        <v>11773.517709597803</v>
      </c>
      <c r="F11" s="19">
        <f>IFERROR(VLOOKUP(A11,'Drug Overhead'!$1:$1048576,13,FALSE)*VLOOKUP(A11,Volume!$A:$K,11,FALSE),0)</f>
        <v>22729.504084101292</v>
      </c>
      <c r="G11" s="19">
        <f t="shared" si="1"/>
        <v>13980115.965862775</v>
      </c>
      <c r="H11" s="19">
        <f t="shared" si="2"/>
        <v>11792.690799029508</v>
      </c>
      <c r="I11" s="36">
        <f>VLOOKUP(A11,'Variable Input'!$1:$1048576,8,FALSE)</f>
        <v>1.1237799950517624</v>
      </c>
      <c r="J11" s="19">
        <f t="shared" si="3"/>
        <v>12440260.573617738</v>
      </c>
      <c r="K11" s="19">
        <f>IFERROR(VLOOKUP(A11,'Variable Input'!$1:$1048576,26,FALSE)*VLOOKUP(A11,Volume!$A:$K,11,FALSE),0)</f>
        <v>62612.30027663122</v>
      </c>
      <c r="L11" s="22">
        <f t="shared" si="4"/>
        <v>12377648.273341106</v>
      </c>
      <c r="M11" s="36">
        <f>VLOOKUP(A11,'Variable Input'!$1:$1048576,23,FALSE)</f>
        <v>0.99671861092415948</v>
      </c>
      <c r="N11" s="22">
        <f t="shared" si="5"/>
        <v>12418397.868446067</v>
      </c>
      <c r="O11" s="27">
        <f>IFERROR(VLOOKUP(A11,'Variable Input'!$1:$1048576,7,FALSE),0)</f>
        <v>1185.4899110060007</v>
      </c>
      <c r="P11" s="18">
        <f t="shared" si="6"/>
        <v>10475.329864180689</v>
      </c>
      <c r="Q11" s="18">
        <f t="shared" si="7"/>
        <v>12418397.868446067</v>
      </c>
      <c r="R11" s="20">
        <f>IFERROR(VLOOKUP(A11,RESCMAD!$1:$1048576,8,FALSE),0)</f>
        <v>0</v>
      </c>
      <c r="S11" s="19">
        <f>IF(C11=5,(R11*O11)*IME!$M$7,(R11*O11)*IME!$M$8)</f>
        <v>0</v>
      </c>
      <c r="T11" s="19">
        <f t="shared" si="8"/>
        <v>0</v>
      </c>
      <c r="U11" s="22">
        <f t="shared" si="9"/>
        <v>12418397.868446067</v>
      </c>
      <c r="V11" s="17">
        <f t="shared" si="10"/>
        <v>0</v>
      </c>
      <c r="W11" s="19">
        <f t="shared" si="11"/>
        <v>12418397.868446067</v>
      </c>
      <c r="X11" s="15">
        <f t="shared" si="12"/>
        <v>10475.329864180689</v>
      </c>
      <c r="Y11" s="14" t="str">
        <f t="shared" si="13"/>
        <v xml:space="preserve"> </v>
      </c>
      <c r="Z11" s="14">
        <f t="shared" si="14"/>
        <v>-0.3106646604298765</v>
      </c>
      <c r="AA11" s="10">
        <v>1</v>
      </c>
    </row>
    <row r="12" spans="1:27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19">
        <f>IFERROR(VLOOKUP(A12,'Variable Input'!$1:$1048576,6,FALSE),0)</f>
        <v>447394832.37144083</v>
      </c>
      <c r="E12" s="19">
        <f t="shared" si="0"/>
        <v>18457.126259581502</v>
      </c>
      <c r="F12" s="19">
        <f>IFERROR(VLOOKUP(A12,'Drug Overhead'!$1:$1048576,13,FALSE)*VLOOKUP(A12,Volume!$A:$K,11,FALSE),0)</f>
        <v>15898105.714453403</v>
      </c>
      <c r="G12" s="19">
        <f t="shared" si="1"/>
        <v>463292938.08589423</v>
      </c>
      <c r="H12" s="19">
        <f t="shared" si="2"/>
        <v>19112.997367668471</v>
      </c>
      <c r="I12" s="36">
        <f>VLOOKUP(A12,'Variable Input'!$1:$1048576,8,FALSE)</f>
        <v>1.1208321340194023</v>
      </c>
      <c r="J12" s="19">
        <f t="shared" si="3"/>
        <v>413347301.54861385</v>
      </c>
      <c r="K12" s="19">
        <f>IFERROR(VLOOKUP(A12,'Variable Input'!$1:$1048576,26,FALSE)*VLOOKUP(A12,Volume!$A:$K,11,FALSE),0)</f>
        <v>5944161.5154257026</v>
      </c>
      <c r="L12" s="22">
        <f t="shared" si="4"/>
        <v>407403140.03318816</v>
      </c>
      <c r="M12" s="36">
        <f>VLOOKUP(A12,'Variable Input'!$1:$1048576,23,FALSE)</f>
        <v>0.99671861092415948</v>
      </c>
      <c r="N12" s="22">
        <f t="shared" si="5"/>
        <v>408744389.40740073</v>
      </c>
      <c r="O12" s="27">
        <f>IFERROR(VLOOKUP(A12,'Variable Input'!$1:$1048576,7,FALSE),0)</f>
        <v>24239.679898120015</v>
      </c>
      <c r="P12" s="18">
        <f t="shared" si="6"/>
        <v>16862.614981937208</v>
      </c>
      <c r="Q12" s="18">
        <f t="shared" si="7"/>
        <v>408744389.40740073</v>
      </c>
      <c r="R12" s="20">
        <f>IFERROR(VLOOKUP(A12,RESCMAD!$1:$1048576,8,FALSE),0)</f>
        <v>2.6691771620720953E-3</v>
      </c>
      <c r="S12" s="19">
        <f>IF(C12=5,(R12*O12)*IME!$M$7,(R12*O12)*IME!$M$8)</f>
        <v>8535280.110002134</v>
      </c>
      <c r="T12" s="19">
        <f t="shared" si="8"/>
        <v>352.12016602018389</v>
      </c>
      <c r="U12" s="22">
        <f t="shared" si="9"/>
        <v>400209109.29739857</v>
      </c>
      <c r="V12" s="17">
        <f t="shared" si="10"/>
        <v>-2.0881705856260591E-2</v>
      </c>
      <c r="W12" s="19">
        <f t="shared" si="11"/>
        <v>400209109.29739857</v>
      </c>
      <c r="X12" s="15">
        <f t="shared" si="12"/>
        <v>16510.494815917024</v>
      </c>
      <c r="Y12" s="14">
        <f t="shared" si="13"/>
        <v>0.11914145273259669</v>
      </c>
      <c r="Z12" s="14">
        <f t="shared" si="14"/>
        <v>8.6482974566557402E-2</v>
      </c>
      <c r="AA12" s="10">
        <v>1</v>
      </c>
    </row>
    <row r="13" spans="1:27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19">
        <f>IFERROR(VLOOKUP(A13,'Variable Input'!$1:$1048576,6,FALSE),0)</f>
        <v>820426817.23668432</v>
      </c>
      <c r="E13" s="19">
        <f t="shared" si="0"/>
        <v>20911.421335996161</v>
      </c>
      <c r="F13" s="19">
        <f>IFERROR(VLOOKUP(A13,'Drug Overhead'!$1:$1048576,13,FALSE)*VLOOKUP(A13,Volume!$A:$K,11,FALSE),0)</f>
        <v>33441958.098435093</v>
      </c>
      <c r="G13" s="22">
        <f t="shared" si="1"/>
        <v>853868775.33511937</v>
      </c>
      <c r="H13" s="19">
        <f t="shared" si="2"/>
        <v>21763.805560164397</v>
      </c>
      <c r="I13" s="36">
        <f>VLOOKUP(A13,'Variable Input'!$1:$1048576,8,FALSE)</f>
        <v>1.1214469245143464</v>
      </c>
      <c r="J13" s="19">
        <f t="shared" si="3"/>
        <v>761399185.88202083</v>
      </c>
      <c r="K13" s="19">
        <f>IFERROR(VLOOKUP(A13,'Variable Input'!$1:$1048576,26,FALSE)*VLOOKUP(A13,Volume!$A:$K,11,FALSE),0)</f>
        <v>20760568.355981968</v>
      </c>
      <c r="L13" s="22">
        <f t="shared" si="4"/>
        <v>740638617.52603889</v>
      </c>
      <c r="M13" s="36">
        <f>VLOOKUP(A13,'Variable Input'!$1:$1048576,23,FALSE)</f>
        <v>0.99671861092415948</v>
      </c>
      <c r="N13" s="22">
        <f t="shared" si="5"/>
        <v>743076942.08630991</v>
      </c>
      <c r="O13" s="27">
        <f>IFERROR(VLOOKUP(A13,'Variable Input'!$1:$1048576,7,FALSE),0)</f>
        <v>39233.431532673072</v>
      </c>
      <c r="P13" s="18">
        <f t="shared" si="6"/>
        <v>18939.891644896914</v>
      </c>
      <c r="Q13" s="18">
        <f t="shared" si="7"/>
        <v>743076942.08630979</v>
      </c>
      <c r="R13" s="20">
        <f>IFERROR(VLOOKUP(A13,RESCMAD!$1:$1048576,8,FALSE),0)</f>
        <v>3.2115467619769343E-3</v>
      </c>
      <c r="S13" s="19">
        <f>IF(C13=5,(R13*O13)*IME!$M$7,(R13*O13)*IME!$M$8)</f>
        <v>16622029.271410642</v>
      </c>
      <c r="T13" s="19">
        <f t="shared" si="8"/>
        <v>423.6700340006721</v>
      </c>
      <c r="U13" s="22">
        <f t="shared" si="9"/>
        <v>726454912.81489921</v>
      </c>
      <c r="V13" s="17">
        <f t="shared" si="10"/>
        <v>-2.236918995863546E-2</v>
      </c>
      <c r="W13" s="19">
        <f t="shared" si="11"/>
        <v>726454912.81489921</v>
      </c>
      <c r="X13" s="15">
        <f t="shared" si="12"/>
        <v>18516.221610896242</v>
      </c>
      <c r="Y13" s="14">
        <f t="shared" si="13"/>
        <v>0.25509691767443066</v>
      </c>
      <c r="Z13" s="14">
        <f t="shared" si="14"/>
        <v>0.21847102451137257</v>
      </c>
      <c r="AA13" s="10">
        <v>1</v>
      </c>
    </row>
    <row r="14" spans="1:27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19">
        <f>IFERROR(VLOOKUP(A14,'Variable Input'!$1:$1048576,6,FALSE),0)</f>
        <v>24685753.024731949</v>
      </c>
      <c r="E14" s="19">
        <f t="shared" si="0"/>
        <v>15346.810938105695</v>
      </c>
      <c r="F14" s="19">
        <f>IFERROR(VLOOKUP(A14,'Drug Overhead'!$1:$1048576,13,FALSE)*VLOOKUP(A14,Volume!$A:$K,11,FALSE),0)</f>
        <v>41706.133335082472</v>
      </c>
      <c r="G14" s="22">
        <f t="shared" si="1"/>
        <v>24727459.158067033</v>
      </c>
      <c r="H14" s="19">
        <f t="shared" si="2"/>
        <v>15372.739097664438</v>
      </c>
      <c r="I14" s="36">
        <f>VLOOKUP(A14,'Variable Input'!$1:$1048576,8,FALSE)</f>
        <v>1.1357641348932981</v>
      </c>
      <c r="J14" s="19">
        <f t="shared" si="3"/>
        <v>21771649.938911047</v>
      </c>
      <c r="K14" s="19">
        <f>IFERROR(VLOOKUP(A14,'Variable Input'!$1:$1048576,26,FALSE)*VLOOKUP(A14,Volume!$A:$K,11,FALSE),0)</f>
        <v>0</v>
      </c>
      <c r="L14" s="22">
        <f t="shared" si="4"/>
        <v>21771649.938911047</v>
      </c>
      <c r="M14" s="36">
        <f>VLOOKUP(A14,'Variable Input'!$1:$1048576,23,FALSE)</f>
        <v>0.99671861092415948</v>
      </c>
      <c r="N14" s="22">
        <f t="shared" si="5"/>
        <v>21843326.391512174</v>
      </c>
      <c r="O14" s="27">
        <f>IFERROR(VLOOKUP(A14,'Variable Input'!$1:$1048576,7,FALSE),0)</f>
        <v>1608.5265612699982</v>
      </c>
      <c r="P14" s="18">
        <f t="shared" si="6"/>
        <v>13579.711344191895</v>
      </c>
      <c r="Q14" s="18">
        <f t="shared" si="7"/>
        <v>21843326.391512174</v>
      </c>
      <c r="R14" s="20">
        <f>IFERROR(VLOOKUP(A14,RESCMAD!$1:$1048576,8,FALSE),0)</f>
        <v>0</v>
      </c>
      <c r="S14" s="19">
        <f>IF(C14=5,(R14*O14)*IME!$M$7,(R14*O14)*IME!$M$8)</f>
        <v>0</v>
      </c>
      <c r="T14" s="19">
        <f t="shared" si="8"/>
        <v>0</v>
      </c>
      <c r="U14" s="22">
        <f t="shared" si="9"/>
        <v>21843326.391512174</v>
      </c>
      <c r="V14" s="17">
        <f t="shared" si="10"/>
        <v>0</v>
      </c>
      <c r="W14" s="19">
        <f t="shared" si="11"/>
        <v>21843326.391512174</v>
      </c>
      <c r="X14" s="15">
        <f t="shared" si="12"/>
        <v>13579.711344191895</v>
      </c>
      <c r="Y14" s="14" t="str">
        <f t="shared" si="13"/>
        <v xml:space="preserve"> </v>
      </c>
      <c r="Z14" s="14">
        <f t="shared" si="14"/>
        <v>-0.10637898261116641</v>
      </c>
      <c r="AA14" s="10">
        <v>1</v>
      </c>
    </row>
    <row r="15" spans="1:27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19">
        <f>IFERROR(VLOOKUP(A15,'Variable Input'!$1:$1048576,6,FALSE),0)</f>
        <v>584590033.71573627</v>
      </c>
      <c r="E15" s="19">
        <f t="shared" si="0"/>
        <v>15843.930802476234</v>
      </c>
      <c r="F15" s="19">
        <f>IFERROR(VLOOKUP(A15,'Drug Overhead'!$1:$1048576,13,FALSE)*VLOOKUP(A15,Volume!$A:$K,11,FALSE),0)</f>
        <v>20201193.958397634</v>
      </c>
      <c r="G15" s="19">
        <f t="shared" si="1"/>
        <v>604791227.6741339</v>
      </c>
      <c r="H15" s="19">
        <f t="shared" si="2"/>
        <v>16391.436405967052</v>
      </c>
      <c r="I15" s="36">
        <f>VLOOKUP(A15,'Variable Input'!$1:$1048576,8,FALSE)</f>
        <v>1.1215228084765592</v>
      </c>
      <c r="J15" s="19">
        <f t="shared" si="3"/>
        <v>539258963.88648844</v>
      </c>
      <c r="K15" s="19">
        <f>IFERROR(VLOOKUP(A15,'Variable Input'!$1:$1048576,26,FALSE)*VLOOKUP(A15,Volume!$A:$K,11,FALSE),0)</f>
        <v>10719878.177063769</v>
      </c>
      <c r="L15" s="22">
        <f t="shared" si="4"/>
        <v>528539085.70942467</v>
      </c>
      <c r="M15" s="36">
        <f>VLOOKUP(A15,'Variable Input'!$1:$1048576,23,FALSE)</f>
        <v>0.99671861092415948</v>
      </c>
      <c r="N15" s="22">
        <f t="shared" si="5"/>
        <v>530279137.87960893</v>
      </c>
      <c r="O15" s="27">
        <f>IFERROR(VLOOKUP(A15,'Variable Input'!$1:$1048576,7,FALSE),0)</f>
        <v>36896.780287905021</v>
      </c>
      <c r="P15" s="18">
        <f t="shared" si="6"/>
        <v>14371.962370208154</v>
      </c>
      <c r="Q15" s="18">
        <f t="shared" si="7"/>
        <v>530279137.87960893</v>
      </c>
      <c r="R15" s="20">
        <f>IFERROR(VLOOKUP(A15,RESCMAD!$1:$1048576,8,FALSE),0)</f>
        <v>2.1140055959183207E-3</v>
      </c>
      <c r="S15" s="19">
        <f>IF(C15=5,(R15*O15)*IME!$M$7,(R15*O15)*IME!$M$8)</f>
        <v>10289827.644206591</v>
      </c>
      <c r="T15" s="19">
        <f t="shared" si="8"/>
        <v>278.88145154984312</v>
      </c>
      <c r="U15" s="22">
        <f t="shared" si="9"/>
        <v>519989310.23540235</v>
      </c>
      <c r="V15" s="17">
        <f t="shared" si="10"/>
        <v>-1.9404549244293912E-2</v>
      </c>
      <c r="W15" s="19">
        <f t="shared" si="11"/>
        <v>519989310.23540235</v>
      </c>
      <c r="X15" s="15">
        <f t="shared" si="12"/>
        <v>14093.08091865831</v>
      </c>
      <c r="Y15" s="14">
        <f t="shared" si="13"/>
        <v>-4.4719662939472937E-2</v>
      </c>
      <c r="Z15" s="14">
        <f t="shared" si="14"/>
        <v>-7.259639108153404E-2</v>
      </c>
      <c r="AA15" s="10">
        <v>1</v>
      </c>
    </row>
    <row r="16" spans="1:27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19">
        <f>IFERROR(VLOOKUP(A16,'Variable Input'!$1:$1048576,6,FALSE),0)</f>
        <v>348459464.41440386</v>
      </c>
      <c r="E16" s="19">
        <f t="shared" si="0"/>
        <v>17866.506117103032</v>
      </c>
      <c r="F16" s="19">
        <f>IFERROR(VLOOKUP(A16,'Drug Overhead'!$1:$1048576,13,FALSE)*VLOOKUP(A16,Volume!$A:$K,11,FALSE),0)</f>
        <v>479652.43146501947</v>
      </c>
      <c r="G16" s="19">
        <f t="shared" si="1"/>
        <v>348939116.84586889</v>
      </c>
      <c r="H16" s="19">
        <f t="shared" si="2"/>
        <v>17891.099259135364</v>
      </c>
      <c r="I16" s="36">
        <f>VLOOKUP(A16,'Variable Input'!$1:$1048576,8,FALSE)</f>
        <v>1.1206186736274211</v>
      </c>
      <c r="J16" s="19">
        <f t="shared" si="3"/>
        <v>311380780.15098542</v>
      </c>
      <c r="K16" s="19">
        <f>IFERROR(VLOOKUP(A16,'Variable Input'!$1:$1048576,26,FALSE)*VLOOKUP(A16,Volume!$A:$K,11,FALSE),0)</f>
        <v>0</v>
      </c>
      <c r="L16" s="22">
        <f t="shared" si="4"/>
        <v>311380780.15098542</v>
      </c>
      <c r="M16" s="36">
        <f>VLOOKUP(A16,'Variable Input'!$1:$1048576,23,FALSE)</f>
        <v>1.0181752931904677</v>
      </c>
      <c r="N16" s="22">
        <f t="shared" si="5"/>
        <v>305822368.93145287</v>
      </c>
      <c r="O16" s="27">
        <f>IFERROR(VLOOKUP(A16,'Variable Input'!$1:$1048576,7,FALSE),0)</f>
        <v>19503.503490301038</v>
      </c>
      <c r="P16" s="18">
        <f t="shared" si="6"/>
        <v>15680.381172722957</v>
      </c>
      <c r="Q16" s="18">
        <f t="shared" si="7"/>
        <v>305822368.93145287</v>
      </c>
      <c r="R16" s="20">
        <f>IFERROR(VLOOKUP(A16,RESCMAD!$1:$1048576,8,FALSE),0)</f>
        <v>0</v>
      </c>
      <c r="S16" s="19">
        <f>IF(C16=5,(R16*O16)*IME!$M$7,(R16*O16)*IME!$M$8)</f>
        <v>0</v>
      </c>
      <c r="T16" s="19">
        <f t="shared" si="8"/>
        <v>0</v>
      </c>
      <c r="U16" s="22">
        <f t="shared" si="9"/>
        <v>305822368.93145287</v>
      </c>
      <c r="V16" s="17">
        <f t="shared" si="10"/>
        <v>0</v>
      </c>
      <c r="W16" s="19">
        <f t="shared" si="11"/>
        <v>305822368.93145287</v>
      </c>
      <c r="X16" s="15">
        <f t="shared" si="12"/>
        <v>15680.381172722957</v>
      </c>
      <c r="Y16" s="14">
        <f t="shared" si="13"/>
        <v>6.2873327583389482E-2</v>
      </c>
      <c r="Z16" s="14">
        <f t="shared" si="14"/>
        <v>3.1856850374550216E-2</v>
      </c>
      <c r="AA16" s="10">
        <v>1</v>
      </c>
    </row>
    <row r="17" spans="1:27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19">
        <f>IFERROR(VLOOKUP(A17,'Variable Input'!$1:$1048576,6,FALSE),0)</f>
        <v>72534416.621152684</v>
      </c>
      <c r="E17" s="19">
        <f t="shared" si="0"/>
        <v>12811.28647531155</v>
      </c>
      <c r="F17" s="19">
        <f>IFERROR(VLOOKUP(A17,'Drug Overhead'!$1:$1048576,13,FALSE)*VLOOKUP(A17,Volume!$A:$K,11,FALSE),0)</f>
        <v>1106601.9848885359</v>
      </c>
      <c r="G17" s="19">
        <f t="shared" si="1"/>
        <v>73641018.606041223</v>
      </c>
      <c r="H17" s="19">
        <f t="shared" si="2"/>
        <v>13006.738451117766</v>
      </c>
      <c r="I17" s="36">
        <f>VLOOKUP(A17,'Variable Input'!$1:$1048576,8,FALSE)</f>
        <v>1.1207568789217148</v>
      </c>
      <c r="J17" s="19">
        <f t="shared" si="3"/>
        <v>65706506.01483845</v>
      </c>
      <c r="K17" s="19">
        <f>IFERROR(VLOOKUP(A17,'Variable Input'!$1:$1048576,26,FALSE)*VLOOKUP(A17,Volume!$A:$K,11,FALSE),0)</f>
        <v>0</v>
      </c>
      <c r="L17" s="22">
        <f t="shared" si="4"/>
        <v>65706506.01483845</v>
      </c>
      <c r="M17" s="36">
        <f>VLOOKUP(A17,'Variable Input'!$1:$1048576,23,FALSE)</f>
        <v>0.99671861092415948</v>
      </c>
      <c r="N17" s="22">
        <f t="shared" si="5"/>
        <v>65922824.450839989</v>
      </c>
      <c r="O17" s="27">
        <f>IFERROR(VLOOKUP(A17,'Variable Input'!$1:$1048576,7,FALSE),0)</f>
        <v>5661.7590092090077</v>
      </c>
      <c r="P17" s="18">
        <f t="shared" si="6"/>
        <v>11643.523566371279</v>
      </c>
      <c r="Q17" s="18">
        <f t="shared" si="7"/>
        <v>65922824.450839989</v>
      </c>
      <c r="R17" s="20">
        <f>IFERROR(VLOOKUP(A17,RESCMAD!$1:$1048576,8,FALSE),0)</f>
        <v>0</v>
      </c>
      <c r="S17" s="19">
        <f>IF(C17=5,(R17*O17)*IME!$M$7,(R17*O17)*IME!$M$8)</f>
        <v>0</v>
      </c>
      <c r="T17" s="19">
        <f t="shared" si="8"/>
        <v>0</v>
      </c>
      <c r="U17" s="22">
        <f t="shared" si="9"/>
        <v>65922824.450839989</v>
      </c>
      <c r="V17" s="17">
        <f t="shared" si="10"/>
        <v>0</v>
      </c>
      <c r="W17" s="19">
        <f t="shared" si="11"/>
        <v>65922824.450839989</v>
      </c>
      <c r="X17" s="15">
        <f t="shared" si="12"/>
        <v>11643.523566371279</v>
      </c>
      <c r="Y17" s="14">
        <f t="shared" si="13"/>
        <v>-0.21075957902650988</v>
      </c>
      <c r="Z17" s="14">
        <f t="shared" si="14"/>
        <v>-0.23379097598994369</v>
      </c>
      <c r="AA17" s="10">
        <v>1</v>
      </c>
    </row>
    <row r="18" spans="1:27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19">
        <f>IFERROR(VLOOKUP(A18,'Variable Input'!$1:$1048576,6,FALSE),0)</f>
        <v>191380034.25950557</v>
      </c>
      <c r="E18" s="19">
        <f t="shared" si="0"/>
        <v>16179.39141273775</v>
      </c>
      <c r="F18" s="19">
        <f>IFERROR(VLOOKUP(A18,'Drug Overhead'!$1:$1048576,13,FALSE)*VLOOKUP(A18,Volume!$A:$K,11,FALSE),0)</f>
        <v>5273979.4219849585</v>
      </c>
      <c r="G18" s="19">
        <f t="shared" si="1"/>
        <v>196654013.68149054</v>
      </c>
      <c r="H18" s="19">
        <f t="shared" si="2"/>
        <v>16625.257031380679</v>
      </c>
      <c r="I18" s="36">
        <f>VLOOKUP(A18,'Variable Input'!$1:$1048576,8,FALSE)</f>
        <v>1.1159266108518389</v>
      </c>
      <c r="J18" s="19">
        <f t="shared" si="3"/>
        <v>176224862.6111491</v>
      </c>
      <c r="K18" s="19">
        <f>IFERROR(VLOOKUP(A18,'Variable Input'!$1:$1048576,26,FALSE)*VLOOKUP(A18,Volume!$A:$K,11,FALSE),0)</f>
        <v>0</v>
      </c>
      <c r="L18" s="22">
        <f t="shared" si="4"/>
        <v>176224862.6111491</v>
      </c>
      <c r="M18" s="36">
        <f>VLOOKUP(A18,'Variable Input'!$1:$1048576,23,FALSE)</f>
        <v>1.0181752931904677</v>
      </c>
      <c r="N18" s="22">
        <f t="shared" si="5"/>
        <v>173079099.23736787</v>
      </c>
      <c r="O18" s="27">
        <f>IFERROR(VLOOKUP(A18,'Variable Input'!$1:$1048576,7,FALSE),0)</f>
        <v>11828.629976083985</v>
      </c>
      <c r="P18" s="18">
        <f t="shared" si="6"/>
        <v>14632.218573690463</v>
      </c>
      <c r="Q18" s="18">
        <f t="shared" si="7"/>
        <v>173079099.23736787</v>
      </c>
      <c r="R18" s="20">
        <f>IFERROR(VLOOKUP(A18,RESCMAD!$1:$1048576,8,FALSE),0)</f>
        <v>0</v>
      </c>
      <c r="S18" s="19">
        <f>IF(C18=5,(R18*O18)*IME!$M$7,(R18*O18)*IME!$M$8)</f>
        <v>0</v>
      </c>
      <c r="T18" s="19">
        <f t="shared" si="8"/>
        <v>0</v>
      </c>
      <c r="U18" s="22">
        <f t="shared" si="9"/>
        <v>173079099.23736787</v>
      </c>
      <c r="V18" s="17">
        <f t="shared" si="10"/>
        <v>0</v>
      </c>
      <c r="W18" s="19">
        <f t="shared" si="11"/>
        <v>173079099.23736787</v>
      </c>
      <c r="X18" s="15">
        <f t="shared" si="12"/>
        <v>14632.218573690463</v>
      </c>
      <c r="Y18" s="14">
        <f t="shared" si="13"/>
        <v>-8.1749497008456462E-3</v>
      </c>
      <c r="Z18" s="14">
        <f t="shared" si="14"/>
        <v>-3.7118115616678549E-2</v>
      </c>
      <c r="AA18" s="10">
        <v>1</v>
      </c>
    </row>
    <row r="19" spans="1:27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19">
        <f>IFERROR(VLOOKUP(A19,'Variable Input'!$1:$1048576,6,FALSE),0)</f>
        <v>507580746.06614465</v>
      </c>
      <c r="E19" s="19">
        <f t="shared" si="0"/>
        <v>14267.786782122696</v>
      </c>
      <c r="F19" s="19">
        <f>IFERROR(VLOOKUP(A19,'Drug Overhead'!$1:$1048576,13,FALSE)*VLOOKUP(A19,Volume!$A:$K,11,FALSE),0)</f>
        <v>7155427.5335690174</v>
      </c>
      <c r="G19" s="19">
        <f t="shared" si="1"/>
        <v>514736173.59971368</v>
      </c>
      <c r="H19" s="19">
        <f t="shared" si="2"/>
        <v>14468.921508321686</v>
      </c>
      <c r="I19" s="36">
        <f>VLOOKUP(A19,'Variable Input'!$1:$1048576,8,FALSE)</f>
        <v>1.1235285459397526</v>
      </c>
      <c r="J19" s="19">
        <f t="shared" si="3"/>
        <v>458142497.09977156</v>
      </c>
      <c r="K19" s="19">
        <f>IFERROR(VLOOKUP(A19,'Variable Input'!$1:$1048576,26,FALSE)*VLOOKUP(A19,Volume!$A:$K,11,FALSE),0)</f>
        <v>3385733.4707238162</v>
      </c>
      <c r="L19" s="22">
        <f t="shared" si="4"/>
        <v>454756763.62904775</v>
      </c>
      <c r="M19" s="36">
        <f>VLOOKUP(A19,'Variable Input'!$1:$1048576,23,FALSE)</f>
        <v>0.99671861092415948</v>
      </c>
      <c r="N19" s="22">
        <f t="shared" si="5"/>
        <v>456253910.22587246</v>
      </c>
      <c r="O19" s="27">
        <f>IFERROR(VLOOKUP(A19,'Variable Input'!$1:$1048576,7,FALSE),0)</f>
        <v>35575.296562612995</v>
      </c>
      <c r="P19" s="18">
        <f t="shared" si="6"/>
        <v>12825.020570745193</v>
      </c>
      <c r="Q19" s="18">
        <f t="shared" si="7"/>
        <v>456253910.22587246</v>
      </c>
      <c r="R19" s="20">
        <f>IFERROR(VLOOKUP(A19,RESCMAD!$1:$1048576,8,FALSE),0)</f>
        <v>2.8109393220095488E-4</v>
      </c>
      <c r="S19" s="19">
        <f>IF(C19=5,(R19*O19)*IME!$M$7,(R19*O19)*IME!$M$8)</f>
        <v>1319208.6723341784</v>
      </c>
      <c r="T19" s="19">
        <f t="shared" si="8"/>
        <v>37.082155310001518</v>
      </c>
      <c r="U19" s="22">
        <f t="shared" si="9"/>
        <v>454934701.55353826</v>
      </c>
      <c r="V19" s="17">
        <f t="shared" si="10"/>
        <v>-2.8913914878693214E-3</v>
      </c>
      <c r="W19" s="19">
        <f t="shared" si="11"/>
        <v>454934701.55353826</v>
      </c>
      <c r="X19" s="15">
        <f t="shared" si="12"/>
        <v>12787.938415435192</v>
      </c>
      <c r="Y19" s="14">
        <f t="shared" si="13"/>
        <v>-0.13318697378421163</v>
      </c>
      <c r="Z19" s="14">
        <f t="shared" si="14"/>
        <v>-0.15848207318526186</v>
      </c>
      <c r="AA19" s="10">
        <v>1</v>
      </c>
    </row>
    <row r="20" spans="1:27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19">
        <f>IFERROR(VLOOKUP(A20,'Variable Input'!$1:$1048576,6,FALSE),0)</f>
        <v>397812348.9639039</v>
      </c>
      <c r="E20" s="19">
        <f t="shared" si="0"/>
        <v>15970.572390470126</v>
      </c>
      <c r="F20" s="19">
        <f>IFERROR(VLOOKUP(A20,'Drug Overhead'!$1:$1048576,13,FALSE)*VLOOKUP(A20,Volume!$A:$K,11,FALSE),0)</f>
        <v>552266.43523613329</v>
      </c>
      <c r="G20" s="19">
        <f t="shared" si="1"/>
        <v>398364615.39914006</v>
      </c>
      <c r="H20" s="19">
        <f t="shared" si="2"/>
        <v>15992.743675765159</v>
      </c>
      <c r="I20" s="36">
        <f>VLOOKUP(A20,'Variable Input'!$1:$1048576,8,FALSE)</f>
        <v>1.106961162419857</v>
      </c>
      <c r="J20" s="19">
        <f t="shared" si="3"/>
        <v>359872260.13268673</v>
      </c>
      <c r="K20" s="19">
        <f>IFERROR(VLOOKUP(A20,'Variable Input'!$1:$1048576,26,FALSE)*VLOOKUP(A20,Volume!$A:$K,11,FALSE),0)</f>
        <v>4332162.9357895656</v>
      </c>
      <c r="L20" s="22">
        <f t="shared" si="4"/>
        <v>355540097.19689715</v>
      </c>
      <c r="M20" s="36">
        <f>VLOOKUP(A20,'Variable Input'!$1:$1048576,23,FALSE)</f>
        <v>1.0181752931904677</v>
      </c>
      <c r="N20" s="22">
        <f t="shared" si="5"/>
        <v>349193404.68654162</v>
      </c>
      <c r="O20" s="27">
        <f>IFERROR(VLOOKUP(A20,'Variable Input'!$1:$1048576,7,FALSE),0)</f>
        <v>24909.085237375984</v>
      </c>
      <c r="P20" s="18">
        <f t="shared" si="6"/>
        <v>14018.716518845835</v>
      </c>
      <c r="Q20" s="18">
        <f t="shared" si="7"/>
        <v>349193404.68654162</v>
      </c>
      <c r="R20" s="20">
        <f>IFERROR(VLOOKUP(A20,RESCMAD!$1:$1048576,8,FALSE),0)</f>
        <v>1.6058397817026276E-4</v>
      </c>
      <c r="S20" s="19">
        <f>IF(C20=5,(R20*O20)*IME!$M$7,(R20*O20)*IME!$M$8)</f>
        <v>527683.46893367125</v>
      </c>
      <c r="T20" s="19">
        <f t="shared" si="8"/>
        <v>21.184377664013301</v>
      </c>
      <c r="U20" s="22">
        <f t="shared" si="9"/>
        <v>348665721.21760798</v>
      </c>
      <c r="V20" s="17">
        <f t="shared" si="10"/>
        <v>-1.5111495860219426E-3</v>
      </c>
      <c r="W20" s="19">
        <f t="shared" si="11"/>
        <v>348665721.21760798</v>
      </c>
      <c r="X20" s="15">
        <f t="shared" si="12"/>
        <v>13997.532141181822</v>
      </c>
      <c r="Y20" s="14">
        <f t="shared" si="13"/>
        <v>-5.1196306966444838E-2</v>
      </c>
      <c r="Z20" s="14">
        <f t="shared" si="14"/>
        <v>-7.888403546326217E-2</v>
      </c>
      <c r="AA20" s="10">
        <v>1</v>
      </c>
    </row>
    <row r="21" spans="1:27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19">
        <f>IFERROR(VLOOKUP(A21,'Variable Input'!$1:$1048576,6,FALSE),0)</f>
        <v>693070351.52284181</v>
      </c>
      <c r="E21" s="19">
        <f t="shared" si="0"/>
        <v>14499.370422762127</v>
      </c>
      <c r="F21" s="19">
        <f>IFERROR(VLOOKUP(A21,'Drug Overhead'!$1:$1048576,13,FALSE)*VLOOKUP(A21,Volume!$A:$K,11,FALSE),0)</f>
        <v>19281870.825420387</v>
      </c>
      <c r="G21" s="19">
        <f t="shared" si="1"/>
        <v>712352222.34826219</v>
      </c>
      <c r="H21" s="19">
        <f t="shared" si="2"/>
        <v>14902.756582518243</v>
      </c>
      <c r="I21" s="36">
        <f>VLOOKUP(A21,'Variable Input'!$1:$1048576,8,FALSE)</f>
        <v>1.1086069567461017</v>
      </c>
      <c r="J21" s="19">
        <f t="shared" si="3"/>
        <v>642565174.26077127</v>
      </c>
      <c r="K21" s="19">
        <f>IFERROR(VLOOKUP(A21,'Variable Input'!$1:$1048576,26,FALSE)*VLOOKUP(A21,Volume!$A:$K,11,FALSE),0)</f>
        <v>6692185.3853537869</v>
      </c>
      <c r="L21" s="22">
        <f t="shared" si="4"/>
        <v>635872988.87541747</v>
      </c>
      <c r="M21" s="36">
        <f>VLOOKUP(A21,'Variable Input'!$1:$1048576,23,FALSE)</f>
        <v>0.99671861092415948</v>
      </c>
      <c r="N21" s="22">
        <f t="shared" si="5"/>
        <v>637966404.86710167</v>
      </c>
      <c r="O21" s="27">
        <f>IFERROR(VLOOKUP(A21,'Variable Input'!$1:$1048576,7,FALSE),0)</f>
        <v>47800.030712699874</v>
      </c>
      <c r="P21" s="18">
        <f t="shared" si="6"/>
        <v>13346.568932174387</v>
      </c>
      <c r="Q21" s="18">
        <f t="shared" si="7"/>
        <v>637966404.86710167</v>
      </c>
      <c r="R21" s="20">
        <f>IFERROR(VLOOKUP(A21,RESCMAD!$1:$1048576,8,FALSE),0)</f>
        <v>1.1527189246211215E-3</v>
      </c>
      <c r="S21" s="19">
        <f>IF(C21=5,(R21*O21)*IME!$M$7,(R21*O21)*IME!$M$8)</f>
        <v>7268839.7845613202</v>
      </c>
      <c r="T21" s="19">
        <f t="shared" si="8"/>
        <v>152.06768021239117</v>
      </c>
      <c r="U21" s="22">
        <f t="shared" si="9"/>
        <v>630697565.08254039</v>
      </c>
      <c r="V21" s="17">
        <f t="shared" si="10"/>
        <v>-1.1393765767455211E-2</v>
      </c>
      <c r="W21" s="19">
        <f t="shared" si="11"/>
        <v>630697565.08254039</v>
      </c>
      <c r="X21" s="15">
        <f t="shared" si="12"/>
        <v>13194.501251961998</v>
      </c>
      <c r="Y21" s="14">
        <f t="shared" si="13"/>
        <v>-0.10562866444395802</v>
      </c>
      <c r="Z21" s="14">
        <f t="shared" si="14"/>
        <v>-0.13172796285102673</v>
      </c>
      <c r="AA21" s="10">
        <v>1</v>
      </c>
    </row>
    <row r="22" spans="1:27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19">
        <f>IFERROR(VLOOKUP(A22,'Variable Input'!$1:$1048576,6,FALSE),0)</f>
        <v>481457430.39623797</v>
      </c>
      <c r="E22" s="19">
        <f t="shared" si="0"/>
        <v>17832.24417168623</v>
      </c>
      <c r="F22" s="19">
        <f>IFERROR(VLOOKUP(A22,'Drug Overhead'!$1:$1048576,13,FALSE)*VLOOKUP(A22,Volume!$A:$K,11,FALSE),0)</f>
        <v>139248.72459896962</v>
      </c>
      <c r="G22" s="22">
        <f t="shared" si="1"/>
        <v>481596679.12083691</v>
      </c>
      <c r="H22" s="19">
        <f t="shared" si="2"/>
        <v>17837.401672850145</v>
      </c>
      <c r="I22" s="36">
        <f>VLOOKUP(A22,'Variable Input'!$1:$1048576,8,FALSE)</f>
        <v>1.1223202362274129</v>
      </c>
      <c r="J22" s="19">
        <f t="shared" si="3"/>
        <v>429108077.69062823</v>
      </c>
      <c r="K22" s="19">
        <f>IFERROR(VLOOKUP(A22,'Variable Input'!$1:$1048576,26,FALSE)*VLOOKUP(A22,Volume!$A:$K,11,FALSE),0)</f>
        <v>12196844.09297953</v>
      </c>
      <c r="L22" s="22">
        <f t="shared" si="4"/>
        <v>416911233.59764868</v>
      </c>
      <c r="M22" s="36">
        <f>VLOOKUP(A22,'Variable Input'!$1:$1048576,23,FALSE)</f>
        <v>0.99671861092415948</v>
      </c>
      <c r="N22" s="22">
        <f t="shared" si="5"/>
        <v>418283785.44179863</v>
      </c>
      <c r="O22" s="27">
        <f>IFERROR(VLOOKUP(A22,'Variable Input'!$1:$1048576,7,FALSE),0)</f>
        <v>26999.26188542712</v>
      </c>
      <c r="P22" s="18">
        <f t="shared" si="6"/>
        <v>15492.415578500231</v>
      </c>
      <c r="Q22" s="18">
        <f t="shared" si="7"/>
        <v>418283785.44179863</v>
      </c>
      <c r="R22" s="20">
        <f>IFERROR(VLOOKUP(A22,RESCMAD!$1:$1048576,8,FALSE),0)</f>
        <v>3.2593483619453344E-3</v>
      </c>
      <c r="S22" s="19">
        <f>IF(C22=5,(R22*O22)*IME!$M$7,(R22*O22)*IME!$M$8)</f>
        <v>11609036.316540768</v>
      </c>
      <c r="T22" s="19">
        <f t="shared" si="8"/>
        <v>429.97606252364841</v>
      </c>
      <c r="U22" s="22">
        <f t="shared" si="9"/>
        <v>406674749.12525785</v>
      </c>
      <c r="V22" s="17">
        <f t="shared" si="10"/>
        <v>-2.7753971635020691E-2</v>
      </c>
      <c r="W22" s="19">
        <f t="shared" si="11"/>
        <v>406674749.12525785</v>
      </c>
      <c r="X22" s="15">
        <f t="shared" si="12"/>
        <v>15062.439515976583</v>
      </c>
      <c r="Y22" s="14">
        <f t="shared" si="13"/>
        <v>2.0986992186074804E-2</v>
      </c>
      <c r="Z22" s="14">
        <f t="shared" si="14"/>
        <v>-8.8071694998350658E-3</v>
      </c>
      <c r="AA22" s="10">
        <v>1</v>
      </c>
    </row>
    <row r="23" spans="1:27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19">
        <f>IFERROR(VLOOKUP(A23,'Variable Input'!$1:$1048576,6,FALSE),0)</f>
        <v>329427490.80074435</v>
      </c>
      <c r="E23" s="19">
        <f t="shared" si="0"/>
        <v>14516.840497752677</v>
      </c>
      <c r="F23" s="19">
        <f>IFERROR(VLOOKUP(A23,'Drug Overhead'!$1:$1048576,13,FALSE)*VLOOKUP(A23,Volume!$A:$K,11,FALSE),0)</f>
        <v>17499647.620706905</v>
      </c>
      <c r="G23" s="19">
        <f t="shared" si="1"/>
        <v>346927138.42145127</v>
      </c>
      <c r="H23" s="19">
        <f t="shared" si="2"/>
        <v>15287.995305322567</v>
      </c>
      <c r="I23" s="36">
        <f>VLOOKUP(A23,'Variable Input'!$1:$1048576,8,FALSE)</f>
        <v>1.1268001645719641</v>
      </c>
      <c r="J23" s="19">
        <f t="shared" si="3"/>
        <v>307887014.33429235</v>
      </c>
      <c r="K23" s="19">
        <f>IFERROR(VLOOKUP(A23,'Variable Input'!$1:$1048576,26,FALSE)*VLOOKUP(A23,Volume!$A:$K,11,FALSE),0)</f>
        <v>1887638.9011087576</v>
      </c>
      <c r="L23" s="22">
        <f t="shared" si="4"/>
        <v>305999375.43318361</v>
      </c>
      <c r="M23" s="36">
        <f>VLOOKUP(A23,'Variable Input'!$1:$1048576,23,FALSE)</f>
        <v>0.99671861092415948</v>
      </c>
      <c r="N23" s="22">
        <f t="shared" si="5"/>
        <v>307006784.14087242</v>
      </c>
      <c r="O23" s="27">
        <f>IFERROR(VLOOKUP(A23,'Variable Input'!$1:$1048576,7,FALSE),0)</f>
        <v>22692.781590576982</v>
      </c>
      <c r="P23" s="18">
        <f t="shared" si="6"/>
        <v>13528.829990077322</v>
      </c>
      <c r="Q23" s="18">
        <f t="shared" si="7"/>
        <v>307006784.14087242</v>
      </c>
      <c r="R23" s="20">
        <f>IFERROR(VLOOKUP(A23,RESCMAD!$1:$1048576,8,FALSE),0)</f>
        <v>0</v>
      </c>
      <c r="S23" s="19">
        <f>IF(C23=5,(R23*O23)*IME!$M$7,(R23*O23)*IME!$M$8)</f>
        <v>0</v>
      </c>
      <c r="T23" s="19">
        <f t="shared" si="8"/>
        <v>0</v>
      </c>
      <c r="U23" s="22">
        <f t="shared" si="9"/>
        <v>307006784.14087242</v>
      </c>
      <c r="V23" s="17">
        <f t="shared" si="10"/>
        <v>0</v>
      </c>
      <c r="W23" s="19">
        <f t="shared" si="11"/>
        <v>307006784.14087242</v>
      </c>
      <c r="X23" s="15">
        <f t="shared" si="12"/>
        <v>13528.829990077322</v>
      </c>
      <c r="Y23" s="14">
        <f t="shared" si="13"/>
        <v>-8.2966645295753705E-2</v>
      </c>
      <c r="Z23" s="14">
        <f t="shared" si="14"/>
        <v>-0.10972726051469006</v>
      </c>
      <c r="AA23" s="10">
        <v>1</v>
      </c>
    </row>
    <row r="24" spans="1:27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19">
        <f>IFERROR(VLOOKUP(A24,'Variable Input'!$1:$1048576,6,FALSE),0)</f>
        <v>202378391.95282602</v>
      </c>
      <c r="E24" s="19">
        <f t="shared" si="0"/>
        <v>13792.969808492455</v>
      </c>
      <c r="F24" s="19">
        <f>IFERROR(VLOOKUP(A24,'Drug Overhead'!$1:$1048576,13,FALSE)*VLOOKUP(A24,Volume!$A:$K,11,FALSE),0)</f>
        <v>5855854.2044779686</v>
      </c>
      <c r="G24" s="19">
        <f t="shared" si="1"/>
        <v>208234246.15730399</v>
      </c>
      <c r="H24" s="19">
        <f t="shared" si="2"/>
        <v>14192.071804836636</v>
      </c>
      <c r="I24" s="36">
        <f>VLOOKUP(A24,'Variable Input'!$1:$1048576,8,FALSE)</f>
        <v>1.1136722213908725</v>
      </c>
      <c r="J24" s="19">
        <f t="shared" si="3"/>
        <v>186979833.16602695</v>
      </c>
      <c r="K24" s="19">
        <f>IFERROR(VLOOKUP(A24,'Variable Input'!$1:$1048576,26,FALSE)*VLOOKUP(A24,Volume!$A:$K,11,FALSE),0)</f>
        <v>0</v>
      </c>
      <c r="L24" s="22">
        <f t="shared" si="4"/>
        <v>186979833.16602695</v>
      </c>
      <c r="M24" s="36">
        <f>VLOOKUP(A24,'Variable Input'!$1:$1048576,23,FALSE)</f>
        <v>0.99671861092415948</v>
      </c>
      <c r="N24" s="22">
        <f t="shared" si="5"/>
        <v>187595406.68419835</v>
      </c>
      <c r="O24" s="27">
        <f>IFERROR(VLOOKUP(A24,'Variable Input'!$1:$1048576,7,FALSE),0)</f>
        <v>14672.575577466996</v>
      </c>
      <c r="P24" s="18">
        <f t="shared" si="6"/>
        <v>12785.444906638806</v>
      </c>
      <c r="Q24" s="18">
        <f t="shared" si="7"/>
        <v>187595406.68419835</v>
      </c>
      <c r="R24" s="20">
        <f>IFERROR(VLOOKUP(A24,RESCMAD!$1:$1048576,8,FALSE),0)</f>
        <v>0</v>
      </c>
      <c r="S24" s="19">
        <f>IF(C24=5,(R24*O24)*IME!$M$7,(R24*O24)*IME!$M$8)</f>
        <v>0</v>
      </c>
      <c r="T24" s="19">
        <f t="shared" si="8"/>
        <v>0</v>
      </c>
      <c r="U24" s="22">
        <f t="shared" si="9"/>
        <v>187595406.68419835</v>
      </c>
      <c r="V24" s="17">
        <f t="shared" si="10"/>
        <v>0</v>
      </c>
      <c r="W24" s="19">
        <f t="shared" si="11"/>
        <v>187595406.68419835</v>
      </c>
      <c r="X24" s="15">
        <f t="shared" si="12"/>
        <v>12785.444906638806</v>
      </c>
      <c r="Y24" s="14">
        <f t="shared" si="13"/>
        <v>-0.1333559928892053</v>
      </c>
      <c r="Z24" s="14">
        <f t="shared" si="14"/>
        <v>-0.15864616002120535</v>
      </c>
      <c r="AA24" s="10">
        <v>1</v>
      </c>
    </row>
    <row r="25" spans="1:27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19">
        <f>IFERROR(VLOOKUP(A25,'Variable Input'!$1:$1048576,6,FALSE),0)</f>
        <v>685641223.73208022</v>
      </c>
      <c r="E25" s="19">
        <f t="shared" si="0"/>
        <v>19291.665494546265</v>
      </c>
      <c r="F25" s="19">
        <f>IFERROR(VLOOKUP(A25,'Drug Overhead'!$1:$1048576,13,FALSE)*VLOOKUP(A25,Volume!$A:$K,11,FALSE),0)</f>
        <v>28922398.799876198</v>
      </c>
      <c r="G25" s="22">
        <f t="shared" si="1"/>
        <v>714563622.53195643</v>
      </c>
      <c r="H25" s="19">
        <f t="shared" si="2"/>
        <v>20105.44568108462</v>
      </c>
      <c r="I25" s="36">
        <f>VLOOKUP(A25,'Variable Input'!$1:$1048576,8,FALSE)</f>
        <v>1.1160480491569686</v>
      </c>
      <c r="J25" s="19">
        <f t="shared" si="3"/>
        <v>640262417.97718096</v>
      </c>
      <c r="K25" s="19">
        <f>IFERROR(VLOOKUP(A25,'Variable Input'!$1:$1048576,26,FALSE)*VLOOKUP(A25,Volume!$A:$K,11,FALSE),0)</f>
        <v>27476780.845164478</v>
      </c>
      <c r="L25" s="22">
        <f t="shared" si="4"/>
        <v>612785637.13201642</v>
      </c>
      <c r="M25" s="36">
        <f>VLOOKUP(A25,'Variable Input'!$1:$1048576,23,FALSE)</f>
        <v>0.99671861092415948</v>
      </c>
      <c r="N25" s="22">
        <f t="shared" si="5"/>
        <v>614803045.12809324</v>
      </c>
      <c r="O25" s="27">
        <f>IFERROR(VLOOKUP(A25,'Variable Input'!$1:$1048576,7,FALSE),0)</f>
        <v>35540.799933832066</v>
      </c>
      <c r="P25" s="18">
        <f t="shared" si="6"/>
        <v>17298.514559962077</v>
      </c>
      <c r="Q25" s="18">
        <f t="shared" si="7"/>
        <v>614803045.12809324</v>
      </c>
      <c r="R25" s="20">
        <f>IFERROR(VLOOKUP(A25,RESCMAD!$1:$1048576,8,FALSE),0)</f>
        <v>3.9704286039970822E-3</v>
      </c>
      <c r="S25" s="19">
        <f>IF(C25=5,(R25*O25)*IME!$M$7,(R25*O25)*IME!$M$8)</f>
        <v>18615644.944471348</v>
      </c>
      <c r="T25" s="19">
        <f t="shared" si="8"/>
        <v>523.78238472766361</v>
      </c>
      <c r="U25" s="22">
        <f t="shared" si="9"/>
        <v>596187400.18362188</v>
      </c>
      <c r="V25" s="17">
        <f t="shared" si="10"/>
        <v>-3.0279038290372817E-2</v>
      </c>
      <c r="W25" s="19">
        <f t="shared" si="11"/>
        <v>596187400.18362188</v>
      </c>
      <c r="X25" s="15">
        <f t="shared" si="12"/>
        <v>16774.732175234414</v>
      </c>
      <c r="Y25" s="14">
        <f t="shared" si="13"/>
        <v>0.13705242302572196</v>
      </c>
      <c r="Z25" s="14">
        <f t="shared" si="14"/>
        <v>0.10387127184920453</v>
      </c>
      <c r="AA25" s="10">
        <v>1</v>
      </c>
    </row>
    <row r="26" spans="1:27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19">
        <f>IFERROR(VLOOKUP(A26,'Variable Input'!$1:$1048576,6,FALSE),0)</f>
        <v>53234979.529182494</v>
      </c>
      <c r="E26" s="19">
        <f t="shared" si="0"/>
        <v>24473.330521606676</v>
      </c>
      <c r="F26" s="19">
        <f>IFERROR(VLOOKUP(A26,'Drug Overhead'!$1:$1048576,13,FALSE)*VLOOKUP(A26,Volume!$A:$K,11,FALSE),0)</f>
        <v>651882.57016616105</v>
      </c>
      <c r="G26" s="19">
        <f t="shared" si="1"/>
        <v>53886862.099348657</v>
      </c>
      <c r="H26" s="19">
        <f t="shared" si="2"/>
        <v>24773.015761312749</v>
      </c>
      <c r="I26" s="36">
        <f>VLOOKUP(A26,'Variable Input'!$1:$1048576,8,FALSE)</f>
        <v>1.1237498376689119</v>
      </c>
      <c r="J26" s="19">
        <f t="shared" si="3"/>
        <v>47952720.697277851</v>
      </c>
      <c r="K26" s="19">
        <f>IFERROR(VLOOKUP(A26,'Variable Input'!$1:$1048576,26,FALSE)*VLOOKUP(A26,Volume!$A:$K,11,FALSE),0)</f>
        <v>208535.14400062207</v>
      </c>
      <c r="L26" s="22">
        <f t="shared" si="4"/>
        <v>47744185.553277232</v>
      </c>
      <c r="M26" s="36">
        <f>VLOOKUP(A26,'Variable Input'!$1:$1048576,23,FALSE)</f>
        <v>0.99671861092415948</v>
      </c>
      <c r="N26" s="22">
        <f t="shared" si="5"/>
        <v>47901368.580856264</v>
      </c>
      <c r="O26" s="27">
        <f>IFERROR(VLOOKUP(A26,'Variable Input'!$1:$1048576,7,FALSE),0)</f>
        <v>2175.2241478610003</v>
      </c>
      <c r="P26" s="18">
        <f t="shared" si="6"/>
        <v>22021.348295512405</v>
      </c>
      <c r="Q26" s="18">
        <f t="shared" si="7"/>
        <v>47901368.580856264</v>
      </c>
      <c r="R26" s="20">
        <f>IFERROR(VLOOKUP(A26,RESCMAD!$1:$1048576,8,FALSE),0)</f>
        <v>0</v>
      </c>
      <c r="S26" s="19">
        <f>IF(C26=5,(R26*O26)*IME!$M$7,(R26*O26)*IME!$M$8)</f>
        <v>0</v>
      </c>
      <c r="T26" s="19">
        <f t="shared" si="8"/>
        <v>0</v>
      </c>
      <c r="U26" s="22">
        <f t="shared" si="9"/>
        <v>47901368.580856264</v>
      </c>
      <c r="V26" s="17">
        <f t="shared" si="10"/>
        <v>0</v>
      </c>
      <c r="W26" s="19">
        <f t="shared" si="11"/>
        <v>47901368.580856264</v>
      </c>
      <c r="X26" s="15">
        <f t="shared" si="12"/>
        <v>22021.348295512405</v>
      </c>
      <c r="Y26" s="14">
        <f t="shared" si="13"/>
        <v>0.4926871663961947</v>
      </c>
      <c r="Z26" s="14">
        <f t="shared" si="14"/>
        <v>0.44912797992030495</v>
      </c>
      <c r="AA26" s="10">
        <v>1</v>
      </c>
    </row>
    <row r="27" spans="1:27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19">
        <f>IFERROR(VLOOKUP(A27,'Variable Input'!$1:$1048576,6,FALSE),0)</f>
        <v>181246617.1663484</v>
      </c>
      <c r="E27" s="19">
        <f t="shared" si="0"/>
        <v>16587.900225049387</v>
      </c>
      <c r="F27" s="19">
        <f>IFERROR(VLOOKUP(A27,'Drug Overhead'!$1:$1048576,13,FALSE)*VLOOKUP(A27,Volume!$A:$K,11,FALSE),0)</f>
        <v>7129566.6825071555</v>
      </c>
      <c r="G27" s="19">
        <f t="shared" si="1"/>
        <v>188376183.84885556</v>
      </c>
      <c r="H27" s="19">
        <f t="shared" si="2"/>
        <v>17240.406421447642</v>
      </c>
      <c r="I27" s="36">
        <f>VLOOKUP(A27,'Variable Input'!$1:$1048576,8,FALSE)</f>
        <v>1.1182795268578634</v>
      </c>
      <c r="J27" s="19">
        <f t="shared" si="3"/>
        <v>168451786.27042747</v>
      </c>
      <c r="K27" s="19">
        <f>IFERROR(VLOOKUP(A27,'Variable Input'!$1:$1048576,26,FALSE)*VLOOKUP(A27,Volume!$A:$K,11,FALSE),0)</f>
        <v>0</v>
      </c>
      <c r="L27" s="22">
        <f t="shared" si="4"/>
        <v>168451786.27042747</v>
      </c>
      <c r="M27" s="36">
        <f>VLOOKUP(A27,'Variable Input'!$1:$1048576,23,FALSE)</f>
        <v>0.99671861092415948</v>
      </c>
      <c r="N27" s="22">
        <f t="shared" si="5"/>
        <v>169006361.90011406</v>
      </c>
      <c r="O27" s="27">
        <f>IFERROR(VLOOKUP(A27,'Variable Input'!$1:$1048576,7,FALSE),0)</f>
        <v>10926.435215269013</v>
      </c>
      <c r="P27" s="18">
        <f t="shared" si="6"/>
        <v>15467.657893027928</v>
      </c>
      <c r="Q27" s="18">
        <f t="shared" si="7"/>
        <v>169006361.90011406</v>
      </c>
      <c r="R27" s="20">
        <f>IFERROR(VLOOKUP(A27,RESCMAD!$1:$1048576,8,FALSE),0)</f>
        <v>0</v>
      </c>
      <c r="S27" s="19">
        <f>IF(C27=5,(R27*O27)*IME!$M$7,(R27*O27)*IME!$M$8)</f>
        <v>0</v>
      </c>
      <c r="T27" s="19">
        <f t="shared" si="8"/>
        <v>0</v>
      </c>
      <c r="U27" s="22">
        <f t="shared" si="9"/>
        <v>169006361.90011406</v>
      </c>
      <c r="V27" s="17">
        <f t="shared" si="10"/>
        <v>0</v>
      </c>
      <c r="W27" s="19">
        <f t="shared" si="11"/>
        <v>169006361.90011406</v>
      </c>
      <c r="X27" s="15">
        <f t="shared" si="12"/>
        <v>15467.657893027928</v>
      </c>
      <c r="Y27" s="14">
        <f t="shared" si="13"/>
        <v>4.8454169167953864E-2</v>
      </c>
      <c r="Z27" s="14">
        <f t="shared" si="14"/>
        <v>1.7858467875450756E-2</v>
      </c>
      <c r="AA27" s="10">
        <v>1</v>
      </c>
    </row>
    <row r="28" spans="1:27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19">
        <f>IFERROR(VLOOKUP(A28,'Variable Input'!$1:$1048576,6,FALSE),0)</f>
        <v>270049679.90851074</v>
      </c>
      <c r="E28" s="19">
        <f t="shared" si="0"/>
        <v>16403.553344564752</v>
      </c>
      <c r="F28" s="19">
        <f>IFERROR(VLOOKUP(A28,'Drug Overhead'!$1:$1048576,13,FALSE)*VLOOKUP(A28,Volume!$A:$K,11,FALSE),0)</f>
        <v>78073.698709112286</v>
      </c>
      <c r="G28" s="19">
        <f t="shared" si="1"/>
        <v>270127753.60721987</v>
      </c>
      <c r="H28" s="19">
        <f t="shared" si="2"/>
        <v>16408.295753746712</v>
      </c>
      <c r="I28" s="36">
        <f>VLOOKUP(A28,'Variable Input'!$1:$1048576,8,FALSE)</f>
        <v>1.1165021686409196</v>
      </c>
      <c r="J28" s="19">
        <f t="shared" si="3"/>
        <v>241941091.73655909</v>
      </c>
      <c r="K28" s="19">
        <f>IFERROR(VLOOKUP(A28,'Variable Input'!$1:$1048576,26,FALSE)*VLOOKUP(A28,Volume!$A:$K,11,FALSE),0)</f>
        <v>0</v>
      </c>
      <c r="L28" s="22">
        <f t="shared" si="4"/>
        <v>241941091.73655909</v>
      </c>
      <c r="M28" s="36">
        <f>VLOOKUP(A28,'Variable Input'!$1:$1048576,23,FALSE)</f>
        <v>0.99671861092415948</v>
      </c>
      <c r="N28" s="22">
        <f t="shared" si="5"/>
        <v>242737608.27264059</v>
      </c>
      <c r="O28" s="27">
        <f>IFERROR(VLOOKUP(A28,'Variable Input'!$1:$1048576,7,FALSE),0)</f>
        <v>16462.876928917998</v>
      </c>
      <c r="P28" s="18">
        <f t="shared" si="6"/>
        <v>14744.543697964351</v>
      </c>
      <c r="Q28" s="18">
        <f t="shared" si="7"/>
        <v>242737608.27264059</v>
      </c>
      <c r="R28" s="20">
        <f>IFERROR(VLOOKUP(A28,RESCMAD!$1:$1048576,8,FALSE),0)</f>
        <v>0</v>
      </c>
      <c r="S28" s="19">
        <f>IF(C28=5,(R28*O28)*IME!$M$7,(R28*O28)*IME!$M$8)</f>
        <v>0</v>
      </c>
      <c r="T28" s="19">
        <f t="shared" si="8"/>
        <v>0</v>
      </c>
      <c r="U28" s="22">
        <f t="shared" si="9"/>
        <v>242737608.27264059</v>
      </c>
      <c r="V28" s="17">
        <f t="shared" si="10"/>
        <v>0</v>
      </c>
      <c r="W28" s="19">
        <f t="shared" si="11"/>
        <v>242737608.27264059</v>
      </c>
      <c r="X28" s="15">
        <f t="shared" si="12"/>
        <v>14744.543697964351</v>
      </c>
      <c r="Y28" s="14">
        <f t="shared" si="13"/>
        <v>-5.6114380587890533E-4</v>
      </c>
      <c r="Z28" s="14">
        <f t="shared" si="14"/>
        <v>-2.9726493711925039E-2</v>
      </c>
      <c r="AA28" s="10">
        <v>1</v>
      </c>
    </row>
    <row r="29" spans="1:27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19">
        <f>IFERROR(VLOOKUP(A29,'Variable Input'!$1:$1048576,6,FALSE),0)</f>
        <v>206716555.07597718</v>
      </c>
      <c r="E29" s="19">
        <f t="shared" si="0"/>
        <v>17763.582661553013</v>
      </c>
      <c r="F29" s="19">
        <f>IFERROR(VLOOKUP(A29,'Drug Overhead'!$1:$1048576,13,FALSE)*VLOOKUP(A29,Volume!$A:$K,11,FALSE),0)</f>
        <v>992166.17183211725</v>
      </c>
      <c r="G29" s="22">
        <f t="shared" si="1"/>
        <v>207708721.24780929</v>
      </c>
      <c r="H29" s="19">
        <f t="shared" si="2"/>
        <v>17848.841560149009</v>
      </c>
      <c r="I29" s="36">
        <f>VLOOKUP(A29,'Variable Input'!$1:$1048576,8,FALSE)</f>
        <v>1.1252449607173489</v>
      </c>
      <c r="J29" s="19">
        <f t="shared" si="3"/>
        <v>184589781.33560714</v>
      </c>
      <c r="K29" s="19">
        <f>IFERROR(VLOOKUP(A29,'Variable Input'!$1:$1048576,26,FALSE)*VLOOKUP(A29,Volume!$A:$K,11,FALSE),0)</f>
        <v>2578337.9692581748</v>
      </c>
      <c r="L29" s="22">
        <f t="shared" si="4"/>
        <v>182011443.36634895</v>
      </c>
      <c r="M29" s="36">
        <f>VLOOKUP(A29,'Variable Input'!$1:$1048576,23,FALSE)</f>
        <v>0.99671861092415948</v>
      </c>
      <c r="N29" s="22">
        <f t="shared" si="5"/>
        <v>182610659.99117604</v>
      </c>
      <c r="O29" s="27">
        <f>IFERROR(VLOOKUP(A29,'Variable Input'!$1:$1048576,7,FALSE),0)</f>
        <v>11637.098158323013</v>
      </c>
      <c r="P29" s="18">
        <f t="shared" si="6"/>
        <v>15692.113060038973</v>
      </c>
      <c r="Q29" s="18">
        <f t="shared" si="7"/>
        <v>182610659.99117604</v>
      </c>
      <c r="R29" s="20">
        <f>IFERROR(VLOOKUP(A29,RESCMAD!$1:$1048576,8,FALSE),0)</f>
        <v>1.6630799529427725E-3</v>
      </c>
      <c r="S29" s="19">
        <f>IF(C29=5,(R29*O29)*IME!$M$7,(R29*O29)*IME!$M$8)</f>
        <v>2553120.5647585327</v>
      </c>
      <c r="T29" s="19">
        <f t="shared" si="8"/>
        <v>219.3949496707223</v>
      </c>
      <c r="U29" s="22">
        <f t="shared" si="9"/>
        <v>180057539.4264175</v>
      </c>
      <c r="V29" s="17">
        <f t="shared" si="10"/>
        <v>-1.3981224123947089E-2</v>
      </c>
      <c r="W29" s="19">
        <f t="shared" si="11"/>
        <v>180057539.4264175</v>
      </c>
      <c r="X29" s="15">
        <f t="shared" si="12"/>
        <v>15472.718110368251</v>
      </c>
      <c r="Y29" s="14">
        <f t="shared" si="13"/>
        <v>4.879716912334775E-2</v>
      </c>
      <c r="Z29" s="14">
        <f t="shared" si="14"/>
        <v>1.8191458500453894E-2</v>
      </c>
      <c r="AA29" s="10">
        <v>1</v>
      </c>
    </row>
    <row r="30" spans="1:27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19">
        <f>IFERROR(VLOOKUP(A30,'Variable Input'!$1:$1048576,6,FALSE),0)</f>
        <v>178231569.15377906</v>
      </c>
      <c r="E30" s="19">
        <f t="shared" si="0"/>
        <v>14688.478782692586</v>
      </c>
      <c r="F30" s="19">
        <f>IFERROR(VLOOKUP(A30,'Drug Overhead'!$1:$1048576,13,FALSE)*VLOOKUP(A30,Volume!$A:$K,11,FALSE),0)</f>
        <v>515241.87752241391</v>
      </c>
      <c r="G30" s="19">
        <f t="shared" si="1"/>
        <v>178746811.03130147</v>
      </c>
      <c r="H30" s="19">
        <f t="shared" si="2"/>
        <v>14730.941066012398</v>
      </c>
      <c r="I30" s="36">
        <f>VLOOKUP(A30,'Variable Input'!$1:$1048576,8,FALSE)</f>
        <v>1.1148847928711076</v>
      </c>
      <c r="J30" s="19">
        <f t="shared" si="3"/>
        <v>160327607.09829366</v>
      </c>
      <c r="K30" s="19">
        <f>IFERROR(VLOOKUP(A30,'Variable Input'!$1:$1048576,26,FALSE)*VLOOKUP(A30,Volume!$A:$K,11,FALSE),0)</f>
        <v>0</v>
      </c>
      <c r="L30" s="22">
        <f t="shared" si="4"/>
        <v>160327607.09829366</v>
      </c>
      <c r="M30" s="36">
        <f>VLOOKUP(A30,'Variable Input'!$1:$1048576,23,FALSE)</f>
        <v>0.99671861092415948</v>
      </c>
      <c r="N30" s="22">
        <f t="shared" si="5"/>
        <v>160855436.3699877</v>
      </c>
      <c r="O30" s="27">
        <f>IFERROR(VLOOKUP(A30,'Variable Input'!$1:$1048576,7,FALSE),0)</f>
        <v>12134.106723412984</v>
      </c>
      <c r="P30" s="18">
        <f t="shared" si="6"/>
        <v>13256.471204395635</v>
      </c>
      <c r="Q30" s="18">
        <f t="shared" si="7"/>
        <v>160855436.3699877</v>
      </c>
      <c r="R30" s="20">
        <f>IFERROR(VLOOKUP(A30,RESCMAD!$1:$1048576,8,FALSE),0)</f>
        <v>0</v>
      </c>
      <c r="S30" s="19">
        <f>IF(C30=5,(R30*O30)*IME!$M$7,(R30*O30)*IME!$M$8)</f>
        <v>0</v>
      </c>
      <c r="T30" s="19">
        <f t="shared" si="8"/>
        <v>0</v>
      </c>
      <c r="U30" s="22">
        <f t="shared" si="9"/>
        <v>160855436.3699877</v>
      </c>
      <c r="V30" s="17">
        <f t="shared" si="10"/>
        <v>0</v>
      </c>
      <c r="W30" s="19">
        <f t="shared" si="11"/>
        <v>160855436.3699877</v>
      </c>
      <c r="X30" s="15">
        <f t="shared" si="12"/>
        <v>13256.471204395635</v>
      </c>
      <c r="Y30" s="14">
        <f t="shared" si="13"/>
        <v>-0.10142811543766839</v>
      </c>
      <c r="Z30" s="14">
        <f t="shared" si="14"/>
        <v>-0.12764999311089897</v>
      </c>
      <c r="AA30" s="10">
        <v>1</v>
      </c>
    </row>
    <row r="31" spans="1:27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19">
        <f>IFERROR(VLOOKUP(A31,'Variable Input'!$1:$1048576,6,FALSE),0)</f>
        <v>252795365.55476636</v>
      </c>
      <c r="E31" s="19">
        <f t="shared" si="0"/>
        <v>17635.09109428155</v>
      </c>
      <c r="F31" s="19">
        <f>IFERROR(VLOOKUP(A31,'Drug Overhead'!$1:$1048576,13,FALSE)*VLOOKUP(A31,Volume!$A:$K,11,FALSE),0)</f>
        <v>11201194.43304294</v>
      </c>
      <c r="G31" s="19">
        <f t="shared" si="1"/>
        <v>263996559.9878093</v>
      </c>
      <c r="H31" s="19">
        <f t="shared" si="2"/>
        <v>18416.490245954992</v>
      </c>
      <c r="I31" s="36">
        <f>VLOOKUP(A31,'Variable Input'!$1:$1048576,8,FALSE)</f>
        <v>1.1240965147015685</v>
      </c>
      <c r="J31" s="19">
        <f t="shared" si="3"/>
        <v>234852218.23492318</v>
      </c>
      <c r="K31" s="19">
        <f>IFERROR(VLOOKUP(A31,'Variable Input'!$1:$1048576,26,FALSE)*VLOOKUP(A31,Volume!$A:$K,11,FALSE),0)</f>
        <v>832816.30724702065</v>
      </c>
      <c r="L31" s="22">
        <f t="shared" si="4"/>
        <v>234019401.92767617</v>
      </c>
      <c r="M31" s="36">
        <f>VLOOKUP(A31,'Variable Input'!$1:$1048576,23,FALSE)</f>
        <v>0.99671861092415948</v>
      </c>
      <c r="N31" s="22">
        <f t="shared" si="5"/>
        <v>234789838.73963475</v>
      </c>
      <c r="O31" s="27">
        <f>IFERROR(VLOOKUP(A31,'Variable Input'!$1:$1048576,7,FALSE),0)</f>
        <v>14334.792159748988</v>
      </c>
      <c r="P31" s="18">
        <f t="shared" si="6"/>
        <v>16379.019390243191</v>
      </c>
      <c r="Q31" s="18">
        <f t="shared" si="7"/>
        <v>234789838.73963475</v>
      </c>
      <c r="R31" s="20">
        <f>IFERROR(VLOOKUP(A31,RESCMAD!$1:$1048576,8,FALSE),0)</f>
        <v>0</v>
      </c>
      <c r="S31" s="19">
        <f>IF(C31=5,(R31*O31)*IME!$M$7,(R31*O31)*IME!$M$8)</f>
        <v>0</v>
      </c>
      <c r="T31" s="19">
        <f t="shared" si="8"/>
        <v>0</v>
      </c>
      <c r="U31" s="22">
        <f t="shared" si="9"/>
        <v>234789838.73963475</v>
      </c>
      <c r="V31" s="17">
        <f t="shared" si="10"/>
        <v>0</v>
      </c>
      <c r="W31" s="19">
        <f t="shared" si="11"/>
        <v>234789838.73963475</v>
      </c>
      <c r="X31" s="15">
        <f t="shared" si="12"/>
        <v>16379.019390243191</v>
      </c>
      <c r="Y31" s="14">
        <f t="shared" si="13"/>
        <v>0.11022956968319231</v>
      </c>
      <c r="Z31" s="14">
        <f t="shared" si="14"/>
        <v>7.7831155637981153E-2</v>
      </c>
      <c r="AA31" s="10">
        <v>1</v>
      </c>
    </row>
    <row r="32" spans="1:27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19">
        <f>IFERROR(VLOOKUP(A32,'Variable Input'!$1:$1048576,6,FALSE),0)</f>
        <v>245002626.74528134</v>
      </c>
      <c r="E32" s="19">
        <f t="shared" si="0"/>
        <v>22986.814893275434</v>
      </c>
      <c r="F32" s="19">
        <f>IFERROR(VLOOKUP(A32,'Drug Overhead'!$1:$1048576,13,FALSE)*VLOOKUP(A32,Volume!$A:$K,11,FALSE),0)</f>
        <v>340161.64688431198</v>
      </c>
      <c r="G32" s="22">
        <f t="shared" si="1"/>
        <v>245342788.39216566</v>
      </c>
      <c r="H32" s="19">
        <f t="shared" si="2"/>
        <v>23018.729787064924</v>
      </c>
      <c r="I32" s="36">
        <f>VLOOKUP(A32,'Variable Input'!$1:$1048576,8,FALSE)</f>
        <v>1.1259331913445376</v>
      </c>
      <c r="J32" s="19">
        <f t="shared" si="3"/>
        <v>217901728.3425037</v>
      </c>
      <c r="K32" s="19">
        <f>IFERROR(VLOOKUP(A32,'Variable Input'!$1:$1048576,26,FALSE)*VLOOKUP(A32,Volume!$A:$K,11,FALSE),0)</f>
        <v>2754406.3071728726</v>
      </c>
      <c r="L32" s="22">
        <f t="shared" si="4"/>
        <v>215147322.03533083</v>
      </c>
      <c r="M32" s="36">
        <f>VLOOKUP(A32,'Variable Input'!$1:$1048576,23,FALSE)</f>
        <v>0.99671861092415948</v>
      </c>
      <c r="N32" s="22">
        <f t="shared" si="5"/>
        <v>215855628.33611163</v>
      </c>
      <c r="O32" s="27">
        <f>IFERROR(VLOOKUP(A32,'Variable Input'!$1:$1048576,7,FALSE),0)</f>
        <v>10658.398211444006</v>
      </c>
      <c r="P32" s="18">
        <f t="shared" si="6"/>
        <v>20252.163979419136</v>
      </c>
      <c r="Q32" s="18">
        <f t="shared" si="7"/>
        <v>215855628.33611163</v>
      </c>
      <c r="R32" s="20">
        <f>IFERROR(VLOOKUP(A32,RESCMAD!$1:$1048576,8,FALSE),0)</f>
        <v>3.4768985729970833E-3</v>
      </c>
      <c r="S32" s="19">
        <f>IF(C32=5,(R32*O32)*IME!$M$7,(R32*O32)*IME!$M$8)</f>
        <v>4888745.8627186492</v>
      </c>
      <c r="T32" s="19">
        <f t="shared" si="8"/>
        <v>458.6754750324082</v>
      </c>
      <c r="U32" s="22">
        <f t="shared" si="9"/>
        <v>210966882.47339299</v>
      </c>
      <c r="V32" s="17">
        <f t="shared" si="10"/>
        <v>-2.2648220481452097E-2</v>
      </c>
      <c r="W32" s="19">
        <f t="shared" si="11"/>
        <v>210966882.47339299</v>
      </c>
      <c r="X32" s="15">
        <f t="shared" si="12"/>
        <v>19793.488504386729</v>
      </c>
      <c r="Y32" s="14">
        <f t="shared" si="13"/>
        <v>0.34167471819741269</v>
      </c>
      <c r="Z32" s="14">
        <f t="shared" si="14"/>
        <v>0.30252233546403295</v>
      </c>
      <c r="AA32" s="10">
        <v>1</v>
      </c>
    </row>
    <row r="33" spans="1:27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19">
        <f>IFERROR(VLOOKUP(A33,'Variable Input'!$1:$1048576,6,FALSE),0)</f>
        <v>161738343.1905202</v>
      </c>
      <c r="E33" s="19">
        <f t="shared" si="0"/>
        <v>15532.953752586571</v>
      </c>
      <c r="F33" s="19">
        <f>IFERROR(VLOOKUP(A33,'Drug Overhead'!$1:$1048576,13,FALSE)*VLOOKUP(A33,Volume!$A:$K,11,FALSE),0)</f>
        <v>5550131.0739668515</v>
      </c>
      <c r="G33" s="19">
        <f t="shared" si="1"/>
        <v>167288474.26448706</v>
      </c>
      <c r="H33" s="19">
        <f t="shared" si="2"/>
        <v>16065.974727032744</v>
      </c>
      <c r="I33" s="36">
        <f>VLOOKUP(A33,'Variable Input'!$1:$1048576,8,FALSE)</f>
        <v>1.1205505604288228</v>
      </c>
      <c r="J33" s="19">
        <f t="shared" si="3"/>
        <v>149291321.75924978</v>
      </c>
      <c r="K33" s="19">
        <f>IFERROR(VLOOKUP(A33,'Variable Input'!$1:$1048576,26,FALSE)*VLOOKUP(A33,Volume!$A:$K,11,FALSE),0)</f>
        <v>0</v>
      </c>
      <c r="L33" s="22">
        <f t="shared" si="4"/>
        <v>149291321.75924978</v>
      </c>
      <c r="M33" s="36">
        <f>VLOOKUP(A33,'Variable Input'!$1:$1048576,23,FALSE)</f>
        <v>0.99671861092415948</v>
      </c>
      <c r="N33" s="22">
        <f t="shared" si="5"/>
        <v>149782817.46021232</v>
      </c>
      <c r="O33" s="27">
        <f>IFERROR(VLOOKUP(A33,'Variable Input'!$1:$1048576,7,FALSE),0)</f>
        <v>10412.594138032973</v>
      </c>
      <c r="P33" s="18">
        <f t="shared" si="6"/>
        <v>14384.774387116135</v>
      </c>
      <c r="Q33" s="18">
        <f t="shared" si="7"/>
        <v>149782817.46021232</v>
      </c>
      <c r="R33" s="20">
        <f>IFERROR(VLOOKUP(A33,RESCMAD!$1:$1048576,8,FALSE),0)</f>
        <v>0</v>
      </c>
      <c r="S33" s="19">
        <f>IF(C33=5,(R33*O33)*IME!$M$7,(R33*O33)*IME!$M$8)</f>
        <v>0</v>
      </c>
      <c r="T33" s="19">
        <f t="shared" si="8"/>
        <v>0</v>
      </c>
      <c r="U33" s="22">
        <f t="shared" si="9"/>
        <v>149782817.46021232</v>
      </c>
      <c r="V33" s="17">
        <f t="shared" si="10"/>
        <v>0</v>
      </c>
      <c r="W33" s="19">
        <f t="shared" si="11"/>
        <v>149782817.46021232</v>
      </c>
      <c r="X33" s="15">
        <f t="shared" si="12"/>
        <v>14384.774387116135</v>
      </c>
      <c r="Y33" s="14">
        <f t="shared" si="13"/>
        <v>-2.4947617602116501E-2</v>
      </c>
      <c r="Z33" s="14">
        <f t="shared" si="14"/>
        <v>-5.340132813489451E-2</v>
      </c>
      <c r="AA33" s="10">
        <v>1</v>
      </c>
    </row>
    <row r="34" spans="1:27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19">
        <f>IFERROR(VLOOKUP(A34,'Variable Input'!$1:$1048576,6,FALSE),0)</f>
        <v>283245031.37281293</v>
      </c>
      <c r="E34" s="19">
        <f t="shared" si="0"/>
        <v>17740.81768359938</v>
      </c>
      <c r="F34" s="19">
        <f>IFERROR(VLOOKUP(A34,'Drug Overhead'!$1:$1048576,13,FALSE)*VLOOKUP(A34,Volume!$A:$K,11,FALSE),0)</f>
        <v>9843700.3071424589</v>
      </c>
      <c r="G34" s="19">
        <f t="shared" si="1"/>
        <v>293088731.67995536</v>
      </c>
      <c r="H34" s="19">
        <f t="shared" si="2"/>
        <v>18357.369690300417</v>
      </c>
      <c r="I34" s="36">
        <f>VLOOKUP(A34,'Variable Input'!$1:$1048576,8,FALSE)</f>
        <v>1.120710322524318</v>
      </c>
      <c r="J34" s="19">
        <f t="shared" si="3"/>
        <v>261520506.94045043</v>
      </c>
      <c r="K34" s="19">
        <f>IFERROR(VLOOKUP(A34,'Variable Input'!$1:$1048576,26,FALSE)*VLOOKUP(A34,Volume!$A:$K,11,FALSE),0)</f>
        <v>0</v>
      </c>
      <c r="L34" s="22">
        <f t="shared" si="4"/>
        <v>261520506.94045043</v>
      </c>
      <c r="M34" s="36">
        <f>VLOOKUP(A34,'Variable Input'!$1:$1048576,23,FALSE)</f>
        <v>0.99671861092415948</v>
      </c>
      <c r="N34" s="22">
        <f t="shared" si="5"/>
        <v>262381482.67139116</v>
      </c>
      <c r="O34" s="27">
        <f>IFERROR(VLOOKUP(A34,'Variable Input'!$1:$1048576,7,FALSE),0)</f>
        <v>15965.725843327995</v>
      </c>
      <c r="P34" s="18">
        <f t="shared" si="6"/>
        <v>16434.046609978537</v>
      </c>
      <c r="Q34" s="18">
        <f t="shared" si="7"/>
        <v>262381482.67139116</v>
      </c>
      <c r="R34" s="20">
        <f>IFERROR(VLOOKUP(A34,RESCMAD!$1:$1048576,8,FALSE),0)</f>
        <v>0</v>
      </c>
      <c r="S34" s="19">
        <f>IF(C34=5,(R34*O34)*IME!$M$7,(R34*O34)*IME!$M$8)</f>
        <v>0</v>
      </c>
      <c r="T34" s="19">
        <f t="shared" si="8"/>
        <v>0</v>
      </c>
      <c r="U34" s="22">
        <f t="shared" si="9"/>
        <v>262381482.67139116</v>
      </c>
      <c r="V34" s="17">
        <f t="shared" si="10"/>
        <v>0</v>
      </c>
      <c r="W34" s="19">
        <f t="shared" si="11"/>
        <v>262381482.67139116</v>
      </c>
      <c r="X34" s="15">
        <f t="shared" si="12"/>
        <v>16434.046609978537</v>
      </c>
      <c r="Y34" s="14">
        <f t="shared" si="13"/>
        <v>0.11395951498895518</v>
      </c>
      <c r="Z34" s="14">
        <f t="shared" si="14"/>
        <v>8.1452254705378424E-2</v>
      </c>
      <c r="AA34" s="10">
        <v>1</v>
      </c>
    </row>
    <row r="35" spans="1:27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19">
        <f>IFERROR(VLOOKUP(A35,'Variable Input'!$1:$1048576,6,FALSE),0)</f>
        <v>493183008.48548323</v>
      </c>
      <c r="E35" s="19">
        <f t="shared" ref="E35:E54" si="15">IFERROR(D35/O35,0)</f>
        <v>15938.169364639889</v>
      </c>
      <c r="F35" s="19">
        <f>IFERROR(VLOOKUP(A35,'Drug Overhead'!$1:$1048576,13,FALSE)*VLOOKUP(A35,Volume!$A:$K,11,FALSE),0)</f>
        <v>1405486.23721784</v>
      </c>
      <c r="G35" s="19">
        <f t="shared" ref="G35:G54" si="16">D35+F35</f>
        <v>494588494.72270107</v>
      </c>
      <c r="H35" s="19">
        <f t="shared" ref="H35:H54" si="17">IFERROR(G35/O35,0)</f>
        <v>15983.590389498875</v>
      </c>
      <c r="I35" s="36">
        <f>VLOOKUP(A35,'Variable Input'!$1:$1048576,8,FALSE)</f>
        <v>1.1174861425645124</v>
      </c>
      <c r="J35" s="19">
        <f t="shared" ref="J35:J54" si="18">G35/I35</f>
        <v>442590271.04145813</v>
      </c>
      <c r="K35" s="19">
        <f>IFERROR(VLOOKUP(A35,'Variable Input'!$1:$1048576,26,FALSE)*VLOOKUP(A35,Volume!$A:$K,11,FALSE),0)</f>
        <v>751420.3248961916</v>
      </c>
      <c r="L35" s="22">
        <f t="shared" ref="L35:L54" si="19">J35-K35</f>
        <v>441838850.71656191</v>
      </c>
      <c r="M35" s="36">
        <f>VLOOKUP(A35,'Variable Input'!$1:$1048576,23,FALSE)</f>
        <v>0.99671861092415948</v>
      </c>
      <c r="N35" s="22">
        <f t="shared" ref="N35:N54" si="20">L35/M35</f>
        <v>443293469.0633378</v>
      </c>
      <c r="O35" s="27">
        <f>IFERROR(VLOOKUP(A35,'Variable Input'!$1:$1048576,7,FALSE),0)</f>
        <v>30943.516611114035</v>
      </c>
      <c r="P35" s="18">
        <f t="shared" ref="P35:P54" si="21">IFERROR(+N35/O35,0)</f>
        <v>14325.891741215972</v>
      </c>
      <c r="Q35" s="18">
        <f t="shared" ref="Q35:Q54" si="22">+P35*O35</f>
        <v>443293469.0633378</v>
      </c>
      <c r="R35" s="20">
        <f>IFERROR(VLOOKUP(A35,RESCMAD!$1:$1048576,8,FALSE),0)</f>
        <v>1.6158473721128837E-4</v>
      </c>
      <c r="S35" s="19">
        <f>IF(C35=5,(R35*O35)*IME!$M$7,(R35*O35)*IME!$M$8)</f>
        <v>659604.33616708894</v>
      </c>
      <c r="T35" s="19">
        <f t="shared" ref="T35:T54" si="23">IFERROR(S35/O35,0)</f>
        <v>21.316398664597084</v>
      </c>
      <c r="U35" s="22">
        <f t="shared" ref="U35:U54" si="24">Q35-S35</f>
        <v>442633864.72717071</v>
      </c>
      <c r="V35" s="17">
        <f t="shared" ref="V35:V54" si="25">IFERROR((U35/Q35)-1,0)</f>
        <v>-1.4879631264607118E-3</v>
      </c>
      <c r="W35" s="19">
        <f t="shared" ref="W35:W54" si="26">Q35-S35</f>
        <v>442633864.72717071</v>
      </c>
      <c r="X35" s="15">
        <f t="shared" ref="X35:X54" si="27">IFERROR(W35/O35,0)</f>
        <v>14304.575342551374</v>
      </c>
      <c r="Y35" s="14">
        <f t="shared" ref="Y35:Y54" si="28">IFERROR(X35/VLOOKUP(C35,$61:$68,24,FALSE)-1," ")</f>
        <v>-3.0383800844513642E-2</v>
      </c>
      <c r="Z35" s="14">
        <f t="shared" ref="Z35:Z54" si="29">X35/$X$62-1</f>
        <v>-5.867887417258888E-2</v>
      </c>
      <c r="AA35" s="10">
        <v>1</v>
      </c>
    </row>
    <row r="36" spans="1:27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19">
        <f>IFERROR(VLOOKUP(A36,'Variable Input'!$1:$1048576,6,FALSE),0)</f>
        <v>487266143.18255103</v>
      </c>
      <c r="E36" s="19">
        <f t="shared" si="15"/>
        <v>15904.020553840699</v>
      </c>
      <c r="F36" s="19">
        <f>IFERROR(VLOOKUP(A36,'Drug Overhead'!$1:$1048576,13,FALSE)*VLOOKUP(A36,Volume!$A:$K,11,FALSE),0)</f>
        <v>213935.30300706389</v>
      </c>
      <c r="G36" s="19">
        <f t="shared" si="16"/>
        <v>487480078.48555809</v>
      </c>
      <c r="H36" s="19">
        <f t="shared" si="17"/>
        <v>15911.003250060867</v>
      </c>
      <c r="I36" s="36">
        <f>VLOOKUP(A36,'Variable Input'!$1:$1048576,8,FALSE)</f>
        <v>1.1074866213835981</v>
      </c>
      <c r="J36" s="19">
        <f t="shared" si="18"/>
        <v>440167916.3189733</v>
      </c>
      <c r="K36" s="19">
        <f>IFERROR(VLOOKUP(A36,'Variable Input'!$1:$1048576,26,FALSE)*VLOOKUP(A36,Volume!$A:$K,11,FALSE),0)</f>
        <v>7270460.1939369692</v>
      </c>
      <c r="L36" s="22">
        <f t="shared" si="19"/>
        <v>432897456.12503636</v>
      </c>
      <c r="M36" s="36">
        <f>VLOOKUP(A36,'Variable Input'!$1:$1048576,23,FALSE)</f>
        <v>0.99671861092415948</v>
      </c>
      <c r="N36" s="22">
        <f t="shared" si="20"/>
        <v>434322637.68372196</v>
      </c>
      <c r="O36" s="27">
        <f>IFERROR(VLOOKUP(A36,'Variable Input'!$1:$1048576,7,FALSE),0)</f>
        <v>30637.922123716067</v>
      </c>
      <c r="P36" s="18">
        <f t="shared" si="21"/>
        <v>14175.982167782959</v>
      </c>
      <c r="Q36" s="18">
        <f t="shared" si="22"/>
        <v>434322637.68372196</v>
      </c>
      <c r="R36" s="20">
        <f>IFERROR(VLOOKUP(A36,RESCMAD!$1:$1048576,8,FALSE),0)</f>
        <v>1.893078772306939E-3</v>
      </c>
      <c r="S36" s="19">
        <f>IF(C36=5,(R36*O36)*IME!$M$7,(R36*O36)*IME!$M$8)</f>
        <v>7651410.299538237</v>
      </c>
      <c r="T36" s="19">
        <f t="shared" si="23"/>
        <v>249.73659338390533</v>
      </c>
      <c r="U36" s="22">
        <f t="shared" si="24"/>
        <v>426671227.3841837</v>
      </c>
      <c r="V36" s="17">
        <f t="shared" si="25"/>
        <v>-1.7616881174658205E-2</v>
      </c>
      <c r="W36" s="19">
        <f t="shared" si="26"/>
        <v>426671227.3841837</v>
      </c>
      <c r="X36" s="15">
        <f t="shared" si="27"/>
        <v>13926.245574399052</v>
      </c>
      <c r="Y36" s="14">
        <f t="shared" si="28"/>
        <v>-5.6028370014772011E-2</v>
      </c>
      <c r="Z36" s="14">
        <f t="shared" si="29"/>
        <v>-8.3575090576287314E-2</v>
      </c>
      <c r="AA36" s="10">
        <v>1</v>
      </c>
    </row>
    <row r="37" spans="1:27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19">
        <f>IFERROR(VLOOKUP(A37,'Variable Input'!$1:$1048576,6,FALSE),0)</f>
        <v>6458231.4193228893</v>
      </c>
      <c r="E37" s="19">
        <f t="shared" si="15"/>
        <v>11399.653863300991</v>
      </c>
      <c r="F37" s="19">
        <f>IFERROR(VLOOKUP(A37,'Drug Overhead'!$1:$1048576,13,FALSE)*VLOOKUP(A37,Volume!$A:$K,11,FALSE),0)</f>
        <v>292431.73930685525</v>
      </c>
      <c r="G37" s="19">
        <f t="shared" si="16"/>
        <v>6750663.1586297443</v>
      </c>
      <c r="H37" s="19">
        <f t="shared" si="17"/>
        <v>11915.835522070154</v>
      </c>
      <c r="I37" s="36">
        <f>VLOOKUP(A37,'Variable Input'!$1:$1048576,8,FALSE)</f>
        <v>1.1235285459397526</v>
      </c>
      <c r="J37" s="19">
        <f t="shared" si="18"/>
        <v>6008448.2793299118</v>
      </c>
      <c r="K37" s="19">
        <f>IFERROR(VLOOKUP(A37,'Variable Input'!$1:$1048576,26,FALSE)*VLOOKUP(A37,Volume!$A:$K,11,FALSE),0)</f>
        <v>0</v>
      </c>
      <c r="L37" s="22">
        <f t="shared" si="19"/>
        <v>6008448.2793299118</v>
      </c>
      <c r="M37" s="36">
        <f>VLOOKUP(A37,'Variable Input'!$1:$1048576,23,FALSE)</f>
        <v>0.99671861092415948</v>
      </c>
      <c r="N37" s="22">
        <f t="shared" si="20"/>
        <v>6028229.2449208573</v>
      </c>
      <c r="O37" s="27">
        <f>IFERROR(VLOOKUP(A37,'Variable Input'!$1:$1048576,7,FALSE),0)</f>
        <v>566.52872944799947</v>
      </c>
      <c r="P37" s="18">
        <f t="shared" si="21"/>
        <v>10640.641739024422</v>
      </c>
      <c r="Q37" s="18">
        <f t="shared" si="22"/>
        <v>6028229.2449208573</v>
      </c>
      <c r="R37" s="20">
        <f>IFERROR(VLOOKUP(A37,RESCMAD!$1:$1048576,8,FALSE),0)</f>
        <v>0</v>
      </c>
      <c r="S37" s="19">
        <f>IF(C37=5,(R37*O37)*IME!$M$7,(R37*O37)*IME!$M$8)</f>
        <v>0</v>
      </c>
      <c r="T37" s="19">
        <f t="shared" si="23"/>
        <v>0</v>
      </c>
      <c r="U37" s="22">
        <f t="shared" si="24"/>
        <v>6028229.2449208573</v>
      </c>
      <c r="V37" s="17">
        <f t="shared" si="25"/>
        <v>0</v>
      </c>
      <c r="W37" s="19">
        <f t="shared" si="26"/>
        <v>6028229.2449208573</v>
      </c>
      <c r="X37" s="15">
        <f t="shared" si="27"/>
        <v>10640.641739024422</v>
      </c>
      <c r="Y37" s="14" t="str">
        <f t="shared" si="28"/>
        <v xml:space="preserve"> </v>
      </c>
      <c r="Z37" s="14">
        <f t="shared" si="29"/>
        <v>-0.29978621375011727</v>
      </c>
      <c r="AA37" s="10">
        <v>1</v>
      </c>
    </row>
    <row r="38" spans="1:27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19">
        <f>IFERROR(VLOOKUP(A38,'Variable Input'!$1:$1048576,6,FALSE),0)</f>
        <v>346556209.08864111</v>
      </c>
      <c r="E38" s="19">
        <f t="shared" si="15"/>
        <v>14111.085465256892</v>
      </c>
      <c r="F38" s="19">
        <f>IFERROR(VLOOKUP(A38,'Drug Overhead'!$1:$1048576,13,FALSE)*VLOOKUP(A38,Volume!$A:$K,11,FALSE),0)</f>
        <v>808035.04537827137</v>
      </c>
      <c r="G38" s="19">
        <f t="shared" si="16"/>
        <v>347364244.13401937</v>
      </c>
      <c r="H38" s="19">
        <f t="shared" si="17"/>
        <v>14143.987058952876</v>
      </c>
      <c r="I38" s="36">
        <f>VLOOKUP(A38,'Variable Input'!$1:$1048576,8,FALSE)</f>
        <v>1.1035189993630976</v>
      </c>
      <c r="J38" s="19">
        <f t="shared" si="18"/>
        <v>314778671.08269334</v>
      </c>
      <c r="K38" s="19">
        <f>IFERROR(VLOOKUP(A38,'Variable Input'!$1:$1048576,26,FALSE)*VLOOKUP(A38,Volume!$A:$K,11,FALSE),0)</f>
        <v>0</v>
      </c>
      <c r="L38" s="22">
        <f t="shared" si="19"/>
        <v>314778671.08269334</v>
      </c>
      <c r="M38" s="36">
        <f>VLOOKUP(A38,'Variable Input'!$1:$1048576,23,FALSE)</f>
        <v>0.99671861092415948</v>
      </c>
      <c r="N38" s="22">
        <f t="shared" si="20"/>
        <v>315814982.91762602</v>
      </c>
      <c r="O38" s="27">
        <f>IFERROR(VLOOKUP(A38,'Variable Input'!$1:$1048576,7,FALSE),0)</f>
        <v>24559.146065829038</v>
      </c>
      <c r="P38" s="18">
        <f t="shared" si="21"/>
        <v>12859.363353721928</v>
      </c>
      <c r="Q38" s="18">
        <f t="shared" si="22"/>
        <v>315814982.91762602</v>
      </c>
      <c r="R38" s="20">
        <f>IFERROR(VLOOKUP(A38,RESCMAD!$1:$1048576,8,FALSE),0)</f>
        <v>0</v>
      </c>
      <c r="S38" s="19">
        <f>IF(C38=5,(R38*O38)*IME!$M$7,(R38*O38)*IME!$M$8)</f>
        <v>0</v>
      </c>
      <c r="T38" s="19">
        <f t="shared" si="23"/>
        <v>0</v>
      </c>
      <c r="U38" s="22">
        <f t="shared" si="24"/>
        <v>315814982.91762602</v>
      </c>
      <c r="V38" s="17">
        <f t="shared" si="25"/>
        <v>0</v>
      </c>
      <c r="W38" s="19">
        <f t="shared" si="26"/>
        <v>315814982.91762602</v>
      </c>
      <c r="X38" s="15">
        <f t="shared" si="27"/>
        <v>12859.363353721928</v>
      </c>
      <c r="Y38" s="14">
        <f t="shared" si="28"/>
        <v>-0.12834553141154015</v>
      </c>
      <c r="Z38" s="14">
        <f t="shared" si="29"/>
        <v>-0.15378191245275652</v>
      </c>
      <c r="AA38" s="10">
        <v>1</v>
      </c>
    </row>
    <row r="39" spans="1:27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19">
        <f>IFERROR(VLOOKUP(A39,'Variable Input'!$1:$1048576,6,FALSE),0)</f>
        <v>360555499.02413774</v>
      </c>
      <c r="E39" s="19">
        <f t="shared" si="15"/>
        <v>14878.678787363348</v>
      </c>
      <c r="F39" s="19">
        <f>IFERROR(VLOOKUP(A39,'Drug Overhead'!$1:$1048576,13,FALSE)*VLOOKUP(A39,Volume!$A:$K,11,FALSE),0)</f>
        <v>199700.68284646832</v>
      </c>
      <c r="G39" s="19">
        <f t="shared" si="16"/>
        <v>360755199.70698422</v>
      </c>
      <c r="H39" s="19">
        <f t="shared" si="17"/>
        <v>14886.919633285075</v>
      </c>
      <c r="I39" s="36">
        <f>VLOOKUP(A39,'Variable Input'!$1:$1048576,8,FALSE)</f>
        <v>1.1147926720978587</v>
      </c>
      <c r="J39" s="19">
        <f t="shared" si="18"/>
        <v>323607437.27181268</v>
      </c>
      <c r="K39" s="19">
        <f>IFERROR(VLOOKUP(A39,'Variable Input'!$1:$1048576,26,FALSE)*VLOOKUP(A39,Volume!$A:$K,11,FALSE),0)</f>
        <v>0</v>
      </c>
      <c r="L39" s="22">
        <f t="shared" si="19"/>
        <v>323607437.27181268</v>
      </c>
      <c r="M39" s="36">
        <f>VLOOKUP(A39,'Variable Input'!$1:$1048576,23,FALSE)</f>
        <v>0.99671861092415948</v>
      </c>
      <c r="N39" s="22">
        <f t="shared" si="20"/>
        <v>324672815.10050589</v>
      </c>
      <c r="O39" s="27">
        <f>IFERROR(VLOOKUP(A39,'Variable Input'!$1:$1048576,7,FALSE),0)</f>
        <v>24233.031990069048</v>
      </c>
      <c r="P39" s="18">
        <f t="shared" si="21"/>
        <v>13397.944393980919</v>
      </c>
      <c r="Q39" s="18">
        <f t="shared" si="22"/>
        <v>324672815.10050589</v>
      </c>
      <c r="R39" s="20">
        <f>IFERROR(VLOOKUP(A39,RESCMAD!$1:$1048576,8,FALSE),0)</f>
        <v>0</v>
      </c>
      <c r="S39" s="19">
        <f>IF(C39=5,(R39*O39)*IME!$M$7,(R39*O39)*IME!$M$8)</f>
        <v>0</v>
      </c>
      <c r="T39" s="19">
        <f t="shared" si="23"/>
        <v>0</v>
      </c>
      <c r="U39" s="22">
        <f t="shared" si="24"/>
        <v>324672815.10050589</v>
      </c>
      <c r="V39" s="17">
        <f t="shared" si="25"/>
        <v>0</v>
      </c>
      <c r="W39" s="19">
        <f t="shared" si="26"/>
        <v>324672815.10050589</v>
      </c>
      <c r="X39" s="15">
        <f t="shared" si="27"/>
        <v>13397.944393980919</v>
      </c>
      <c r="Y39" s="14">
        <f t="shared" si="28"/>
        <v>-9.1838547548851901E-2</v>
      </c>
      <c r="Z39" s="14">
        <f t="shared" si="29"/>
        <v>-0.11834026535556519</v>
      </c>
      <c r="AA39" s="10">
        <v>1</v>
      </c>
    </row>
    <row r="40" spans="1:27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19">
        <f>IFERROR(VLOOKUP(A40,'Variable Input'!$1:$1048576,6,FALSE),0)</f>
        <v>285517283.37502766</v>
      </c>
      <c r="E40" s="19">
        <f t="shared" si="15"/>
        <v>17949.116567739551</v>
      </c>
      <c r="F40" s="19">
        <f>IFERROR(VLOOKUP(A40,'Drug Overhead'!$1:$1048576,13,FALSE)*VLOOKUP(A40,Volume!$A:$K,11,FALSE),0)</f>
        <v>467837.98050078697</v>
      </c>
      <c r="G40" s="19">
        <f t="shared" si="16"/>
        <v>285985121.35552841</v>
      </c>
      <c r="H40" s="19">
        <f t="shared" si="17"/>
        <v>17978.527321258782</v>
      </c>
      <c r="I40" s="36">
        <f>VLOOKUP(A40,'Variable Input'!$1:$1048576,8,FALSE)</f>
        <v>1.1175427593245362</v>
      </c>
      <c r="J40" s="19">
        <f t="shared" si="18"/>
        <v>255905305.60851488</v>
      </c>
      <c r="K40" s="19">
        <f>IFERROR(VLOOKUP(A40,'Variable Input'!$1:$1048576,26,FALSE)*VLOOKUP(A40,Volume!$A:$K,11,FALSE),0)</f>
        <v>0</v>
      </c>
      <c r="L40" s="22">
        <f t="shared" si="19"/>
        <v>255905305.60851488</v>
      </c>
      <c r="M40" s="36">
        <f>VLOOKUP(A40,'Variable Input'!$1:$1048576,23,FALSE)</f>
        <v>1.0181752931904677</v>
      </c>
      <c r="N40" s="22">
        <f t="shared" si="20"/>
        <v>251337178.69604921</v>
      </c>
      <c r="O40" s="27">
        <f>IFERROR(VLOOKUP(A40,'Variable Input'!$1:$1048576,7,FALSE),0)</f>
        <v>15907.038226505023</v>
      </c>
      <c r="P40" s="18">
        <f t="shared" si="21"/>
        <v>15800.375602119311</v>
      </c>
      <c r="Q40" s="18">
        <f t="shared" si="22"/>
        <v>251337178.69604921</v>
      </c>
      <c r="R40" s="20">
        <f>IFERROR(VLOOKUP(A40,RESCMAD!$1:$1048576,8,FALSE),0)</f>
        <v>0</v>
      </c>
      <c r="S40" s="19">
        <f>IF(C40=5,(R40*O40)*IME!$M$7,(R40*O40)*IME!$M$8)</f>
        <v>0</v>
      </c>
      <c r="T40" s="19">
        <f t="shared" si="23"/>
        <v>0</v>
      </c>
      <c r="U40" s="22">
        <f t="shared" si="24"/>
        <v>251337178.69604921</v>
      </c>
      <c r="V40" s="17">
        <f t="shared" si="25"/>
        <v>0</v>
      </c>
      <c r="W40" s="19">
        <f t="shared" si="26"/>
        <v>251337178.69604921</v>
      </c>
      <c r="X40" s="15">
        <f t="shared" si="27"/>
        <v>15800.375602119311</v>
      </c>
      <c r="Y40" s="14">
        <f t="shared" si="28"/>
        <v>7.1006986903217495E-2</v>
      </c>
      <c r="Z40" s="14">
        <f t="shared" si="29"/>
        <v>3.9753155484454128E-2</v>
      </c>
      <c r="AA40" s="10">
        <v>1</v>
      </c>
    </row>
    <row r="41" spans="1:27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19">
        <f>IFERROR(VLOOKUP(A41,'Variable Input'!$1:$1048576,6,FALSE),0)</f>
        <v>40214198.735883914</v>
      </c>
      <c r="E41" s="19">
        <f t="shared" si="15"/>
        <v>20264.30519802343</v>
      </c>
      <c r="F41" s="19">
        <f>IFERROR(VLOOKUP(A41,'Drug Overhead'!$1:$1048576,13,FALSE)*VLOOKUP(A41,Volume!$A:$K,11,FALSE),0)</f>
        <v>11127.300841270084</v>
      </c>
      <c r="G41" s="19">
        <f t="shared" si="16"/>
        <v>40225326.036725186</v>
      </c>
      <c r="H41" s="19">
        <f t="shared" si="17"/>
        <v>20269.912347422545</v>
      </c>
      <c r="I41" s="36">
        <f>VLOOKUP(A41,'Variable Input'!$1:$1048576,8,FALSE)</f>
        <v>1.2317684965243516</v>
      </c>
      <c r="J41" s="19">
        <f t="shared" si="18"/>
        <v>32656563.429108568</v>
      </c>
      <c r="K41" s="19">
        <f>IFERROR(VLOOKUP(A41,'Variable Input'!$1:$1048576,26,FALSE)*VLOOKUP(A41,Volume!$A:$K,11,FALSE),0)</f>
        <v>141502.60406345228</v>
      </c>
      <c r="L41" s="22">
        <f t="shared" si="19"/>
        <v>32515060.825045116</v>
      </c>
      <c r="M41" s="36">
        <f>VLOOKUP(A41,'Variable Input'!$1:$1048576,23,FALSE)</f>
        <v>1.0181752931904677</v>
      </c>
      <c r="N41" s="22">
        <f t="shared" si="20"/>
        <v>31934639.391178586</v>
      </c>
      <c r="O41" s="27">
        <f>IFERROR(VLOOKUP(A41,'Variable Input'!$1:$1048576,7,FALSE),0)</f>
        <v>1984.4844588999965</v>
      </c>
      <c r="P41" s="18">
        <f t="shared" si="21"/>
        <v>16092.158972552506</v>
      </c>
      <c r="Q41" s="18">
        <f t="shared" si="22"/>
        <v>31934639.391178586</v>
      </c>
      <c r="R41" s="20">
        <f>IFERROR(VLOOKUP(A41,RESCMAD!$1:$1048576,8,FALSE),0)</f>
        <v>0</v>
      </c>
      <c r="S41" s="19">
        <f>IF(C41=5,(R41*O41)*IME!$M$7,(R41*O41)*IME!$M$8)</f>
        <v>0</v>
      </c>
      <c r="T41" s="19">
        <f t="shared" si="23"/>
        <v>0</v>
      </c>
      <c r="U41" s="22">
        <f t="shared" si="24"/>
        <v>31934639.391178586</v>
      </c>
      <c r="V41" s="17">
        <f t="shared" si="25"/>
        <v>0</v>
      </c>
      <c r="W41" s="19">
        <f t="shared" si="26"/>
        <v>31934639.391178586</v>
      </c>
      <c r="X41" s="15">
        <f t="shared" si="27"/>
        <v>16092.158972552506</v>
      </c>
      <c r="Y41" s="14" t="str">
        <f t="shared" si="28"/>
        <v xml:space="preserve"> </v>
      </c>
      <c r="Z41" s="14">
        <f t="shared" si="29"/>
        <v>5.8954134484289655E-2</v>
      </c>
      <c r="AA41" s="10">
        <v>1</v>
      </c>
    </row>
    <row r="42" spans="1:27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19">
        <f>IFERROR(VLOOKUP(A42,'Variable Input'!$1:$1048576,6,FALSE),0)</f>
        <v>303044773.2382201</v>
      </c>
      <c r="E42" s="19">
        <f t="shared" si="15"/>
        <v>17951.238803485707</v>
      </c>
      <c r="F42" s="19">
        <f>IFERROR(VLOOKUP(A42,'Drug Overhead'!$1:$1048576,13,FALSE)*VLOOKUP(A42,Volume!$A:$K,11,FALSE),0)</f>
        <v>608706.1595868353</v>
      </c>
      <c r="G42" s="19">
        <f t="shared" si="16"/>
        <v>303653479.39780694</v>
      </c>
      <c r="H42" s="19">
        <f t="shared" si="17"/>
        <v>17987.296279465689</v>
      </c>
      <c r="I42" s="36">
        <f>VLOOKUP(A42,'Variable Input'!$1:$1048576,8,FALSE)</f>
        <v>1.1293262174048309</v>
      </c>
      <c r="J42" s="19">
        <f t="shared" si="18"/>
        <v>268880217.88389593</v>
      </c>
      <c r="K42" s="19">
        <f>IFERROR(VLOOKUP(A42,'Variable Input'!$1:$1048576,26,FALSE)*VLOOKUP(A42,Volume!$A:$K,11,FALSE),0)</f>
        <v>1799367.1419683334</v>
      </c>
      <c r="L42" s="22">
        <f t="shared" si="19"/>
        <v>267080850.74192759</v>
      </c>
      <c r="M42" s="36">
        <f>VLOOKUP(A42,'Variable Input'!$1:$1048576,23,FALSE)</f>
        <v>0.99671861092415948</v>
      </c>
      <c r="N42" s="22">
        <f t="shared" si="20"/>
        <v>267960132.19246474</v>
      </c>
      <c r="O42" s="27">
        <f>IFERROR(VLOOKUP(A42,'Variable Input'!$1:$1048576,7,FALSE),0)</f>
        <v>16881.552106553001</v>
      </c>
      <c r="P42" s="18">
        <f t="shared" si="21"/>
        <v>15872.955904833492</v>
      </c>
      <c r="Q42" s="18">
        <f t="shared" si="22"/>
        <v>267960132.19246474</v>
      </c>
      <c r="R42" s="20">
        <f>IFERROR(VLOOKUP(A42,RESCMAD!$1:$1048576,8,FALSE),0)</f>
        <v>8.9597682467736116E-4</v>
      </c>
      <c r="S42" s="19">
        <f>IF(C42=5,(R42*O42)*IME!$M$7,(R42*O42)*IME!$M$8)</f>
        <v>1995366.3666363074</v>
      </c>
      <c r="T42" s="19">
        <f t="shared" si="23"/>
        <v>118.19803973248145</v>
      </c>
      <c r="U42" s="22">
        <f t="shared" si="24"/>
        <v>265964765.82582843</v>
      </c>
      <c r="V42" s="17">
        <f t="shared" si="25"/>
        <v>-7.4465046360072673E-3</v>
      </c>
      <c r="W42" s="19">
        <f t="shared" si="26"/>
        <v>265964765.82582843</v>
      </c>
      <c r="X42" s="15">
        <f t="shared" si="27"/>
        <v>15754.757865101012</v>
      </c>
      <c r="Y42" s="14">
        <f t="shared" si="28"/>
        <v>6.7914850595599541E-2</v>
      </c>
      <c r="Z42" s="14">
        <f t="shared" si="29"/>
        <v>3.6751253048383337E-2</v>
      </c>
      <c r="AA42" s="10">
        <v>1</v>
      </c>
    </row>
    <row r="43" spans="1:27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19">
        <f>IFERROR(VLOOKUP(A43,'Variable Input'!$1:$1048576,6,FALSE),0)</f>
        <v>499103487.51798743</v>
      </c>
      <c r="E43" s="19">
        <f t="shared" si="15"/>
        <v>16880.171046630647</v>
      </c>
      <c r="F43" s="19">
        <f>IFERROR(VLOOKUP(A43,'Drug Overhead'!$1:$1048576,13,FALSE)*VLOOKUP(A43,Volume!$A:$K,11,FALSE),0)</f>
        <v>2631671.9105439242</v>
      </c>
      <c r="G43" s="19">
        <f t="shared" si="16"/>
        <v>501735159.42853135</v>
      </c>
      <c r="H43" s="19">
        <f t="shared" si="17"/>
        <v>16969.176780109905</v>
      </c>
      <c r="I43" s="36">
        <f>VLOOKUP(A43,'Variable Input'!$1:$1048576,8,FALSE)</f>
        <v>1.1115105879568932</v>
      </c>
      <c r="J43" s="19">
        <f t="shared" si="18"/>
        <v>451399352.25519395</v>
      </c>
      <c r="K43" s="19">
        <f>IFERROR(VLOOKUP(A43,'Variable Input'!$1:$1048576,26,FALSE)*VLOOKUP(A43,Volume!$A:$K,11,FALSE),0)</f>
        <v>0</v>
      </c>
      <c r="L43" s="22">
        <f t="shared" si="19"/>
        <v>451399352.25519395</v>
      </c>
      <c r="M43" s="36">
        <f>VLOOKUP(A43,'Variable Input'!$1:$1048576,23,FALSE)</f>
        <v>1.0181752931904677</v>
      </c>
      <c r="N43" s="22">
        <f t="shared" si="20"/>
        <v>443341490.67861116</v>
      </c>
      <c r="O43" s="27">
        <f>IFERROR(VLOOKUP(A43,'Variable Input'!$1:$1048576,7,FALSE),0)</f>
        <v>29567.442541858047</v>
      </c>
      <c r="P43" s="18">
        <f t="shared" si="21"/>
        <v>14994.245445847449</v>
      </c>
      <c r="Q43" s="18">
        <f t="shared" si="22"/>
        <v>443341490.67861116</v>
      </c>
      <c r="R43" s="20">
        <f>IFERROR(VLOOKUP(A43,RESCMAD!$1:$1048576,8,FALSE),0)</f>
        <v>0</v>
      </c>
      <c r="S43" s="19">
        <f>IF(C43=5,(R43*O43)*IME!$M$7,(R43*O43)*IME!$M$8)</f>
        <v>0</v>
      </c>
      <c r="T43" s="19">
        <f t="shared" si="23"/>
        <v>0</v>
      </c>
      <c r="U43" s="22">
        <f t="shared" si="24"/>
        <v>443341490.67861116</v>
      </c>
      <c r="V43" s="17">
        <f t="shared" si="25"/>
        <v>0</v>
      </c>
      <c r="W43" s="19">
        <f t="shared" si="26"/>
        <v>443341490.67861116</v>
      </c>
      <c r="X43" s="15">
        <f t="shared" si="27"/>
        <v>14994.245445847449</v>
      </c>
      <c r="Y43" s="14">
        <f t="shared" si="28"/>
        <v>1.6364549820598873E-2</v>
      </c>
      <c r="Z43" s="14">
        <f t="shared" si="29"/>
        <v>-1.3294721023140887E-2</v>
      </c>
      <c r="AA43" s="10">
        <v>1</v>
      </c>
    </row>
    <row r="44" spans="1:27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19">
        <f>IFERROR(VLOOKUP(A44,'Variable Input'!$1:$1048576,6,FALSE),0)</f>
        <v>116884142.59409216</v>
      </c>
      <c r="E44" s="19">
        <f t="shared" si="15"/>
        <v>22202.44906618509</v>
      </c>
      <c r="F44" s="19">
        <f>IFERROR(VLOOKUP(A44,'Drug Overhead'!$1:$1048576,13,FALSE)*VLOOKUP(A44,Volume!$A:$K,11,FALSE),0)</f>
        <v>812956.11219271156</v>
      </c>
      <c r="G44" s="19">
        <f t="shared" si="16"/>
        <v>117697098.70628487</v>
      </c>
      <c r="H44" s="19">
        <f t="shared" si="17"/>
        <v>22356.872209251502</v>
      </c>
      <c r="I44" s="36">
        <f>VLOOKUP(A44,'Variable Input'!$1:$1048576,8,FALSE)</f>
        <v>1.1120223070717381</v>
      </c>
      <c r="J44" s="19">
        <f t="shared" si="18"/>
        <v>105840591.46818182</v>
      </c>
      <c r="K44" s="19">
        <f>IFERROR(VLOOKUP(A44,'Variable Input'!$1:$1048576,26,FALSE)*VLOOKUP(A44,Volume!$A:$K,11,FALSE),0)</f>
        <v>1538688.3210319907</v>
      </c>
      <c r="L44" s="22">
        <f t="shared" si="19"/>
        <v>104301903.14714983</v>
      </c>
      <c r="M44" s="36">
        <f>VLOOKUP(A44,'Variable Input'!$1:$1048576,23,FALSE)</f>
        <v>0.99671861092415948</v>
      </c>
      <c r="N44" s="22">
        <f t="shared" si="20"/>
        <v>104645285.04232594</v>
      </c>
      <c r="O44" s="27">
        <f>IFERROR(VLOOKUP(A44,'Variable Input'!$1:$1048576,7,FALSE),0)</f>
        <v>5264.4707007620054</v>
      </c>
      <c r="P44" s="18">
        <f t="shared" si="21"/>
        <v>19877.646014285743</v>
      </c>
      <c r="Q44" s="18">
        <f t="shared" si="22"/>
        <v>104645285.04232594</v>
      </c>
      <c r="R44" s="20">
        <f>IFERROR(VLOOKUP(A44,RESCMAD!$1:$1048576,8,FALSE),0)</f>
        <v>1.8078109788817528E-3</v>
      </c>
      <c r="S44" s="19">
        <f>IF(C44=5,(R44*O44)*IME!$M$7,(R44*O44)*IME!$M$8)</f>
        <v>1255513.0470423363</v>
      </c>
      <c r="T44" s="19">
        <f t="shared" si="23"/>
        <v>238.48799212817485</v>
      </c>
      <c r="U44" s="22">
        <f t="shared" si="24"/>
        <v>103389771.9952836</v>
      </c>
      <c r="V44" s="17">
        <f t="shared" si="25"/>
        <v>-1.1997798529905346E-2</v>
      </c>
      <c r="W44" s="19">
        <f t="shared" si="26"/>
        <v>103389771.9952836</v>
      </c>
      <c r="X44" s="15">
        <f t="shared" si="27"/>
        <v>19639.158022157568</v>
      </c>
      <c r="Y44" s="14">
        <f t="shared" si="28"/>
        <v>0.33121363620026045</v>
      </c>
      <c r="Z44" s="14">
        <f t="shared" si="29"/>
        <v>0.2923665258854502</v>
      </c>
      <c r="AA44" s="10">
        <v>1</v>
      </c>
    </row>
    <row r="45" spans="1:27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19">
        <f>IFERROR(VLOOKUP(A45,'Variable Input'!$1:$1048576,6,FALSE),0)</f>
        <v>66025121.445559166</v>
      </c>
      <c r="E45" s="19">
        <f t="shared" si="15"/>
        <v>17753.409798893626</v>
      </c>
      <c r="F45" s="19">
        <f>IFERROR(VLOOKUP(A45,'Drug Overhead'!$1:$1048576,13,FALSE)*VLOOKUP(A45,Volume!$A:$K,11,FALSE),0)</f>
        <v>19937.503468893756</v>
      </c>
      <c r="G45" s="19">
        <f t="shared" si="16"/>
        <v>66045058.94902806</v>
      </c>
      <c r="H45" s="19">
        <f t="shared" si="17"/>
        <v>17758.770768501869</v>
      </c>
      <c r="I45" s="36">
        <f>VLOOKUP(A45,'Variable Input'!$1:$1048576,8,FALSE)</f>
        <v>1.1180896691644482</v>
      </c>
      <c r="J45" s="19">
        <f t="shared" si="18"/>
        <v>59069554.768700913</v>
      </c>
      <c r="K45" s="19">
        <f>IFERROR(VLOOKUP(A45,'Variable Input'!$1:$1048576,26,FALSE)*VLOOKUP(A45,Volume!$A:$K,11,FALSE),0)</f>
        <v>0</v>
      </c>
      <c r="L45" s="22">
        <f t="shared" si="19"/>
        <v>59069554.768700913</v>
      </c>
      <c r="M45" s="36">
        <f>VLOOKUP(A45,'Variable Input'!$1:$1048576,23,FALSE)</f>
        <v>1.0181752931904677</v>
      </c>
      <c r="N45" s="22">
        <f t="shared" si="20"/>
        <v>58015113.079011738</v>
      </c>
      <c r="O45" s="27">
        <f>IFERROR(VLOOKUP(A45,'Variable Input'!$1:$1048576,7,FALSE),0)</f>
        <v>3719.0107248960016</v>
      </c>
      <c r="P45" s="18">
        <f t="shared" si="21"/>
        <v>15599.608974140314</v>
      </c>
      <c r="Q45" s="18">
        <f t="shared" si="22"/>
        <v>58015113.079011738</v>
      </c>
      <c r="R45" s="20">
        <f>IFERROR(VLOOKUP(A45,RESCMAD!$1:$1048576,8,FALSE),0)</f>
        <v>0</v>
      </c>
      <c r="S45" s="19">
        <f>IF(C45=5,(R45*O45)*IME!$M$7,(R45*O45)*IME!$M$8)</f>
        <v>0</v>
      </c>
      <c r="T45" s="19">
        <f t="shared" si="23"/>
        <v>0</v>
      </c>
      <c r="U45" s="22">
        <f t="shared" si="24"/>
        <v>58015113.079011738</v>
      </c>
      <c r="V45" s="17">
        <f t="shared" si="25"/>
        <v>0</v>
      </c>
      <c r="W45" s="19">
        <f t="shared" si="26"/>
        <v>58015113.079011738</v>
      </c>
      <c r="X45" s="15">
        <f t="shared" si="27"/>
        <v>15599.608974140314</v>
      </c>
      <c r="Y45" s="14">
        <f t="shared" si="28"/>
        <v>5.7398293874827422E-2</v>
      </c>
      <c r="Z45" s="14">
        <f t="shared" si="29"/>
        <v>2.6541587594312688E-2</v>
      </c>
      <c r="AA45" s="10">
        <v>1</v>
      </c>
    </row>
    <row r="46" spans="1:27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19">
        <f>IFERROR(VLOOKUP(A46,'Variable Input'!$1:$1048576,6,FALSE),0)</f>
        <v>123504689.38214977</v>
      </c>
      <c r="E46" s="19">
        <f t="shared" si="15"/>
        <v>13704.704076803599</v>
      </c>
      <c r="F46" s="19">
        <f>IFERROR(VLOOKUP(A46,'Drug Overhead'!$1:$1048576,13,FALSE)*VLOOKUP(A46,Volume!$A:$K,11,FALSE),0)</f>
        <v>162866.28181904109</v>
      </c>
      <c r="G46" s="19">
        <f t="shared" si="16"/>
        <v>123667555.66396882</v>
      </c>
      <c r="H46" s="19">
        <f t="shared" si="17"/>
        <v>13722.776541967354</v>
      </c>
      <c r="I46" s="36">
        <f>VLOOKUP(A46,'Variable Input'!$1:$1048576,8,FALSE)</f>
        <v>1.1146605541082666</v>
      </c>
      <c r="J46" s="19">
        <f t="shared" si="18"/>
        <v>110946382.02470833</v>
      </c>
      <c r="K46" s="19">
        <f>IFERROR(VLOOKUP(A46,'Variable Input'!$1:$1048576,26,FALSE)*VLOOKUP(A46,Volume!$A:$K,11,FALSE),0)</f>
        <v>0</v>
      </c>
      <c r="L46" s="22">
        <f t="shared" si="19"/>
        <v>110946382.02470833</v>
      </c>
      <c r="M46" s="36">
        <f>VLOOKUP(A46,'Variable Input'!$1:$1048576,23,FALSE)</f>
        <v>0.99671861092415948</v>
      </c>
      <c r="N46" s="22">
        <f t="shared" si="20"/>
        <v>111311638.82034732</v>
      </c>
      <c r="O46" s="27">
        <f>IFERROR(VLOOKUP(A46,'Variable Input'!$1:$1048576,7,FALSE),0)</f>
        <v>9011.8464937300014</v>
      </c>
      <c r="P46" s="18">
        <f t="shared" si="21"/>
        <v>12351.701607189212</v>
      </c>
      <c r="Q46" s="18">
        <f t="shared" si="22"/>
        <v>111311638.82034732</v>
      </c>
      <c r="R46" s="20">
        <f>IFERROR(VLOOKUP(A46,RESCMAD!$1:$1048576,8,FALSE),0)</f>
        <v>0</v>
      </c>
      <c r="S46" s="19">
        <f>IF(C46=5,(R46*O46)*IME!$M$7,(R46*O46)*IME!$M$8)</f>
        <v>0</v>
      </c>
      <c r="T46" s="19">
        <f t="shared" si="23"/>
        <v>0</v>
      </c>
      <c r="U46" s="22">
        <f t="shared" si="24"/>
        <v>111311638.82034732</v>
      </c>
      <c r="V46" s="17">
        <f t="shared" si="25"/>
        <v>0</v>
      </c>
      <c r="W46" s="19">
        <f t="shared" si="26"/>
        <v>111311638.82034732</v>
      </c>
      <c r="X46" s="15">
        <f t="shared" si="27"/>
        <v>12351.701607189212</v>
      </c>
      <c r="Y46" s="14">
        <f t="shared" si="28"/>
        <v>-0.16275669296944006</v>
      </c>
      <c r="Z46" s="14">
        <f t="shared" si="29"/>
        <v>-0.1871888969554123</v>
      </c>
      <c r="AA46" s="10">
        <v>1</v>
      </c>
    </row>
    <row r="47" spans="1:27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19">
        <f>IFERROR(VLOOKUP(A47,'Variable Input'!$1:$1048576,6,FALSE),0)</f>
        <v>312383262.27148259</v>
      </c>
      <c r="E47" s="19">
        <f t="shared" si="15"/>
        <v>17865.467549508132</v>
      </c>
      <c r="F47" s="19">
        <f>IFERROR(VLOOKUP(A47,'Drug Overhead'!$1:$1048576,13,FALSE)*VLOOKUP(A47,Volume!$A:$K,11,FALSE),0)</f>
        <v>89464.784530689489</v>
      </c>
      <c r="G47" s="19">
        <f t="shared" si="16"/>
        <v>312472727.05601329</v>
      </c>
      <c r="H47" s="19">
        <f t="shared" si="17"/>
        <v>17870.584117512561</v>
      </c>
      <c r="I47" s="36">
        <f>VLOOKUP(A47,'Variable Input'!$1:$1048576,8,FALSE)</f>
        <v>1.1171440000317876</v>
      </c>
      <c r="J47" s="19">
        <f t="shared" si="18"/>
        <v>279706758.52631539</v>
      </c>
      <c r="K47" s="19">
        <f>IFERROR(VLOOKUP(A47,'Variable Input'!$1:$1048576,26,FALSE)*VLOOKUP(A47,Volume!$A:$K,11,FALSE),0)</f>
        <v>0</v>
      </c>
      <c r="L47" s="22">
        <f t="shared" si="19"/>
        <v>279706758.52631539</v>
      </c>
      <c r="M47" s="36">
        <f>VLOOKUP(A47,'Variable Input'!$1:$1048576,23,FALSE)</f>
        <v>1.0181752931904677</v>
      </c>
      <c r="N47" s="22">
        <f t="shared" si="20"/>
        <v>274713755.47706527</v>
      </c>
      <c r="O47" s="27">
        <f>IFERROR(VLOOKUP(A47,'Variable Input'!$1:$1048576,7,FALSE),0)</f>
        <v>17485.311336287028</v>
      </c>
      <c r="P47" s="18">
        <f t="shared" si="21"/>
        <v>15711.116044411263</v>
      </c>
      <c r="Q47" s="18">
        <f t="shared" si="22"/>
        <v>274713755.47706527</v>
      </c>
      <c r="R47" s="20">
        <f>IFERROR(VLOOKUP(A47,RESCMAD!$1:$1048576,8,FALSE),0)</f>
        <v>0</v>
      </c>
      <c r="S47" s="19">
        <f>IF(C47=5,(R47*O47)*IME!$M$7,(R47*O47)*IME!$M$8)</f>
        <v>0</v>
      </c>
      <c r="T47" s="19">
        <f t="shared" si="23"/>
        <v>0</v>
      </c>
      <c r="U47" s="22">
        <f t="shared" si="24"/>
        <v>274713755.47706527</v>
      </c>
      <c r="V47" s="17">
        <f t="shared" si="25"/>
        <v>0</v>
      </c>
      <c r="W47" s="19">
        <f t="shared" si="26"/>
        <v>274713755.47706527</v>
      </c>
      <c r="X47" s="15">
        <f t="shared" si="27"/>
        <v>15711.116044411263</v>
      </c>
      <c r="Y47" s="14">
        <f t="shared" si="28"/>
        <v>6.495664909097032E-2</v>
      </c>
      <c r="Z47" s="14">
        <f t="shared" si="29"/>
        <v>3.3879376966705399E-2</v>
      </c>
      <c r="AA47" s="10">
        <v>1</v>
      </c>
    </row>
    <row r="48" spans="1:27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19">
        <f>IFERROR(VLOOKUP(A48,'Variable Input'!$1:$1048576,6,FALSE),0)</f>
        <v>440688737.8692503</v>
      </c>
      <c r="E48" s="19">
        <f t="shared" si="15"/>
        <v>14297.887951049015</v>
      </c>
      <c r="F48" s="19">
        <f>IFERROR(VLOOKUP(A48,'Drug Overhead'!$1:$1048576,13,FALSE)*VLOOKUP(A48,Volume!$A:$K,11,FALSE),0)</f>
        <v>167266.00793449368</v>
      </c>
      <c r="G48" s="19">
        <f t="shared" si="16"/>
        <v>440856003.87718481</v>
      </c>
      <c r="H48" s="19">
        <f t="shared" si="17"/>
        <v>14303.314798694431</v>
      </c>
      <c r="I48" s="36">
        <f>VLOOKUP(A48,'Variable Input'!$1:$1048576,8,FALSE)</f>
        <v>1.1140199775247721</v>
      </c>
      <c r="J48" s="19">
        <f t="shared" si="18"/>
        <v>395734378.89032978</v>
      </c>
      <c r="K48" s="19">
        <f>IFERROR(VLOOKUP(A48,'Variable Input'!$1:$1048576,26,FALSE)*VLOOKUP(A48,Volume!$A:$K,11,FALSE),0)</f>
        <v>0</v>
      </c>
      <c r="L48" s="22">
        <f t="shared" si="19"/>
        <v>395734378.89032978</v>
      </c>
      <c r="M48" s="36">
        <f>VLOOKUP(A48,'Variable Input'!$1:$1048576,23,FALSE)</f>
        <v>0.99671861092415948</v>
      </c>
      <c r="N48" s="22">
        <f t="shared" si="20"/>
        <v>397037212.46200478</v>
      </c>
      <c r="O48" s="27">
        <f>IFERROR(VLOOKUP(A48,'Variable Input'!$1:$1048576,7,FALSE),0)</f>
        <v>30821.946526509015</v>
      </c>
      <c r="P48" s="18">
        <f t="shared" si="21"/>
        <v>12881.639779646142</v>
      </c>
      <c r="Q48" s="18">
        <f t="shared" si="22"/>
        <v>397037212.46200478</v>
      </c>
      <c r="R48" s="20">
        <f>IFERROR(VLOOKUP(A48,RESCMAD!$1:$1048576,8,FALSE),0)</f>
        <v>0</v>
      </c>
      <c r="S48" s="19">
        <f>IF(C48=5,(R48*O48)*IME!$M$7,(R48*O48)*IME!$M$8)</f>
        <v>0</v>
      </c>
      <c r="T48" s="19">
        <f t="shared" si="23"/>
        <v>0</v>
      </c>
      <c r="U48" s="22">
        <f t="shared" si="24"/>
        <v>397037212.46200478</v>
      </c>
      <c r="V48" s="17">
        <f t="shared" si="25"/>
        <v>0</v>
      </c>
      <c r="W48" s="19">
        <f t="shared" si="26"/>
        <v>397037212.46200478</v>
      </c>
      <c r="X48" s="15">
        <f t="shared" si="27"/>
        <v>12881.639779646142</v>
      </c>
      <c r="Y48" s="14">
        <f t="shared" si="28"/>
        <v>-0.12683555415474213</v>
      </c>
      <c r="Z48" s="14">
        <f t="shared" si="29"/>
        <v>-0.15231599893709868</v>
      </c>
      <c r="AA48" s="10">
        <v>1</v>
      </c>
    </row>
    <row r="49" spans="1:26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19">
        <f>IFERROR(VLOOKUP(A49,'Variable Input'!$1:$1048576,6,FALSE),0)</f>
        <v>145294510.05613631</v>
      </c>
      <c r="E49" s="19">
        <f t="shared" si="15"/>
        <v>14911.655443289068</v>
      </c>
      <c r="F49" s="19">
        <f>IFERROR(VLOOKUP(A49,'Drug Overhead'!$1:$1048576,13,FALSE)*VLOOKUP(A49,Volume!$A:$K,11,FALSE),0)</f>
        <v>8018.762740765379</v>
      </c>
      <c r="G49" s="19">
        <f t="shared" si="16"/>
        <v>145302528.81887707</v>
      </c>
      <c r="H49" s="19">
        <f t="shared" si="17"/>
        <v>14912.4784133175</v>
      </c>
      <c r="I49" s="36">
        <f>VLOOKUP(A49,'Variable Input'!$1:$1048576,8,FALSE)</f>
        <v>1.1083143930424924</v>
      </c>
      <c r="J49" s="19">
        <f t="shared" si="18"/>
        <v>131102266.40655585</v>
      </c>
      <c r="K49" s="19">
        <f>IFERROR(VLOOKUP(A49,'Variable Input'!$1:$1048576,26,FALSE)*VLOOKUP(A49,Volume!$A:$K,11,FALSE),0)</f>
        <v>0</v>
      </c>
      <c r="L49" s="22">
        <f t="shared" si="19"/>
        <v>131102266.40655585</v>
      </c>
      <c r="M49" s="36">
        <f>VLOOKUP(A49,'Variable Input'!$1:$1048576,23,FALSE)</f>
        <v>1.0181752931904677</v>
      </c>
      <c r="N49" s="22">
        <f t="shared" si="20"/>
        <v>128761979.67419235</v>
      </c>
      <c r="O49" s="27">
        <f>IFERROR(VLOOKUP(A49,'Variable Input'!$1:$1048576,7,FALSE),0)</f>
        <v>9743.687453664008</v>
      </c>
      <c r="P49" s="18">
        <f t="shared" si="21"/>
        <v>13214.912761366622</v>
      </c>
      <c r="Q49" s="18">
        <f t="shared" si="22"/>
        <v>128761979.67419235</v>
      </c>
      <c r="R49" s="20">
        <f>IFERROR(VLOOKUP(A49,RESCMAD!$1:$1048576,8,FALSE),0)</f>
        <v>0</v>
      </c>
      <c r="S49" s="19">
        <f>IF(C49=5,(R49*O49)*IME!$M$7,(R49*O49)*IME!$M$8)</f>
        <v>0</v>
      </c>
      <c r="T49" s="19">
        <f t="shared" si="23"/>
        <v>0</v>
      </c>
      <c r="U49" s="22">
        <f t="shared" si="24"/>
        <v>128761979.67419235</v>
      </c>
      <c r="V49" s="17">
        <f t="shared" si="25"/>
        <v>0</v>
      </c>
      <c r="W49" s="19">
        <f t="shared" si="26"/>
        <v>128761979.67419235</v>
      </c>
      <c r="X49" s="15">
        <f t="shared" si="27"/>
        <v>13214.912761366622</v>
      </c>
      <c r="Y49" s="14">
        <f t="shared" si="28"/>
        <v>-0.10424509801895088</v>
      </c>
      <c r="Z49" s="14">
        <f t="shared" si="29"/>
        <v>-0.13038477128102299</v>
      </c>
    </row>
    <row r="50" spans="1:26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35">
        <f>SUMIF($A$1:$A$65535,210003,D$1:D$65535)</f>
        <v>379138438.61161411</v>
      </c>
      <c r="E50" s="19">
        <f t="shared" si="15"/>
        <v>22808.939516295475</v>
      </c>
      <c r="F50" s="35">
        <f>SUMIF($A$1:$A$65535,210003,F$1:F$65535)</f>
        <v>459671.4824954826</v>
      </c>
      <c r="G50" s="19">
        <f t="shared" si="16"/>
        <v>379598110.09410959</v>
      </c>
      <c r="H50" s="19">
        <f t="shared" si="17"/>
        <v>22836.59331758241</v>
      </c>
      <c r="I50" s="272">
        <f>SUMIF($A$1:$A$65535,210003,I$1:I$65535)</f>
        <v>1.1150592197193865</v>
      </c>
      <c r="J50" s="19">
        <f t="shared" si="18"/>
        <v>340428654.71274114</v>
      </c>
      <c r="K50" s="35">
        <f>SUMIF($A$1:$A$65535,210003,K$1:K$65535)</f>
        <v>10600897.780621644</v>
      </c>
      <c r="L50" s="22">
        <f t="shared" si="19"/>
        <v>329827756.93211949</v>
      </c>
      <c r="M50" s="36">
        <f>VLOOKUP(A50,'Variable Input'!$1:$1048576,23,FALSE)</f>
        <v>1.0181752931904677</v>
      </c>
      <c r="N50" s="22">
        <f t="shared" si="20"/>
        <v>323940051.51961523</v>
      </c>
      <c r="O50" s="35">
        <f>SUMIF($A$1:$A$65535,210003,O$1:O$65535)</f>
        <v>16622.361523679996</v>
      </c>
      <c r="P50" s="18">
        <f t="shared" si="21"/>
        <v>19488.208763726776</v>
      </c>
      <c r="Q50" s="18">
        <f t="shared" si="22"/>
        <v>323940051.51961529</v>
      </c>
      <c r="R50" s="274">
        <f>SUMIF($A$1:$A$65535,210003,R$1:R$65535)</f>
        <v>2.8876763347746859E-3</v>
      </c>
      <c r="S50" s="19">
        <f>IF(C50=5,(R50*O50)*IME!$M$7,(R50*O50)*IME!$M$8)</f>
        <v>17413311.752313614</v>
      </c>
      <c r="T50" s="19">
        <f t="shared" si="23"/>
        <v>1047.5835053585402</v>
      </c>
      <c r="U50" s="22">
        <f t="shared" si="24"/>
        <v>306526739.76730168</v>
      </c>
      <c r="V50" s="17">
        <f t="shared" si="25"/>
        <v>-5.3754735392018027E-2</v>
      </c>
      <c r="W50" s="19">
        <f t="shared" si="26"/>
        <v>306526739.76730168</v>
      </c>
      <c r="X50" s="15">
        <f t="shared" si="27"/>
        <v>18440.625258368236</v>
      </c>
      <c r="Y50" s="14">
        <f t="shared" si="28"/>
        <v>9.3531553110372423E-2</v>
      </c>
      <c r="Z50" s="14">
        <f t="shared" si="29"/>
        <v>0.21349636137275918</v>
      </c>
    </row>
    <row r="51" spans="1:26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35">
        <f>SUMIF($A$1:$A$65535,210008,D$1:D$65535)</f>
        <v>616154621.82218134</v>
      </c>
      <c r="E51" s="19">
        <f t="shared" si="15"/>
        <v>16568.781718879367</v>
      </c>
      <c r="F51" s="35">
        <f>SUMIF($A$1:$A$65535,210008,F$1:F$65535)</f>
        <v>14280591.48015156</v>
      </c>
      <c r="G51" s="19">
        <f t="shared" si="16"/>
        <v>630435213.30233288</v>
      </c>
      <c r="H51" s="19">
        <f t="shared" si="17"/>
        <v>16952.79572229847</v>
      </c>
      <c r="I51" s="272">
        <f>SUMIF($A$1:$A$65535,210008,I$1:I$65535)</f>
        <v>1.1102695565875482</v>
      </c>
      <c r="J51" s="19">
        <f t="shared" si="18"/>
        <v>567821759.64546597</v>
      </c>
      <c r="K51" s="35">
        <f>SUMIF($A$1:$A$65535,210008,K$1:K$65535)</f>
        <v>5003207.6874727393</v>
      </c>
      <c r="L51" s="22">
        <f t="shared" si="19"/>
        <v>562818551.95799327</v>
      </c>
      <c r="M51" s="36">
        <f>VLOOKUP(A51,'Variable Input'!$1:$1048576,23,FALSE)</f>
        <v>0.99671861092415948</v>
      </c>
      <c r="N51" s="22">
        <f t="shared" si="20"/>
        <v>564671458.71405649</v>
      </c>
      <c r="O51" s="35">
        <f>SUMIF($A$1:$A$65535,210008,O$1:O$65535)</f>
        <v>37187.68418079293</v>
      </c>
      <c r="P51" s="18">
        <f t="shared" si="21"/>
        <v>15184.367382728922</v>
      </c>
      <c r="Q51" s="18">
        <f t="shared" si="22"/>
        <v>564671458.71405649</v>
      </c>
      <c r="R51" s="274">
        <f>SUMIF($A$1:$A$65535,210008,R$1:R$65535)</f>
        <v>1.3017891569452743E-3</v>
      </c>
      <c r="S51" s="19">
        <f>IF(C51=5,(R51*O51)*IME!$M$7,(R51*O51)*IME!$M$8)</f>
        <v>17562240.56613756</v>
      </c>
      <c r="T51" s="19">
        <f t="shared" si="23"/>
        <v>472.25959220144938</v>
      </c>
      <c r="U51" s="22">
        <f t="shared" si="24"/>
        <v>547109218.14791894</v>
      </c>
      <c r="V51" s="17">
        <f t="shared" si="25"/>
        <v>-3.1101696916172372E-2</v>
      </c>
      <c r="W51" s="19">
        <f t="shared" si="26"/>
        <v>547109218.14791894</v>
      </c>
      <c r="X51" s="15">
        <f t="shared" si="27"/>
        <v>14712.107790527472</v>
      </c>
      <c r="Y51" s="14">
        <f t="shared" si="28"/>
        <v>-0.12757003321229488</v>
      </c>
      <c r="Z51" s="14">
        <f t="shared" si="29"/>
        <v>-3.1860957977696835E-2</v>
      </c>
    </row>
    <row r="52" spans="1:26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35">
        <f>SUMIF($A$1:$A$65535,210012,D$1:D$65535)</f>
        <v>820426817.23668432</v>
      </c>
      <c r="E52" s="19">
        <f t="shared" si="15"/>
        <v>20911.421335996161</v>
      </c>
      <c r="F52" s="35">
        <f>SUMIF($A$1:$A$65535,210012,F$1:F$65535)</f>
        <v>33441958.098435093</v>
      </c>
      <c r="G52" s="19">
        <f t="shared" si="16"/>
        <v>853868775.33511937</v>
      </c>
      <c r="H52" s="19">
        <f t="shared" si="17"/>
        <v>21763.805560164397</v>
      </c>
      <c r="I52" s="272">
        <f>SUMIF($A$1:$A$65535,210012,I$1:I$65535)</f>
        <v>1.1214469245143464</v>
      </c>
      <c r="J52" s="19">
        <f t="shared" si="18"/>
        <v>761399185.88202083</v>
      </c>
      <c r="K52" s="35">
        <f>SUMIF($A$1:$A$65535,210012,K$1:K$65535)</f>
        <v>20760568.355981968</v>
      </c>
      <c r="L52" s="22">
        <f t="shared" si="19"/>
        <v>740638617.52603889</v>
      </c>
      <c r="M52" s="36">
        <f>VLOOKUP(A52,'Variable Input'!$1:$1048576,23,FALSE)</f>
        <v>0.99671861092415948</v>
      </c>
      <c r="N52" s="22">
        <f t="shared" si="20"/>
        <v>743076942.08630991</v>
      </c>
      <c r="O52" s="35">
        <f>SUMIF($A$1:$A$65535,210012,O$1:O$65535)</f>
        <v>39233.431532673072</v>
      </c>
      <c r="P52" s="18">
        <f t="shared" si="21"/>
        <v>18939.891644896914</v>
      </c>
      <c r="Q52" s="18">
        <f t="shared" si="22"/>
        <v>743076942.08630979</v>
      </c>
      <c r="R52" s="274">
        <f>SUMIF($A$1:$A$65535,210012,R$1:R$65535)</f>
        <v>3.2115467619769343E-3</v>
      </c>
      <c r="S52" s="19">
        <f>IF(C52=5,(R52*O52)*IME!$M$7,(R52*O52)*IME!$M$8)</f>
        <v>45709943.349823207</v>
      </c>
      <c r="T52" s="19">
        <f t="shared" si="23"/>
        <v>1165.0763536132847</v>
      </c>
      <c r="U52" s="22">
        <f t="shared" si="24"/>
        <v>697366998.73648655</v>
      </c>
      <c r="V52" s="17">
        <f t="shared" si="25"/>
        <v>-6.1514414942664075E-2</v>
      </c>
      <c r="W52" s="19">
        <f t="shared" si="26"/>
        <v>697366998.73648655</v>
      </c>
      <c r="X52" s="15">
        <f t="shared" si="27"/>
        <v>17774.815291283627</v>
      </c>
      <c r="Y52" s="14">
        <f t="shared" si="28"/>
        <v>5.4048932690438534E-2</v>
      </c>
      <c r="Z52" s="14">
        <f t="shared" si="29"/>
        <v>0.16968233874051442</v>
      </c>
    </row>
    <row r="53" spans="1:26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35">
        <f>SUMIF($A$1:$A$65535,210024,D$1:D$65535)</f>
        <v>481457430.39623797</v>
      </c>
      <c r="E53" s="19">
        <f t="shared" si="15"/>
        <v>17832.24417168623</v>
      </c>
      <c r="F53" s="35">
        <f>SUMIF($A$1:$A$65535,210024,F$1:F$65535)</f>
        <v>139248.72459896962</v>
      </c>
      <c r="G53" s="19">
        <f t="shared" si="16"/>
        <v>481596679.12083691</v>
      </c>
      <c r="H53" s="19">
        <f t="shared" si="17"/>
        <v>17837.401672850145</v>
      </c>
      <c r="I53" s="272">
        <f>SUMIF($A$1:$A$65535,210024,I$1:I$65535)</f>
        <v>1.1223202362274129</v>
      </c>
      <c r="J53" s="19">
        <f t="shared" si="18"/>
        <v>429108077.69062823</v>
      </c>
      <c r="K53" s="35">
        <f>SUMIF($A$1:$A$65535,210024,K$1:K$65535)</f>
        <v>12196844.09297953</v>
      </c>
      <c r="L53" s="22">
        <f t="shared" si="19"/>
        <v>416911233.59764868</v>
      </c>
      <c r="M53" s="36">
        <f>VLOOKUP(A53,'Variable Input'!$1:$1048576,23,FALSE)</f>
        <v>0.99671861092415948</v>
      </c>
      <c r="N53" s="22">
        <f t="shared" si="20"/>
        <v>418283785.44179863</v>
      </c>
      <c r="O53" s="35">
        <f>SUMIF($A$1:$A$65535,210024,O$1:O$65535)</f>
        <v>26999.26188542712</v>
      </c>
      <c r="P53" s="18">
        <f t="shared" si="21"/>
        <v>15492.415578500231</v>
      </c>
      <c r="Q53" s="18">
        <f t="shared" si="22"/>
        <v>418283785.44179863</v>
      </c>
      <c r="R53" s="274">
        <f>SUMIF($A$1:$A$65535,210024,R$1:R$65535)</f>
        <v>3.2593483619453344E-3</v>
      </c>
      <c r="S53" s="19">
        <f>IF(C53=5,(R53*O53)*IME!$M$7,(R53*O53)*IME!$M$8)</f>
        <v>31924404.879241612</v>
      </c>
      <c r="T53" s="19">
        <f t="shared" si="23"/>
        <v>1182.417690332225</v>
      </c>
      <c r="U53" s="22">
        <f t="shared" si="24"/>
        <v>386359380.56255704</v>
      </c>
      <c r="V53" s="17">
        <f t="shared" si="25"/>
        <v>-7.6322358146210356E-2</v>
      </c>
      <c r="W53" s="19">
        <f t="shared" si="26"/>
        <v>386359380.56255704</v>
      </c>
      <c r="X53" s="15">
        <f t="shared" si="27"/>
        <v>14309.997888168007</v>
      </c>
      <c r="Y53" s="14">
        <f t="shared" si="28"/>
        <v>-0.15141520439751066</v>
      </c>
      <c r="Z53" s="14">
        <f t="shared" si="29"/>
        <v>-5.8322040318911639E-2</v>
      </c>
    </row>
    <row r="54" spans="1:26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35">
        <f>SUMIF($A$1:$A$65535,210029,D$1:D$65535)</f>
        <v>685641223.73208022</v>
      </c>
      <c r="E54" s="19">
        <f t="shared" si="15"/>
        <v>19291.665494546265</v>
      </c>
      <c r="F54" s="35">
        <f>SUMIF($A$1:$A$65535,210029,F$1:F$65535)</f>
        <v>28922398.799876198</v>
      </c>
      <c r="G54" s="19">
        <f t="shared" si="16"/>
        <v>714563622.53195643</v>
      </c>
      <c r="H54" s="19">
        <f t="shared" si="17"/>
        <v>20105.44568108462</v>
      </c>
      <c r="I54" s="272">
        <f>SUMIF($A$1:$A$65535,210029,I$1:I$65535)</f>
        <v>1.1160480491569686</v>
      </c>
      <c r="J54" s="19">
        <f t="shared" si="18"/>
        <v>640262417.97718096</v>
      </c>
      <c r="K54" s="35">
        <f>SUMIF($A$1:$A$65535,210029,K$1:K$65535)</f>
        <v>27476780.845164478</v>
      </c>
      <c r="L54" s="22">
        <f t="shared" si="19"/>
        <v>612785637.13201642</v>
      </c>
      <c r="M54" s="36">
        <f>VLOOKUP(A54,'Variable Input'!$1:$1048576,23,FALSE)</f>
        <v>0.99671861092415948</v>
      </c>
      <c r="N54" s="22">
        <f t="shared" si="20"/>
        <v>614803045.12809324</v>
      </c>
      <c r="O54" s="35">
        <f>SUMIF($A$1:$A$65535,210029,O$1:O$65535)</f>
        <v>35540.799933832066</v>
      </c>
      <c r="P54" s="18">
        <f t="shared" si="21"/>
        <v>17298.514559962077</v>
      </c>
      <c r="Q54" s="18">
        <f t="shared" si="22"/>
        <v>614803045.12809324</v>
      </c>
      <c r="R54" s="274">
        <f>SUMIF($A$1:$A$65535,210029,R$1:R$65535)</f>
        <v>3.9704286039970822E-3</v>
      </c>
      <c r="S54" s="19">
        <f>IF(C54=5,(R54*O54)*IME!$M$7,(R54*O54)*IME!$M$8)</f>
        <v>51192310.032552004</v>
      </c>
      <c r="T54" s="19">
        <f t="shared" si="23"/>
        <v>1440.3814806605105</v>
      </c>
      <c r="U54" s="22">
        <f t="shared" si="24"/>
        <v>563610735.09554124</v>
      </c>
      <c r="V54" s="17">
        <f t="shared" si="25"/>
        <v>-8.3266194658951576E-2</v>
      </c>
      <c r="W54" s="19">
        <f t="shared" si="26"/>
        <v>563610735.09554124</v>
      </c>
      <c r="X54" s="15">
        <f t="shared" si="27"/>
        <v>15858.133079301568</v>
      </c>
      <c r="Y54" s="14">
        <f t="shared" si="28"/>
        <v>-5.9610579756767423E-2</v>
      </c>
      <c r="Z54" s="14">
        <f t="shared" si="29"/>
        <v>4.3553920774174193E-2</v>
      </c>
    </row>
    <row r="55" spans="1:26" ht="17.7" x14ac:dyDescent="0.6">
      <c r="A55" s="26"/>
      <c r="B55" s="26"/>
      <c r="C55" s="31"/>
      <c r="D55" s="28"/>
      <c r="E55" s="22"/>
      <c r="F55" s="28"/>
      <c r="G55" s="22"/>
      <c r="H55" s="22"/>
      <c r="I55" s="21"/>
      <c r="J55" s="19"/>
      <c r="K55" s="19"/>
      <c r="L55" s="22"/>
      <c r="M55" s="21"/>
      <c r="N55" s="22"/>
      <c r="P55" s="22"/>
      <c r="Q55" s="22"/>
      <c r="R55" s="20"/>
      <c r="S55" s="19"/>
      <c r="T55" s="19"/>
      <c r="U55" s="19"/>
      <c r="V55" s="17"/>
      <c r="W55" s="27"/>
      <c r="X55" s="15"/>
      <c r="Y55" s="16"/>
      <c r="Z55" s="14"/>
    </row>
    <row r="56" spans="1:26" ht="17.7" x14ac:dyDescent="0.6">
      <c r="A56" s="26"/>
      <c r="B56" s="26"/>
      <c r="C56" s="31"/>
      <c r="D56" s="28"/>
      <c r="E56" s="22"/>
      <c r="F56" s="28"/>
      <c r="G56" s="22"/>
      <c r="H56" s="22"/>
      <c r="I56" s="21"/>
      <c r="J56" s="19"/>
      <c r="K56" s="19"/>
      <c r="L56" s="22"/>
      <c r="M56" s="21"/>
      <c r="N56" s="22"/>
      <c r="P56" s="22"/>
      <c r="Q56" s="22"/>
      <c r="R56" s="20"/>
      <c r="S56" s="19"/>
      <c r="T56" s="19"/>
      <c r="U56" s="19"/>
      <c r="V56" s="17"/>
      <c r="W56" s="27"/>
      <c r="X56" s="15"/>
      <c r="Y56" s="16"/>
      <c r="Z56" s="14"/>
    </row>
    <row r="57" spans="1:26" ht="17.7" x14ac:dyDescent="0.6">
      <c r="A57" s="26"/>
      <c r="B57" s="26"/>
      <c r="C57" s="31"/>
      <c r="D57" s="28"/>
      <c r="E57" s="22"/>
      <c r="F57" s="28"/>
      <c r="G57" s="22"/>
      <c r="H57" s="22"/>
      <c r="I57" s="21"/>
      <c r="J57" s="19"/>
      <c r="K57" s="19"/>
      <c r="L57" s="22"/>
      <c r="M57" s="21"/>
      <c r="N57" s="22"/>
      <c r="P57" s="22"/>
      <c r="Q57" s="22"/>
      <c r="R57" s="20"/>
      <c r="S57" s="19"/>
      <c r="T57" s="19"/>
      <c r="U57" s="19"/>
      <c r="V57" s="17"/>
      <c r="W57" s="27"/>
      <c r="X57" s="15"/>
      <c r="Y57" s="16"/>
      <c r="Z57" s="14"/>
    </row>
    <row r="58" spans="1:26" ht="17.7" x14ac:dyDescent="0.6">
      <c r="A58" s="26"/>
      <c r="B58" s="26"/>
      <c r="C58" s="31"/>
      <c r="D58" s="28"/>
      <c r="E58" s="22"/>
      <c r="F58" s="28"/>
      <c r="G58" s="22"/>
      <c r="H58" s="22"/>
      <c r="I58" s="21"/>
      <c r="J58" s="19"/>
      <c r="K58" s="19"/>
      <c r="L58" s="22"/>
      <c r="M58" s="21"/>
      <c r="N58" s="22"/>
      <c r="P58" s="22"/>
      <c r="Q58" s="22"/>
      <c r="R58" s="20"/>
      <c r="S58" s="19"/>
      <c r="T58" s="19"/>
      <c r="U58" s="19"/>
      <c r="V58" s="17"/>
      <c r="W58" s="27"/>
      <c r="X58" s="15"/>
      <c r="Y58" s="16"/>
      <c r="Z58" s="14"/>
    </row>
    <row r="59" spans="1:26" ht="17.7" x14ac:dyDescent="0.6">
      <c r="A59" s="26"/>
      <c r="B59" s="26"/>
      <c r="C59" s="31"/>
      <c r="D59" s="28"/>
      <c r="E59" s="22"/>
      <c r="F59" s="28"/>
      <c r="G59" s="22"/>
      <c r="H59" s="22"/>
      <c r="I59" s="21"/>
      <c r="J59" s="19"/>
      <c r="K59" s="19"/>
      <c r="L59" s="22"/>
      <c r="M59" s="21"/>
      <c r="N59" s="22"/>
      <c r="P59" s="22"/>
      <c r="Q59" s="22"/>
      <c r="R59" s="20"/>
      <c r="S59" s="19"/>
      <c r="T59" s="19"/>
      <c r="U59" s="19"/>
      <c r="V59" s="17"/>
      <c r="W59" s="27"/>
      <c r="X59" s="15"/>
      <c r="Y59" s="16"/>
      <c r="Z59" s="14"/>
    </row>
    <row r="60" spans="1:26" ht="17.7" x14ac:dyDescent="0.6">
      <c r="A60" s="26"/>
      <c r="B60" s="26"/>
      <c r="C60" s="31"/>
      <c r="D60" s="28"/>
      <c r="E60" s="22"/>
      <c r="F60" s="28"/>
      <c r="G60" s="22"/>
      <c r="H60" s="22"/>
      <c r="I60" s="21"/>
      <c r="J60" s="19"/>
      <c r="K60" s="19"/>
      <c r="L60" s="22"/>
      <c r="M60" s="21"/>
      <c r="N60" s="22"/>
      <c r="P60" s="22"/>
      <c r="Q60" s="22"/>
      <c r="R60" s="20"/>
      <c r="S60" s="19"/>
      <c r="T60" s="19"/>
      <c r="U60" s="19"/>
      <c r="V60" s="17"/>
      <c r="W60" s="27"/>
      <c r="X60" s="15"/>
      <c r="Y60" s="16"/>
      <c r="Z60" s="14"/>
    </row>
    <row r="61" spans="1:26" ht="17.7" x14ac:dyDescent="0.6">
      <c r="A61" s="32" t="s">
        <v>78</v>
      </c>
      <c r="B61" s="26" t="s">
        <v>77</v>
      </c>
      <c r="C61" s="31"/>
      <c r="D61" s="28">
        <f>SUBTOTAL(9,D2:D59)</f>
        <v>20693365768.602127</v>
      </c>
      <c r="E61" s="22">
        <f>D61/O61</f>
        <v>17732.364353846948</v>
      </c>
      <c r="F61" s="28">
        <f>SUBTOTAL(9,F2:F59)</f>
        <v>484389338.39749277</v>
      </c>
      <c r="G61" s="22">
        <f>SUBTOTAL(9,G2:G59)</f>
        <v>21177755106.99963</v>
      </c>
      <c r="H61" s="22">
        <f>G61/O61</f>
        <v>18147.442709568859</v>
      </c>
      <c r="I61" s="21">
        <f>D61/J61</f>
        <v>1.0900365956927256</v>
      </c>
      <c r="J61" s="19">
        <f>SUBTOTAL(9,J2:J59)</f>
        <v>18984101864.443691</v>
      </c>
      <c r="K61" s="19">
        <f>SUBTOTAL(9,K2:K59)</f>
        <v>393431841.98609471</v>
      </c>
      <c r="L61" s="22">
        <f>SUBTOTAL(9,L2:L59)</f>
        <v>18590670022.457596</v>
      </c>
      <c r="M61" s="21">
        <f>L61/N61</f>
        <v>1.0003666335632411</v>
      </c>
      <c r="N61" s="22">
        <f>SUBTOTAL(9,N2:N59)</f>
        <v>18583856556.909374</v>
      </c>
      <c r="O61" s="27">
        <f>SUBTOTAL(9,O2:O59)</f>
        <v>1166982.8882188969</v>
      </c>
      <c r="P61" s="18">
        <f>+N61/O61</f>
        <v>15924.703562082999</v>
      </c>
      <c r="Q61" s="22">
        <f>SUBTOTAL(9,Q2:Q59)</f>
        <v>18583856556.909374</v>
      </c>
      <c r="R61" s="30"/>
      <c r="S61" s="22">
        <f>SUBTOTAL(9,S2:S59)</f>
        <v>713380140.25957179</v>
      </c>
      <c r="T61" s="19">
        <f>S61/O61</f>
        <v>611.30299977951302</v>
      </c>
      <c r="U61" s="22">
        <f>SUBTOTAL(9,U2:U59)</f>
        <v>17870476416.649803</v>
      </c>
      <c r="V61" s="17">
        <f>(U61/Q61)-1</f>
        <v>-3.8387088173812867E-2</v>
      </c>
      <c r="W61" s="22">
        <f>SUBTOTAL(9,W2:W59)</f>
        <v>17870476416.649803</v>
      </c>
      <c r="X61" s="15">
        <f>W61/O61</f>
        <v>15313.400562303486</v>
      </c>
      <c r="Y61" s="14"/>
      <c r="Z61" s="14">
        <f>X61/$X$62-1</f>
        <v>7.7074720753360637E-3</v>
      </c>
    </row>
    <row r="62" spans="1:26" ht="17.7" x14ac:dyDescent="0.6">
      <c r="A62" s="29">
        <v>99</v>
      </c>
      <c r="B62" s="25" t="s">
        <v>76</v>
      </c>
      <c r="C62" s="29"/>
      <c r="D62" s="28">
        <f>SUM(D3:D54)-SUMPRODUCT((LEFT($A$3:$A$54,1)+0=9)*D3:D54)</f>
        <v>17710547236.803329</v>
      </c>
      <c r="E62" s="288">
        <f>D62/O62</f>
        <v>17510.933986134045</v>
      </c>
      <c r="F62" s="28">
        <f>SUM(F3:F54)-SUMPRODUCT((LEFT($A$3:$A$54,1)+0=9)*F3:F54)</f>
        <v>407145469.81193542</v>
      </c>
      <c r="G62" s="28">
        <f>SUM(G3:G54)-SUMPRODUCT((LEFT($A$3:$A$54,1)+0=9)*G3:G54)</f>
        <v>18117692706.615276</v>
      </c>
      <c r="H62" s="22">
        <f>G62/O62</f>
        <v>17913.490572856284</v>
      </c>
      <c r="I62" s="21">
        <f>D62/J62</f>
        <v>1.090209793286856</v>
      </c>
      <c r="J62" s="19">
        <f>SUM(J3:J54)-SUMPRODUCT((LEFT($A$3:$A$54,1)+0=9)*J3:J54)</f>
        <v>16245081768.535654</v>
      </c>
      <c r="K62" s="19">
        <f>SUM(K3:K54)-SUMPRODUCT((LEFT($A$3:$A$54,1)+0=9)*K3:K54)</f>
        <v>317393543.22387433</v>
      </c>
      <c r="L62" s="19">
        <f>SUM(L3:L54)-SUMPRODUCT((LEFT($A$3:$A$54,1)+0=9)*L3:L54)</f>
        <v>15927688225.311779</v>
      </c>
      <c r="M62" s="21">
        <f>L62/N62</f>
        <v>1.0005406688454015</v>
      </c>
      <c r="N62" s="27">
        <f>SUM(N3:N54)-SUMPRODUCT((LEFT($A$3:$A$54,1)+0=9)*N3:N54)</f>
        <v>15919081274.019501</v>
      </c>
      <c r="O62" s="27">
        <f>SUM(O3:O54)-SUMPRODUCT((LEFT($A$3:$A$54,1)+0=9)*O3:O54)</f>
        <v>1011399.3491624917</v>
      </c>
      <c r="P62" s="18">
        <f>+N62/O62</f>
        <v>15739.659400810961</v>
      </c>
      <c r="Q62" s="27">
        <f>SUM(Q3:Q54)-SUMPRODUCT((LEFT($A$3:$A$54,1)+0=9)*Q3:Q54)</f>
        <v>15919081274.019501</v>
      </c>
      <c r="R62" s="20">
        <f>VLOOKUP(B62,RESCMAD!$1:$1048576,8,FALSE)</f>
        <v>2.0291140123764734E-3</v>
      </c>
      <c r="S62" s="19">
        <f>SUM(S3:S54)-SUMPRODUCT((LEFT($A$3:$A$54,1)+0=9)*S3:S54)</f>
        <v>549577929.6795038</v>
      </c>
      <c r="T62" s="19">
        <f>S62/O62</f>
        <v>543.38370905082365</v>
      </c>
      <c r="U62" s="27">
        <f>SUM(U3:U54)-SUMPRODUCT((LEFT($A$3:$A$54,1)+0=9)*U3:U54)</f>
        <v>15369503344.339998</v>
      </c>
      <c r="V62" s="17">
        <f>(U62/Q62)-1</f>
        <v>-3.4523219036291519E-2</v>
      </c>
      <c r="W62" s="27">
        <f>SUM(W3:W54)-SUMPRODUCT((LEFT($A$3:$A$54,1)+0=9)*W3:W54)</f>
        <v>15369503344.339998</v>
      </c>
      <c r="X62" s="15">
        <f>W62/O62</f>
        <v>15196.275691760138</v>
      </c>
      <c r="Y62" s="14"/>
      <c r="Z62" s="14">
        <f>X62/$X$62-1</f>
        <v>0</v>
      </c>
    </row>
    <row r="63" spans="1:26" x14ac:dyDescent="0.5">
      <c r="S63" s="12"/>
      <c r="U63" s="12"/>
    </row>
    <row r="64" spans="1:26" x14ac:dyDescent="0.5">
      <c r="S64" s="12"/>
      <c r="U64" s="12"/>
    </row>
    <row r="65" spans="1:26" ht="17.7" x14ac:dyDescent="0.6">
      <c r="A65" s="31">
        <v>1</v>
      </c>
      <c r="B65" s="25" t="s">
        <v>75</v>
      </c>
      <c r="C65" s="24"/>
      <c r="D65" s="23">
        <f>SUMIF($C$1:$C$65535,1,D$1:D$65535)</f>
        <v>14054579503.392643</v>
      </c>
      <c r="E65" s="22">
        <f>D65/O65</f>
        <v>16563.319811929276</v>
      </c>
      <c r="F65" s="23">
        <f>SUMIF($C$1:$C$65535,1,F$1:F$65535)</f>
        <v>219413119.60816106</v>
      </c>
      <c r="G65" s="18">
        <f>SUMIF($C$1:$C$65535,1,G$1:G$65535)</f>
        <v>14273992623.000803</v>
      </c>
      <c r="H65" s="22">
        <f>G65/O65</f>
        <v>16821.89814009098</v>
      </c>
      <c r="I65" s="21">
        <f>D65/J65</f>
        <v>1.0993762674816792</v>
      </c>
      <c r="J65" s="15">
        <f>SUMIF($C$1:$C$65535,1,J$1:J$65535)</f>
        <v>12784139442.619776</v>
      </c>
      <c r="K65" s="15">
        <f>SUMIF($C$1:$C$65535,1,K$1:K$65535)</f>
        <v>135726645.33431077</v>
      </c>
      <c r="L65" s="18">
        <f>SUMIF($C$1:$C$65535,1,L$1:L$65535)</f>
        <v>12648412797.285465</v>
      </c>
      <c r="M65" s="21">
        <f>L65/N65</f>
        <v>1.0014818635818203</v>
      </c>
      <c r="N65" s="18">
        <f>SUMIF($C$1:$C$65535,1,N$1:N$65535)</f>
        <v>12629697308.794149</v>
      </c>
      <c r="O65" s="16">
        <f>SUMIF($C$1:$C$65535,1,O$1:O$65535)</f>
        <v>848536.38418973342</v>
      </c>
      <c r="P65" s="18">
        <f>+N65/O65</f>
        <v>14884.096361824526</v>
      </c>
      <c r="Q65" s="18">
        <f>SUMIF($C$1:$C$65535,1,Q$1:Q$65535)</f>
        <v>12629697308.794149</v>
      </c>
      <c r="R65" s="20">
        <f>VLOOKUP(B65,RESCMAD!$1:$1048576,8,FALSE)</f>
        <v>9.9509813604894862E-4</v>
      </c>
      <c r="S65" s="18">
        <f>SUMIF($C$1:$C$65535,1,S$1:S$65535)</f>
        <v>111390942.7185404</v>
      </c>
      <c r="T65" s="19">
        <f>S65/O65</f>
        <v>131.27420908993491</v>
      </c>
      <c r="U65" s="18">
        <f>SUMIF($C$1:$C$65535,1,U$1:U$65535)</f>
        <v>12518306366.075609</v>
      </c>
      <c r="V65" s="17">
        <f>(U65/Q65)-1</f>
        <v>-8.8197634507818368E-3</v>
      </c>
      <c r="W65" s="16">
        <f>SUMIF($C$1:$C$65535,1,W$1:W$65535)</f>
        <v>12518306366.075609</v>
      </c>
      <c r="X65" s="15">
        <f>W65/O65</f>
        <v>14752.82215273459</v>
      </c>
      <c r="Y65" s="14"/>
      <c r="Z65" s="14">
        <f>X65/$X$62-1</f>
        <v>-2.9181725050303031E-2</v>
      </c>
    </row>
    <row r="66" spans="1:26" ht="17.7" hidden="1" x14ac:dyDescent="0.6">
      <c r="A66" s="31">
        <v>3</v>
      </c>
      <c r="B66" s="25" t="s">
        <v>74</v>
      </c>
      <c r="C66" s="24"/>
      <c r="D66" s="23">
        <f>SUMIF($C$1:$C$65535,3,D$1:D$65535)</f>
        <v>0</v>
      </c>
      <c r="E66" s="22" t="e">
        <f>D66/O66</f>
        <v>#DIV/0!</v>
      </c>
      <c r="F66" s="23">
        <f>SUMIF($C$1:$C$65535,3,F$1:F$65535)</f>
        <v>0</v>
      </c>
      <c r="G66" s="18">
        <f>SUMIF($C$1:$C$65535,3,G$1:G$65535)</f>
        <v>0</v>
      </c>
      <c r="H66" s="22" t="e">
        <f>G66/O66</f>
        <v>#DIV/0!</v>
      </c>
      <c r="I66" s="21" t="e">
        <f>D66/J66</f>
        <v>#DIV/0!</v>
      </c>
      <c r="J66" s="15">
        <f>SUMIF($C$1:$C$65535,3,J$1:J$65535)</f>
        <v>0</v>
      </c>
      <c r="K66" s="15">
        <f>SUMIF($C$1:$C$65535,3,K$1:K$65535)</f>
        <v>0</v>
      </c>
      <c r="L66" s="18">
        <f>SUMIF($C$1:$C$65535,3,L$1:L$65535)</f>
        <v>0</v>
      </c>
      <c r="M66" s="21" t="e">
        <f>L66/N66</f>
        <v>#DIV/0!</v>
      </c>
      <c r="N66" s="18">
        <f>SUMIF($C$1:$C$65535,3,N$1:N$65535)</f>
        <v>0</v>
      </c>
      <c r="O66" s="16">
        <f>SUMIF($C$1:$C$65535,3,O$1:O$65535)</f>
        <v>0</v>
      </c>
      <c r="P66" s="18" t="e">
        <f>+N66/O66</f>
        <v>#DIV/0!</v>
      </c>
      <c r="Q66" s="18">
        <f>SUMIF($C$1:$C$65535,3,Q$1:Q$65535)</f>
        <v>0</v>
      </c>
      <c r="R66" s="20" t="e">
        <f>VLOOKUP(B66,RESCMAD!$1:$1048576,8,FALSE)</f>
        <v>#DIV/0!</v>
      </c>
      <c r="S66" s="18">
        <f>SUMIF($C$1:$C$65535,3,S$1:S$65535)</f>
        <v>0</v>
      </c>
      <c r="T66" s="19" t="e">
        <f>S66/O66</f>
        <v>#DIV/0!</v>
      </c>
      <c r="U66" s="18">
        <f>SUMIF($C$1:$C$65535,3,U$1:U$65535)</f>
        <v>0</v>
      </c>
      <c r="V66" s="17" t="e">
        <f>(U66/Q66)-1</f>
        <v>#DIV/0!</v>
      </c>
      <c r="W66" s="16">
        <f>SUMIF($C$1:$C$65535,3,W$1:W$65535)</f>
        <v>0</v>
      </c>
      <c r="X66" s="15" t="e">
        <f>W66/O66</f>
        <v>#DIV/0!</v>
      </c>
      <c r="Y66" s="14"/>
      <c r="Z66" s="14" t="e">
        <f>X66/$X$62-1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23">
        <f>SUMIF($C$1:$C$65535,4,D$1:D$65535)</f>
        <v>0</v>
      </c>
      <c r="E67" s="22" t="e">
        <f>D67/O67</f>
        <v>#DIV/0!</v>
      </c>
      <c r="F67" s="23">
        <f>SUMIF($C$1:$C$65535,4,F$1:F$65535)</f>
        <v>0</v>
      </c>
      <c r="G67" s="18">
        <f>SUMIF($C$1:$C$65535,4,G$1:G$65535)</f>
        <v>0</v>
      </c>
      <c r="H67" s="22" t="e">
        <f>G67/O67</f>
        <v>#DIV/0!</v>
      </c>
      <c r="I67" s="21" t="e">
        <f>D67/J67</f>
        <v>#DIV/0!</v>
      </c>
      <c r="J67" s="15">
        <f>SUMIF($C$1:$C$65535,4,J$1:J$65535)</f>
        <v>0</v>
      </c>
      <c r="K67" s="15">
        <f>SUMIF($C$1:$C$65535,4,K$1:K$65535)</f>
        <v>0</v>
      </c>
      <c r="L67" s="18">
        <f>SUMIF($C$1:$C$65535,4,L$1:L$65535)</f>
        <v>0</v>
      </c>
      <c r="M67" s="21" t="e">
        <f>L67/N67</f>
        <v>#DIV/0!</v>
      </c>
      <c r="N67" s="18">
        <f>SUMIF($C$1:$C$65535,4,N$1:N$65535)</f>
        <v>0</v>
      </c>
      <c r="O67" s="16">
        <f>SUMIF($C$1:$C$65535,4,O$1:O$65535)</f>
        <v>0</v>
      </c>
      <c r="P67" s="18" t="e">
        <f>+N67/O67</f>
        <v>#DIV/0!</v>
      </c>
      <c r="Q67" s="18">
        <f>SUMIF($C$1:$C$65535,4,Q$1:Q$65535)</f>
        <v>0</v>
      </c>
      <c r="R67" s="20" t="e">
        <f>VLOOKUP(B67,RESCMAD!$1:$1048576,8,FALSE)</f>
        <v>#DIV/0!</v>
      </c>
      <c r="S67" s="18">
        <f>SUMIF($C$1:$C$65535,4,S$1:S$65535)</f>
        <v>0</v>
      </c>
      <c r="T67" s="19" t="e">
        <f>S67/O67</f>
        <v>#DIV/0!</v>
      </c>
      <c r="U67" s="18">
        <f>SUMIF($C$1:$C$65535,4,U$1:U$65535)</f>
        <v>0</v>
      </c>
      <c r="V67" s="17" t="e">
        <f>(U67/Q67)-1</f>
        <v>#DIV/0!</v>
      </c>
      <c r="W67" s="16">
        <f>SUMIF($C$1:$C$65535,4,W$1:W$65535)</f>
        <v>0</v>
      </c>
      <c r="X67" s="15" t="e">
        <f>W67/O67</f>
        <v>#DIV/0!</v>
      </c>
      <c r="Y67" s="14"/>
      <c r="Z67" s="14" t="e">
        <f>X67/$X$62-1</f>
        <v>#DIV/0!</v>
      </c>
    </row>
    <row r="68" spans="1:26" ht="17.7" x14ac:dyDescent="0.6">
      <c r="A68" s="29">
        <v>5</v>
      </c>
      <c r="B68" s="25" t="s">
        <v>72</v>
      </c>
      <c r="C68" s="24"/>
      <c r="D68" s="23">
        <f>SUMIF($C$1:$C$65535,5,D$1:D$65535)</f>
        <v>6553470695.56777</v>
      </c>
      <c r="E68" s="22">
        <f>D68/O68</f>
        <v>20930.820299664054</v>
      </c>
      <c r="F68" s="23">
        <f>SUMIF($C$1:$C$65535,5,F$1:F$65535)</f>
        <v>264608224.11176425</v>
      </c>
      <c r="G68" s="18">
        <f>SUMIF($C$1:$C$65535,5,G$1:G$65535)</f>
        <v>6818078919.679533</v>
      </c>
      <c r="H68" s="22">
        <f>G68/O68</f>
        <v>21775.939999740276</v>
      </c>
      <c r="I68" s="21">
        <f>D68/J68</f>
        <v>1.0695902147917553</v>
      </c>
      <c r="J68" s="15">
        <f>SUMIF($C$1:$C$65535,5,J$1:J$65535)</f>
        <v>6127085499.602951</v>
      </c>
      <c r="K68" s="15">
        <f>SUMIF($C$1:$C$65535,5,K$1:K$65535)</f>
        <v>257501081.74744377</v>
      </c>
      <c r="L68" s="18">
        <f>SUMIF($C$1:$C$65535,5,L$1:L$65535)</f>
        <v>5869584417.8555079</v>
      </c>
      <c r="M68" s="21">
        <f>L68/N68</f>
        <v>0.99790031034215976</v>
      </c>
      <c r="N68" s="18">
        <f>SUMIF($C$1:$C$65535,5,N$1:N$65535)</f>
        <v>5881934655.2191639</v>
      </c>
      <c r="O68" s="16">
        <f>SUMIF($C$1:$C$65535,5,O$1:O$65535)</f>
        <v>313101.47436853946</v>
      </c>
      <c r="P68" s="18">
        <f>+N68/O68</f>
        <v>18786.033081069971</v>
      </c>
      <c r="Q68" s="18">
        <f>SUMIF($C$1:$C$65535,5,Q$1:Q$65535)</f>
        <v>5881934655.2191639</v>
      </c>
      <c r="R68" s="20">
        <f>VLOOKUP(B68,RESCMAD!$1:$1048576,8,FALSE)</f>
        <v>3.8577512918237028E-3</v>
      </c>
      <c r="S68" s="18">
        <f>SUMIF($C$1:$C$65535,5,S$1:S$65535)</f>
        <v>601989197.54103136</v>
      </c>
      <c r="T68" s="19">
        <f>S68/O68</f>
        <v>1922.6648445368019</v>
      </c>
      <c r="U68" s="18">
        <f>SUMIF($C$1:$C$65535,5,U$1:U$65535)</f>
        <v>5279945457.6781321</v>
      </c>
      <c r="V68" s="17">
        <f>(U68/Q68)-1</f>
        <v>-0.10234544122432132</v>
      </c>
      <c r="W68" s="16">
        <f>SUMIF($C$1:$C$65535,5,W$1:W$65535)</f>
        <v>5279945457.6781321</v>
      </c>
      <c r="X68" s="15">
        <f>W68/O68</f>
        <v>16863.368236533166</v>
      </c>
      <c r="Y68" s="14"/>
      <c r="Z68" s="14">
        <f>X68/$X$62-1</f>
        <v>0.10970402081326891</v>
      </c>
    </row>
    <row r="71" spans="1:26" x14ac:dyDescent="0.5">
      <c r="S71" s="12"/>
      <c r="U71" s="12"/>
      <c r="W71" s="12"/>
    </row>
  </sheetData>
  <sheetCalcPr fullCalcOnLoad="1"/>
  <autoFilter ref="A2:AE54">
    <sortState xmlns:xlrd2="http://schemas.microsoft.com/office/spreadsheetml/2017/richdata2" ref="A3:AA54">
      <sortCondition ref="A2:A54"/>
    </sortState>
  </autoFilter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T101"/>
  <sheetViews>
    <sheetView topLeftCell="A40" zoomScale="87" zoomScaleNormal="87" workbookViewId="0">
      <selection activeCell="B72" sqref="B72"/>
    </sheetView>
  </sheetViews>
  <sheetFormatPr defaultColWidth="12.41796875" defaultRowHeight="15" x14ac:dyDescent="0.5"/>
  <cols>
    <col min="1" max="1" width="12.41796875" style="110" customWidth="1"/>
    <col min="2" max="2" width="59.83984375" style="110" bestFit="1" customWidth="1"/>
    <col min="3" max="4" width="12.41796875" style="110" customWidth="1"/>
    <col min="5" max="5" width="16.26171875" style="110" bestFit="1" customWidth="1"/>
    <col min="6" max="6" width="20" style="110" customWidth="1"/>
    <col min="7" max="7" width="12.41796875" style="110"/>
    <col min="8" max="8" width="25" style="75" bestFit="1" customWidth="1"/>
    <col min="9" max="9" width="14.15625" style="75" bestFit="1" customWidth="1"/>
    <col min="10" max="10" width="17.41796875" style="110" customWidth="1"/>
    <col min="11" max="11" width="12.41796875" style="110"/>
    <col min="12" max="12" width="18.41796875" style="110" bestFit="1" customWidth="1"/>
    <col min="13" max="16384" width="12.41796875" style="110"/>
  </cols>
  <sheetData>
    <row r="1" spans="1:250" ht="52.8" x14ac:dyDescent="0.85">
      <c r="A1" s="175" t="s">
        <v>607</v>
      </c>
      <c r="B1" s="175"/>
      <c r="C1" s="175"/>
      <c r="D1" s="175"/>
      <c r="E1" s="175"/>
      <c r="F1" s="175"/>
      <c r="G1" s="175"/>
      <c r="H1" s="190"/>
      <c r="I1" s="190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8"/>
      <c r="HX1" s="158"/>
      <c r="HY1" s="158"/>
      <c r="HZ1" s="158"/>
      <c r="IA1" s="158"/>
      <c r="IB1" s="158"/>
      <c r="IC1" s="158"/>
      <c r="ID1" s="158"/>
      <c r="IE1" s="158"/>
      <c r="IF1" s="158"/>
      <c r="IG1" s="158"/>
      <c r="IH1" s="158"/>
      <c r="II1" s="158"/>
      <c r="IJ1" s="158"/>
      <c r="IK1" s="158"/>
      <c r="IL1" s="158"/>
      <c r="IM1" s="158"/>
      <c r="IN1" s="158"/>
      <c r="IO1" s="158"/>
      <c r="IP1" s="158"/>
    </row>
    <row r="2" spans="1:250" ht="30.6" x14ac:dyDescent="0.55000000000000004">
      <c r="A2" s="167" t="s">
        <v>106</v>
      </c>
      <c r="B2" s="158" t="s">
        <v>261</v>
      </c>
      <c r="C2" s="167" t="s">
        <v>260</v>
      </c>
      <c r="D2" s="167" t="s">
        <v>259</v>
      </c>
      <c r="E2" s="171" t="s">
        <v>277</v>
      </c>
      <c r="F2" s="171" t="s">
        <v>276</v>
      </c>
      <c r="G2" s="193" t="s">
        <v>275</v>
      </c>
      <c r="H2" s="365"/>
      <c r="I2" s="365"/>
      <c r="J2" s="365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</row>
    <row r="3" spans="1:250" ht="15.3" x14ac:dyDescent="0.55000000000000004">
      <c r="A3" s="169">
        <f>'Variable Input'!A3</f>
        <v>210001</v>
      </c>
      <c r="B3" s="169" t="str">
        <f>'Variable Input'!B3</f>
        <v>MERITUS MEDICAL CENTER</v>
      </c>
      <c r="C3" s="167">
        <f>VLOOKUP(A3,'Variable Input'!$1:$1048576,3,FALSE)</f>
        <v>1</v>
      </c>
      <c r="D3" s="167">
        <f>VLOOKUP(A3,'Variable Input'!$1:$1048576,4,FALSE)</f>
        <v>3</v>
      </c>
      <c r="E3" s="162">
        <f>VLOOKUP(A3,'Variable Input'!$1:$1048576,19,FALSE)+VLOOKUP(A3,'GBR Revenue for ICC'!$1:$1048576,18,FALSE)</f>
        <v>36376876.126401529</v>
      </c>
      <c r="F3" s="162">
        <f>VLOOKUP(A3,'Variable Input'!$1:$1048576,18,FALSE)+VLOOKUP(A3,'GBR Revenue for ICC'!$1:$1048576,18,FALSE)</f>
        <v>383811039.20544714</v>
      </c>
      <c r="G3" s="161">
        <f>E3/F3</f>
        <v>9.4778087159003377E-2</v>
      </c>
      <c r="H3" s="190"/>
      <c r="I3" s="190"/>
      <c r="J3" s="191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</row>
    <row r="4" spans="1:250" ht="15.3" x14ac:dyDescent="0.55000000000000004">
      <c r="A4" s="169">
        <f>'Variable Input'!A4</f>
        <v>210002</v>
      </c>
      <c r="B4" s="169" t="str">
        <f>'Variable Input'!B4</f>
        <v>UNIVERSITY OF MARYLAND MEDICAL CENTER</v>
      </c>
      <c r="C4" s="167">
        <f>VLOOKUP(A4,'Variable Input'!$1:$1048576,3,FALSE)</f>
        <v>5</v>
      </c>
      <c r="D4" s="167">
        <f>VLOOKUP(A4,'Variable Input'!$1:$1048576,4,FALSE)</f>
        <v>5</v>
      </c>
      <c r="E4" s="162">
        <f>VLOOKUP(A4,'Variable Input'!$1:$1048576,19,FALSE)+VLOOKUP(A4,'GBR Revenue for ICC'!$1:$1048576,18,FALSE)</f>
        <v>30304841.27123018</v>
      </c>
      <c r="F4" s="162">
        <f>VLOOKUP(A4,'Variable Input'!$1:$1048576,18,FALSE)+VLOOKUP(A4,'GBR Revenue for ICC'!$1:$1048576,18,FALSE)</f>
        <v>1609594681.066587</v>
      </c>
      <c r="G4" s="161">
        <f t="shared" ref="G4:G50" si="0">E4/F4</f>
        <v>1.8827622647925802E-2</v>
      </c>
      <c r="H4" s="190"/>
      <c r="I4" s="190"/>
      <c r="J4" s="191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</row>
    <row r="5" spans="1:250" ht="15.3" x14ac:dyDescent="0.55000000000000004">
      <c r="A5" s="169">
        <f>'Variable Input'!A5</f>
        <v>210003</v>
      </c>
      <c r="B5" s="169" t="str">
        <f>'Variable Input'!B5</f>
        <v>PRINCE GEORGES HOSPITAL CENTER</v>
      </c>
      <c r="C5" s="167">
        <f>VLOOKUP(A5,'Variable Input'!$1:$1048576,3,FALSE)</f>
        <v>1</v>
      </c>
      <c r="D5" s="167">
        <f>VLOOKUP(A5,'Variable Input'!$1:$1048576,4,FALSE)</f>
        <v>5</v>
      </c>
      <c r="E5" s="162">
        <f>VLOOKUP(A5,'Variable Input'!$1:$1048576,19,FALSE)+VLOOKUP(A5,'GBR Revenue for ICC'!$1:$1048576,18,FALSE)</f>
        <v>20259956.575403932</v>
      </c>
      <c r="F5" s="162">
        <f>VLOOKUP(A5,'Variable Input'!$1:$1048576,18,FALSE)+VLOOKUP(A5,'GBR Revenue for ICC'!$1:$1048576,18,FALSE)</f>
        <v>330938681.76188469</v>
      </c>
      <c r="G5" s="161">
        <f t="shared" si="0"/>
        <v>6.1219669056339784E-2</v>
      </c>
      <c r="H5" s="190"/>
      <c r="I5" s="190"/>
      <c r="J5" s="191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</row>
    <row r="6" spans="1:250" ht="15.3" x14ac:dyDescent="0.55000000000000004">
      <c r="A6" s="169">
        <f>'Variable Input'!A6</f>
        <v>210004</v>
      </c>
      <c r="B6" s="169" t="str">
        <f>'Variable Input'!B6</f>
        <v>HOLY CROSS HOSPITAL</v>
      </c>
      <c r="C6" s="167">
        <f>VLOOKUP(A6,'Variable Input'!$1:$1048576,3,FALSE)</f>
        <v>1</v>
      </c>
      <c r="D6" s="167">
        <f>VLOOKUP(A6,'Variable Input'!$1:$1048576,4,FALSE)</f>
        <v>1</v>
      </c>
      <c r="E6" s="162">
        <f>VLOOKUP(A6,'Variable Input'!$1:$1048576,19,FALSE)+VLOOKUP(A6,'GBR Revenue for ICC'!$1:$1048576,18,FALSE)</f>
        <v>48007214.47156354</v>
      </c>
      <c r="F6" s="162">
        <f>VLOOKUP(A6,'Variable Input'!$1:$1048576,18,FALSE)+VLOOKUP(A6,'GBR Revenue for ICC'!$1:$1048576,18,FALSE)</f>
        <v>509375809.74771488</v>
      </c>
      <c r="G6" s="161">
        <f t="shared" si="0"/>
        <v>9.4247142390489036E-2</v>
      </c>
      <c r="H6" s="190"/>
      <c r="I6" s="190"/>
      <c r="J6" s="191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8"/>
      <c r="IO6" s="158"/>
      <c r="IP6" s="158"/>
    </row>
    <row r="7" spans="1:250" ht="15.3" x14ac:dyDescent="0.55000000000000004">
      <c r="A7" s="169">
        <f>'Variable Input'!A7</f>
        <v>210005</v>
      </c>
      <c r="B7" s="169" t="str">
        <f>'Variable Input'!B7</f>
        <v>FREDERICK MEMORIAL HOSPITAL</v>
      </c>
      <c r="C7" s="167">
        <f>VLOOKUP(A7,'Variable Input'!$1:$1048576,3,FALSE)</f>
        <v>1</v>
      </c>
      <c r="D7" s="167">
        <f>VLOOKUP(A7,'Variable Input'!$1:$1048576,4,FALSE)</f>
        <v>3</v>
      </c>
      <c r="E7" s="162">
        <f>VLOOKUP(A7,'Variable Input'!$1:$1048576,19,FALSE)+VLOOKUP(A7,'GBR Revenue for ICC'!$1:$1048576,18,FALSE)</f>
        <v>22831771.32941357</v>
      </c>
      <c r="F7" s="162">
        <f>VLOOKUP(A7,'Variable Input'!$1:$1048576,18,FALSE)+VLOOKUP(A7,'GBR Revenue for ICC'!$1:$1048576,18,FALSE)</f>
        <v>355460495.34141362</v>
      </c>
      <c r="G7" s="161">
        <f t="shared" si="0"/>
        <v>6.4231529603547222E-2</v>
      </c>
      <c r="H7" s="190"/>
      <c r="I7" s="190"/>
      <c r="J7" s="191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</row>
    <row r="8" spans="1:250" ht="15.3" x14ac:dyDescent="0.55000000000000004">
      <c r="A8" s="169">
        <f>'Variable Input'!A8</f>
        <v>210006</v>
      </c>
      <c r="B8" s="169" t="str">
        <f>'Variable Input'!B8</f>
        <v>UM-HARFORD MEMORIAL HOSPITAL</v>
      </c>
      <c r="C8" s="167">
        <f>VLOOKUP(A8,'Variable Input'!$1:$1048576,3,FALSE)</f>
        <v>1</v>
      </c>
      <c r="D8" s="167">
        <f>VLOOKUP(A8,'Variable Input'!$1:$1048576,4,FALSE)</f>
        <v>3</v>
      </c>
      <c r="E8" s="162">
        <f>VLOOKUP(A8,'Variable Input'!$1:$1048576,19,FALSE)+VLOOKUP(A8,'GBR Revenue for ICC'!$1:$1048576,18,FALSE)</f>
        <v>9036061.760644529</v>
      </c>
      <c r="F8" s="162">
        <f>VLOOKUP(A8,'Variable Input'!$1:$1048576,18,FALSE)+VLOOKUP(A8,'GBR Revenue for ICC'!$1:$1048576,18,FALSE)</f>
        <v>104740702.12480679</v>
      </c>
      <c r="G8" s="161">
        <f t="shared" si="0"/>
        <v>8.6270777045941036E-2</v>
      </c>
      <c r="H8" s="190"/>
      <c r="I8" s="190"/>
      <c r="J8" s="191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</row>
    <row r="9" spans="1:250" ht="15.3" x14ac:dyDescent="0.55000000000000004">
      <c r="A9" s="169">
        <f>'Variable Input'!A9</f>
        <v>210008</v>
      </c>
      <c r="B9" s="169" t="str">
        <f>'Variable Input'!B9</f>
        <v>MERCY MEDICAL CENTER</v>
      </c>
      <c r="C9" s="167">
        <f>VLOOKUP(A9,'Variable Input'!$1:$1048576,3,FALSE)</f>
        <v>1</v>
      </c>
      <c r="D9" s="167">
        <f>VLOOKUP(A9,'Variable Input'!$1:$1048576,4,FALSE)</f>
        <v>4</v>
      </c>
      <c r="E9" s="162">
        <f>VLOOKUP(A9,'Variable Input'!$1:$1048576,19,FALSE)+VLOOKUP(A9,'GBR Revenue for ICC'!$1:$1048576,18,FALSE)</f>
        <v>56390724.77985581</v>
      </c>
      <c r="F9" s="162">
        <f>VLOOKUP(A9,'Variable Input'!$1:$1048576,18,FALSE)+VLOOKUP(A9,'GBR Revenue for ICC'!$1:$1048576,18,FALSE)</f>
        <v>575651906.23541343</v>
      </c>
      <c r="G9" s="161">
        <f t="shared" si="0"/>
        <v>9.7959763824346249E-2</v>
      </c>
      <c r="H9" s="190"/>
      <c r="I9" s="190"/>
      <c r="J9" s="191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</row>
    <row r="10" spans="1:250" ht="15.3" x14ac:dyDescent="0.55000000000000004">
      <c r="A10" s="169">
        <f>'Variable Input'!A10</f>
        <v>210009</v>
      </c>
      <c r="B10" s="169" t="str">
        <f>'Variable Input'!B10</f>
        <v>JOHNS HOPKINS HOSPITAL</v>
      </c>
      <c r="C10" s="167">
        <f>VLOOKUP(A10,'Variable Input'!$1:$1048576,3,FALSE)</f>
        <v>5</v>
      </c>
      <c r="D10" s="167">
        <f>VLOOKUP(A10,'Variable Input'!$1:$1048576,4,FALSE)</f>
        <v>5</v>
      </c>
      <c r="E10" s="162">
        <f>VLOOKUP(A10,'Variable Input'!$1:$1048576,19,FALSE)+VLOOKUP(A10,'GBR Revenue for ICC'!$1:$1048576,18,FALSE)</f>
        <v>104276328.49711382</v>
      </c>
      <c r="F10" s="162">
        <f>VLOOKUP(A10,'Variable Input'!$1:$1048576,18,FALSE)+VLOOKUP(A10,'GBR Revenue for ICC'!$1:$1048576,18,FALSE)</f>
        <v>2480010428.4971137</v>
      </c>
      <c r="G10" s="161">
        <f t="shared" si="0"/>
        <v>4.2046729843916532E-2</v>
      </c>
      <c r="H10" s="190"/>
      <c r="I10" s="190"/>
      <c r="J10" s="191"/>
      <c r="K10" s="158"/>
      <c r="L10" s="192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</row>
    <row r="11" spans="1:250" ht="15.3" x14ac:dyDescent="0.55000000000000004">
      <c r="A11" s="169">
        <f>'Variable Input'!A12</f>
        <v>210011</v>
      </c>
      <c r="B11" s="169" t="str">
        <f>'Variable Input'!B12</f>
        <v>ST. AGNES HOSPITAL</v>
      </c>
      <c r="C11" s="167">
        <f>VLOOKUP(A11,'Variable Input'!$1:$1048576,3,FALSE)</f>
        <v>1</v>
      </c>
      <c r="D11" s="167">
        <f>VLOOKUP(A11,'Variable Input'!$1:$1048576,4,FALSE)</f>
        <v>1</v>
      </c>
      <c r="E11" s="162">
        <f>VLOOKUP(A11,'Variable Input'!$1:$1048576,19,FALSE)+VLOOKUP(A11,'GBR Revenue for ICC'!$1:$1048576,18,FALSE)</f>
        <v>79387933.506739587</v>
      </c>
      <c r="F11" s="162">
        <f>VLOOKUP(A11,'Variable Input'!$1:$1048576,18,FALSE)+VLOOKUP(A11,'GBR Revenue for ICC'!$1:$1048576,18,FALSE)</f>
        <v>418172653.82117444</v>
      </c>
      <c r="G11" s="161">
        <f t="shared" si="0"/>
        <v>0.1898448709673127</v>
      </c>
      <c r="H11" s="190"/>
      <c r="I11" s="190"/>
      <c r="J11" s="191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</row>
    <row r="12" spans="1:250" ht="15.3" x14ac:dyDescent="0.55000000000000004">
      <c r="A12" s="169">
        <f>'Variable Input'!A13</f>
        <v>210012</v>
      </c>
      <c r="B12" s="169" t="str">
        <f>'Variable Input'!B13</f>
        <v>SINAI HOSPITAL</v>
      </c>
      <c r="C12" s="167">
        <f>VLOOKUP(A12,'Variable Input'!$1:$1048576,3,FALSE)</f>
        <v>1</v>
      </c>
      <c r="D12" s="167">
        <f>VLOOKUP(A12,'Variable Input'!$1:$1048576,4,FALSE)</f>
        <v>5</v>
      </c>
      <c r="E12" s="162">
        <f>VLOOKUP(A12,'Variable Input'!$1:$1048576,19,FALSE)+VLOOKUP(A12,'GBR Revenue for ICC'!$1:$1048576,18,FALSE)</f>
        <v>118583591.05813788</v>
      </c>
      <c r="F12" s="162">
        <f>VLOOKUP(A12,'Variable Input'!$1:$1048576,18,FALSE)+VLOOKUP(A12,'GBR Revenue for ICC'!$1:$1048576,18,FALSE)</f>
        <v>834418262.13085854</v>
      </c>
      <c r="G12" s="161">
        <f t="shared" si="0"/>
        <v>0.14211528730844206</v>
      </c>
      <c r="H12" s="190"/>
      <c r="I12" s="190"/>
      <c r="J12" s="191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</row>
    <row r="13" spans="1:250" ht="15.3" x14ac:dyDescent="0.55000000000000004">
      <c r="A13" s="169">
        <f>'Variable Input'!A15</f>
        <v>210015</v>
      </c>
      <c r="B13" s="169" t="str">
        <f>'Variable Input'!B15</f>
        <v>MEDSTAR FRANKLIN SQUARE</v>
      </c>
      <c r="C13" s="167">
        <f>VLOOKUP(A13,'Variable Input'!$1:$1048576,3,FALSE)</f>
        <v>1</v>
      </c>
      <c r="D13" s="167">
        <f>VLOOKUP(A13,'Variable Input'!$1:$1048576,4,FALSE)</f>
        <v>1</v>
      </c>
      <c r="E13" s="162">
        <f>VLOOKUP(A13,'Variable Input'!$1:$1048576,19,FALSE)+VLOOKUP(A13,'GBR Revenue for ICC'!$1:$1048576,18,FALSE)</f>
        <v>28361442.161907069</v>
      </c>
      <c r="F13" s="162">
        <f>VLOOKUP(A13,'Variable Input'!$1:$1048576,18,FALSE)+VLOOKUP(A13,'GBR Revenue for ICC'!$1:$1048576,18,FALSE)</f>
        <v>541138511.12130368</v>
      </c>
      <c r="G13" s="161">
        <f t="shared" si="0"/>
        <v>5.2410688906872976E-2</v>
      </c>
      <c r="H13" s="190"/>
      <c r="I13" s="190"/>
      <c r="J13" s="191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</row>
    <row r="14" spans="1:250" ht="15.3" x14ac:dyDescent="0.55000000000000004">
      <c r="A14" s="169">
        <f>'Variable Input'!A16</f>
        <v>210016</v>
      </c>
      <c r="B14" s="169" t="str">
        <f>'Variable Input'!B16</f>
        <v>WASHINGTON ADVENTIST HOSPITAL</v>
      </c>
      <c r="C14" s="167">
        <f>VLOOKUP(A14,'Variable Input'!$1:$1048576,3,FALSE)</f>
        <v>1</v>
      </c>
      <c r="D14" s="167">
        <f>VLOOKUP(A14,'Variable Input'!$1:$1048576,4,FALSE)</f>
        <v>3</v>
      </c>
      <c r="E14" s="162">
        <f>VLOOKUP(A14,'Variable Input'!$1:$1048576,19,FALSE)+VLOOKUP(A14,'GBR Revenue for ICC'!$1:$1048576,18,FALSE)</f>
        <v>28032956.805162244</v>
      </c>
      <c r="F14" s="162">
        <f>VLOOKUP(A14,'Variable Input'!$1:$1048576,18,FALSE)+VLOOKUP(A14,'GBR Revenue for ICC'!$1:$1048576,18,FALSE)</f>
        <v>304659290.34691775</v>
      </c>
      <c r="G14" s="161">
        <f t="shared" si="0"/>
        <v>9.2014120998052978E-2</v>
      </c>
      <c r="H14" s="190"/>
      <c r="I14" s="190"/>
      <c r="J14" s="191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</row>
    <row r="15" spans="1:250" ht="15.3" x14ac:dyDescent="0.55000000000000004">
      <c r="A15" s="169">
        <f>'Variable Input'!A17</f>
        <v>210017</v>
      </c>
      <c r="B15" s="169" t="str">
        <f>'Variable Input'!B17</f>
        <v>GARRETT COUNTY MEMORIAL HOSPITAL</v>
      </c>
      <c r="C15" s="167">
        <f>VLOOKUP(A15,'Variable Input'!$1:$1048576,3,FALSE)</f>
        <v>1</v>
      </c>
      <c r="D15" s="167">
        <f>VLOOKUP(A15,'Variable Input'!$1:$1048576,4,FALSE)</f>
        <v>3</v>
      </c>
      <c r="E15" s="162">
        <f>VLOOKUP(A15,'Variable Input'!$1:$1048576,19,FALSE)+VLOOKUP(A15,'GBR Revenue for ICC'!$1:$1048576,18,FALSE)</f>
        <v>7103390.6092889877</v>
      </c>
      <c r="F15" s="162">
        <f>VLOOKUP(A15,'Variable Input'!$1:$1048576,18,FALSE)+VLOOKUP(A15,'GBR Revenue for ICC'!$1:$1048576,18,FALSE)</f>
        <v>65186288.566450797</v>
      </c>
      <c r="G15" s="161">
        <f t="shared" si="0"/>
        <v>0.1089706250425318</v>
      </c>
      <c r="H15" s="190"/>
      <c r="I15" s="190"/>
      <c r="J15" s="191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</row>
    <row r="16" spans="1:250" ht="15.3" x14ac:dyDescent="0.55000000000000004">
      <c r="A16" s="169">
        <f>'Variable Input'!A18</f>
        <v>210018</v>
      </c>
      <c r="B16" s="169" t="str">
        <f>'Variable Input'!B18</f>
        <v>MEDSTAR MONTGOMERY MEDICAL CENTER</v>
      </c>
      <c r="C16" s="167">
        <f>VLOOKUP(A16,'Variable Input'!$1:$1048576,3,FALSE)</f>
        <v>1</v>
      </c>
      <c r="D16" s="167">
        <f>VLOOKUP(A16,'Variable Input'!$1:$1048576,4,FALSE)</f>
        <v>3</v>
      </c>
      <c r="E16" s="162">
        <f>VLOOKUP(A16,'Variable Input'!$1:$1048576,19,FALSE)+VLOOKUP(A16,'GBR Revenue for ICC'!$1:$1048576,18,FALSE)</f>
        <v>2866712.1384743196</v>
      </c>
      <c r="F16" s="162">
        <f>VLOOKUP(A16,'Variable Input'!$1:$1048576,18,FALSE)+VLOOKUP(A16,'GBR Revenue for ICC'!$1:$1048576,18,FALSE)</f>
        <v>168815723.57352054</v>
      </c>
      <c r="G16" s="161">
        <f t="shared" si="0"/>
        <v>1.6981310021313534E-2</v>
      </c>
      <c r="H16" s="190"/>
      <c r="I16" s="190"/>
      <c r="J16" s="191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</row>
    <row r="17" spans="1:250" ht="15.3" x14ac:dyDescent="0.55000000000000004">
      <c r="A17" s="169">
        <f>'Variable Input'!A19</f>
        <v>210019</v>
      </c>
      <c r="B17" s="169" t="str">
        <f>'Variable Input'!B19</f>
        <v>PENINSULA REGIONAL MEDICAL CENTER</v>
      </c>
      <c r="C17" s="167">
        <f>VLOOKUP(A17,'Variable Input'!$1:$1048576,3,FALSE)</f>
        <v>1</v>
      </c>
      <c r="D17" s="167">
        <f>VLOOKUP(A17,'Variable Input'!$1:$1048576,4,FALSE)</f>
        <v>3</v>
      </c>
      <c r="E17" s="162">
        <f>VLOOKUP(A17,'Variable Input'!$1:$1048576,19,FALSE)+VLOOKUP(A17,'GBR Revenue for ICC'!$1:$1048576,18,FALSE)</f>
        <v>43714369.092440464</v>
      </c>
      <c r="F17" s="162">
        <f>VLOOKUP(A17,'Variable Input'!$1:$1048576,18,FALSE)+VLOOKUP(A17,'GBR Revenue for ICC'!$1:$1048576,18,FALSE)</f>
        <v>448094291.87244046</v>
      </c>
      <c r="G17" s="161">
        <f t="shared" si="0"/>
        <v>9.755618378839935E-2</v>
      </c>
      <c r="H17" s="190"/>
      <c r="I17" s="190"/>
      <c r="J17" s="191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</row>
    <row r="18" spans="1:250" ht="15.3" x14ac:dyDescent="0.55000000000000004">
      <c r="A18" s="169">
        <f>'Variable Input'!A20</f>
        <v>210022</v>
      </c>
      <c r="B18" s="169" t="str">
        <f>'Variable Input'!B20</f>
        <v>SUBURBAN HOSPITAL</v>
      </c>
      <c r="C18" s="167">
        <f>VLOOKUP(A18,'Variable Input'!$1:$1048576,3,FALSE)</f>
        <v>1</v>
      </c>
      <c r="D18" s="167">
        <f>VLOOKUP(A18,'Variable Input'!$1:$1048576,4,FALSE)</f>
        <v>1</v>
      </c>
      <c r="E18" s="162">
        <f>VLOOKUP(A18,'Variable Input'!$1:$1048576,19,FALSE)+VLOOKUP(A18,'GBR Revenue for ICC'!$1:$1048576,18,FALSE)</f>
        <v>28681204.820487186</v>
      </c>
      <c r="F18" s="162">
        <f>VLOOKUP(A18,'Variable Input'!$1:$1048576,18,FALSE)+VLOOKUP(A18,'GBR Revenue for ICC'!$1:$1048576,18,FALSE)</f>
        <v>344823253.78048718</v>
      </c>
      <c r="G18" s="161">
        <f t="shared" si="0"/>
        <v>8.3176539012492182E-2</v>
      </c>
      <c r="H18" s="190"/>
      <c r="I18" s="190"/>
      <c r="J18" s="191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</row>
    <row r="19" spans="1:250" ht="15.3" x14ac:dyDescent="0.55000000000000004">
      <c r="A19" s="169">
        <f>'Variable Input'!A21</f>
        <v>210023</v>
      </c>
      <c r="B19" s="169" t="str">
        <f>'Variable Input'!B21</f>
        <v>ANNE ARUNDEL MEDICAL CENTER</v>
      </c>
      <c r="C19" s="167">
        <f>VLOOKUP(A19,'Variable Input'!$1:$1048576,3,FALSE)</f>
        <v>1</v>
      </c>
      <c r="D19" s="167">
        <f>VLOOKUP(A19,'Variable Input'!$1:$1048576,4,FALSE)</f>
        <v>3</v>
      </c>
      <c r="E19" s="162">
        <f>VLOOKUP(A19,'Variable Input'!$1:$1048576,19,FALSE)+VLOOKUP(A19,'GBR Revenue for ICC'!$1:$1048576,18,FALSE)</f>
        <v>30971623.56603311</v>
      </c>
      <c r="F19" s="162">
        <f>VLOOKUP(A19,'Variable Input'!$1:$1048576,18,FALSE)+VLOOKUP(A19,'GBR Revenue for ICC'!$1:$1048576,18,FALSE)</f>
        <v>643095743.81230307</v>
      </c>
      <c r="G19" s="161">
        <f t="shared" si="0"/>
        <v>4.8160206103109636E-2</v>
      </c>
      <c r="H19" s="190"/>
      <c r="I19" s="190"/>
      <c r="J19" s="191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8"/>
      <c r="IJ19" s="158"/>
      <c r="IK19" s="158"/>
      <c r="IL19" s="158"/>
      <c r="IM19" s="158"/>
      <c r="IN19" s="158"/>
      <c r="IO19" s="158"/>
      <c r="IP19" s="158"/>
    </row>
    <row r="20" spans="1:250" ht="15.3" x14ac:dyDescent="0.55000000000000004">
      <c r="A20" s="169">
        <f>'Variable Input'!A22</f>
        <v>210024</v>
      </c>
      <c r="B20" s="169" t="str">
        <f>'Variable Input'!B22</f>
        <v>MEDSTAR UNION MEMORIAL HOSPITAL</v>
      </c>
      <c r="C20" s="167">
        <f>VLOOKUP(A20,'Variable Input'!$1:$1048576,3,FALSE)</f>
        <v>1</v>
      </c>
      <c r="D20" s="167">
        <f>VLOOKUP(A20,'Variable Input'!$1:$1048576,4,FALSE)</f>
        <v>5</v>
      </c>
      <c r="E20" s="162">
        <f>VLOOKUP(A20,'Variable Input'!$1:$1048576,19,FALSE)+VLOOKUP(A20,'GBR Revenue for ICC'!$1:$1048576,18,FALSE)</f>
        <v>17790502.707416065</v>
      </c>
      <c r="F20" s="162">
        <f>VLOOKUP(A20,'Variable Input'!$1:$1048576,18,FALSE)+VLOOKUP(A20,'GBR Revenue for ICC'!$1:$1048576,18,FALSE)</f>
        <v>402122415.68331814</v>
      </c>
      <c r="G20" s="161">
        <f t="shared" si="0"/>
        <v>4.4241509584053006E-2</v>
      </c>
      <c r="H20" s="190"/>
      <c r="I20" s="190"/>
      <c r="J20" s="191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</row>
    <row r="21" spans="1:250" ht="15.3" x14ac:dyDescent="0.55000000000000004">
      <c r="A21" s="169">
        <f>'Variable Input'!A23</f>
        <v>210027</v>
      </c>
      <c r="B21" s="169" t="str">
        <f>'Variable Input'!B23</f>
        <v>WESTERN MARYLAND REGIONAL MEDICAL CENTER</v>
      </c>
      <c r="C21" s="167">
        <f>VLOOKUP(A21,'Variable Input'!$1:$1048576,3,FALSE)</f>
        <v>1</v>
      </c>
      <c r="D21" s="167">
        <f>VLOOKUP(A21,'Variable Input'!$1:$1048576,4,FALSE)</f>
        <v>3</v>
      </c>
      <c r="E21" s="162">
        <f>VLOOKUP(A21,'Variable Input'!$1:$1048576,19,FALSE)+VLOOKUP(A21,'GBR Revenue for ICC'!$1:$1048576,18,FALSE)</f>
        <v>73346780.507956341</v>
      </c>
      <c r="F21" s="162">
        <f>VLOOKUP(A21,'Variable Input'!$1:$1048576,18,FALSE)+VLOOKUP(A21,'GBR Revenue for ICC'!$1:$1048576,18,FALSE)</f>
        <v>311054908.38295633</v>
      </c>
      <c r="G21" s="161">
        <f t="shared" si="0"/>
        <v>0.23580010644826474</v>
      </c>
      <c r="H21" s="190"/>
      <c r="I21" s="190"/>
      <c r="J21" s="191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8"/>
      <c r="IJ21" s="158"/>
      <c r="IK21" s="158"/>
      <c r="IL21" s="158"/>
      <c r="IM21" s="158"/>
      <c r="IN21" s="158"/>
      <c r="IO21" s="158"/>
      <c r="IP21" s="158"/>
    </row>
    <row r="22" spans="1:250" ht="15.3" x14ac:dyDescent="0.55000000000000004">
      <c r="A22" s="169">
        <f>'Variable Input'!A24</f>
        <v>210028</v>
      </c>
      <c r="B22" s="169" t="str">
        <f>'Variable Input'!B24</f>
        <v xml:space="preserve">MEDSTAR ST. MARY'S HOSPITAL </v>
      </c>
      <c r="C22" s="167">
        <f>VLOOKUP(A22,'Variable Input'!$1:$1048576,3,FALSE)</f>
        <v>1</v>
      </c>
      <c r="D22" s="167">
        <f>VLOOKUP(A22,'Variable Input'!$1:$1048576,4,FALSE)</f>
        <v>3</v>
      </c>
      <c r="E22" s="162">
        <f>VLOOKUP(A22,'Variable Input'!$1:$1048576,19,FALSE)+VLOOKUP(A22,'GBR Revenue for ICC'!$1:$1048576,18,FALSE)</f>
        <v>23786851.357465509</v>
      </c>
      <c r="F22" s="162">
        <f>VLOOKUP(A22,'Variable Input'!$1:$1048576,18,FALSE)+VLOOKUP(A22,'GBR Revenue for ICC'!$1:$1048576,18,FALSE)</f>
        <v>181972152.20859462</v>
      </c>
      <c r="G22" s="161">
        <f t="shared" si="0"/>
        <v>0.13071698646614152</v>
      </c>
      <c r="H22" s="190"/>
      <c r="I22" s="190"/>
      <c r="J22" s="191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8"/>
      <c r="IJ22" s="158"/>
      <c r="IK22" s="158"/>
      <c r="IL22" s="158"/>
      <c r="IM22" s="158"/>
      <c r="IN22" s="158"/>
      <c r="IO22" s="158"/>
      <c r="IP22" s="158"/>
    </row>
    <row r="23" spans="1:250" ht="15.3" x14ac:dyDescent="0.55000000000000004">
      <c r="A23" s="169">
        <f>'Variable Input'!A25</f>
        <v>210029</v>
      </c>
      <c r="B23" s="169" t="str">
        <f>'Variable Input'!B25</f>
        <v>JOHNS HOPKINS BAYVIEW MEDICAL CENTER</v>
      </c>
      <c r="C23" s="167">
        <f>VLOOKUP(A23,'Variable Input'!$1:$1048576,3,FALSE)</f>
        <v>1</v>
      </c>
      <c r="D23" s="167">
        <f>VLOOKUP(A23,'Variable Input'!$1:$1048576,4,FALSE)</f>
        <v>5</v>
      </c>
      <c r="E23" s="162">
        <f>VLOOKUP(A23,'Variable Input'!$1:$1048576,19,FALSE)+VLOOKUP(A23,'GBR Revenue for ICC'!$1:$1048576,18,FALSE)</f>
        <v>-9542163.009639116</v>
      </c>
      <c r="F23" s="162">
        <f>VLOOKUP(A23,'Variable Input'!$1:$1048576,18,FALSE)+VLOOKUP(A23,'GBR Revenue for ICC'!$1:$1048576,18,FALSE)</f>
        <v>671015173.53773773</v>
      </c>
      <c r="G23" s="161">
        <f t="shared" si="0"/>
        <v>-1.4220487681866805E-2</v>
      </c>
      <c r="H23" s="190"/>
      <c r="I23" s="190"/>
      <c r="J23" s="191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</row>
    <row r="24" spans="1:250" ht="15.3" x14ac:dyDescent="0.55000000000000004">
      <c r="A24" s="169">
        <f>'Variable Input'!A26</f>
        <v>210030</v>
      </c>
      <c r="B24" s="169" t="str">
        <f>'Variable Input'!B26</f>
        <v>UM-SHORE REGIONAL HEALTH AT CHESTERTOWN</v>
      </c>
      <c r="C24" s="167">
        <f>VLOOKUP(A24,'Variable Input'!$1:$1048576,3,FALSE)</f>
        <v>1</v>
      </c>
      <c r="D24" s="167">
        <f>VLOOKUP(A24,'Variable Input'!$1:$1048576,4,FALSE)</f>
        <v>3</v>
      </c>
      <c r="E24" s="162">
        <f>VLOOKUP(A24,'Variable Input'!$1:$1048576,19,FALSE)+VLOOKUP(A24,'GBR Revenue for ICC'!$1:$1048576,18,FALSE)</f>
        <v>12652539.776610283</v>
      </c>
      <c r="F24" s="162">
        <f>VLOOKUP(A24,'Variable Input'!$1:$1048576,18,FALSE)+VLOOKUP(A24,'GBR Revenue for ICC'!$1:$1048576,18,FALSE)</f>
        <v>48457035.273350239</v>
      </c>
      <c r="G24" s="161">
        <f t="shared" si="0"/>
        <v>0.26110841707991905</v>
      </c>
      <c r="H24" s="190"/>
      <c r="I24" s="190"/>
      <c r="J24" s="191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8"/>
      <c r="HB24" s="158"/>
      <c r="HC24" s="158"/>
      <c r="HD24" s="158"/>
      <c r="HE24" s="158"/>
      <c r="HF24" s="158"/>
      <c r="HG24" s="158"/>
      <c r="HH24" s="158"/>
      <c r="HI24" s="158"/>
      <c r="HJ24" s="158"/>
      <c r="HK24" s="158"/>
      <c r="HL24" s="158"/>
      <c r="HM24" s="158"/>
      <c r="HN24" s="158"/>
      <c r="HO24" s="158"/>
      <c r="HP24" s="158"/>
      <c r="HQ24" s="158"/>
      <c r="HR24" s="158"/>
      <c r="HS24" s="158"/>
      <c r="HT24" s="158"/>
      <c r="HU24" s="158"/>
      <c r="HV24" s="158"/>
      <c r="HW24" s="158"/>
      <c r="HX24" s="158"/>
      <c r="HY24" s="158"/>
      <c r="HZ24" s="158"/>
      <c r="IA24" s="158"/>
      <c r="IB24" s="158"/>
      <c r="IC24" s="158"/>
      <c r="ID24" s="158"/>
      <c r="IE24" s="158"/>
      <c r="IF24" s="158"/>
      <c r="IG24" s="158"/>
      <c r="IH24" s="158"/>
      <c r="II24" s="158"/>
      <c r="IJ24" s="158"/>
      <c r="IK24" s="158"/>
      <c r="IL24" s="158"/>
      <c r="IM24" s="158"/>
      <c r="IN24" s="158"/>
      <c r="IO24" s="158"/>
      <c r="IP24" s="158"/>
    </row>
    <row r="25" spans="1:250" ht="15.3" x14ac:dyDescent="0.55000000000000004">
      <c r="A25" s="169">
        <f>'Variable Input'!A27</f>
        <v>210032</v>
      </c>
      <c r="B25" s="169" t="str">
        <f>'Variable Input'!B27</f>
        <v>UNION HOSPITAL OF CECIL COUNTY</v>
      </c>
      <c r="C25" s="167">
        <f>VLOOKUP(A25,'Variable Input'!$1:$1048576,3,FALSE)</f>
        <v>1</v>
      </c>
      <c r="D25" s="167">
        <f>VLOOKUP(A25,'Variable Input'!$1:$1048576,4,FALSE)</f>
        <v>3</v>
      </c>
      <c r="E25" s="162">
        <f>VLOOKUP(A25,'Variable Input'!$1:$1048576,19,FALSE)+VLOOKUP(A25,'GBR Revenue for ICC'!$1:$1048576,18,FALSE)</f>
        <v>-10074643.929911785</v>
      </c>
      <c r="F25" s="162">
        <f>VLOOKUP(A25,'Variable Input'!$1:$1048576,18,FALSE)+VLOOKUP(A25,'GBR Revenue for ICC'!$1:$1048576,18,FALSE)</f>
        <v>149302016.32380223</v>
      </c>
      <c r="G25" s="161">
        <f t="shared" si="0"/>
        <v>-6.74782844731458E-2</v>
      </c>
      <c r="H25" s="190"/>
      <c r="I25" s="190"/>
      <c r="J25" s="191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P25" s="158"/>
      <c r="GQ25" s="158"/>
      <c r="GR25" s="158"/>
      <c r="GS25" s="158"/>
      <c r="GT25" s="158"/>
      <c r="GU25" s="158"/>
      <c r="GV25" s="158"/>
      <c r="GW25" s="158"/>
      <c r="GX25" s="158"/>
      <c r="GY25" s="158"/>
      <c r="GZ25" s="158"/>
      <c r="HA25" s="158"/>
      <c r="HB25" s="158"/>
      <c r="HC25" s="158"/>
      <c r="HD25" s="158"/>
      <c r="HE25" s="158"/>
      <c r="HF25" s="158"/>
      <c r="HG25" s="158"/>
      <c r="HH25" s="158"/>
      <c r="HI25" s="158"/>
      <c r="HJ25" s="158"/>
      <c r="HK25" s="158"/>
      <c r="HL25" s="158"/>
      <c r="HM25" s="158"/>
      <c r="HN25" s="158"/>
      <c r="HO25" s="158"/>
      <c r="HP25" s="158"/>
      <c r="HQ25" s="158"/>
      <c r="HR25" s="158"/>
      <c r="HS25" s="158"/>
      <c r="HT25" s="158"/>
      <c r="HU25" s="158"/>
      <c r="HV25" s="158"/>
      <c r="HW25" s="158"/>
      <c r="HX25" s="158"/>
      <c r="HY25" s="158"/>
      <c r="HZ25" s="158"/>
      <c r="IA25" s="158"/>
      <c r="IB25" s="158"/>
      <c r="IC25" s="158"/>
      <c r="ID25" s="158"/>
      <c r="IE25" s="158"/>
      <c r="IF25" s="158"/>
      <c r="IG25" s="158"/>
      <c r="IH25" s="158"/>
      <c r="II25" s="158"/>
      <c r="IJ25" s="158"/>
      <c r="IK25" s="158"/>
      <c r="IL25" s="158"/>
      <c r="IM25" s="158"/>
      <c r="IN25" s="158"/>
      <c r="IO25" s="158"/>
      <c r="IP25" s="158"/>
    </row>
    <row r="26" spans="1:250" ht="15.3" x14ac:dyDescent="0.55000000000000004">
      <c r="A26" s="169">
        <f>'Variable Input'!A28</f>
        <v>210033</v>
      </c>
      <c r="B26" s="169" t="str">
        <f>'Variable Input'!B28</f>
        <v>CARROLL HOSPITAL CENTER</v>
      </c>
      <c r="C26" s="167">
        <f>VLOOKUP(A26,'Variable Input'!$1:$1048576,3,FALSE)</f>
        <v>1</v>
      </c>
      <c r="D26" s="167">
        <f>VLOOKUP(A26,'Variable Input'!$1:$1048576,4,FALSE)</f>
        <v>3</v>
      </c>
      <c r="E26" s="162">
        <f>VLOOKUP(A26,'Variable Input'!$1:$1048576,19,FALSE)+VLOOKUP(A26,'GBR Revenue for ICC'!$1:$1048576,18,FALSE)</f>
        <v>23964316.283999935</v>
      </c>
      <c r="F26" s="162">
        <f>VLOOKUP(A26,'Variable Input'!$1:$1048576,18,FALSE)+VLOOKUP(A26,'GBR Revenue for ICC'!$1:$1048576,18,FALSE)</f>
        <v>236249935.41938454</v>
      </c>
      <c r="G26" s="161">
        <f t="shared" si="0"/>
        <v>0.10143628713150386</v>
      </c>
      <c r="H26" s="190"/>
      <c r="I26" s="190"/>
      <c r="J26" s="191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</row>
    <row r="27" spans="1:250" ht="15.75" customHeight="1" x14ac:dyDescent="0.55000000000000004">
      <c r="A27" s="169">
        <f>'Variable Input'!A29</f>
        <v>210034</v>
      </c>
      <c r="B27" s="169" t="str">
        <f>'Variable Input'!B29</f>
        <v>MEDSTAR HARBOR HOSPITAL CENTER</v>
      </c>
      <c r="C27" s="167">
        <f>VLOOKUP(A27,'Variable Input'!$1:$1048576,3,FALSE)</f>
        <v>1</v>
      </c>
      <c r="D27" s="167">
        <f>VLOOKUP(A27,'Variable Input'!$1:$1048576,4,FALSE)</f>
        <v>4</v>
      </c>
      <c r="E27" s="162">
        <f>VLOOKUP(A27,'Variable Input'!$1:$1048576,19,FALSE)+VLOOKUP(A27,'GBR Revenue for ICC'!$1:$1048576,18,FALSE)</f>
        <v>12546054.853292603</v>
      </c>
      <c r="F27" s="162">
        <f>VLOOKUP(A27,'Variable Input'!$1:$1048576,18,FALSE)+VLOOKUP(A27,'GBR Revenue for ICC'!$1:$1048576,18,FALSE)</f>
        <v>180673273.45025635</v>
      </c>
      <c r="G27" s="161">
        <f t="shared" si="0"/>
        <v>6.9440568677950204E-2</v>
      </c>
      <c r="H27" s="190"/>
      <c r="I27" s="190"/>
      <c r="J27" s="191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158"/>
      <c r="HJ27" s="158"/>
      <c r="HK27" s="158"/>
      <c r="HL27" s="158"/>
      <c r="HM27" s="158"/>
      <c r="HN27" s="158"/>
      <c r="HO27" s="158"/>
      <c r="HP27" s="158"/>
      <c r="HQ27" s="158"/>
      <c r="HR27" s="158"/>
      <c r="HS27" s="158"/>
      <c r="HT27" s="158"/>
      <c r="HU27" s="158"/>
      <c r="HV27" s="158"/>
      <c r="HW27" s="158"/>
      <c r="HX27" s="158"/>
      <c r="HY27" s="158"/>
      <c r="HZ27" s="158"/>
      <c r="IA27" s="158"/>
      <c r="IB27" s="158"/>
      <c r="IC27" s="158"/>
      <c r="ID27" s="158"/>
      <c r="IE27" s="158"/>
      <c r="IF27" s="158"/>
      <c r="IG27" s="158"/>
      <c r="IH27" s="158"/>
      <c r="II27" s="158"/>
      <c r="IJ27" s="158"/>
      <c r="IK27" s="158"/>
      <c r="IL27" s="158"/>
      <c r="IM27" s="158"/>
      <c r="IN27" s="158"/>
      <c r="IO27" s="158"/>
      <c r="IP27" s="158"/>
    </row>
    <row r="28" spans="1:250" ht="15.3" x14ac:dyDescent="0.55000000000000004">
      <c r="A28" s="169">
        <f>'Variable Input'!A30</f>
        <v>210035</v>
      </c>
      <c r="B28" s="169" t="str">
        <f>'Variable Input'!B30</f>
        <v>UM-CHARLES REGIONAL MEDICAL CENTER</v>
      </c>
      <c r="C28" s="167">
        <f>VLOOKUP(A28,'Variable Input'!$1:$1048576,3,FALSE)</f>
        <v>1</v>
      </c>
      <c r="D28" s="167">
        <f>VLOOKUP(A28,'Variable Input'!$1:$1048576,4,FALSE)</f>
        <v>3</v>
      </c>
      <c r="E28" s="162">
        <f>VLOOKUP(A28,'Variable Input'!$1:$1048576,19,FALSE)+VLOOKUP(A28,'GBR Revenue for ICC'!$1:$1048576,18,FALSE)</f>
        <v>10123068.747935712</v>
      </c>
      <c r="F28" s="162">
        <f>VLOOKUP(A28,'Variable Input'!$1:$1048576,18,FALSE)+VLOOKUP(A28,'GBR Revenue for ICC'!$1:$1048576,18,FALSE)</f>
        <v>152602323.83517966</v>
      </c>
      <c r="G28" s="161">
        <f t="shared" si="0"/>
        <v>6.6336268632902859E-2</v>
      </c>
      <c r="H28" s="190"/>
      <c r="I28" s="190"/>
      <c r="J28" s="191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</row>
    <row r="29" spans="1:250" ht="15.3" x14ac:dyDescent="0.55000000000000004">
      <c r="A29" s="169">
        <f>'Variable Input'!A31</f>
        <v>210037</v>
      </c>
      <c r="B29" s="169" t="str">
        <f>'Variable Input'!B31</f>
        <v>UM-SHORE REGIONAL HEALTH AT EASTON</v>
      </c>
      <c r="C29" s="167">
        <f>VLOOKUP(A29,'Variable Input'!$1:$1048576,3,FALSE)</f>
        <v>1</v>
      </c>
      <c r="D29" s="167">
        <f>VLOOKUP(A29,'Variable Input'!$1:$1048576,4,FALSE)</f>
        <v>3</v>
      </c>
      <c r="E29" s="162">
        <f>VLOOKUP(A29,'Variable Input'!$1:$1048576,19,FALSE)+VLOOKUP(A29,'GBR Revenue for ICC'!$1:$1048576,18,FALSE)</f>
        <v>72341983.596769035</v>
      </c>
      <c r="F29" s="162">
        <f>VLOOKUP(A29,'Variable Input'!$1:$1048576,18,FALSE)+VLOOKUP(A29,'GBR Revenue for ICC'!$1:$1048576,18,FALSE)</f>
        <v>252812527.29029679</v>
      </c>
      <c r="G29" s="161">
        <f t="shared" si="0"/>
        <v>0.28614872993892815</v>
      </c>
      <c r="H29" s="190"/>
      <c r="I29" s="190"/>
      <c r="J29" s="191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</row>
    <row r="30" spans="1:250" ht="15.3" x14ac:dyDescent="0.55000000000000004">
      <c r="A30" s="169">
        <f>'Variable Input'!A32</f>
        <v>210038</v>
      </c>
      <c r="B30" s="169" t="str">
        <f>'Variable Input'!B32</f>
        <v>UMMC MIDTOWN CAMPUS</v>
      </c>
      <c r="C30" s="167">
        <f>VLOOKUP(A30,'Variable Input'!$1:$1048576,3,FALSE)</f>
        <v>1</v>
      </c>
      <c r="D30" s="167">
        <f>VLOOKUP(A30,'Variable Input'!$1:$1048576,4,FALSE)</f>
        <v>4</v>
      </c>
      <c r="E30" s="162">
        <f>VLOOKUP(A30,'Variable Input'!$1:$1048576,19,FALSE)+VLOOKUP(A30,'GBR Revenue for ICC'!$1:$1048576,18,FALSE)</f>
        <v>-2521497.2458986463</v>
      </c>
      <c r="F30" s="162">
        <f>VLOOKUP(A30,'Variable Input'!$1:$1048576,18,FALSE)+VLOOKUP(A30,'GBR Revenue for ICC'!$1:$1048576,18,FALSE)</f>
        <v>204625613.377188</v>
      </c>
      <c r="G30" s="161">
        <f t="shared" si="0"/>
        <v>-1.2322490837208882E-2</v>
      </c>
      <c r="H30" s="190"/>
      <c r="I30" s="190"/>
      <c r="J30" s="191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  <c r="ID30" s="158"/>
      <c r="IE30" s="158"/>
      <c r="IF30" s="158"/>
      <c r="IG30" s="158"/>
      <c r="IH30" s="158"/>
      <c r="II30" s="158"/>
      <c r="IJ30" s="158"/>
      <c r="IK30" s="158"/>
      <c r="IL30" s="158"/>
      <c r="IM30" s="158"/>
      <c r="IN30" s="158"/>
      <c r="IO30" s="158"/>
      <c r="IP30" s="158"/>
    </row>
    <row r="31" spans="1:250" ht="15.3" x14ac:dyDescent="0.55000000000000004">
      <c r="A31" s="169">
        <f>'Variable Input'!A33</f>
        <v>210039</v>
      </c>
      <c r="B31" s="169" t="str">
        <f>'Variable Input'!B33</f>
        <v>CALVERT MEMORIAL HOSPITAL</v>
      </c>
      <c r="C31" s="167">
        <f>VLOOKUP(A31,'Variable Input'!$1:$1048576,3,FALSE)</f>
        <v>1</v>
      </c>
      <c r="D31" s="167">
        <f>VLOOKUP(A31,'Variable Input'!$1:$1048576,4,FALSE)</f>
        <v>3</v>
      </c>
      <c r="E31" s="162">
        <f>VLOOKUP(A31,'Variable Input'!$1:$1048576,19,FALSE)+VLOOKUP(A31,'GBR Revenue for ICC'!$1:$1048576,18,FALSE)</f>
        <v>14329719.074068733</v>
      </c>
      <c r="F31" s="162">
        <f>VLOOKUP(A31,'Variable Input'!$1:$1048576,18,FALSE)+VLOOKUP(A31,'GBR Revenue for ICC'!$1:$1048576,18,FALSE)</f>
        <v>149758971.13512918</v>
      </c>
      <c r="G31" s="161">
        <f t="shared" si="0"/>
        <v>9.5685213149193371E-2</v>
      </c>
      <c r="H31" s="190"/>
      <c r="I31" s="190"/>
      <c r="J31" s="191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158"/>
      <c r="HN31" s="158"/>
      <c r="HO31" s="158"/>
      <c r="HP31" s="158"/>
      <c r="HQ31" s="158"/>
      <c r="HR31" s="158"/>
      <c r="HS31" s="158"/>
      <c r="HT31" s="158"/>
      <c r="HU31" s="158"/>
      <c r="HV31" s="158"/>
      <c r="HW31" s="158"/>
      <c r="HX31" s="158"/>
      <c r="HY31" s="158"/>
      <c r="HZ31" s="158"/>
      <c r="IA31" s="158"/>
      <c r="IB31" s="158"/>
      <c r="IC31" s="158"/>
      <c r="ID31" s="158"/>
      <c r="IE31" s="158"/>
      <c r="IF31" s="158"/>
      <c r="IG31" s="158"/>
      <c r="IH31" s="158"/>
      <c r="II31" s="158"/>
      <c r="IJ31" s="158"/>
      <c r="IK31" s="158"/>
      <c r="IL31" s="158"/>
      <c r="IM31" s="158"/>
      <c r="IN31" s="158"/>
      <c r="IO31" s="158"/>
      <c r="IP31" s="158"/>
    </row>
    <row r="32" spans="1:250" ht="15.3" x14ac:dyDescent="0.55000000000000004">
      <c r="A32" s="169">
        <f>'Variable Input'!A34</f>
        <v>210040</v>
      </c>
      <c r="B32" s="169" t="str">
        <f>'Variable Input'!B34</f>
        <v>NORTHWEST HOSPITAL CENTER</v>
      </c>
      <c r="C32" s="167">
        <f>VLOOKUP(A32,'Variable Input'!$1:$1048576,3,FALSE)</f>
        <v>1</v>
      </c>
      <c r="D32" s="167">
        <f>VLOOKUP(A32,'Variable Input'!$1:$1048576,4,FALSE)</f>
        <v>3</v>
      </c>
      <c r="E32" s="162">
        <f>VLOOKUP(A32,'Variable Input'!$1:$1048576,19,FALSE)+VLOOKUP(A32,'GBR Revenue for ICC'!$1:$1048576,18,FALSE)</f>
        <v>28074466.595127143</v>
      </c>
      <c r="F32" s="162">
        <f>VLOOKUP(A32,'Variable Input'!$1:$1048576,18,FALSE)+VLOOKUP(A32,'GBR Revenue for ICC'!$1:$1048576,18,FALSE)</f>
        <v>268821007.63213295</v>
      </c>
      <c r="G32" s="161">
        <f t="shared" si="0"/>
        <v>0.10443553813898926</v>
      </c>
      <c r="H32" s="190"/>
      <c r="I32" s="190"/>
      <c r="J32" s="191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</row>
    <row r="33" spans="1:250" ht="15.3" x14ac:dyDescent="0.55000000000000004">
      <c r="A33" s="169">
        <f>'Variable Input'!A35</f>
        <v>210043</v>
      </c>
      <c r="B33" s="169" t="str">
        <f>'Variable Input'!B35</f>
        <v>UM-BALTIMORE WASHINGTON MEDICAL CENTER</v>
      </c>
      <c r="C33" s="167">
        <f>VLOOKUP(A33,'Variable Input'!$1:$1048576,3,FALSE)</f>
        <v>1</v>
      </c>
      <c r="D33" s="167">
        <f>VLOOKUP(A33,'Variable Input'!$1:$1048576,4,FALSE)</f>
        <v>1</v>
      </c>
      <c r="E33" s="162">
        <f>VLOOKUP(A33,'Variable Input'!$1:$1048576,19,FALSE)+VLOOKUP(A33,'GBR Revenue for ICC'!$1:$1048576,18,FALSE)</f>
        <v>48913688.632363155</v>
      </c>
      <c r="F33" s="162">
        <f>VLOOKUP(A33,'Variable Input'!$1:$1048576,18,FALSE)+VLOOKUP(A33,'GBR Revenue for ICC'!$1:$1048576,18,FALSE)</f>
        <v>454517517.9073754</v>
      </c>
      <c r="G33" s="161">
        <f t="shared" si="0"/>
        <v>0.10761672918035056</v>
      </c>
      <c r="H33" s="190"/>
      <c r="I33" s="190"/>
      <c r="J33" s="191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</row>
    <row r="34" spans="1:250" ht="15.3" x14ac:dyDescent="0.55000000000000004">
      <c r="A34" s="169">
        <f>'Variable Input'!A36</f>
        <v>210044</v>
      </c>
      <c r="B34" s="169" t="str">
        <f>'Variable Input'!B36</f>
        <v>GREATER BALTIMORE MEDICAL CENTER</v>
      </c>
      <c r="C34" s="167">
        <f>VLOOKUP(A34,'Variable Input'!$1:$1048576,3,FALSE)</f>
        <v>1</v>
      </c>
      <c r="D34" s="167">
        <f>VLOOKUP(A34,'Variable Input'!$1:$1048576,4,FALSE)</f>
        <v>1</v>
      </c>
      <c r="E34" s="162">
        <f>VLOOKUP(A34,'Variable Input'!$1:$1048576,19,FALSE)+VLOOKUP(A34,'GBR Revenue for ICC'!$1:$1048576,18,FALSE)</f>
        <v>49354735.806065194</v>
      </c>
      <c r="F34" s="162">
        <f>VLOOKUP(A34,'Variable Input'!$1:$1048576,18,FALSE)+VLOOKUP(A34,'GBR Revenue for ICC'!$1:$1048576,18,FALSE)</f>
        <v>445409233.75394839</v>
      </c>
      <c r="G34" s="161">
        <f t="shared" si="0"/>
        <v>0.11080761705387003</v>
      </c>
      <c r="H34" s="190"/>
      <c r="I34" s="190"/>
      <c r="J34" s="191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</row>
    <row r="35" spans="1:250" ht="15.3" x14ac:dyDescent="0.55000000000000004">
      <c r="A35" s="169">
        <f>'Variable Input'!A38</f>
        <v>210048</v>
      </c>
      <c r="B35" s="169" t="str">
        <f>'Variable Input'!B38</f>
        <v>HOWARD COUNTY GENERAL HOSPITAL</v>
      </c>
      <c r="C35" s="167">
        <f>VLOOKUP(A35,'Variable Input'!$1:$1048576,3,FALSE)</f>
        <v>1</v>
      </c>
      <c r="D35" s="167">
        <f>VLOOKUP(A35,'Variable Input'!$1:$1048576,4,FALSE)</f>
        <v>3</v>
      </c>
      <c r="E35" s="162">
        <f>VLOOKUP(A35,'Variable Input'!$1:$1048576,19,FALSE)+VLOOKUP(A35,'GBR Revenue for ICC'!$1:$1048576,18,FALSE)</f>
        <v>-4297659.2750873221</v>
      </c>
      <c r="F35" s="162">
        <f>VLOOKUP(A35,'Variable Input'!$1:$1048576,18,FALSE)+VLOOKUP(A35,'GBR Revenue for ICC'!$1:$1048576,18,FALSE)</f>
        <v>304470998.87091273</v>
      </c>
      <c r="G35" s="161">
        <f t="shared" si="0"/>
        <v>-1.4115167917550698E-2</v>
      </c>
      <c r="H35" s="190"/>
      <c r="I35" s="190"/>
      <c r="J35" s="191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</row>
    <row r="36" spans="1:250" ht="15.3" x14ac:dyDescent="0.55000000000000004">
      <c r="A36" s="169">
        <f>'Variable Input'!A39</f>
        <v>210049</v>
      </c>
      <c r="B36" s="169" t="str">
        <f>'Variable Input'!B39</f>
        <v>UM-UPPER CHESAPEAKE MEDICAL CENTER</v>
      </c>
      <c r="C36" s="167">
        <f>VLOOKUP(A36,'Variable Input'!$1:$1048576,3,FALSE)</f>
        <v>1</v>
      </c>
      <c r="D36" s="167">
        <f>VLOOKUP(A36,'Variable Input'!$1:$1048576,4,FALSE)</f>
        <v>3</v>
      </c>
      <c r="E36" s="162">
        <f>VLOOKUP(A36,'Variable Input'!$1:$1048576,19,FALSE)+VLOOKUP(A36,'GBR Revenue for ICC'!$1:$1048576,18,FALSE)</f>
        <v>55077030.79590518</v>
      </c>
      <c r="F36" s="162">
        <f>VLOOKUP(A36,'Variable Input'!$1:$1048576,18,FALSE)+VLOOKUP(A36,'GBR Revenue for ICC'!$1:$1048576,18,FALSE)</f>
        <v>325277806.77995682</v>
      </c>
      <c r="G36" s="161">
        <f t="shared" si="0"/>
        <v>0.16932305139761214</v>
      </c>
      <c r="H36" s="190"/>
      <c r="I36" s="190"/>
      <c r="J36" s="191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</row>
    <row r="37" spans="1:250" ht="15.3" x14ac:dyDescent="0.55000000000000004">
      <c r="A37" s="169">
        <f>'Variable Input'!A40</f>
        <v>210051</v>
      </c>
      <c r="B37" s="169" t="str">
        <f>'Variable Input'!B40</f>
        <v>DOCTORS COMMUNITY HOSPITAL</v>
      </c>
      <c r="C37" s="167">
        <f>VLOOKUP(A37,'Variable Input'!$1:$1048576,3,FALSE)</f>
        <v>1</v>
      </c>
      <c r="D37" s="167">
        <f>VLOOKUP(A37,'Variable Input'!$1:$1048576,4,FALSE)</f>
        <v>3</v>
      </c>
      <c r="E37" s="162">
        <f>VLOOKUP(A37,'Variable Input'!$1:$1048576,19,FALSE)+VLOOKUP(A37,'GBR Revenue for ICC'!$1:$1048576,18,FALSE)</f>
        <v>1607935.9812144935</v>
      </c>
      <c r="F37" s="162">
        <f>VLOOKUP(A37,'Variable Input'!$1:$1048576,18,FALSE)+VLOOKUP(A37,'GBR Revenue for ICC'!$1:$1048576,18,FALSE)</f>
        <v>231530423.73680881</v>
      </c>
      <c r="G37" s="161">
        <f t="shared" si="0"/>
        <v>6.944815092820405E-3</v>
      </c>
      <c r="H37" s="190"/>
      <c r="I37" s="190"/>
      <c r="J37" s="191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</row>
    <row r="38" spans="1:250" ht="15.3" x14ac:dyDescent="0.55000000000000004">
      <c r="A38" s="169">
        <f>'Variable Input'!A42</f>
        <v>210056</v>
      </c>
      <c r="B38" s="169" t="str">
        <f>'Variable Input'!B42</f>
        <v>MEDSTAR GOOD SAMARITAN</v>
      </c>
      <c r="C38" s="167">
        <f>VLOOKUP(A38,'Variable Input'!$1:$1048576,3,FALSE)</f>
        <v>1</v>
      </c>
      <c r="D38" s="167">
        <f>VLOOKUP(A38,'Variable Input'!$1:$1048576,4,FALSE)</f>
        <v>1</v>
      </c>
      <c r="E38" s="162">
        <f>VLOOKUP(A38,'Variable Input'!$1:$1048576,19,FALSE)+VLOOKUP(A38,'GBR Revenue for ICC'!$1:$1048576,18,FALSE)</f>
        <v>17151889.131109715</v>
      </c>
      <c r="F38" s="162">
        <f>VLOOKUP(A38,'Variable Input'!$1:$1048576,18,FALSE)+VLOOKUP(A38,'GBR Revenue for ICC'!$1:$1048576,18,FALSE)</f>
        <v>253632642.86830425</v>
      </c>
      <c r="G38" s="161">
        <f t="shared" si="0"/>
        <v>6.7624927679421881E-2</v>
      </c>
      <c r="H38" s="190"/>
      <c r="I38" s="190"/>
      <c r="J38" s="191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</row>
    <row r="39" spans="1:250" ht="15.3" x14ac:dyDescent="0.55000000000000004">
      <c r="A39" s="169">
        <f>'Variable Input'!A43</f>
        <v>210057</v>
      </c>
      <c r="B39" s="169" t="str">
        <f>'Variable Input'!B43</f>
        <v>SHADY GROVE ADVENTIST HOSPITAL</v>
      </c>
      <c r="C39" s="167">
        <f>VLOOKUP(A39,'Variable Input'!$1:$1048576,3,FALSE)</f>
        <v>1</v>
      </c>
      <c r="D39" s="167">
        <f>VLOOKUP(A39,'Variable Input'!$1:$1048576,4,FALSE)</f>
        <v>3</v>
      </c>
      <c r="E39" s="162">
        <f>VLOOKUP(A39,'Variable Input'!$1:$1048576,19,FALSE)+VLOOKUP(A39,'GBR Revenue for ICC'!$1:$1048576,18,FALSE)</f>
        <v>58644014.498791426</v>
      </c>
      <c r="F39" s="162">
        <f>VLOOKUP(A39,'Variable Input'!$1:$1048576,18,FALSE)+VLOOKUP(A39,'GBR Revenue for ICC'!$1:$1048576,18,FALSE)</f>
        <v>443821252.13879144</v>
      </c>
      <c r="G39" s="161">
        <f t="shared" si="0"/>
        <v>0.13213430906290247</v>
      </c>
      <c r="H39" s="190"/>
      <c r="I39" s="190"/>
      <c r="J39" s="191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  <c r="ID39" s="158"/>
      <c r="IE39" s="158"/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</row>
    <row r="40" spans="1:250" ht="15.3" x14ac:dyDescent="0.55000000000000004">
      <c r="A40" s="169">
        <f>'Variable Input'!A44</f>
        <v>210058</v>
      </c>
      <c r="B40" s="169" t="str">
        <f>'Variable Input'!B44</f>
        <v>UM-REHABILITATION &amp; ORTHOPAEDIC INSTITUTE</v>
      </c>
      <c r="C40" s="167">
        <f>VLOOKUP(A40,'Variable Input'!$1:$1048576,3,FALSE)</f>
        <v>1</v>
      </c>
      <c r="D40" s="167">
        <f>VLOOKUP(A40,'Variable Input'!$1:$1048576,4,FALSE)</f>
        <v>1</v>
      </c>
      <c r="E40" s="162">
        <f>VLOOKUP(A40,'Variable Input'!$1:$1048576,19,FALSE)+VLOOKUP(A40,'GBR Revenue for ICC'!$1:$1048576,18,FALSE)</f>
        <v>17815806.177530829</v>
      </c>
      <c r="F40" s="162">
        <f>VLOOKUP(A40,'Variable Input'!$1:$1048576,18,FALSE)+VLOOKUP(A40,'GBR Revenue for ICC'!$1:$1048576,18,FALSE)</f>
        <v>121176511.93773313</v>
      </c>
      <c r="G40" s="161">
        <f t="shared" si="0"/>
        <v>0.14702359304322546</v>
      </c>
      <c r="H40" s="190"/>
      <c r="I40" s="190"/>
      <c r="J40" s="191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8"/>
      <c r="IO40" s="158"/>
      <c r="IP40" s="158"/>
    </row>
    <row r="41" spans="1:250" ht="15.3" x14ac:dyDescent="0.55000000000000004">
      <c r="A41" s="169">
        <f>'Variable Input'!A45</f>
        <v>210060</v>
      </c>
      <c r="B41" s="169" t="str">
        <f>'Variable Input'!B45</f>
        <v>FORT WASHINGTON MEDICAL CENTER</v>
      </c>
      <c r="C41" s="167">
        <f>VLOOKUP(A41,'Variable Input'!$1:$1048576,3,FALSE)</f>
        <v>1</v>
      </c>
      <c r="D41" s="167">
        <f>VLOOKUP(A41,'Variable Input'!$1:$1048576,4,FALSE)</f>
        <v>3</v>
      </c>
      <c r="E41" s="162">
        <f>VLOOKUP(A41,'Variable Input'!$1:$1048576,19,FALSE)+VLOOKUP(A41,'GBR Revenue for ICC'!$1:$1048576,18,FALSE)</f>
        <v>5745390.3838578155</v>
      </c>
      <c r="F41" s="162">
        <f>VLOOKUP(A41,'Variable Input'!$1:$1048576,18,FALSE)+VLOOKUP(A41,'GBR Revenue for ICC'!$1:$1048576,18,FALSE)</f>
        <v>60671974.420194082</v>
      </c>
      <c r="G41" s="161">
        <f t="shared" si="0"/>
        <v>9.4695952105780121E-2</v>
      </c>
      <c r="H41" s="190"/>
      <c r="I41" s="190"/>
      <c r="J41" s="191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  <c r="ID41" s="158"/>
      <c r="IE41" s="158"/>
      <c r="IF41" s="158"/>
      <c r="IG41" s="158"/>
      <c r="IH41" s="158"/>
      <c r="II41" s="158"/>
      <c r="IJ41" s="158"/>
      <c r="IK41" s="158"/>
      <c r="IL41" s="158"/>
      <c r="IM41" s="158"/>
      <c r="IN41" s="158"/>
      <c r="IO41" s="158"/>
      <c r="IP41" s="158"/>
    </row>
    <row r="42" spans="1:250" ht="15.3" x14ac:dyDescent="0.55000000000000004">
      <c r="A42" s="169">
        <f>'Variable Input'!A46</f>
        <v>210061</v>
      </c>
      <c r="B42" s="169" t="str">
        <f>'Variable Input'!B46</f>
        <v>ATLANTIC GENERAL HOSPITAL</v>
      </c>
      <c r="C42" s="167">
        <f>VLOOKUP(A42,'Variable Input'!$1:$1048576,3,FALSE)</f>
        <v>1</v>
      </c>
      <c r="D42" s="167">
        <f>VLOOKUP(A42,'Variable Input'!$1:$1048576,4,FALSE)</f>
        <v>3</v>
      </c>
      <c r="E42" s="162">
        <f>VLOOKUP(A42,'Variable Input'!$1:$1048576,19,FALSE)+VLOOKUP(A42,'GBR Revenue for ICC'!$1:$1048576,18,FALSE)</f>
        <v>21363290.663353667</v>
      </c>
      <c r="F42" s="162">
        <f>VLOOKUP(A42,'Variable Input'!$1:$1048576,18,FALSE)+VLOOKUP(A42,'GBR Revenue for ICC'!$1:$1048576,18,FALSE)</f>
        <v>113361085.61748394</v>
      </c>
      <c r="G42" s="161">
        <f t="shared" si="0"/>
        <v>0.18845347631408671</v>
      </c>
      <c r="H42" s="190"/>
      <c r="I42" s="190"/>
      <c r="J42" s="191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  <c r="ID42" s="158"/>
      <c r="IE42" s="158"/>
      <c r="IF42" s="158"/>
      <c r="IG42" s="158"/>
      <c r="IH42" s="158"/>
      <c r="II42" s="158"/>
      <c r="IJ42" s="158"/>
      <c r="IK42" s="158"/>
      <c r="IL42" s="158"/>
      <c r="IM42" s="158"/>
      <c r="IN42" s="158"/>
      <c r="IO42" s="158"/>
      <c r="IP42" s="158"/>
    </row>
    <row r="43" spans="1:250" ht="15.3" x14ac:dyDescent="0.55000000000000004">
      <c r="A43" s="169">
        <f>'Variable Input'!A47</f>
        <v>210062</v>
      </c>
      <c r="B43" s="169" t="str">
        <f>'Variable Input'!B47</f>
        <v>MEDSTAR SOUTHERN MARYLAND HOSPITAL CENTER</v>
      </c>
      <c r="C43" s="167">
        <f>VLOOKUP(A43,'Variable Input'!$1:$1048576,3,FALSE)</f>
        <v>1</v>
      </c>
      <c r="D43" s="167">
        <f>VLOOKUP(A43,'Variable Input'!$1:$1048576,4,FALSE)</f>
        <v>3</v>
      </c>
      <c r="E43" s="162">
        <f>VLOOKUP(A43,'Variable Input'!$1:$1048576,19,FALSE)+VLOOKUP(A43,'GBR Revenue for ICC'!$1:$1048576,18,FALSE)</f>
        <v>5787815.1122135818</v>
      </c>
      <c r="F43" s="162">
        <f>VLOOKUP(A43,'Variable Input'!$1:$1048576,18,FALSE)+VLOOKUP(A43,'GBR Revenue for ICC'!$1:$1048576,18,FALSE)</f>
        <v>264049690.10851425</v>
      </c>
      <c r="G43" s="161">
        <f t="shared" si="0"/>
        <v>2.191941641679266E-2</v>
      </c>
      <c r="H43" s="190"/>
      <c r="I43" s="190"/>
      <c r="J43" s="191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158"/>
      <c r="GR43" s="158"/>
      <c r="GS43" s="158"/>
      <c r="GT43" s="158"/>
      <c r="GU43" s="158"/>
      <c r="GV43" s="158"/>
      <c r="GW43" s="158"/>
      <c r="GX43" s="158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158"/>
      <c r="HJ43" s="158"/>
      <c r="HK43" s="158"/>
      <c r="HL43" s="158"/>
      <c r="HM43" s="158"/>
      <c r="HN43" s="158"/>
      <c r="HO43" s="158"/>
      <c r="HP43" s="158"/>
      <c r="HQ43" s="158"/>
      <c r="HR43" s="158"/>
      <c r="HS43" s="158"/>
      <c r="HT43" s="158"/>
      <c r="HU43" s="158"/>
      <c r="HV43" s="158"/>
      <c r="HW43" s="158"/>
      <c r="HX43" s="158"/>
      <c r="HY43" s="158"/>
      <c r="HZ43" s="158"/>
      <c r="IA43" s="158"/>
      <c r="IB43" s="158"/>
      <c r="IC43" s="158"/>
      <c r="ID43" s="158"/>
      <c r="IE43" s="158"/>
      <c r="IF43" s="158"/>
      <c r="IG43" s="158"/>
      <c r="IH43" s="158"/>
      <c r="II43" s="158"/>
      <c r="IJ43" s="158"/>
      <c r="IK43" s="158"/>
      <c r="IL43" s="158"/>
      <c r="IM43" s="158"/>
      <c r="IN43" s="158"/>
      <c r="IO43" s="158"/>
      <c r="IP43" s="158"/>
    </row>
    <row r="44" spans="1:250" ht="15.3" x14ac:dyDescent="0.55000000000000004">
      <c r="A44" s="169">
        <f>'Variable Input'!A48</f>
        <v>210063</v>
      </c>
      <c r="B44" s="169" t="str">
        <f>'Variable Input'!B48</f>
        <v>UM-ST. JOSEPH MEDICAL CENTER</v>
      </c>
      <c r="C44" s="167">
        <f>VLOOKUP(A44,'Variable Input'!$1:$1048576,3,FALSE)</f>
        <v>1</v>
      </c>
      <c r="D44" s="167">
        <f>VLOOKUP(A44,'Variable Input'!$1:$1048576,4,FALSE)</f>
        <v>3</v>
      </c>
      <c r="E44" s="162">
        <f>VLOOKUP(A44,'Variable Input'!$1:$1048576,19,FALSE)+VLOOKUP(A44,'GBR Revenue for ICC'!$1:$1048576,18,FALSE)</f>
        <v>50686682.111559391</v>
      </c>
      <c r="F44" s="162">
        <f>VLOOKUP(A44,'Variable Input'!$1:$1048576,18,FALSE)+VLOOKUP(A44,'GBR Revenue for ICC'!$1:$1048576,18,FALSE)</f>
        <v>377989497.0527367</v>
      </c>
      <c r="G44" s="161">
        <f t="shared" si="0"/>
        <v>0.13409547753779952</v>
      </c>
      <c r="H44" s="190"/>
      <c r="I44" s="190"/>
      <c r="J44" s="191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158"/>
      <c r="DK44" s="158"/>
      <c r="DL44" s="158"/>
      <c r="DM44" s="158"/>
      <c r="DN44" s="158"/>
      <c r="DO44" s="158"/>
      <c r="DP44" s="158"/>
      <c r="DQ44" s="158"/>
      <c r="DR44" s="158"/>
      <c r="DS44" s="158"/>
      <c r="DT44" s="158"/>
      <c r="DU44" s="158"/>
      <c r="DV44" s="158"/>
      <c r="DW44" s="158"/>
      <c r="DX44" s="158"/>
      <c r="DY44" s="158"/>
      <c r="DZ44" s="158"/>
      <c r="EA44" s="158"/>
      <c r="EB44" s="158"/>
      <c r="EC44" s="158"/>
      <c r="ED44" s="158"/>
      <c r="EE44" s="158"/>
      <c r="EF44" s="158"/>
      <c r="EG44" s="158"/>
      <c r="EH44" s="158"/>
      <c r="EI44" s="158"/>
      <c r="EJ44" s="158"/>
      <c r="EK44" s="158"/>
      <c r="EL44" s="158"/>
      <c r="EM44" s="158"/>
      <c r="EN44" s="158"/>
      <c r="EO44" s="158"/>
      <c r="EP44" s="158"/>
      <c r="EQ44" s="158"/>
      <c r="ER44" s="158"/>
      <c r="ES44" s="158"/>
      <c r="ET44" s="158"/>
      <c r="EU44" s="158"/>
      <c r="EV44" s="158"/>
      <c r="EW44" s="158"/>
      <c r="EX44" s="158"/>
      <c r="EY44" s="158"/>
      <c r="EZ44" s="158"/>
      <c r="FA44" s="158"/>
      <c r="FB44" s="158"/>
      <c r="FC44" s="158"/>
      <c r="FD44" s="158"/>
      <c r="FE44" s="158"/>
      <c r="FF44" s="158"/>
      <c r="FG44" s="158"/>
      <c r="FH44" s="158"/>
      <c r="FI44" s="158"/>
      <c r="FJ44" s="158"/>
      <c r="FK44" s="158"/>
      <c r="FL44" s="158"/>
      <c r="FM44" s="158"/>
      <c r="FN44" s="158"/>
      <c r="FO44" s="158"/>
      <c r="FP44" s="158"/>
      <c r="FQ44" s="158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  <c r="GD44" s="158"/>
      <c r="GE44" s="158"/>
      <c r="GF44" s="158"/>
      <c r="GG44" s="158"/>
      <c r="GH44" s="158"/>
      <c r="GI44" s="158"/>
      <c r="GJ44" s="158"/>
      <c r="GK44" s="158"/>
      <c r="GL44" s="158"/>
      <c r="GM44" s="158"/>
      <c r="GN44" s="158"/>
      <c r="GO44" s="158"/>
      <c r="GP44" s="158"/>
      <c r="GQ44" s="158"/>
      <c r="GR44" s="158"/>
      <c r="GS44" s="158"/>
      <c r="GT44" s="158"/>
      <c r="GU44" s="158"/>
      <c r="GV44" s="158"/>
      <c r="GW44" s="158"/>
      <c r="GX44" s="158"/>
      <c r="GY44" s="158"/>
      <c r="GZ44" s="158"/>
      <c r="HA44" s="158"/>
      <c r="HB44" s="158"/>
      <c r="HC44" s="158"/>
      <c r="HD44" s="158"/>
      <c r="HE44" s="158"/>
      <c r="HF44" s="158"/>
      <c r="HG44" s="158"/>
      <c r="HH44" s="158"/>
      <c r="HI44" s="158"/>
      <c r="HJ44" s="158"/>
      <c r="HK44" s="158"/>
      <c r="HL44" s="158"/>
      <c r="HM44" s="158"/>
      <c r="HN44" s="158"/>
      <c r="HO44" s="158"/>
      <c r="HP44" s="158"/>
      <c r="HQ44" s="158"/>
      <c r="HR44" s="158"/>
      <c r="HS44" s="158"/>
      <c r="HT44" s="158"/>
      <c r="HU44" s="158"/>
      <c r="HV44" s="158"/>
      <c r="HW44" s="158"/>
      <c r="HX44" s="158"/>
      <c r="HY44" s="158"/>
      <c r="HZ44" s="158"/>
      <c r="IA44" s="158"/>
      <c r="IB44" s="158"/>
      <c r="IC44" s="158"/>
      <c r="ID44" s="158"/>
      <c r="IE44" s="158"/>
      <c r="IF44" s="158"/>
      <c r="IG44" s="158"/>
      <c r="IH44" s="158"/>
      <c r="II44" s="158"/>
      <c r="IJ44" s="158"/>
      <c r="IK44" s="158"/>
      <c r="IL44" s="158"/>
      <c r="IM44" s="158"/>
      <c r="IN44" s="158"/>
      <c r="IO44" s="158"/>
      <c r="IP44" s="158"/>
    </row>
    <row r="45" spans="1:250" ht="15.3" x14ac:dyDescent="0.55000000000000004">
      <c r="A45" s="169">
        <v>210065</v>
      </c>
      <c r="B45" s="169" t="s">
        <v>81</v>
      </c>
      <c r="C45" s="167">
        <f>VLOOKUP(A45,'Variable Input'!$1:$1048576,3,FALSE)</f>
        <v>1</v>
      </c>
      <c r="D45" s="167">
        <f>VLOOKUP(A45,'Variable Input'!$1:$1048576,4,FALSE)</f>
        <v>3</v>
      </c>
      <c r="E45" s="162">
        <f>VLOOKUP(A45,'Variable Input'!$1:$1048576,19,FALSE)+VLOOKUP(A45,'GBR Revenue for ICC'!$1:$1048576,18,FALSE)</f>
        <v>446949.90483820857</v>
      </c>
      <c r="F45" s="162">
        <f>VLOOKUP(A45,'Variable Input'!$1:$1048576,18,FALSE)+VLOOKUP(A45,'GBR Revenue for ICC'!$1:$1048576,18,FALSE)</f>
        <v>126043790.80578582</v>
      </c>
      <c r="G45" s="161">
        <f t="shared" si="0"/>
        <v>3.5459890723763612E-3</v>
      </c>
      <c r="H45" s="190"/>
      <c r="I45" s="190"/>
      <c r="J45" s="191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P45" s="158"/>
      <c r="GQ45" s="158"/>
      <c r="GR45" s="158"/>
      <c r="GS45" s="158"/>
      <c r="GT45" s="158"/>
      <c r="GU45" s="158"/>
      <c r="GV45" s="158"/>
      <c r="GW45" s="158"/>
      <c r="GX45" s="158"/>
      <c r="GY45" s="158"/>
      <c r="GZ45" s="158"/>
      <c r="HA45" s="158"/>
      <c r="HB45" s="158"/>
      <c r="HC45" s="158"/>
      <c r="HD45" s="158"/>
      <c r="HE45" s="158"/>
      <c r="HF45" s="158"/>
      <c r="HG45" s="158"/>
      <c r="HH45" s="158"/>
      <c r="HI45" s="158"/>
      <c r="HJ45" s="158"/>
      <c r="HK45" s="158"/>
      <c r="HL45" s="158"/>
      <c r="HM45" s="158"/>
      <c r="HN45" s="158"/>
      <c r="HO45" s="158"/>
      <c r="HP45" s="158"/>
      <c r="HQ45" s="158"/>
      <c r="HR45" s="158"/>
      <c r="HS45" s="158"/>
      <c r="HT45" s="158"/>
      <c r="HU45" s="158"/>
      <c r="HV45" s="158"/>
      <c r="HW45" s="158"/>
      <c r="HX45" s="158"/>
      <c r="HY45" s="158"/>
      <c r="HZ45" s="158"/>
      <c r="IA45" s="158"/>
      <c r="IB45" s="158"/>
      <c r="IC45" s="158"/>
      <c r="ID45" s="158"/>
      <c r="IE45" s="158"/>
      <c r="IF45" s="158"/>
      <c r="IG45" s="158"/>
      <c r="IH45" s="158"/>
      <c r="II45" s="158"/>
      <c r="IJ45" s="158"/>
      <c r="IK45" s="158"/>
      <c r="IL45" s="158"/>
      <c r="IM45" s="158"/>
      <c r="IN45" s="158"/>
      <c r="IO45" s="158"/>
      <c r="IP45" s="158"/>
    </row>
    <row r="46" spans="1:250" ht="15.3" x14ac:dyDescent="0.55000000000000004">
      <c r="A46" s="169">
        <f>'Variable Input'!A50</f>
        <v>910003</v>
      </c>
      <c r="B46" s="169" t="str">
        <f>'Variable Input'!B50</f>
        <v>Prince Georges Hospital</v>
      </c>
      <c r="C46" s="168">
        <f>VLOOKUP(A46,'Variable Input'!$1:$1048576,4,FALSE)</f>
        <v>5</v>
      </c>
      <c r="D46" s="167">
        <f>VLOOKUP(A46,'Variable Input'!$1:$1048576,4,FALSE)</f>
        <v>5</v>
      </c>
      <c r="E46" s="417">
        <f>SUMIF($A:$A,210003,E:E)</f>
        <v>20259956.575403932</v>
      </c>
      <c r="F46" s="417">
        <f>SUMIF($A:$A,210003,F:F)</f>
        <v>330938681.76188469</v>
      </c>
      <c r="G46" s="161">
        <f t="shared" si="0"/>
        <v>6.1219669056339784E-2</v>
      </c>
      <c r="H46" s="190"/>
      <c r="I46" s="190"/>
      <c r="J46" s="191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/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/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/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158"/>
      <c r="HJ46" s="158"/>
      <c r="HK46" s="158"/>
      <c r="HL46" s="158"/>
      <c r="HM46" s="158"/>
      <c r="HN46" s="158"/>
      <c r="HO46" s="158"/>
      <c r="HP46" s="158"/>
      <c r="HQ46" s="158"/>
      <c r="HR46" s="158"/>
      <c r="HS46" s="158"/>
      <c r="HT46" s="158"/>
      <c r="HU46" s="158"/>
      <c r="HV46" s="158"/>
      <c r="HW46" s="158"/>
      <c r="HX46" s="158"/>
      <c r="HY46" s="158"/>
      <c r="HZ46" s="158"/>
      <c r="IA46" s="158"/>
      <c r="IB46" s="158"/>
      <c r="IC46" s="158"/>
      <c r="ID46" s="158"/>
      <c r="IE46" s="158"/>
      <c r="IF46" s="158"/>
      <c r="IG46" s="158"/>
      <c r="IH46" s="158"/>
      <c r="II46" s="158"/>
      <c r="IJ46" s="158"/>
      <c r="IK46" s="158"/>
      <c r="IL46" s="158"/>
      <c r="IM46" s="158"/>
      <c r="IN46" s="158"/>
      <c r="IO46" s="158"/>
      <c r="IP46" s="158"/>
    </row>
    <row r="47" spans="1:250" ht="15.3" x14ac:dyDescent="0.55000000000000004">
      <c r="A47" s="169">
        <f>'Variable Input'!A51</f>
        <v>910008</v>
      </c>
      <c r="B47" s="169" t="str">
        <f>'Variable Input'!B51</f>
        <v>Mercy Medical Center</v>
      </c>
      <c r="C47" s="168">
        <f>VLOOKUP(A47,'Variable Input'!$1:$1048576,4,FALSE)</f>
        <v>5</v>
      </c>
      <c r="D47" s="167">
        <f>VLOOKUP(A47,'Variable Input'!$1:$1048576,4,FALSE)</f>
        <v>5</v>
      </c>
      <c r="E47" s="417">
        <f>SUMIF($A:$A,210008,E:E)</f>
        <v>56390724.77985581</v>
      </c>
      <c r="F47" s="417">
        <f>SUMIF($A:$A,210008,F:F)</f>
        <v>575651906.23541343</v>
      </c>
      <c r="G47" s="161">
        <f t="shared" si="0"/>
        <v>9.7959763824346249E-2</v>
      </c>
      <c r="H47" s="190"/>
      <c r="I47" s="190"/>
      <c r="J47" s="191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  <c r="GP47" s="158"/>
      <c r="GQ47" s="158"/>
      <c r="GR47" s="158"/>
      <c r="GS47" s="158"/>
      <c r="GT47" s="158"/>
      <c r="GU47" s="158"/>
      <c r="GV47" s="158"/>
      <c r="GW47" s="158"/>
      <c r="GX47" s="158"/>
      <c r="GY47" s="158"/>
      <c r="GZ47" s="158"/>
      <c r="HA47" s="158"/>
      <c r="HB47" s="158"/>
      <c r="HC47" s="158"/>
      <c r="HD47" s="158"/>
      <c r="HE47" s="158"/>
      <c r="HF47" s="158"/>
      <c r="HG47" s="158"/>
      <c r="HH47" s="158"/>
      <c r="HI47" s="158"/>
      <c r="HJ47" s="158"/>
      <c r="HK47" s="158"/>
      <c r="HL47" s="158"/>
      <c r="HM47" s="158"/>
      <c r="HN47" s="158"/>
      <c r="HO47" s="158"/>
      <c r="HP47" s="158"/>
      <c r="HQ47" s="158"/>
      <c r="HR47" s="158"/>
      <c r="HS47" s="158"/>
      <c r="HT47" s="158"/>
      <c r="HU47" s="158"/>
      <c r="HV47" s="158"/>
      <c r="HW47" s="158"/>
      <c r="HX47" s="158"/>
      <c r="HY47" s="158"/>
      <c r="HZ47" s="158"/>
      <c r="IA47" s="158"/>
      <c r="IB47" s="158"/>
      <c r="IC47" s="158"/>
      <c r="ID47" s="158"/>
      <c r="IE47" s="158"/>
      <c r="IF47" s="158"/>
      <c r="IG47" s="158"/>
      <c r="IH47" s="158"/>
      <c r="II47" s="158"/>
      <c r="IJ47" s="158"/>
      <c r="IK47" s="158"/>
      <c r="IL47" s="158"/>
      <c r="IM47" s="158"/>
      <c r="IN47" s="158"/>
      <c r="IO47" s="158"/>
      <c r="IP47" s="158"/>
    </row>
    <row r="48" spans="1:250" ht="15.3" x14ac:dyDescent="0.55000000000000004">
      <c r="A48" s="169">
        <f>'Variable Input'!A52</f>
        <v>910012</v>
      </c>
      <c r="B48" s="169" t="str">
        <f>'Variable Input'!B52</f>
        <v>Sinai Hospital</v>
      </c>
      <c r="C48" s="168">
        <f>VLOOKUP(A48,'Variable Input'!$1:$1048576,4,FALSE)</f>
        <v>5</v>
      </c>
      <c r="D48" s="167">
        <f>VLOOKUP(A48,'Variable Input'!$1:$1048576,4,FALSE)</f>
        <v>5</v>
      </c>
      <c r="E48" s="417">
        <f>SUMIF($A:$A,210012,E:E)</f>
        <v>118583591.05813788</v>
      </c>
      <c r="F48" s="417">
        <f>SUMIF($A:$A,210012,F:F)</f>
        <v>834418262.13085854</v>
      </c>
      <c r="G48" s="161">
        <f t="shared" si="0"/>
        <v>0.14211528730844206</v>
      </c>
      <c r="H48" s="190"/>
      <c r="I48" s="190"/>
      <c r="J48" s="191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58"/>
      <c r="EH48" s="158"/>
      <c r="EI48" s="158"/>
      <c r="EJ48" s="158"/>
      <c r="EK48" s="158"/>
      <c r="EL48" s="158"/>
      <c r="EM48" s="158"/>
      <c r="EN48" s="158"/>
      <c r="EO48" s="158"/>
      <c r="EP48" s="158"/>
      <c r="EQ48" s="158"/>
      <c r="ER48" s="158"/>
      <c r="ES48" s="158"/>
      <c r="ET48" s="158"/>
      <c r="EU48" s="158"/>
      <c r="EV48" s="158"/>
      <c r="EW48" s="158"/>
      <c r="EX48" s="158"/>
      <c r="EY48" s="158"/>
      <c r="EZ48" s="158"/>
      <c r="FA48" s="158"/>
      <c r="FB48" s="158"/>
      <c r="FC48" s="158"/>
      <c r="FD48" s="158"/>
      <c r="FE48" s="158"/>
      <c r="FF48" s="158"/>
      <c r="FG48" s="158"/>
      <c r="FH48" s="158"/>
      <c r="FI48" s="158"/>
      <c r="FJ48" s="158"/>
      <c r="FK48" s="158"/>
      <c r="FL48" s="158"/>
      <c r="FM48" s="158"/>
      <c r="FN48" s="158"/>
      <c r="FO48" s="158"/>
      <c r="FP48" s="158"/>
      <c r="FQ48" s="158"/>
      <c r="FR48" s="158"/>
      <c r="FS48" s="158"/>
      <c r="FT48" s="158"/>
      <c r="FU48" s="158"/>
      <c r="FV48" s="158"/>
      <c r="FW48" s="158"/>
      <c r="FX48" s="158"/>
      <c r="FY48" s="158"/>
      <c r="FZ48" s="158"/>
      <c r="GA48" s="158"/>
      <c r="GB48" s="158"/>
      <c r="GC48" s="158"/>
      <c r="GD48" s="158"/>
      <c r="GE48" s="158"/>
      <c r="GF48" s="158"/>
      <c r="GG48" s="158"/>
      <c r="GH48" s="158"/>
      <c r="GI48" s="158"/>
      <c r="GJ48" s="158"/>
      <c r="GK48" s="158"/>
      <c r="GL48" s="158"/>
      <c r="GM48" s="158"/>
      <c r="GN48" s="158"/>
      <c r="GO48" s="158"/>
      <c r="GP48" s="158"/>
      <c r="GQ48" s="158"/>
      <c r="GR48" s="158"/>
      <c r="GS48" s="158"/>
      <c r="GT48" s="158"/>
      <c r="GU48" s="158"/>
      <c r="GV48" s="158"/>
      <c r="GW48" s="158"/>
      <c r="GX48" s="158"/>
      <c r="GY48" s="158"/>
      <c r="GZ48" s="158"/>
      <c r="HA48" s="158"/>
      <c r="HB48" s="158"/>
      <c r="HC48" s="158"/>
      <c r="HD48" s="158"/>
      <c r="HE48" s="158"/>
      <c r="HF48" s="158"/>
      <c r="HG48" s="158"/>
      <c r="HH48" s="158"/>
      <c r="HI48" s="158"/>
      <c r="HJ48" s="158"/>
      <c r="HK48" s="158"/>
      <c r="HL48" s="158"/>
      <c r="HM48" s="158"/>
      <c r="HN48" s="158"/>
      <c r="HO48" s="158"/>
      <c r="HP48" s="158"/>
      <c r="HQ48" s="158"/>
      <c r="HR48" s="158"/>
      <c r="HS48" s="158"/>
      <c r="HT48" s="158"/>
      <c r="HU48" s="158"/>
      <c r="HV48" s="158"/>
      <c r="HW48" s="158"/>
      <c r="HX48" s="158"/>
      <c r="HY48" s="158"/>
      <c r="HZ48" s="158"/>
      <c r="IA48" s="158"/>
      <c r="IB48" s="158"/>
      <c r="IC48" s="158"/>
      <c r="ID48" s="158"/>
      <c r="IE48" s="158"/>
      <c r="IF48" s="158"/>
      <c r="IG48" s="158"/>
      <c r="IH48" s="158"/>
      <c r="II48" s="158"/>
      <c r="IJ48" s="158"/>
      <c r="IK48" s="158"/>
      <c r="IL48" s="158"/>
      <c r="IM48" s="158"/>
      <c r="IN48" s="158"/>
      <c r="IO48" s="158"/>
      <c r="IP48" s="158"/>
    </row>
    <row r="49" spans="1:254" ht="15.3" x14ac:dyDescent="0.55000000000000004">
      <c r="A49" s="169">
        <f>'Variable Input'!A53</f>
        <v>910024</v>
      </c>
      <c r="B49" s="169" t="str">
        <f>'Variable Input'!B53</f>
        <v>Union Memorial Hospital</v>
      </c>
      <c r="C49" s="168">
        <f>VLOOKUP(A49,'Variable Input'!$1:$1048576,4,FALSE)</f>
        <v>5</v>
      </c>
      <c r="D49" s="167">
        <f>VLOOKUP(A49,'Variable Input'!$1:$1048576,4,FALSE)</f>
        <v>5</v>
      </c>
      <c r="E49" s="417">
        <f>SUMIF($A:$A,210024,E:E)</f>
        <v>17790502.707416065</v>
      </c>
      <c r="F49" s="417">
        <f>SUMIF($A:$A,210024,F:F)</f>
        <v>402122415.68331814</v>
      </c>
      <c r="G49" s="161">
        <f t="shared" si="0"/>
        <v>4.4241509584053006E-2</v>
      </c>
      <c r="H49" s="190"/>
      <c r="I49" s="190"/>
      <c r="J49" s="191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P49" s="158"/>
      <c r="GQ49" s="158"/>
      <c r="GR49" s="158"/>
      <c r="GS49" s="158"/>
      <c r="GT49" s="158"/>
      <c r="GU49" s="158"/>
      <c r="GV49" s="158"/>
      <c r="GW49" s="158"/>
      <c r="GX49" s="158"/>
      <c r="GY49" s="158"/>
      <c r="GZ49" s="158"/>
      <c r="HA49" s="158"/>
      <c r="HB49" s="158"/>
      <c r="HC49" s="158"/>
      <c r="HD49" s="158"/>
      <c r="HE49" s="158"/>
      <c r="HF49" s="158"/>
      <c r="HG49" s="158"/>
      <c r="HH49" s="158"/>
      <c r="HI49" s="158"/>
      <c r="HJ49" s="158"/>
      <c r="HK49" s="158"/>
      <c r="HL49" s="158"/>
      <c r="HM49" s="158"/>
      <c r="HN49" s="158"/>
      <c r="HO49" s="158"/>
      <c r="HP49" s="158"/>
      <c r="HQ49" s="158"/>
      <c r="HR49" s="158"/>
      <c r="HS49" s="158"/>
      <c r="HT49" s="158"/>
      <c r="HU49" s="158"/>
      <c r="HV49" s="158"/>
      <c r="HW49" s="158"/>
      <c r="HX49" s="158"/>
      <c r="HY49" s="158"/>
      <c r="HZ49" s="158"/>
      <c r="IA49" s="158"/>
      <c r="IB49" s="158"/>
      <c r="IC49" s="158"/>
      <c r="ID49" s="158"/>
      <c r="IE49" s="158"/>
      <c r="IF49" s="158"/>
      <c r="IG49" s="158"/>
      <c r="IH49" s="158"/>
      <c r="II49" s="158"/>
      <c r="IJ49" s="158"/>
      <c r="IK49" s="158"/>
      <c r="IL49" s="158"/>
      <c r="IM49" s="158"/>
      <c r="IN49" s="158"/>
      <c r="IO49" s="158"/>
      <c r="IP49" s="158"/>
    </row>
    <row r="50" spans="1:254" ht="15.3" x14ac:dyDescent="0.55000000000000004">
      <c r="A50" s="169">
        <f>'Variable Input'!A54</f>
        <v>910029</v>
      </c>
      <c r="B50" s="169" t="str">
        <f>'Variable Input'!B54</f>
        <v>Johns Hopkins Bayview Medical Center</v>
      </c>
      <c r="C50" s="168">
        <f>VLOOKUP(A50,'Variable Input'!$1:$1048576,4,FALSE)</f>
        <v>5</v>
      </c>
      <c r="D50" s="167">
        <f>VLOOKUP(A50,'Variable Input'!$1:$1048576,4,FALSE)</f>
        <v>5</v>
      </c>
      <c r="E50" s="417">
        <f>SUMIF($A:$A,210029,E:E)</f>
        <v>-9542163.009639116</v>
      </c>
      <c r="F50" s="417">
        <f>SUMIF($A:$A,210029,F:F)</f>
        <v>671015173.53773773</v>
      </c>
      <c r="G50" s="161">
        <f t="shared" si="0"/>
        <v>-1.4220487681866805E-2</v>
      </c>
      <c r="H50" s="190"/>
      <c r="I50" s="190"/>
      <c r="J50" s="191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8"/>
      <c r="EF50" s="158"/>
      <c r="EG50" s="158"/>
      <c r="EH50" s="158"/>
      <c r="EI50" s="158"/>
      <c r="EJ50" s="158"/>
      <c r="EK50" s="158"/>
      <c r="EL50" s="158"/>
      <c r="EM50" s="158"/>
      <c r="EN50" s="158"/>
      <c r="EO50" s="158"/>
      <c r="EP50" s="158"/>
      <c r="EQ50" s="158"/>
      <c r="ER50" s="158"/>
      <c r="ES50" s="158"/>
      <c r="ET50" s="158"/>
      <c r="EU50" s="158"/>
      <c r="EV50" s="158"/>
      <c r="EW50" s="158"/>
      <c r="EX50" s="158"/>
      <c r="EY50" s="158"/>
      <c r="EZ50" s="158"/>
      <c r="FA50" s="158"/>
      <c r="FB50" s="158"/>
      <c r="FC50" s="158"/>
      <c r="FD50" s="158"/>
      <c r="FE50" s="158"/>
      <c r="FF50" s="158"/>
      <c r="FG50" s="158"/>
      <c r="FH50" s="158"/>
      <c r="FI50" s="158"/>
      <c r="FJ50" s="158"/>
      <c r="FK50" s="158"/>
      <c r="FL50" s="158"/>
      <c r="FM50" s="158"/>
      <c r="FN50" s="158"/>
      <c r="FO50" s="158"/>
      <c r="FP50" s="158"/>
      <c r="FQ50" s="158"/>
      <c r="FR50" s="158"/>
      <c r="FS50" s="158"/>
      <c r="FT50" s="158"/>
      <c r="FU50" s="158"/>
      <c r="FV50" s="158"/>
      <c r="FW50" s="158"/>
      <c r="FX50" s="158"/>
      <c r="FY50" s="158"/>
      <c r="FZ50" s="158"/>
      <c r="GA50" s="158"/>
      <c r="GB50" s="158"/>
      <c r="GC50" s="158"/>
      <c r="GD50" s="158"/>
      <c r="GE50" s="158"/>
      <c r="GF50" s="158"/>
      <c r="GG50" s="158"/>
      <c r="GH50" s="158"/>
      <c r="GI50" s="158"/>
      <c r="GJ50" s="158"/>
      <c r="GK50" s="158"/>
      <c r="GL50" s="158"/>
      <c r="GM50" s="158"/>
      <c r="GN50" s="158"/>
      <c r="GO50" s="158"/>
      <c r="GP50" s="158"/>
      <c r="GQ50" s="158"/>
      <c r="GR50" s="158"/>
      <c r="GS50" s="158"/>
      <c r="GT50" s="158"/>
      <c r="GU50" s="158"/>
      <c r="GV50" s="158"/>
      <c r="GW50" s="158"/>
      <c r="GX50" s="158"/>
      <c r="GY50" s="158"/>
      <c r="GZ50" s="158"/>
      <c r="HA50" s="158"/>
      <c r="HB50" s="158"/>
      <c r="HC50" s="158"/>
      <c r="HD50" s="158"/>
      <c r="HE50" s="158"/>
      <c r="HF50" s="158"/>
      <c r="HG50" s="158"/>
      <c r="HH50" s="158"/>
      <c r="HI50" s="158"/>
      <c r="HJ50" s="158"/>
      <c r="HK50" s="158"/>
      <c r="HL50" s="158"/>
      <c r="HM50" s="158"/>
      <c r="HN50" s="158"/>
      <c r="HO50" s="158"/>
      <c r="HP50" s="158"/>
      <c r="HQ50" s="158"/>
      <c r="HR50" s="158"/>
      <c r="HS50" s="158"/>
      <c r="HT50" s="158"/>
      <c r="HU50" s="158"/>
      <c r="HV50" s="158"/>
      <c r="HW50" s="158"/>
      <c r="HX50" s="158"/>
      <c r="HY50" s="158"/>
      <c r="HZ50" s="158"/>
      <c r="IA50" s="158"/>
      <c r="IB50" s="158"/>
      <c r="IC50" s="158"/>
      <c r="ID50" s="158"/>
      <c r="IE50" s="158"/>
      <c r="IF50" s="158"/>
      <c r="IG50" s="158"/>
      <c r="IH50" s="158"/>
      <c r="II50" s="158"/>
      <c r="IJ50" s="158"/>
      <c r="IK50" s="158"/>
      <c r="IL50" s="158"/>
      <c r="IM50" s="158"/>
      <c r="IN50" s="158"/>
      <c r="IO50" s="158"/>
      <c r="IP50" s="158"/>
    </row>
    <row r="51" spans="1:254" ht="15.3" x14ac:dyDescent="0.55000000000000004">
      <c r="A51" s="169"/>
      <c r="B51" s="169"/>
      <c r="C51" s="169"/>
      <c r="D51" s="169"/>
      <c r="E51" s="162"/>
      <c r="F51" s="162"/>
      <c r="G51" s="161"/>
      <c r="H51" s="190"/>
      <c r="I51" s="190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8"/>
      <c r="FC51" s="158"/>
      <c r="FD51" s="158"/>
      <c r="FE51" s="158"/>
      <c r="FF51" s="158"/>
      <c r="FG51" s="158"/>
      <c r="FH51" s="158"/>
      <c r="FI51" s="158"/>
      <c r="FJ51" s="158"/>
      <c r="FK51" s="158"/>
      <c r="FL51" s="158"/>
      <c r="FM51" s="158"/>
      <c r="FN51" s="158"/>
      <c r="FO51" s="158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8"/>
      <c r="GC51" s="158"/>
      <c r="GD51" s="158"/>
      <c r="GE51" s="158"/>
      <c r="GF51" s="158"/>
      <c r="GG51" s="158"/>
      <c r="GH51" s="158"/>
      <c r="GI51" s="158"/>
      <c r="GJ51" s="158"/>
      <c r="GK51" s="158"/>
      <c r="GL51" s="158"/>
      <c r="GM51" s="158"/>
      <c r="GN51" s="158"/>
      <c r="GO51" s="158"/>
      <c r="GP51" s="158"/>
      <c r="GQ51" s="158"/>
      <c r="GR51" s="158"/>
      <c r="GS51" s="158"/>
      <c r="GT51" s="158"/>
      <c r="GU51" s="158"/>
      <c r="GV51" s="158"/>
      <c r="GW51" s="158"/>
      <c r="GX51" s="158"/>
      <c r="GY51" s="158"/>
      <c r="GZ51" s="158"/>
      <c r="HA51" s="158"/>
      <c r="HB51" s="158"/>
      <c r="HC51" s="158"/>
      <c r="HD51" s="158"/>
      <c r="HE51" s="158"/>
      <c r="HF51" s="158"/>
      <c r="HG51" s="158"/>
      <c r="HH51" s="158"/>
      <c r="HI51" s="158"/>
      <c r="HJ51" s="158"/>
      <c r="HK51" s="158"/>
      <c r="HL51" s="158"/>
      <c r="HM51" s="158"/>
      <c r="HN51" s="158"/>
      <c r="HO51" s="158"/>
      <c r="HP51" s="158"/>
      <c r="HQ51" s="158"/>
      <c r="HR51" s="158"/>
      <c r="HS51" s="158"/>
      <c r="HT51" s="158"/>
      <c r="HU51" s="158"/>
      <c r="HV51" s="158"/>
      <c r="HW51" s="158"/>
      <c r="HX51" s="158"/>
      <c r="HY51" s="158"/>
      <c r="HZ51" s="158"/>
      <c r="IA51" s="158"/>
      <c r="IB51" s="158"/>
      <c r="IC51" s="158"/>
      <c r="ID51" s="158"/>
      <c r="IE51" s="158"/>
      <c r="IF51" s="158"/>
      <c r="IG51" s="158"/>
      <c r="IH51" s="158"/>
      <c r="II51" s="158"/>
      <c r="IJ51" s="158"/>
      <c r="IK51" s="158"/>
      <c r="IL51" s="158"/>
      <c r="IM51" s="158"/>
      <c r="IN51" s="158"/>
      <c r="IO51" s="158"/>
      <c r="IP51" s="158"/>
    </row>
    <row r="52" spans="1:254" ht="15.3" x14ac:dyDescent="0.55000000000000004">
      <c r="A52" s="169"/>
      <c r="B52" s="169"/>
      <c r="C52" s="169"/>
      <c r="D52" s="169"/>
      <c r="E52" s="162"/>
      <c r="F52" s="162"/>
      <c r="G52" s="161"/>
      <c r="H52" s="190"/>
      <c r="I52" s="190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8"/>
      <c r="EO52" s="158"/>
      <c r="EP52" s="158"/>
      <c r="EQ52" s="158"/>
      <c r="ER52" s="158"/>
      <c r="ES52" s="158"/>
      <c r="ET52" s="158"/>
      <c r="EU52" s="158"/>
      <c r="EV52" s="158"/>
      <c r="EW52" s="158"/>
      <c r="EX52" s="158"/>
      <c r="EY52" s="158"/>
      <c r="EZ52" s="158"/>
      <c r="FA52" s="158"/>
      <c r="FB52" s="158"/>
      <c r="FC52" s="158"/>
      <c r="FD52" s="158"/>
      <c r="FE52" s="158"/>
      <c r="FF52" s="158"/>
      <c r="FG52" s="158"/>
      <c r="FH52" s="158"/>
      <c r="FI52" s="158"/>
      <c r="FJ52" s="158"/>
      <c r="FK52" s="158"/>
      <c r="FL52" s="158"/>
      <c r="FM52" s="158"/>
      <c r="FN52" s="158"/>
      <c r="FO52" s="158"/>
      <c r="FP52" s="158"/>
      <c r="FQ52" s="158"/>
      <c r="FR52" s="158"/>
      <c r="FS52" s="158"/>
      <c r="FT52" s="158"/>
      <c r="FU52" s="158"/>
      <c r="FV52" s="158"/>
      <c r="FW52" s="158"/>
      <c r="FX52" s="158"/>
      <c r="FY52" s="158"/>
      <c r="FZ52" s="158"/>
      <c r="GA52" s="158"/>
      <c r="GB52" s="158"/>
      <c r="GC52" s="158"/>
      <c r="GD52" s="158"/>
      <c r="GE52" s="158"/>
      <c r="GF52" s="158"/>
      <c r="GG52" s="158"/>
      <c r="GH52" s="158"/>
      <c r="GI52" s="158"/>
      <c r="GJ52" s="158"/>
      <c r="GK52" s="158"/>
      <c r="GL52" s="158"/>
      <c r="GM52" s="158"/>
      <c r="GN52" s="158"/>
      <c r="GO52" s="158"/>
      <c r="GP52" s="158"/>
      <c r="GQ52" s="158"/>
      <c r="GR52" s="158"/>
      <c r="GS52" s="158"/>
      <c r="GT52" s="158"/>
      <c r="GU52" s="158"/>
      <c r="GV52" s="158"/>
      <c r="GW52" s="158"/>
      <c r="GX52" s="158"/>
      <c r="GY52" s="158"/>
      <c r="GZ52" s="158"/>
      <c r="HA52" s="158"/>
      <c r="HB52" s="158"/>
      <c r="HC52" s="158"/>
      <c r="HD52" s="158"/>
      <c r="HE52" s="158"/>
      <c r="HF52" s="158"/>
      <c r="HG52" s="158"/>
      <c r="HH52" s="158"/>
      <c r="HI52" s="158"/>
      <c r="HJ52" s="158"/>
      <c r="HK52" s="158"/>
      <c r="HL52" s="158"/>
      <c r="HM52" s="158"/>
      <c r="HN52" s="158"/>
      <c r="HO52" s="158"/>
      <c r="HP52" s="158"/>
      <c r="HQ52" s="158"/>
      <c r="HR52" s="158"/>
      <c r="HS52" s="158"/>
      <c r="HT52" s="158"/>
      <c r="HU52" s="158"/>
      <c r="HV52" s="158"/>
      <c r="HW52" s="158"/>
      <c r="HX52" s="158"/>
      <c r="HY52" s="158"/>
      <c r="HZ52" s="158"/>
      <c r="IA52" s="158"/>
      <c r="IB52" s="158"/>
      <c r="IC52" s="158"/>
      <c r="ID52" s="158"/>
      <c r="IE52" s="158"/>
      <c r="IF52" s="158"/>
      <c r="IG52" s="158"/>
      <c r="IH52" s="158"/>
      <c r="II52" s="158"/>
      <c r="IJ52" s="158"/>
      <c r="IK52" s="158"/>
      <c r="IL52" s="158"/>
      <c r="IM52" s="158"/>
      <c r="IN52" s="158"/>
      <c r="IO52" s="158"/>
      <c r="IP52" s="158"/>
    </row>
    <row r="53" spans="1:254" ht="15.3" x14ac:dyDescent="0.55000000000000004">
      <c r="A53" s="169"/>
      <c r="B53" s="169"/>
      <c r="C53" s="169"/>
      <c r="D53" s="169"/>
      <c r="E53" s="162"/>
      <c r="F53" s="162"/>
      <c r="G53" s="161"/>
      <c r="H53" s="190"/>
      <c r="I53" s="190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/>
      <c r="EF53" s="158"/>
      <c r="EG53" s="158"/>
      <c r="EH53" s="158"/>
      <c r="EI53" s="158"/>
      <c r="EJ53" s="158"/>
      <c r="EK53" s="158"/>
      <c r="EL53" s="158"/>
      <c r="EM53" s="158"/>
      <c r="EN53" s="158"/>
      <c r="EO53" s="158"/>
      <c r="EP53" s="158"/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8"/>
      <c r="FC53" s="158"/>
      <c r="FD53" s="158"/>
      <c r="FE53" s="158"/>
      <c r="FF53" s="158"/>
      <c r="FG53" s="158"/>
      <c r="FH53" s="158"/>
      <c r="FI53" s="158"/>
      <c r="FJ53" s="158"/>
      <c r="FK53" s="158"/>
      <c r="FL53" s="158"/>
      <c r="FM53" s="158"/>
      <c r="FN53" s="158"/>
      <c r="FO53" s="158"/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8"/>
      <c r="GC53" s="158"/>
      <c r="GD53" s="158"/>
      <c r="GE53" s="158"/>
      <c r="GF53" s="158"/>
      <c r="GG53" s="158"/>
      <c r="GH53" s="158"/>
      <c r="GI53" s="158"/>
      <c r="GJ53" s="158"/>
      <c r="GK53" s="158"/>
      <c r="GL53" s="158"/>
      <c r="GM53" s="158"/>
      <c r="GN53" s="158"/>
      <c r="GO53" s="158"/>
      <c r="GP53" s="158"/>
      <c r="GQ53" s="158"/>
      <c r="GR53" s="158"/>
      <c r="GS53" s="158"/>
      <c r="GT53" s="158"/>
      <c r="GU53" s="158"/>
      <c r="GV53" s="158"/>
      <c r="GW53" s="158"/>
      <c r="GX53" s="158"/>
      <c r="GY53" s="158"/>
      <c r="GZ53" s="158"/>
      <c r="HA53" s="158"/>
      <c r="HB53" s="158"/>
      <c r="HC53" s="158"/>
      <c r="HD53" s="158"/>
      <c r="HE53" s="158"/>
      <c r="HF53" s="158"/>
      <c r="HG53" s="158"/>
      <c r="HH53" s="158"/>
      <c r="HI53" s="158"/>
      <c r="HJ53" s="158"/>
      <c r="HK53" s="158"/>
      <c r="HL53" s="158"/>
      <c r="HM53" s="158"/>
      <c r="HN53" s="158"/>
      <c r="HO53" s="158"/>
      <c r="HP53" s="158"/>
      <c r="HQ53" s="158"/>
      <c r="HR53" s="158"/>
      <c r="HS53" s="158"/>
      <c r="HT53" s="158"/>
      <c r="HU53" s="158"/>
      <c r="HV53" s="158"/>
      <c r="HW53" s="158"/>
      <c r="HX53" s="158"/>
      <c r="HY53" s="158"/>
      <c r="HZ53" s="158"/>
      <c r="IA53" s="158"/>
      <c r="IB53" s="158"/>
      <c r="IC53" s="158"/>
      <c r="ID53" s="158"/>
      <c r="IE53" s="158"/>
      <c r="IF53" s="158"/>
      <c r="IG53" s="158"/>
      <c r="IH53" s="158"/>
      <c r="II53" s="158"/>
      <c r="IJ53" s="158"/>
      <c r="IK53" s="158"/>
      <c r="IL53" s="158"/>
      <c r="IM53" s="158"/>
      <c r="IN53" s="158"/>
      <c r="IO53" s="158"/>
      <c r="IP53" s="158"/>
    </row>
    <row r="54" spans="1:254" ht="15.3" x14ac:dyDescent="0.55000000000000004">
      <c r="A54" s="169"/>
      <c r="B54" s="169"/>
      <c r="C54" s="169"/>
      <c r="D54" s="169"/>
      <c r="E54" s="162"/>
      <c r="F54" s="162"/>
      <c r="G54" s="161"/>
      <c r="H54" s="190"/>
      <c r="I54" s="190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8"/>
      <c r="DM54" s="158"/>
      <c r="DN54" s="158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8"/>
      <c r="EF54" s="158"/>
      <c r="EG54" s="158"/>
      <c r="EH54" s="158"/>
      <c r="EI54" s="158"/>
      <c r="EJ54" s="158"/>
      <c r="EK54" s="158"/>
      <c r="EL54" s="158"/>
      <c r="EM54" s="158"/>
      <c r="EN54" s="158"/>
      <c r="EO54" s="158"/>
      <c r="EP54" s="158"/>
      <c r="EQ54" s="158"/>
      <c r="ER54" s="158"/>
      <c r="ES54" s="158"/>
      <c r="ET54" s="158"/>
      <c r="EU54" s="158"/>
      <c r="EV54" s="158"/>
      <c r="EW54" s="158"/>
      <c r="EX54" s="158"/>
      <c r="EY54" s="158"/>
      <c r="EZ54" s="158"/>
      <c r="FA54" s="158"/>
      <c r="FB54" s="158"/>
      <c r="FC54" s="158"/>
      <c r="FD54" s="158"/>
      <c r="FE54" s="158"/>
      <c r="FF54" s="158"/>
      <c r="FG54" s="158"/>
      <c r="FH54" s="158"/>
      <c r="FI54" s="158"/>
      <c r="FJ54" s="158"/>
      <c r="FK54" s="158"/>
      <c r="FL54" s="158"/>
      <c r="FM54" s="158"/>
      <c r="FN54" s="158"/>
      <c r="FO54" s="158"/>
      <c r="FP54" s="158"/>
      <c r="FQ54" s="158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8"/>
      <c r="GC54" s="158"/>
      <c r="GD54" s="158"/>
      <c r="GE54" s="158"/>
      <c r="GF54" s="158"/>
      <c r="GG54" s="158"/>
      <c r="GH54" s="158"/>
      <c r="GI54" s="158"/>
      <c r="GJ54" s="158"/>
      <c r="GK54" s="158"/>
      <c r="GL54" s="158"/>
      <c r="GM54" s="158"/>
      <c r="GN54" s="158"/>
      <c r="GO54" s="158"/>
      <c r="GP54" s="158"/>
      <c r="GQ54" s="158"/>
      <c r="GR54" s="158"/>
      <c r="GS54" s="158"/>
      <c r="GT54" s="158"/>
      <c r="GU54" s="158"/>
      <c r="GV54" s="158"/>
      <c r="GW54" s="158"/>
      <c r="GX54" s="158"/>
      <c r="GY54" s="158"/>
      <c r="GZ54" s="158"/>
      <c r="HA54" s="158"/>
      <c r="HB54" s="158"/>
      <c r="HC54" s="158"/>
      <c r="HD54" s="158"/>
      <c r="HE54" s="158"/>
      <c r="HF54" s="158"/>
      <c r="HG54" s="158"/>
      <c r="HH54" s="158"/>
      <c r="HI54" s="158"/>
      <c r="HJ54" s="158"/>
      <c r="HK54" s="158"/>
      <c r="HL54" s="158"/>
      <c r="HM54" s="158"/>
      <c r="HN54" s="158"/>
      <c r="HO54" s="158"/>
      <c r="HP54" s="158"/>
      <c r="HQ54" s="158"/>
      <c r="HR54" s="158"/>
      <c r="HS54" s="158"/>
      <c r="HT54" s="158"/>
      <c r="HU54" s="158"/>
      <c r="HV54" s="158"/>
      <c r="HW54" s="158"/>
      <c r="HX54" s="158"/>
      <c r="HY54" s="158"/>
      <c r="HZ54" s="158"/>
      <c r="IA54" s="158"/>
      <c r="IB54" s="158"/>
      <c r="IC54" s="158"/>
      <c r="ID54" s="158"/>
      <c r="IE54" s="158"/>
      <c r="IF54" s="158"/>
      <c r="IG54" s="158"/>
      <c r="IH54" s="158"/>
      <c r="II54" s="158"/>
      <c r="IJ54" s="158"/>
      <c r="IK54" s="158"/>
      <c r="IL54" s="158"/>
      <c r="IM54" s="158"/>
      <c r="IN54" s="158"/>
      <c r="IO54" s="158"/>
      <c r="IP54" s="158"/>
    </row>
    <row r="55" spans="1:254" ht="15.3" x14ac:dyDescent="0.55000000000000004">
      <c r="A55" s="169"/>
      <c r="B55" s="169"/>
      <c r="C55" s="169"/>
      <c r="D55" s="169"/>
      <c r="E55" s="162"/>
      <c r="F55" s="162"/>
      <c r="G55" s="161"/>
      <c r="H55" s="190"/>
      <c r="I55" s="190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58"/>
      <c r="EH55" s="158"/>
      <c r="EI55" s="158"/>
      <c r="EJ55" s="158"/>
      <c r="EK55" s="158"/>
      <c r="EL55" s="158"/>
      <c r="EM55" s="158"/>
      <c r="EN55" s="158"/>
      <c r="EO55" s="158"/>
      <c r="EP55" s="158"/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8"/>
      <c r="FC55" s="158"/>
      <c r="FD55" s="158"/>
      <c r="FE55" s="158"/>
      <c r="FF55" s="158"/>
      <c r="FG55" s="158"/>
      <c r="FH55" s="158"/>
      <c r="FI55" s="158"/>
      <c r="FJ55" s="158"/>
      <c r="FK55" s="158"/>
      <c r="FL55" s="158"/>
      <c r="FM55" s="158"/>
      <c r="FN55" s="158"/>
      <c r="FO55" s="158"/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8"/>
      <c r="GC55" s="158"/>
      <c r="GD55" s="158"/>
      <c r="GE55" s="158"/>
      <c r="GF55" s="158"/>
      <c r="GG55" s="158"/>
      <c r="GH55" s="158"/>
      <c r="GI55" s="158"/>
      <c r="GJ55" s="158"/>
      <c r="GK55" s="158"/>
      <c r="GL55" s="158"/>
      <c r="GM55" s="158"/>
      <c r="GN55" s="158"/>
      <c r="GO55" s="158"/>
      <c r="GP55" s="158"/>
      <c r="GQ55" s="158"/>
      <c r="GR55" s="158"/>
      <c r="GS55" s="158"/>
      <c r="GT55" s="158"/>
      <c r="GU55" s="158"/>
      <c r="GV55" s="158"/>
      <c r="GW55" s="158"/>
      <c r="GX55" s="158"/>
      <c r="GY55" s="158"/>
      <c r="GZ55" s="158"/>
      <c r="HA55" s="158"/>
      <c r="HB55" s="158"/>
      <c r="HC55" s="158"/>
      <c r="HD55" s="158"/>
      <c r="HE55" s="158"/>
      <c r="HF55" s="158"/>
      <c r="HG55" s="158"/>
      <c r="HH55" s="158"/>
      <c r="HI55" s="158"/>
      <c r="HJ55" s="158"/>
      <c r="HK55" s="158"/>
      <c r="HL55" s="158"/>
      <c r="HM55" s="158"/>
      <c r="HN55" s="158"/>
      <c r="HO55" s="158"/>
      <c r="HP55" s="158"/>
      <c r="HQ55" s="158"/>
      <c r="HR55" s="158"/>
      <c r="HS55" s="158"/>
      <c r="HT55" s="158"/>
      <c r="HU55" s="158"/>
      <c r="HV55" s="158"/>
      <c r="HW55" s="158"/>
      <c r="HX55" s="158"/>
      <c r="HY55" s="158"/>
      <c r="HZ55" s="158"/>
      <c r="IA55" s="158"/>
      <c r="IB55" s="158"/>
      <c r="IC55" s="158"/>
      <c r="ID55" s="158"/>
      <c r="IE55" s="158"/>
      <c r="IF55" s="158"/>
      <c r="IG55" s="158"/>
      <c r="IH55" s="158"/>
      <c r="II55" s="158"/>
      <c r="IJ55" s="158"/>
      <c r="IK55" s="158"/>
      <c r="IL55" s="158"/>
      <c r="IM55" s="158"/>
      <c r="IN55" s="158"/>
      <c r="IO55" s="158"/>
      <c r="IP55" s="158"/>
    </row>
    <row r="56" spans="1:254" ht="15.3" x14ac:dyDescent="0.55000000000000004">
      <c r="A56" s="169"/>
      <c r="B56" s="169"/>
      <c r="C56" s="169"/>
      <c r="D56" s="169"/>
      <c r="E56" s="162"/>
      <c r="F56" s="162"/>
      <c r="G56" s="161"/>
      <c r="H56" s="190"/>
      <c r="I56" s="190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/>
      <c r="EM56" s="158"/>
      <c r="EN56" s="158"/>
      <c r="EO56" s="158"/>
      <c r="EP56" s="158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8"/>
      <c r="FC56" s="158"/>
      <c r="FD56" s="158"/>
      <c r="FE56" s="158"/>
      <c r="FF56" s="158"/>
      <c r="FG56" s="158"/>
      <c r="FH56" s="158"/>
      <c r="FI56" s="158"/>
      <c r="FJ56" s="158"/>
      <c r="FK56" s="158"/>
      <c r="FL56" s="158"/>
      <c r="FM56" s="158"/>
      <c r="FN56" s="158"/>
      <c r="FO56" s="158"/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8"/>
      <c r="GC56" s="158"/>
      <c r="GD56" s="158"/>
      <c r="GE56" s="158"/>
      <c r="GF56" s="158"/>
      <c r="GG56" s="158"/>
      <c r="GH56" s="158"/>
      <c r="GI56" s="158"/>
      <c r="GJ56" s="158"/>
      <c r="GK56" s="158"/>
      <c r="GL56" s="158"/>
      <c r="GM56" s="158"/>
      <c r="GN56" s="158"/>
      <c r="GO56" s="158"/>
      <c r="GP56" s="158"/>
      <c r="GQ56" s="158"/>
      <c r="GR56" s="158"/>
      <c r="GS56" s="158"/>
      <c r="GT56" s="158"/>
      <c r="GU56" s="158"/>
      <c r="GV56" s="158"/>
      <c r="GW56" s="158"/>
      <c r="GX56" s="158"/>
      <c r="GY56" s="158"/>
      <c r="GZ56" s="158"/>
      <c r="HA56" s="158"/>
      <c r="HB56" s="158"/>
      <c r="HC56" s="158"/>
      <c r="HD56" s="158"/>
      <c r="HE56" s="158"/>
      <c r="HF56" s="158"/>
      <c r="HG56" s="158"/>
      <c r="HH56" s="158"/>
      <c r="HI56" s="158"/>
      <c r="HJ56" s="158"/>
      <c r="HK56" s="158"/>
      <c r="HL56" s="158"/>
      <c r="HM56" s="158"/>
      <c r="HN56" s="158"/>
      <c r="HO56" s="158"/>
      <c r="HP56" s="158"/>
      <c r="HQ56" s="158"/>
      <c r="HR56" s="158"/>
      <c r="HS56" s="158"/>
      <c r="HT56" s="158"/>
      <c r="HU56" s="158"/>
      <c r="HV56" s="158"/>
      <c r="HW56" s="158"/>
      <c r="HX56" s="158"/>
      <c r="HY56" s="158"/>
      <c r="HZ56" s="158"/>
      <c r="IA56" s="158"/>
      <c r="IB56" s="158"/>
      <c r="IC56" s="158"/>
      <c r="ID56" s="158"/>
      <c r="IE56" s="158"/>
      <c r="IF56" s="158"/>
      <c r="IG56" s="158"/>
      <c r="IH56" s="158"/>
      <c r="II56" s="158"/>
      <c r="IJ56" s="158"/>
      <c r="IK56" s="158"/>
      <c r="IL56" s="158"/>
      <c r="IM56" s="158"/>
      <c r="IN56" s="158"/>
      <c r="IO56" s="158"/>
      <c r="IP56" s="158"/>
    </row>
    <row r="57" spans="1:254" ht="15.3" x14ac:dyDescent="0.55000000000000004">
      <c r="A57" s="158" t="s">
        <v>255</v>
      </c>
      <c r="C57" s="166"/>
      <c r="D57" s="163" t="s">
        <v>255</v>
      </c>
      <c r="E57" s="165">
        <f>SUBTOTAL(9,E3:E56)</f>
        <v>1493785159.9203796</v>
      </c>
      <c r="F57" s="165">
        <f>SUBTOTAL(9,F3:F56)</f>
        <v>19663553981.902924</v>
      </c>
      <c r="G57" s="161">
        <f>E57/F57</f>
        <v>7.5967201112025012E-2</v>
      </c>
      <c r="H57" s="415" t="s">
        <v>450</v>
      </c>
      <c r="I57" s="366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8"/>
      <c r="DM57" s="158"/>
      <c r="DN57" s="158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8"/>
      <c r="EF57" s="158"/>
      <c r="EG57" s="158"/>
      <c r="EH57" s="158"/>
      <c r="EI57" s="158"/>
      <c r="EJ57" s="158"/>
      <c r="EK57" s="158"/>
      <c r="EL57" s="158"/>
      <c r="EM57" s="158"/>
      <c r="EN57" s="158"/>
      <c r="EO57" s="158"/>
      <c r="EP57" s="158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8"/>
      <c r="FC57" s="158"/>
      <c r="FD57" s="158"/>
      <c r="FE57" s="158"/>
      <c r="FF57" s="158"/>
      <c r="FG57" s="158"/>
      <c r="FH57" s="158"/>
      <c r="FI57" s="158"/>
      <c r="FJ57" s="158"/>
      <c r="FK57" s="158"/>
      <c r="FL57" s="158"/>
      <c r="FM57" s="158"/>
      <c r="FN57" s="158"/>
      <c r="FO57" s="158"/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8"/>
      <c r="GC57" s="158"/>
      <c r="GD57" s="158"/>
      <c r="GE57" s="158"/>
      <c r="GF57" s="158"/>
      <c r="GG57" s="158"/>
      <c r="GH57" s="158"/>
      <c r="GI57" s="158"/>
      <c r="GJ57" s="158"/>
      <c r="GK57" s="158"/>
      <c r="GL57" s="158"/>
      <c r="GM57" s="158"/>
      <c r="GN57" s="158"/>
      <c r="GO57" s="158"/>
      <c r="GP57" s="158"/>
      <c r="GQ57" s="158"/>
      <c r="GR57" s="158"/>
      <c r="GS57" s="158"/>
      <c r="GT57" s="158"/>
      <c r="GU57" s="158"/>
      <c r="GV57" s="158"/>
      <c r="GW57" s="158"/>
      <c r="GX57" s="158"/>
      <c r="GY57" s="158"/>
      <c r="GZ57" s="158"/>
      <c r="HA57" s="158"/>
      <c r="HB57" s="158"/>
      <c r="HC57" s="158"/>
      <c r="HD57" s="158"/>
      <c r="HE57" s="158"/>
      <c r="HF57" s="158"/>
      <c r="HG57" s="158"/>
      <c r="HH57" s="158"/>
      <c r="HI57" s="158"/>
      <c r="HJ57" s="158"/>
      <c r="HK57" s="158"/>
      <c r="HL57" s="158"/>
      <c r="HM57" s="158"/>
      <c r="HN57" s="158"/>
      <c r="HO57" s="158"/>
      <c r="HP57" s="158"/>
      <c r="HQ57" s="158"/>
      <c r="HR57" s="158"/>
      <c r="HS57" s="158"/>
      <c r="HT57" s="158"/>
      <c r="HU57" s="158"/>
      <c r="HV57" s="158"/>
      <c r="HW57" s="158"/>
      <c r="HX57" s="158"/>
      <c r="HY57" s="158"/>
      <c r="HZ57" s="158"/>
      <c r="IA57" s="158"/>
      <c r="IB57" s="158"/>
      <c r="IC57" s="158"/>
      <c r="ID57" s="158"/>
      <c r="IE57" s="158"/>
      <c r="IF57" s="158"/>
      <c r="IG57" s="158"/>
      <c r="IH57" s="158"/>
      <c r="II57" s="158"/>
      <c r="IJ57" s="158"/>
      <c r="IK57" s="158"/>
      <c r="IL57" s="158"/>
      <c r="IM57" s="158"/>
      <c r="IN57" s="158"/>
      <c r="IO57" s="158"/>
      <c r="IP57" s="158"/>
      <c r="IQ57" s="158"/>
      <c r="IR57" s="158"/>
      <c r="IS57" s="158"/>
      <c r="IT57" s="158"/>
    </row>
    <row r="58" spans="1:254" ht="15.3" x14ac:dyDescent="0.55000000000000004">
      <c r="A58" s="158">
        <v>99</v>
      </c>
      <c r="B58" s="158"/>
      <c r="C58" s="163"/>
      <c r="D58" s="163" t="s">
        <v>254</v>
      </c>
      <c r="E58" s="165">
        <f t="array" ref="E58">SUM(E3:E50)-SUMPRODUCT((LEFT($A$3:$A$50,1)+0=9)*E3:E50)</f>
        <v>1290302547.8092051</v>
      </c>
      <c r="F58" s="165">
        <f t="array" ref="F58">SUM(F3:F50)-SUMPRODUCT((LEFT($A$3:$A$50,1)+0=9)*F3:F50)</f>
        <v>16849407542.553711</v>
      </c>
      <c r="G58" s="161">
        <f>E58/F58</f>
        <v>7.6578511413561881E-2</v>
      </c>
      <c r="H58" s="384">
        <f>8%-G58</f>
        <v>3.4214885864381206E-3</v>
      </c>
      <c r="I58" s="190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8"/>
      <c r="EF58" s="158"/>
      <c r="EG58" s="158"/>
      <c r="EH58" s="158"/>
      <c r="EI58" s="158"/>
      <c r="EJ58" s="158"/>
      <c r="EK58" s="158"/>
      <c r="EL58" s="158"/>
      <c r="EM58" s="158"/>
      <c r="EN58" s="158"/>
      <c r="EO58" s="158"/>
      <c r="EP58" s="158"/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8"/>
      <c r="FC58" s="158"/>
      <c r="FD58" s="158"/>
      <c r="FE58" s="158"/>
      <c r="FF58" s="158"/>
      <c r="FG58" s="158"/>
      <c r="FH58" s="158"/>
      <c r="FI58" s="158"/>
      <c r="FJ58" s="158"/>
      <c r="FK58" s="158"/>
      <c r="FL58" s="158"/>
      <c r="FM58" s="158"/>
      <c r="FN58" s="158"/>
      <c r="FO58" s="158"/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8"/>
      <c r="GC58" s="158"/>
      <c r="GD58" s="158"/>
      <c r="GE58" s="158"/>
      <c r="GF58" s="158"/>
      <c r="GG58" s="158"/>
      <c r="GH58" s="158"/>
      <c r="GI58" s="158"/>
      <c r="GJ58" s="158"/>
      <c r="GK58" s="158"/>
      <c r="GL58" s="158"/>
      <c r="GM58" s="158"/>
      <c r="GN58" s="158"/>
      <c r="GO58" s="158"/>
      <c r="GP58" s="158"/>
      <c r="GQ58" s="158"/>
      <c r="GR58" s="158"/>
      <c r="GS58" s="158"/>
      <c r="GT58" s="158"/>
      <c r="GU58" s="158"/>
      <c r="GV58" s="158"/>
      <c r="GW58" s="158"/>
      <c r="GX58" s="158"/>
      <c r="GY58" s="158"/>
      <c r="GZ58" s="158"/>
      <c r="HA58" s="158"/>
      <c r="HB58" s="158"/>
      <c r="HC58" s="158"/>
      <c r="HD58" s="158"/>
      <c r="HE58" s="158"/>
      <c r="HF58" s="158"/>
      <c r="HG58" s="158"/>
      <c r="HH58" s="158"/>
      <c r="HI58" s="158"/>
      <c r="HJ58" s="158"/>
      <c r="HK58" s="158"/>
      <c r="HL58" s="158"/>
      <c r="HM58" s="158"/>
      <c r="HN58" s="158"/>
      <c r="HO58" s="158"/>
      <c r="HP58" s="158"/>
      <c r="HQ58" s="158"/>
      <c r="HR58" s="158"/>
      <c r="HS58" s="158"/>
      <c r="HT58" s="158"/>
      <c r="HU58" s="158"/>
      <c r="HV58" s="158"/>
      <c r="HW58" s="158"/>
      <c r="HX58" s="158"/>
      <c r="HY58" s="158"/>
      <c r="HZ58" s="158"/>
      <c r="IA58" s="158"/>
      <c r="IB58" s="158"/>
      <c r="IC58" s="158"/>
      <c r="ID58" s="158"/>
      <c r="IE58" s="158"/>
      <c r="IF58" s="158"/>
      <c r="IG58" s="158"/>
      <c r="IH58" s="158"/>
      <c r="II58" s="158"/>
      <c r="IJ58" s="158"/>
      <c r="IK58" s="158"/>
      <c r="IL58" s="158"/>
      <c r="IM58" s="158"/>
      <c r="IN58" s="158"/>
      <c r="IO58" s="158"/>
      <c r="IP58" s="158"/>
      <c r="IQ58" s="158"/>
      <c r="IR58" s="158"/>
      <c r="IS58" s="158"/>
      <c r="IT58" s="158"/>
    </row>
    <row r="59" spans="1:254" s="158" customFormat="1" ht="15.3" x14ac:dyDescent="0.55000000000000004">
      <c r="C59" s="163"/>
      <c r="D59" s="163"/>
      <c r="H59" s="190"/>
      <c r="I59" s="190"/>
    </row>
    <row r="60" spans="1:254" ht="15.3" x14ac:dyDescent="0.55000000000000004">
      <c r="A60" s="158"/>
      <c r="B60" s="158"/>
      <c r="C60" s="158"/>
      <c r="D60" s="158"/>
      <c r="E60" s="158"/>
      <c r="F60" s="158"/>
      <c r="G60" s="158"/>
      <c r="H60" s="190"/>
      <c r="I60" s="190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8"/>
      <c r="CY60" s="158"/>
      <c r="CZ60" s="158"/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8"/>
      <c r="DM60" s="158"/>
      <c r="DN60" s="158"/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8"/>
      <c r="EF60" s="158"/>
      <c r="EG60" s="158"/>
      <c r="EH60" s="158"/>
      <c r="EI60" s="158"/>
      <c r="EJ60" s="158"/>
      <c r="EK60" s="158"/>
      <c r="EL60" s="158"/>
      <c r="EM60" s="158"/>
      <c r="EN60" s="158"/>
      <c r="EO60" s="158"/>
      <c r="EP60" s="158"/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8"/>
      <c r="FC60" s="158"/>
      <c r="FD60" s="158"/>
      <c r="FE60" s="158"/>
      <c r="FF60" s="158"/>
      <c r="FG60" s="158"/>
      <c r="FH60" s="158"/>
      <c r="FI60" s="158"/>
      <c r="FJ60" s="158"/>
      <c r="FK60" s="158"/>
      <c r="FL60" s="158"/>
      <c r="FM60" s="158"/>
      <c r="FN60" s="158"/>
      <c r="FO60" s="158"/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8"/>
      <c r="GC60" s="158"/>
      <c r="GD60" s="158"/>
      <c r="GE60" s="158"/>
      <c r="GF60" s="158"/>
      <c r="GG60" s="158"/>
      <c r="GH60" s="158"/>
      <c r="GI60" s="158"/>
      <c r="GJ60" s="158"/>
      <c r="GK60" s="158"/>
      <c r="GL60" s="158"/>
      <c r="GM60" s="158"/>
      <c r="GN60" s="158"/>
      <c r="GO60" s="158"/>
      <c r="GP60" s="158"/>
      <c r="GQ60" s="158"/>
      <c r="GR60" s="158"/>
      <c r="GS60" s="158"/>
      <c r="GT60" s="158"/>
      <c r="GU60" s="158"/>
      <c r="GV60" s="158"/>
      <c r="GW60" s="158"/>
      <c r="GX60" s="158"/>
      <c r="GY60" s="158"/>
      <c r="GZ60" s="158"/>
      <c r="HA60" s="158"/>
      <c r="HB60" s="158"/>
      <c r="HC60" s="158"/>
      <c r="HD60" s="158"/>
      <c r="HE60" s="158"/>
      <c r="HF60" s="158"/>
      <c r="HG60" s="158"/>
      <c r="HH60" s="158"/>
      <c r="HI60" s="158"/>
      <c r="HJ60" s="158"/>
      <c r="HK60" s="158"/>
      <c r="HL60" s="158"/>
      <c r="HM60" s="158"/>
      <c r="HN60" s="158"/>
      <c r="HO60" s="158"/>
      <c r="HP60" s="158"/>
      <c r="HQ60" s="158"/>
      <c r="HR60" s="158"/>
      <c r="HS60" s="158"/>
      <c r="HT60" s="158"/>
      <c r="HU60" s="158"/>
      <c r="HV60" s="158"/>
      <c r="HW60" s="158"/>
      <c r="HX60" s="158"/>
      <c r="HY60" s="158"/>
      <c r="HZ60" s="158"/>
      <c r="IA60" s="158"/>
      <c r="IB60" s="158"/>
      <c r="IC60" s="158"/>
      <c r="ID60" s="158"/>
      <c r="IE60" s="158"/>
      <c r="IF60" s="158"/>
      <c r="IG60" s="158"/>
      <c r="IH60" s="158"/>
      <c r="II60" s="158"/>
      <c r="IJ60" s="158"/>
      <c r="IK60" s="158"/>
      <c r="IL60" s="158"/>
      <c r="IM60" s="158"/>
      <c r="IN60" s="158"/>
      <c r="IO60" s="158"/>
      <c r="IP60" s="158"/>
    </row>
    <row r="61" spans="1:254" ht="15.3" x14ac:dyDescent="0.55000000000000004">
      <c r="A61" s="158"/>
      <c r="B61" s="158"/>
      <c r="C61" s="158"/>
      <c r="D61" s="158"/>
      <c r="E61" s="158"/>
      <c r="F61" s="158"/>
      <c r="G61" s="158"/>
      <c r="H61" s="190"/>
      <c r="I61" s="190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  <c r="CJ61" s="158"/>
      <c r="CK61" s="158"/>
      <c r="CL61" s="158"/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58"/>
      <c r="DG61" s="158"/>
      <c r="DH61" s="158"/>
      <c r="DI61" s="158"/>
      <c r="DJ61" s="158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/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8"/>
      <c r="EX61" s="158"/>
      <c r="EY61" s="158"/>
      <c r="EZ61" s="158"/>
      <c r="FA61" s="158"/>
      <c r="FB61" s="158"/>
      <c r="FC61" s="158"/>
      <c r="FD61" s="158"/>
      <c r="FE61" s="158"/>
      <c r="FF61" s="158"/>
      <c r="FG61" s="158"/>
      <c r="FH61" s="158"/>
      <c r="FI61" s="158"/>
      <c r="FJ61" s="158"/>
      <c r="FK61" s="158"/>
      <c r="FL61" s="158"/>
      <c r="FM61" s="158"/>
      <c r="FN61" s="158"/>
      <c r="FO61" s="158"/>
      <c r="FP61" s="158"/>
      <c r="FQ61" s="158"/>
      <c r="FR61" s="158"/>
      <c r="FS61" s="158"/>
      <c r="FT61" s="158"/>
      <c r="FU61" s="158"/>
      <c r="FV61" s="158"/>
      <c r="FW61" s="158"/>
      <c r="FX61" s="158"/>
      <c r="FY61" s="158"/>
      <c r="FZ61" s="158"/>
      <c r="GA61" s="158"/>
      <c r="GB61" s="158"/>
      <c r="GC61" s="158"/>
      <c r="GD61" s="158"/>
      <c r="GE61" s="158"/>
      <c r="GF61" s="158"/>
      <c r="GG61" s="158"/>
      <c r="GH61" s="158"/>
      <c r="GI61" s="158"/>
      <c r="GJ61" s="158"/>
      <c r="GK61" s="158"/>
      <c r="GL61" s="158"/>
      <c r="GM61" s="158"/>
      <c r="GN61" s="158"/>
      <c r="GO61" s="158"/>
      <c r="GP61" s="158"/>
      <c r="GQ61" s="158"/>
      <c r="GR61" s="158"/>
      <c r="GS61" s="158"/>
      <c r="GT61" s="158"/>
      <c r="GU61" s="158"/>
      <c r="GV61" s="158"/>
      <c r="GW61" s="158"/>
      <c r="GX61" s="158"/>
      <c r="GY61" s="158"/>
      <c r="GZ61" s="158"/>
      <c r="HA61" s="158"/>
      <c r="HB61" s="158"/>
      <c r="HC61" s="158"/>
      <c r="HD61" s="158"/>
      <c r="HE61" s="158"/>
      <c r="HF61" s="158"/>
      <c r="HG61" s="158"/>
      <c r="HH61" s="158"/>
      <c r="HI61" s="158"/>
      <c r="HJ61" s="158"/>
      <c r="HK61" s="158"/>
      <c r="HL61" s="158"/>
      <c r="HM61" s="158"/>
      <c r="HN61" s="158"/>
      <c r="HO61" s="158"/>
      <c r="HP61" s="158"/>
      <c r="HQ61" s="158"/>
      <c r="HR61" s="158"/>
      <c r="HS61" s="158"/>
      <c r="HT61" s="158"/>
      <c r="HU61" s="158"/>
      <c r="HV61" s="158"/>
      <c r="HW61" s="158"/>
      <c r="HX61" s="158"/>
      <c r="HY61" s="158"/>
      <c r="HZ61" s="158"/>
      <c r="IA61" s="158"/>
      <c r="IB61" s="158"/>
      <c r="IC61" s="158"/>
      <c r="ID61" s="158"/>
      <c r="IE61" s="158"/>
      <c r="IF61" s="158"/>
      <c r="IG61" s="158"/>
      <c r="IH61" s="158"/>
      <c r="II61" s="158"/>
      <c r="IJ61" s="158"/>
      <c r="IK61" s="158"/>
      <c r="IL61" s="158"/>
      <c r="IM61" s="158"/>
      <c r="IN61" s="158"/>
      <c r="IO61" s="158"/>
      <c r="IP61" s="158"/>
    </row>
    <row r="62" spans="1:254" ht="15.3" x14ac:dyDescent="0.55000000000000004">
      <c r="A62" s="158"/>
      <c r="B62" s="158"/>
      <c r="C62" s="158"/>
      <c r="D62" s="158"/>
      <c r="E62" s="158"/>
      <c r="F62" s="158"/>
      <c r="G62" s="158"/>
      <c r="H62" s="190"/>
      <c r="I62" s="190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/>
      <c r="ER62" s="158"/>
      <c r="ES62" s="158"/>
      <c r="ET62" s="158"/>
      <c r="EU62" s="158"/>
      <c r="EV62" s="158"/>
      <c r="EW62" s="158"/>
      <c r="EX62" s="158"/>
      <c r="EY62" s="158"/>
      <c r="EZ62" s="158"/>
      <c r="FA62" s="158"/>
      <c r="FB62" s="158"/>
      <c r="FC62" s="158"/>
      <c r="FD62" s="158"/>
      <c r="FE62" s="158"/>
      <c r="FF62" s="158"/>
      <c r="FG62" s="158"/>
      <c r="FH62" s="158"/>
      <c r="FI62" s="158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158"/>
      <c r="FV62" s="158"/>
      <c r="FW62" s="158"/>
      <c r="FX62" s="158"/>
      <c r="FY62" s="158"/>
      <c r="FZ62" s="158"/>
      <c r="GA62" s="158"/>
      <c r="GB62" s="158"/>
      <c r="GC62" s="158"/>
      <c r="GD62" s="158"/>
      <c r="GE62" s="158"/>
      <c r="GF62" s="158"/>
      <c r="GG62" s="158"/>
      <c r="GH62" s="158"/>
      <c r="GI62" s="158"/>
      <c r="GJ62" s="158"/>
      <c r="GK62" s="158"/>
      <c r="GL62" s="158"/>
      <c r="GM62" s="158"/>
      <c r="GN62" s="158"/>
      <c r="GO62" s="158"/>
      <c r="GP62" s="158"/>
      <c r="GQ62" s="158"/>
      <c r="GR62" s="158"/>
      <c r="GS62" s="158"/>
      <c r="GT62" s="158"/>
      <c r="GU62" s="158"/>
      <c r="GV62" s="158"/>
      <c r="GW62" s="158"/>
      <c r="GX62" s="158"/>
      <c r="GY62" s="158"/>
      <c r="GZ62" s="158"/>
      <c r="HA62" s="158"/>
      <c r="HB62" s="158"/>
      <c r="HC62" s="158"/>
      <c r="HD62" s="158"/>
      <c r="HE62" s="158"/>
      <c r="HF62" s="158"/>
      <c r="HG62" s="158"/>
      <c r="HH62" s="158"/>
      <c r="HI62" s="158"/>
      <c r="HJ62" s="158"/>
      <c r="HK62" s="158"/>
      <c r="HL62" s="158"/>
      <c r="HM62" s="158"/>
      <c r="HN62" s="158"/>
      <c r="HO62" s="158"/>
      <c r="HP62" s="158"/>
      <c r="HQ62" s="158"/>
      <c r="HR62" s="158"/>
      <c r="HS62" s="158"/>
      <c r="HT62" s="158"/>
      <c r="HU62" s="158"/>
      <c r="HV62" s="158"/>
      <c r="HW62" s="158"/>
      <c r="HX62" s="158"/>
      <c r="HY62" s="158"/>
      <c r="HZ62" s="158"/>
      <c r="IA62" s="158"/>
      <c r="IB62" s="158"/>
      <c r="IC62" s="158"/>
      <c r="ID62" s="158"/>
      <c r="IE62" s="158"/>
      <c r="IF62" s="158"/>
      <c r="IG62" s="158"/>
      <c r="IH62" s="158"/>
      <c r="II62" s="158"/>
      <c r="IJ62" s="158"/>
      <c r="IK62" s="158"/>
      <c r="IL62" s="158"/>
      <c r="IM62" s="158"/>
      <c r="IN62" s="158"/>
      <c r="IO62" s="158"/>
      <c r="IP62" s="158"/>
    </row>
    <row r="63" spans="1:254" ht="15.3" x14ac:dyDescent="0.55000000000000004">
      <c r="A63" s="158"/>
      <c r="B63" s="158"/>
      <c r="C63" s="158"/>
      <c r="D63" s="158"/>
      <c r="E63" s="158"/>
      <c r="F63" s="158"/>
      <c r="G63" s="158"/>
      <c r="H63" s="190"/>
      <c r="I63" s="190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58"/>
      <c r="EU63" s="158"/>
      <c r="EV63" s="158"/>
      <c r="EW63" s="158"/>
      <c r="EX63" s="158"/>
      <c r="EY63" s="158"/>
      <c r="EZ63" s="158"/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158"/>
      <c r="FV63" s="158"/>
      <c r="FW63" s="158"/>
      <c r="FX63" s="158"/>
      <c r="FY63" s="158"/>
      <c r="FZ63" s="158"/>
      <c r="GA63" s="158"/>
      <c r="GB63" s="158"/>
      <c r="GC63" s="158"/>
      <c r="GD63" s="158"/>
      <c r="GE63" s="158"/>
      <c r="GF63" s="158"/>
      <c r="GG63" s="158"/>
      <c r="GH63" s="158"/>
      <c r="GI63" s="158"/>
      <c r="GJ63" s="158"/>
      <c r="GK63" s="158"/>
      <c r="GL63" s="158"/>
      <c r="GM63" s="158"/>
      <c r="GN63" s="158"/>
      <c r="GO63" s="158"/>
      <c r="GP63" s="158"/>
      <c r="GQ63" s="158"/>
      <c r="GR63" s="158"/>
      <c r="GS63" s="158"/>
      <c r="GT63" s="158"/>
      <c r="GU63" s="158"/>
      <c r="GV63" s="158"/>
      <c r="GW63" s="158"/>
      <c r="GX63" s="158"/>
      <c r="GY63" s="158"/>
      <c r="GZ63" s="158"/>
      <c r="HA63" s="158"/>
      <c r="HB63" s="158"/>
      <c r="HC63" s="158"/>
      <c r="HD63" s="158"/>
      <c r="HE63" s="158"/>
      <c r="HF63" s="158"/>
      <c r="HG63" s="158"/>
      <c r="HH63" s="158"/>
      <c r="HI63" s="158"/>
      <c r="HJ63" s="158"/>
      <c r="HK63" s="158"/>
      <c r="HL63" s="158"/>
      <c r="HM63" s="158"/>
      <c r="HN63" s="158"/>
      <c r="HO63" s="158"/>
      <c r="HP63" s="158"/>
      <c r="HQ63" s="158"/>
      <c r="HR63" s="158"/>
      <c r="HS63" s="158"/>
      <c r="HT63" s="158"/>
      <c r="HU63" s="158"/>
      <c r="HV63" s="158"/>
      <c r="HW63" s="158"/>
      <c r="HX63" s="158"/>
      <c r="HY63" s="158"/>
      <c r="HZ63" s="158"/>
      <c r="IA63" s="158"/>
      <c r="IB63" s="158"/>
      <c r="IC63" s="158"/>
      <c r="ID63" s="158"/>
      <c r="IE63" s="158"/>
      <c r="IF63" s="158"/>
      <c r="IG63" s="158"/>
      <c r="IH63" s="158"/>
      <c r="II63" s="158"/>
      <c r="IJ63" s="158"/>
      <c r="IK63" s="158"/>
      <c r="IL63" s="158"/>
      <c r="IM63" s="158"/>
      <c r="IN63" s="158"/>
      <c r="IO63" s="158"/>
      <c r="IP63" s="158"/>
    </row>
    <row r="64" spans="1:254" ht="15.3" x14ac:dyDescent="0.55000000000000004">
      <c r="A64" s="158"/>
      <c r="B64" s="158"/>
      <c r="C64" s="158"/>
      <c r="D64" s="158"/>
      <c r="E64" s="158"/>
      <c r="F64" s="158"/>
      <c r="G64" s="158"/>
      <c r="H64" s="190"/>
      <c r="I64" s="190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58"/>
      <c r="DG64" s="158"/>
      <c r="DH64" s="158"/>
      <c r="DI64" s="158"/>
      <c r="DJ64" s="158"/>
      <c r="DK64" s="158"/>
      <c r="DL64" s="158"/>
      <c r="DM64" s="158"/>
      <c r="DN64" s="158"/>
      <c r="DO64" s="158"/>
      <c r="DP64" s="158"/>
      <c r="DQ64" s="158"/>
      <c r="DR64" s="158"/>
      <c r="DS64" s="158"/>
      <c r="DT64" s="158"/>
      <c r="DU64" s="158"/>
      <c r="DV64" s="158"/>
      <c r="DW64" s="158"/>
      <c r="DX64" s="158"/>
      <c r="DY64" s="158"/>
      <c r="DZ64" s="158"/>
      <c r="EA64" s="158"/>
      <c r="EB64" s="158"/>
      <c r="EC64" s="158"/>
      <c r="ED64" s="158"/>
      <c r="EE64" s="158"/>
      <c r="EF64" s="158"/>
      <c r="EG64" s="158"/>
      <c r="EH64" s="158"/>
      <c r="EI64" s="158"/>
      <c r="EJ64" s="158"/>
      <c r="EK64" s="158"/>
      <c r="EL64" s="158"/>
      <c r="EM64" s="158"/>
      <c r="EN64" s="158"/>
      <c r="EO64" s="158"/>
      <c r="EP64" s="158"/>
      <c r="EQ64" s="158"/>
      <c r="ER64" s="158"/>
      <c r="ES64" s="158"/>
      <c r="ET64" s="158"/>
      <c r="EU64" s="158"/>
      <c r="EV64" s="158"/>
      <c r="EW64" s="158"/>
      <c r="EX64" s="158"/>
      <c r="EY64" s="158"/>
      <c r="EZ64" s="158"/>
      <c r="FA64" s="158"/>
      <c r="FB64" s="158"/>
      <c r="FC64" s="158"/>
      <c r="FD64" s="158"/>
      <c r="FE64" s="158"/>
      <c r="FF64" s="158"/>
      <c r="FG64" s="158"/>
      <c r="FH64" s="158"/>
      <c r="FI64" s="158"/>
      <c r="FJ64" s="158"/>
      <c r="FK64" s="158"/>
      <c r="FL64" s="158"/>
      <c r="FM64" s="158"/>
      <c r="FN64" s="158"/>
      <c r="FO64" s="158"/>
      <c r="FP64" s="158"/>
      <c r="FQ64" s="158"/>
      <c r="FR64" s="158"/>
      <c r="FS64" s="158"/>
      <c r="FT64" s="158"/>
      <c r="FU64" s="158"/>
      <c r="FV64" s="158"/>
      <c r="FW64" s="158"/>
      <c r="FX64" s="158"/>
      <c r="FY64" s="158"/>
      <c r="FZ64" s="158"/>
      <c r="GA64" s="158"/>
      <c r="GB64" s="158"/>
      <c r="GC64" s="158"/>
      <c r="GD64" s="158"/>
      <c r="GE64" s="158"/>
      <c r="GF64" s="158"/>
      <c r="GG64" s="158"/>
      <c r="GH64" s="158"/>
      <c r="GI64" s="158"/>
      <c r="GJ64" s="158"/>
      <c r="GK64" s="158"/>
      <c r="GL64" s="158"/>
      <c r="GM64" s="158"/>
      <c r="GN64" s="158"/>
      <c r="GO64" s="158"/>
      <c r="GP64" s="158"/>
      <c r="GQ64" s="158"/>
      <c r="GR64" s="158"/>
      <c r="GS64" s="158"/>
      <c r="GT64" s="158"/>
      <c r="GU64" s="158"/>
      <c r="GV64" s="158"/>
      <c r="GW64" s="158"/>
      <c r="GX64" s="158"/>
      <c r="GY64" s="158"/>
      <c r="GZ64" s="158"/>
      <c r="HA64" s="158"/>
      <c r="HB64" s="158"/>
      <c r="HC64" s="158"/>
      <c r="HD64" s="158"/>
      <c r="HE64" s="158"/>
      <c r="HF64" s="158"/>
      <c r="HG64" s="158"/>
      <c r="HH64" s="158"/>
      <c r="HI64" s="158"/>
      <c r="HJ64" s="158"/>
      <c r="HK64" s="158"/>
      <c r="HL64" s="158"/>
      <c r="HM64" s="158"/>
      <c r="HN64" s="158"/>
      <c r="HO64" s="158"/>
      <c r="HP64" s="158"/>
      <c r="HQ64" s="158"/>
      <c r="HR64" s="158"/>
      <c r="HS64" s="158"/>
      <c r="HT64" s="158"/>
      <c r="HU64" s="158"/>
      <c r="HV64" s="158"/>
      <c r="HW64" s="158"/>
      <c r="HX64" s="158"/>
      <c r="HY64" s="158"/>
      <c r="HZ64" s="158"/>
      <c r="IA64" s="158"/>
      <c r="IB64" s="158"/>
      <c r="IC64" s="158"/>
      <c r="ID64" s="158"/>
      <c r="IE64" s="158"/>
      <c r="IF64" s="158"/>
      <c r="IG64" s="158"/>
      <c r="IH64" s="158"/>
      <c r="II64" s="158"/>
      <c r="IJ64" s="158"/>
      <c r="IK64" s="158"/>
      <c r="IL64" s="158"/>
      <c r="IM64" s="158"/>
      <c r="IN64" s="158"/>
      <c r="IO64" s="158"/>
      <c r="IP64" s="158"/>
    </row>
    <row r="65" spans="1:250" ht="15.3" x14ac:dyDescent="0.55000000000000004">
      <c r="A65" s="158"/>
      <c r="B65" s="158"/>
      <c r="C65" s="158"/>
      <c r="D65" s="158"/>
      <c r="E65" s="158"/>
      <c r="F65" s="158"/>
      <c r="G65" s="158"/>
      <c r="H65" s="190"/>
      <c r="I65" s="190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8"/>
      <c r="GD65" s="158"/>
      <c r="GE65" s="158"/>
      <c r="GF65" s="158"/>
      <c r="GG65" s="158"/>
      <c r="GH65" s="158"/>
      <c r="GI65" s="158"/>
      <c r="GJ65" s="158"/>
      <c r="GK65" s="158"/>
      <c r="GL65" s="158"/>
      <c r="GM65" s="158"/>
      <c r="GN65" s="158"/>
      <c r="GO65" s="158"/>
      <c r="GP65" s="158"/>
      <c r="GQ65" s="158"/>
      <c r="GR65" s="158"/>
      <c r="GS65" s="158"/>
      <c r="GT65" s="158"/>
      <c r="GU65" s="158"/>
      <c r="GV65" s="158"/>
      <c r="GW65" s="158"/>
      <c r="GX65" s="158"/>
      <c r="GY65" s="158"/>
      <c r="GZ65" s="158"/>
      <c r="HA65" s="158"/>
      <c r="HB65" s="158"/>
      <c r="HC65" s="158"/>
      <c r="HD65" s="158"/>
      <c r="HE65" s="158"/>
      <c r="HF65" s="158"/>
      <c r="HG65" s="158"/>
      <c r="HH65" s="158"/>
      <c r="HI65" s="158"/>
      <c r="HJ65" s="158"/>
      <c r="HK65" s="158"/>
      <c r="HL65" s="158"/>
      <c r="HM65" s="158"/>
      <c r="HN65" s="158"/>
      <c r="HO65" s="158"/>
      <c r="HP65" s="158"/>
      <c r="HQ65" s="158"/>
      <c r="HR65" s="158"/>
      <c r="HS65" s="158"/>
      <c r="HT65" s="158"/>
      <c r="HU65" s="158"/>
      <c r="HV65" s="158"/>
      <c r="HW65" s="158"/>
      <c r="HX65" s="158"/>
      <c r="HY65" s="158"/>
      <c r="HZ65" s="158"/>
      <c r="IA65" s="158"/>
      <c r="IB65" s="158"/>
      <c r="IC65" s="158"/>
      <c r="ID65" s="158"/>
      <c r="IE65" s="158"/>
      <c r="IF65" s="158"/>
      <c r="IG65" s="158"/>
      <c r="IH65" s="158"/>
      <c r="II65" s="158"/>
      <c r="IJ65" s="158"/>
      <c r="IK65" s="158"/>
      <c r="IL65" s="158"/>
      <c r="IM65" s="158"/>
      <c r="IN65" s="158"/>
      <c r="IO65" s="158"/>
      <c r="IP65" s="158"/>
    </row>
    <row r="66" spans="1:250" ht="15.3" x14ac:dyDescent="0.55000000000000004">
      <c r="A66" s="158"/>
      <c r="B66" s="158"/>
      <c r="C66" s="158"/>
      <c r="D66" s="158"/>
      <c r="E66" s="158"/>
      <c r="F66" s="158"/>
      <c r="G66" s="158"/>
      <c r="H66" s="190"/>
      <c r="I66" s="190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8"/>
      <c r="EF66" s="158"/>
      <c r="EG66" s="158"/>
      <c r="EH66" s="158"/>
      <c r="EI66" s="158"/>
      <c r="EJ66" s="158"/>
      <c r="EK66" s="158"/>
      <c r="EL66" s="158"/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8"/>
      <c r="FC66" s="158"/>
      <c r="FD66" s="158"/>
      <c r="FE66" s="158"/>
      <c r="FF66" s="158"/>
      <c r="FG66" s="158"/>
      <c r="FH66" s="158"/>
      <c r="FI66" s="158"/>
      <c r="FJ66" s="158"/>
      <c r="FK66" s="158"/>
      <c r="FL66" s="158"/>
      <c r="FM66" s="158"/>
      <c r="FN66" s="158"/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8"/>
      <c r="GD66" s="158"/>
      <c r="GE66" s="158"/>
      <c r="GF66" s="158"/>
      <c r="GG66" s="158"/>
      <c r="GH66" s="158"/>
      <c r="GI66" s="158"/>
      <c r="GJ66" s="158"/>
      <c r="GK66" s="158"/>
      <c r="GL66" s="158"/>
      <c r="GM66" s="158"/>
      <c r="GN66" s="158"/>
      <c r="GO66" s="158"/>
      <c r="GP66" s="158"/>
      <c r="GQ66" s="158"/>
      <c r="GR66" s="158"/>
      <c r="GS66" s="158"/>
      <c r="GT66" s="158"/>
      <c r="GU66" s="158"/>
      <c r="GV66" s="158"/>
      <c r="GW66" s="158"/>
      <c r="GX66" s="158"/>
      <c r="GY66" s="158"/>
      <c r="GZ66" s="158"/>
      <c r="HA66" s="158"/>
      <c r="HB66" s="158"/>
      <c r="HC66" s="158"/>
      <c r="HD66" s="158"/>
      <c r="HE66" s="158"/>
      <c r="HF66" s="158"/>
      <c r="HG66" s="158"/>
      <c r="HH66" s="158"/>
      <c r="HI66" s="158"/>
      <c r="HJ66" s="158"/>
      <c r="HK66" s="158"/>
      <c r="HL66" s="158"/>
      <c r="HM66" s="158"/>
      <c r="HN66" s="158"/>
      <c r="HO66" s="158"/>
      <c r="HP66" s="158"/>
      <c r="HQ66" s="158"/>
      <c r="HR66" s="158"/>
      <c r="HS66" s="158"/>
      <c r="HT66" s="158"/>
      <c r="HU66" s="158"/>
      <c r="HV66" s="158"/>
      <c r="HW66" s="158"/>
      <c r="HX66" s="158"/>
      <c r="HY66" s="158"/>
      <c r="HZ66" s="158"/>
      <c r="IA66" s="158"/>
      <c r="IB66" s="158"/>
      <c r="IC66" s="158"/>
      <c r="ID66" s="158"/>
      <c r="IE66" s="158"/>
      <c r="IF66" s="158"/>
      <c r="IG66" s="158"/>
      <c r="IH66" s="158"/>
      <c r="II66" s="158"/>
      <c r="IJ66" s="158"/>
      <c r="IK66" s="158"/>
      <c r="IL66" s="158"/>
      <c r="IM66" s="158"/>
      <c r="IN66" s="158"/>
      <c r="IO66" s="158"/>
      <c r="IP66" s="158"/>
    </row>
    <row r="67" spans="1:250" ht="15.3" x14ac:dyDescent="0.55000000000000004">
      <c r="A67" s="158"/>
      <c r="B67" s="158"/>
      <c r="C67" s="158"/>
      <c r="D67" s="158"/>
      <c r="E67" s="158"/>
      <c r="F67" s="158"/>
      <c r="G67" s="158"/>
      <c r="H67" s="190"/>
      <c r="I67" s="190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8"/>
      <c r="FC67" s="158"/>
      <c r="FD67" s="158"/>
      <c r="FE67" s="158"/>
      <c r="FF67" s="158"/>
      <c r="FG67" s="158"/>
      <c r="FH67" s="158"/>
      <c r="FI67" s="158"/>
      <c r="FJ67" s="158"/>
      <c r="FK67" s="158"/>
      <c r="FL67" s="158"/>
      <c r="FM67" s="158"/>
      <c r="FN67" s="158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  <c r="GD67" s="158"/>
      <c r="GE67" s="158"/>
      <c r="GF67" s="158"/>
      <c r="GG67" s="158"/>
      <c r="GH67" s="158"/>
      <c r="GI67" s="158"/>
      <c r="GJ67" s="158"/>
      <c r="GK67" s="158"/>
      <c r="GL67" s="158"/>
      <c r="GM67" s="158"/>
      <c r="GN67" s="158"/>
      <c r="GO67" s="158"/>
      <c r="GP67" s="158"/>
      <c r="GQ67" s="158"/>
      <c r="GR67" s="158"/>
      <c r="GS67" s="158"/>
      <c r="GT67" s="158"/>
      <c r="GU67" s="158"/>
      <c r="GV67" s="158"/>
      <c r="GW67" s="158"/>
      <c r="GX67" s="158"/>
      <c r="GY67" s="158"/>
      <c r="GZ67" s="158"/>
      <c r="HA67" s="158"/>
      <c r="HB67" s="158"/>
      <c r="HC67" s="158"/>
      <c r="HD67" s="158"/>
      <c r="HE67" s="158"/>
      <c r="HF67" s="158"/>
      <c r="HG67" s="158"/>
      <c r="HH67" s="158"/>
      <c r="HI67" s="158"/>
      <c r="HJ67" s="158"/>
      <c r="HK67" s="158"/>
      <c r="HL67" s="158"/>
      <c r="HM67" s="158"/>
      <c r="HN67" s="158"/>
      <c r="HO67" s="158"/>
      <c r="HP67" s="158"/>
      <c r="HQ67" s="158"/>
      <c r="HR67" s="158"/>
      <c r="HS67" s="158"/>
      <c r="HT67" s="158"/>
      <c r="HU67" s="158"/>
      <c r="HV67" s="158"/>
      <c r="HW67" s="158"/>
      <c r="HX67" s="158"/>
      <c r="HY67" s="158"/>
      <c r="HZ67" s="158"/>
      <c r="IA67" s="158"/>
      <c r="IB67" s="158"/>
      <c r="IC67" s="158"/>
      <c r="ID67" s="158"/>
      <c r="IE67" s="158"/>
      <c r="IF67" s="158"/>
      <c r="IG67" s="158"/>
      <c r="IH67" s="158"/>
      <c r="II67" s="158"/>
      <c r="IJ67" s="158"/>
      <c r="IK67" s="158"/>
      <c r="IL67" s="158"/>
      <c r="IM67" s="158"/>
      <c r="IN67" s="158"/>
      <c r="IO67" s="158"/>
      <c r="IP67" s="158"/>
    </row>
    <row r="68" spans="1:250" ht="15.3" x14ac:dyDescent="0.55000000000000004">
      <c r="A68" s="158"/>
      <c r="B68" s="158"/>
      <c r="C68" s="158"/>
      <c r="D68" s="158"/>
      <c r="E68" s="158"/>
      <c r="F68" s="158"/>
      <c r="G68" s="158"/>
      <c r="H68" s="190"/>
      <c r="I68" s="190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8"/>
      <c r="DM68" s="158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8"/>
      <c r="FC68" s="158"/>
      <c r="FD68" s="158"/>
      <c r="FE68" s="158"/>
      <c r="FF68" s="158"/>
      <c r="FG68" s="158"/>
      <c r="FH68" s="158"/>
      <c r="FI68" s="158"/>
      <c r="FJ68" s="158"/>
      <c r="FK68" s="158"/>
      <c r="FL68" s="158"/>
      <c r="FM68" s="158"/>
      <c r="FN68" s="158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8"/>
      <c r="GD68" s="158"/>
      <c r="GE68" s="158"/>
      <c r="GF68" s="158"/>
      <c r="GG68" s="158"/>
      <c r="GH68" s="158"/>
      <c r="GI68" s="158"/>
      <c r="GJ68" s="158"/>
      <c r="GK68" s="158"/>
      <c r="GL68" s="158"/>
      <c r="GM68" s="158"/>
      <c r="GN68" s="158"/>
      <c r="GO68" s="158"/>
      <c r="GP68" s="158"/>
      <c r="GQ68" s="158"/>
      <c r="GR68" s="158"/>
      <c r="GS68" s="158"/>
      <c r="GT68" s="158"/>
      <c r="GU68" s="158"/>
      <c r="GV68" s="158"/>
      <c r="GW68" s="158"/>
      <c r="GX68" s="158"/>
      <c r="GY68" s="158"/>
      <c r="GZ68" s="158"/>
      <c r="HA68" s="158"/>
      <c r="HB68" s="158"/>
      <c r="HC68" s="158"/>
      <c r="HD68" s="158"/>
      <c r="HE68" s="158"/>
      <c r="HF68" s="158"/>
      <c r="HG68" s="158"/>
      <c r="HH68" s="158"/>
      <c r="HI68" s="158"/>
      <c r="HJ68" s="158"/>
      <c r="HK68" s="158"/>
      <c r="HL68" s="158"/>
      <c r="HM68" s="158"/>
      <c r="HN68" s="158"/>
      <c r="HO68" s="158"/>
      <c r="HP68" s="158"/>
      <c r="HQ68" s="158"/>
      <c r="HR68" s="158"/>
      <c r="HS68" s="158"/>
      <c r="HT68" s="158"/>
      <c r="HU68" s="158"/>
      <c r="HV68" s="158"/>
      <c r="HW68" s="158"/>
      <c r="HX68" s="158"/>
      <c r="HY68" s="158"/>
      <c r="HZ68" s="158"/>
      <c r="IA68" s="158"/>
      <c r="IB68" s="158"/>
      <c r="IC68" s="158"/>
      <c r="ID68" s="158"/>
      <c r="IE68" s="158"/>
      <c r="IF68" s="158"/>
      <c r="IG68" s="158"/>
      <c r="IH68" s="158"/>
      <c r="II68" s="158"/>
      <c r="IJ68" s="158"/>
      <c r="IK68" s="158"/>
      <c r="IL68" s="158"/>
      <c r="IM68" s="158"/>
      <c r="IN68" s="158"/>
      <c r="IO68" s="158"/>
      <c r="IP68" s="158"/>
    </row>
    <row r="69" spans="1:250" ht="15.3" x14ac:dyDescent="0.55000000000000004">
      <c r="A69" s="158"/>
      <c r="B69" s="158"/>
      <c r="C69" s="158"/>
      <c r="D69" s="158"/>
      <c r="E69" s="158"/>
      <c r="F69" s="158"/>
      <c r="G69" s="158"/>
      <c r="H69" s="190"/>
      <c r="I69" s="190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8"/>
      <c r="EF69" s="158"/>
      <c r="EG69" s="158"/>
      <c r="EH69" s="158"/>
      <c r="EI69" s="158"/>
      <c r="EJ69" s="158"/>
      <c r="EK69" s="158"/>
      <c r="EL69" s="158"/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8"/>
      <c r="FC69" s="158"/>
      <c r="FD69" s="158"/>
      <c r="FE69" s="158"/>
      <c r="FF69" s="158"/>
      <c r="FG69" s="158"/>
      <c r="FH69" s="158"/>
      <c r="FI69" s="158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8"/>
      <c r="GD69" s="158"/>
      <c r="GE69" s="158"/>
      <c r="GF69" s="158"/>
      <c r="GG69" s="158"/>
      <c r="GH69" s="158"/>
      <c r="GI69" s="158"/>
      <c r="GJ69" s="158"/>
      <c r="GK69" s="158"/>
      <c r="GL69" s="158"/>
      <c r="GM69" s="158"/>
      <c r="GN69" s="158"/>
      <c r="GO69" s="158"/>
      <c r="GP69" s="158"/>
      <c r="GQ69" s="158"/>
      <c r="GR69" s="158"/>
      <c r="GS69" s="158"/>
      <c r="GT69" s="158"/>
      <c r="GU69" s="158"/>
      <c r="GV69" s="158"/>
      <c r="GW69" s="158"/>
      <c r="GX69" s="158"/>
      <c r="GY69" s="158"/>
      <c r="GZ69" s="158"/>
      <c r="HA69" s="158"/>
      <c r="HB69" s="158"/>
      <c r="HC69" s="158"/>
      <c r="HD69" s="158"/>
      <c r="HE69" s="158"/>
      <c r="HF69" s="158"/>
      <c r="HG69" s="158"/>
      <c r="HH69" s="158"/>
      <c r="HI69" s="158"/>
      <c r="HJ69" s="158"/>
      <c r="HK69" s="158"/>
      <c r="HL69" s="158"/>
      <c r="HM69" s="158"/>
      <c r="HN69" s="158"/>
      <c r="HO69" s="158"/>
      <c r="HP69" s="158"/>
      <c r="HQ69" s="158"/>
      <c r="HR69" s="158"/>
      <c r="HS69" s="158"/>
      <c r="HT69" s="158"/>
      <c r="HU69" s="158"/>
      <c r="HV69" s="158"/>
      <c r="HW69" s="158"/>
      <c r="HX69" s="158"/>
      <c r="HY69" s="158"/>
      <c r="HZ69" s="158"/>
      <c r="IA69" s="158"/>
      <c r="IB69" s="158"/>
      <c r="IC69" s="158"/>
      <c r="ID69" s="158"/>
      <c r="IE69" s="158"/>
      <c r="IF69" s="158"/>
      <c r="IG69" s="158"/>
      <c r="IH69" s="158"/>
      <c r="II69" s="158"/>
      <c r="IJ69" s="158"/>
      <c r="IK69" s="158"/>
      <c r="IL69" s="158"/>
      <c r="IM69" s="158"/>
      <c r="IN69" s="158"/>
      <c r="IO69" s="158"/>
      <c r="IP69" s="158"/>
    </row>
    <row r="70" spans="1:250" ht="15.3" x14ac:dyDescent="0.55000000000000004">
      <c r="A70" s="158"/>
      <c r="B70" s="158"/>
      <c r="C70" s="158"/>
      <c r="D70" s="158"/>
      <c r="E70" s="158"/>
      <c r="F70" s="158"/>
      <c r="G70" s="158"/>
      <c r="H70" s="190"/>
      <c r="I70" s="190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8"/>
      <c r="DM70" s="158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8"/>
      <c r="EF70" s="158"/>
      <c r="EG70" s="158"/>
      <c r="EH70" s="158"/>
      <c r="EI70" s="158"/>
      <c r="EJ70" s="158"/>
      <c r="EK70" s="158"/>
      <c r="EL70" s="158"/>
      <c r="EM70" s="158"/>
      <c r="EN70" s="158"/>
      <c r="EO70" s="158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8"/>
      <c r="FC70" s="158"/>
      <c r="FD70" s="158"/>
      <c r="FE70" s="158"/>
      <c r="FF70" s="158"/>
      <c r="FG70" s="158"/>
      <c r="FH70" s="158"/>
      <c r="FI70" s="158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8"/>
      <c r="GD70" s="158"/>
      <c r="GE70" s="158"/>
      <c r="GF70" s="158"/>
      <c r="GG70" s="158"/>
      <c r="GH70" s="158"/>
      <c r="GI70" s="158"/>
      <c r="GJ70" s="158"/>
      <c r="GK70" s="158"/>
      <c r="GL70" s="158"/>
      <c r="GM70" s="158"/>
      <c r="GN70" s="158"/>
      <c r="GO70" s="158"/>
      <c r="GP70" s="158"/>
      <c r="GQ70" s="158"/>
      <c r="GR70" s="158"/>
      <c r="GS70" s="158"/>
      <c r="GT70" s="158"/>
      <c r="GU70" s="158"/>
      <c r="GV70" s="158"/>
      <c r="GW70" s="158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58"/>
      <c r="HK70" s="158"/>
      <c r="HL70" s="158"/>
      <c r="HM70" s="158"/>
      <c r="HN70" s="158"/>
      <c r="HO70" s="158"/>
      <c r="HP70" s="158"/>
      <c r="HQ70" s="158"/>
      <c r="HR70" s="158"/>
      <c r="HS70" s="158"/>
      <c r="HT70" s="158"/>
      <c r="HU70" s="158"/>
      <c r="HV70" s="158"/>
      <c r="HW70" s="158"/>
      <c r="HX70" s="158"/>
      <c r="HY70" s="158"/>
      <c r="HZ70" s="158"/>
      <c r="IA70" s="158"/>
      <c r="IB70" s="158"/>
      <c r="IC70" s="158"/>
      <c r="ID70" s="158"/>
      <c r="IE70" s="158"/>
      <c r="IF70" s="158"/>
      <c r="IG70" s="158"/>
      <c r="IH70" s="158"/>
      <c r="II70" s="158"/>
      <c r="IJ70" s="158"/>
      <c r="IK70" s="158"/>
      <c r="IL70" s="158"/>
      <c r="IM70" s="158"/>
      <c r="IN70" s="158"/>
      <c r="IO70" s="158"/>
      <c r="IP70" s="158"/>
    </row>
    <row r="71" spans="1:250" ht="15.3" x14ac:dyDescent="0.55000000000000004">
      <c r="A71" s="158"/>
      <c r="B71" s="158"/>
      <c r="C71" s="158"/>
      <c r="D71" s="158"/>
      <c r="E71" s="158"/>
      <c r="F71" s="158"/>
      <c r="G71" s="158"/>
      <c r="H71" s="190"/>
      <c r="I71" s="190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8"/>
      <c r="EF71" s="158"/>
      <c r="EG71" s="158"/>
      <c r="EH71" s="158"/>
      <c r="EI71" s="158"/>
      <c r="EJ71" s="158"/>
      <c r="EK71" s="158"/>
      <c r="EL71" s="158"/>
      <c r="EM71" s="158"/>
      <c r="EN71" s="158"/>
      <c r="EO71" s="158"/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8"/>
      <c r="FC71" s="158"/>
      <c r="FD71" s="158"/>
      <c r="FE71" s="158"/>
      <c r="FF71" s="158"/>
      <c r="FG71" s="158"/>
      <c r="FH71" s="158"/>
      <c r="FI71" s="158"/>
      <c r="FJ71" s="158"/>
      <c r="FK71" s="158"/>
      <c r="FL71" s="158"/>
      <c r="FM71" s="158"/>
      <c r="FN71" s="158"/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8"/>
      <c r="GD71" s="158"/>
      <c r="GE71" s="158"/>
      <c r="GF71" s="158"/>
      <c r="GG71" s="158"/>
      <c r="GH71" s="158"/>
      <c r="GI71" s="158"/>
      <c r="GJ71" s="158"/>
      <c r="GK71" s="158"/>
      <c r="GL71" s="158"/>
      <c r="GM71" s="158"/>
      <c r="GN71" s="158"/>
      <c r="GO71" s="158"/>
      <c r="GP71" s="158"/>
      <c r="GQ71" s="158"/>
      <c r="GR71" s="158"/>
      <c r="GS71" s="158"/>
      <c r="GT71" s="158"/>
      <c r="GU71" s="158"/>
      <c r="GV71" s="158"/>
      <c r="GW71" s="158"/>
      <c r="GX71" s="158"/>
      <c r="GY71" s="158"/>
      <c r="GZ71" s="158"/>
      <c r="HA71" s="158"/>
      <c r="HB71" s="158"/>
      <c r="HC71" s="158"/>
      <c r="HD71" s="158"/>
      <c r="HE71" s="158"/>
      <c r="HF71" s="158"/>
      <c r="HG71" s="158"/>
      <c r="HH71" s="158"/>
      <c r="HI71" s="158"/>
      <c r="HJ71" s="158"/>
      <c r="HK71" s="158"/>
      <c r="HL71" s="158"/>
      <c r="HM71" s="158"/>
      <c r="HN71" s="158"/>
      <c r="HO71" s="158"/>
      <c r="HP71" s="158"/>
      <c r="HQ71" s="158"/>
      <c r="HR71" s="158"/>
      <c r="HS71" s="158"/>
      <c r="HT71" s="158"/>
      <c r="HU71" s="158"/>
      <c r="HV71" s="158"/>
      <c r="HW71" s="158"/>
      <c r="HX71" s="158"/>
      <c r="HY71" s="158"/>
      <c r="HZ71" s="158"/>
      <c r="IA71" s="158"/>
      <c r="IB71" s="158"/>
      <c r="IC71" s="158"/>
      <c r="ID71" s="158"/>
      <c r="IE71" s="158"/>
      <c r="IF71" s="158"/>
      <c r="IG71" s="158"/>
      <c r="IH71" s="158"/>
      <c r="II71" s="158"/>
      <c r="IJ71" s="158"/>
      <c r="IK71" s="158"/>
      <c r="IL71" s="158"/>
      <c r="IM71" s="158"/>
      <c r="IN71" s="158"/>
      <c r="IO71" s="158"/>
      <c r="IP71" s="158"/>
    </row>
    <row r="72" spans="1:250" ht="15.3" x14ac:dyDescent="0.55000000000000004">
      <c r="A72" s="158"/>
      <c r="B72" s="158"/>
      <c r="C72" s="158"/>
      <c r="D72" s="158"/>
      <c r="E72" s="158"/>
      <c r="F72" s="158"/>
      <c r="G72" s="158"/>
      <c r="H72" s="190"/>
      <c r="I72" s="190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8"/>
      <c r="DM72" s="158"/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8"/>
      <c r="EF72" s="158"/>
      <c r="EG72" s="158"/>
      <c r="EH72" s="158"/>
      <c r="EI72" s="158"/>
      <c r="EJ72" s="158"/>
      <c r="EK72" s="158"/>
      <c r="EL72" s="158"/>
      <c r="EM72" s="158"/>
      <c r="EN72" s="158"/>
      <c r="EO72" s="158"/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8"/>
      <c r="FC72" s="158"/>
      <c r="FD72" s="158"/>
      <c r="FE72" s="158"/>
      <c r="FF72" s="158"/>
      <c r="FG72" s="158"/>
      <c r="FH72" s="158"/>
      <c r="FI72" s="158"/>
      <c r="FJ72" s="158"/>
      <c r="FK72" s="158"/>
      <c r="FL72" s="158"/>
      <c r="FM72" s="158"/>
      <c r="FN72" s="158"/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8"/>
      <c r="GD72" s="158"/>
      <c r="GE72" s="158"/>
      <c r="GF72" s="158"/>
      <c r="GG72" s="158"/>
      <c r="GH72" s="158"/>
      <c r="GI72" s="158"/>
      <c r="GJ72" s="158"/>
      <c r="GK72" s="158"/>
      <c r="GL72" s="158"/>
      <c r="GM72" s="158"/>
      <c r="GN72" s="158"/>
      <c r="GO72" s="158"/>
      <c r="GP72" s="158"/>
      <c r="GQ72" s="158"/>
      <c r="GR72" s="158"/>
      <c r="GS72" s="158"/>
      <c r="GT72" s="158"/>
      <c r="GU72" s="158"/>
      <c r="GV72" s="158"/>
      <c r="GW72" s="158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58"/>
      <c r="HK72" s="158"/>
      <c r="HL72" s="158"/>
      <c r="HM72" s="158"/>
      <c r="HN72" s="158"/>
      <c r="HO72" s="158"/>
      <c r="HP72" s="158"/>
      <c r="HQ72" s="158"/>
      <c r="HR72" s="158"/>
      <c r="HS72" s="158"/>
      <c r="HT72" s="158"/>
      <c r="HU72" s="158"/>
      <c r="HV72" s="158"/>
      <c r="HW72" s="158"/>
      <c r="HX72" s="158"/>
      <c r="HY72" s="158"/>
      <c r="HZ72" s="158"/>
      <c r="IA72" s="158"/>
      <c r="IB72" s="158"/>
      <c r="IC72" s="158"/>
      <c r="ID72" s="158"/>
      <c r="IE72" s="158"/>
      <c r="IF72" s="158"/>
      <c r="IG72" s="158"/>
      <c r="IH72" s="158"/>
      <c r="II72" s="158"/>
      <c r="IJ72" s="158"/>
      <c r="IK72" s="158"/>
      <c r="IL72" s="158"/>
      <c r="IM72" s="158"/>
      <c r="IN72" s="158"/>
      <c r="IO72" s="158"/>
      <c r="IP72" s="158"/>
    </row>
    <row r="73" spans="1:250" ht="15.3" x14ac:dyDescent="0.55000000000000004">
      <c r="A73" s="158"/>
      <c r="B73" s="158"/>
      <c r="C73" s="158"/>
      <c r="D73" s="158"/>
      <c r="E73" s="158"/>
      <c r="F73" s="158"/>
      <c r="G73" s="158"/>
      <c r="H73" s="190"/>
      <c r="I73" s="190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8"/>
      <c r="CG73" s="158"/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8"/>
      <c r="CY73" s="158"/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8"/>
      <c r="DM73" s="158"/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8"/>
      <c r="EF73" s="158"/>
      <c r="EG73" s="158"/>
      <c r="EH73" s="158"/>
      <c r="EI73" s="158"/>
      <c r="EJ73" s="158"/>
      <c r="EK73" s="158"/>
      <c r="EL73" s="158"/>
      <c r="EM73" s="158"/>
      <c r="EN73" s="158"/>
      <c r="EO73" s="158"/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8"/>
      <c r="FC73" s="158"/>
      <c r="FD73" s="158"/>
      <c r="FE73" s="158"/>
      <c r="FF73" s="158"/>
      <c r="FG73" s="158"/>
      <c r="FH73" s="158"/>
      <c r="FI73" s="158"/>
      <c r="FJ73" s="158"/>
      <c r="FK73" s="158"/>
      <c r="FL73" s="158"/>
      <c r="FM73" s="158"/>
      <c r="FN73" s="158"/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8"/>
      <c r="GD73" s="158"/>
      <c r="GE73" s="158"/>
      <c r="GF73" s="158"/>
      <c r="GG73" s="158"/>
      <c r="GH73" s="158"/>
      <c r="GI73" s="158"/>
      <c r="GJ73" s="158"/>
      <c r="GK73" s="158"/>
      <c r="GL73" s="158"/>
      <c r="GM73" s="158"/>
      <c r="GN73" s="158"/>
      <c r="GO73" s="158"/>
      <c r="GP73" s="158"/>
      <c r="GQ73" s="158"/>
      <c r="GR73" s="158"/>
      <c r="GS73" s="158"/>
      <c r="GT73" s="158"/>
      <c r="GU73" s="158"/>
      <c r="GV73" s="158"/>
      <c r="GW73" s="158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58"/>
      <c r="HK73" s="158"/>
      <c r="HL73" s="158"/>
      <c r="HM73" s="158"/>
      <c r="HN73" s="158"/>
      <c r="HO73" s="158"/>
      <c r="HP73" s="158"/>
      <c r="HQ73" s="158"/>
      <c r="HR73" s="158"/>
      <c r="HS73" s="158"/>
      <c r="HT73" s="158"/>
      <c r="HU73" s="158"/>
      <c r="HV73" s="158"/>
      <c r="HW73" s="158"/>
      <c r="HX73" s="158"/>
      <c r="HY73" s="158"/>
      <c r="HZ73" s="158"/>
      <c r="IA73" s="158"/>
      <c r="IB73" s="158"/>
      <c r="IC73" s="158"/>
      <c r="ID73" s="158"/>
      <c r="IE73" s="158"/>
      <c r="IF73" s="158"/>
      <c r="IG73" s="158"/>
      <c r="IH73" s="158"/>
      <c r="II73" s="158"/>
      <c r="IJ73" s="158"/>
      <c r="IK73" s="158"/>
      <c r="IL73" s="158"/>
      <c r="IM73" s="158"/>
      <c r="IN73" s="158"/>
      <c r="IO73" s="158"/>
      <c r="IP73" s="158"/>
    </row>
    <row r="74" spans="1:250" ht="15.3" x14ac:dyDescent="0.55000000000000004">
      <c r="A74" s="158"/>
      <c r="B74" s="158"/>
      <c r="C74" s="158"/>
      <c r="D74" s="158"/>
      <c r="E74" s="158"/>
      <c r="F74" s="158"/>
      <c r="G74" s="158"/>
      <c r="H74" s="190"/>
      <c r="I74" s="190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8"/>
      <c r="EF74" s="158"/>
      <c r="EG74" s="158"/>
      <c r="EH74" s="158"/>
      <c r="EI74" s="158"/>
      <c r="EJ74" s="158"/>
      <c r="EK74" s="158"/>
      <c r="EL74" s="158"/>
      <c r="EM74" s="158"/>
      <c r="EN74" s="158"/>
      <c r="EO74" s="158"/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8"/>
      <c r="FC74" s="158"/>
      <c r="FD74" s="158"/>
      <c r="FE74" s="158"/>
      <c r="FF74" s="158"/>
      <c r="FG74" s="158"/>
      <c r="FH74" s="158"/>
      <c r="FI74" s="158"/>
      <c r="FJ74" s="158"/>
      <c r="FK74" s="158"/>
      <c r="FL74" s="158"/>
      <c r="FM74" s="158"/>
      <c r="FN74" s="158"/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8"/>
      <c r="GD74" s="158"/>
      <c r="GE74" s="158"/>
      <c r="GF74" s="158"/>
      <c r="GG74" s="158"/>
      <c r="GH74" s="158"/>
      <c r="GI74" s="158"/>
      <c r="GJ74" s="158"/>
      <c r="GK74" s="158"/>
      <c r="GL74" s="158"/>
      <c r="GM74" s="158"/>
      <c r="GN74" s="158"/>
      <c r="GO74" s="158"/>
      <c r="GP74" s="158"/>
      <c r="GQ74" s="158"/>
      <c r="GR74" s="158"/>
      <c r="GS74" s="158"/>
      <c r="GT74" s="158"/>
      <c r="GU74" s="158"/>
      <c r="GV74" s="158"/>
      <c r="GW74" s="158"/>
      <c r="GX74" s="158"/>
      <c r="GY74" s="158"/>
      <c r="GZ74" s="158"/>
      <c r="HA74" s="158"/>
      <c r="HB74" s="158"/>
      <c r="HC74" s="158"/>
      <c r="HD74" s="158"/>
      <c r="HE74" s="158"/>
      <c r="HF74" s="158"/>
      <c r="HG74" s="158"/>
      <c r="HH74" s="158"/>
      <c r="HI74" s="158"/>
      <c r="HJ74" s="158"/>
      <c r="HK74" s="158"/>
      <c r="HL74" s="158"/>
      <c r="HM74" s="158"/>
      <c r="HN74" s="158"/>
      <c r="HO74" s="158"/>
      <c r="HP74" s="158"/>
      <c r="HQ74" s="158"/>
      <c r="HR74" s="158"/>
      <c r="HS74" s="158"/>
      <c r="HT74" s="158"/>
      <c r="HU74" s="158"/>
      <c r="HV74" s="158"/>
      <c r="HW74" s="158"/>
      <c r="HX74" s="158"/>
      <c r="HY74" s="158"/>
      <c r="HZ74" s="158"/>
      <c r="IA74" s="158"/>
      <c r="IB74" s="158"/>
      <c r="IC74" s="158"/>
      <c r="ID74" s="158"/>
      <c r="IE74" s="158"/>
      <c r="IF74" s="158"/>
      <c r="IG74" s="158"/>
      <c r="IH74" s="158"/>
      <c r="II74" s="158"/>
      <c r="IJ74" s="158"/>
      <c r="IK74" s="158"/>
      <c r="IL74" s="158"/>
      <c r="IM74" s="158"/>
      <c r="IN74" s="158"/>
      <c r="IO74" s="158"/>
      <c r="IP74" s="158"/>
    </row>
    <row r="75" spans="1:250" ht="15.3" x14ac:dyDescent="0.55000000000000004">
      <c r="A75" s="158"/>
      <c r="B75" s="158"/>
      <c r="C75" s="158"/>
      <c r="D75" s="158"/>
      <c r="E75" s="158"/>
      <c r="F75" s="158"/>
      <c r="G75" s="158"/>
      <c r="H75" s="190"/>
      <c r="I75" s="190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8"/>
      <c r="CG75" s="158"/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8"/>
      <c r="DM75" s="158"/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8"/>
      <c r="EF75" s="158"/>
      <c r="EG75" s="158"/>
      <c r="EH75" s="158"/>
      <c r="EI75" s="158"/>
      <c r="EJ75" s="158"/>
      <c r="EK75" s="158"/>
      <c r="EL75" s="158"/>
      <c r="EM75" s="158"/>
      <c r="EN75" s="158"/>
      <c r="EO75" s="158"/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8"/>
      <c r="FC75" s="158"/>
      <c r="FD75" s="158"/>
      <c r="FE75" s="158"/>
      <c r="FF75" s="158"/>
      <c r="FG75" s="158"/>
      <c r="FH75" s="158"/>
      <c r="FI75" s="158"/>
      <c r="FJ75" s="158"/>
      <c r="FK75" s="158"/>
      <c r="FL75" s="158"/>
      <c r="FM75" s="158"/>
      <c r="FN75" s="158"/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8"/>
      <c r="GD75" s="158"/>
      <c r="GE75" s="158"/>
      <c r="GF75" s="158"/>
      <c r="GG75" s="158"/>
      <c r="GH75" s="158"/>
      <c r="GI75" s="158"/>
      <c r="GJ75" s="158"/>
      <c r="GK75" s="158"/>
      <c r="GL75" s="158"/>
      <c r="GM75" s="158"/>
      <c r="GN75" s="158"/>
      <c r="GO75" s="158"/>
      <c r="GP75" s="158"/>
      <c r="GQ75" s="158"/>
      <c r="GR75" s="158"/>
      <c r="GS75" s="158"/>
      <c r="GT75" s="158"/>
      <c r="GU75" s="158"/>
      <c r="GV75" s="158"/>
      <c r="GW75" s="158"/>
      <c r="GX75" s="158"/>
      <c r="GY75" s="158"/>
      <c r="GZ75" s="158"/>
      <c r="HA75" s="158"/>
      <c r="HB75" s="158"/>
      <c r="HC75" s="158"/>
      <c r="HD75" s="158"/>
      <c r="HE75" s="158"/>
      <c r="HF75" s="158"/>
      <c r="HG75" s="158"/>
      <c r="HH75" s="158"/>
      <c r="HI75" s="158"/>
      <c r="HJ75" s="158"/>
      <c r="HK75" s="158"/>
      <c r="HL75" s="158"/>
      <c r="HM75" s="158"/>
      <c r="HN75" s="158"/>
      <c r="HO75" s="158"/>
      <c r="HP75" s="158"/>
      <c r="HQ75" s="158"/>
      <c r="HR75" s="158"/>
      <c r="HS75" s="158"/>
      <c r="HT75" s="158"/>
      <c r="HU75" s="158"/>
      <c r="HV75" s="158"/>
      <c r="HW75" s="158"/>
      <c r="HX75" s="158"/>
      <c r="HY75" s="158"/>
      <c r="HZ75" s="158"/>
      <c r="IA75" s="158"/>
      <c r="IB75" s="158"/>
      <c r="IC75" s="158"/>
      <c r="ID75" s="158"/>
      <c r="IE75" s="158"/>
      <c r="IF75" s="158"/>
      <c r="IG75" s="158"/>
      <c r="IH75" s="158"/>
      <c r="II75" s="158"/>
      <c r="IJ75" s="158"/>
      <c r="IK75" s="158"/>
      <c r="IL75" s="158"/>
      <c r="IM75" s="158"/>
      <c r="IN75" s="158"/>
      <c r="IO75" s="158"/>
      <c r="IP75" s="158"/>
    </row>
    <row r="76" spans="1:250" ht="15.3" x14ac:dyDescent="0.55000000000000004">
      <c r="A76" s="158"/>
      <c r="B76" s="158"/>
      <c r="C76" s="158"/>
      <c r="D76" s="158"/>
      <c r="E76" s="158"/>
      <c r="F76" s="158"/>
      <c r="G76" s="158"/>
      <c r="H76" s="190"/>
      <c r="I76" s="190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8"/>
      <c r="CY76" s="158"/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8"/>
      <c r="DM76" s="158"/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8"/>
      <c r="EF76" s="158"/>
      <c r="EG76" s="158"/>
      <c r="EH76" s="158"/>
      <c r="EI76" s="158"/>
      <c r="EJ76" s="158"/>
      <c r="EK76" s="158"/>
      <c r="EL76" s="158"/>
      <c r="EM76" s="158"/>
      <c r="EN76" s="158"/>
      <c r="EO76" s="158"/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8"/>
      <c r="FC76" s="158"/>
      <c r="FD76" s="158"/>
      <c r="FE76" s="158"/>
      <c r="FF76" s="158"/>
      <c r="FG76" s="158"/>
      <c r="FH76" s="158"/>
      <c r="FI76" s="158"/>
      <c r="FJ76" s="158"/>
      <c r="FK76" s="158"/>
      <c r="FL76" s="158"/>
      <c r="FM76" s="158"/>
      <c r="FN76" s="158"/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8"/>
      <c r="GD76" s="158"/>
      <c r="GE76" s="158"/>
      <c r="GF76" s="158"/>
      <c r="GG76" s="158"/>
      <c r="GH76" s="158"/>
      <c r="GI76" s="158"/>
      <c r="GJ76" s="158"/>
      <c r="GK76" s="158"/>
      <c r="GL76" s="158"/>
      <c r="GM76" s="158"/>
      <c r="GN76" s="158"/>
      <c r="GO76" s="158"/>
      <c r="GP76" s="158"/>
      <c r="GQ76" s="158"/>
      <c r="GR76" s="158"/>
      <c r="GS76" s="158"/>
      <c r="GT76" s="158"/>
      <c r="GU76" s="158"/>
      <c r="GV76" s="158"/>
      <c r="GW76" s="158"/>
      <c r="GX76" s="158"/>
      <c r="GY76" s="158"/>
      <c r="GZ76" s="158"/>
      <c r="HA76" s="158"/>
      <c r="HB76" s="158"/>
      <c r="HC76" s="158"/>
      <c r="HD76" s="158"/>
      <c r="HE76" s="158"/>
      <c r="HF76" s="158"/>
      <c r="HG76" s="158"/>
      <c r="HH76" s="158"/>
      <c r="HI76" s="158"/>
      <c r="HJ76" s="158"/>
      <c r="HK76" s="158"/>
      <c r="HL76" s="158"/>
      <c r="HM76" s="158"/>
      <c r="HN76" s="158"/>
      <c r="HO76" s="158"/>
      <c r="HP76" s="158"/>
      <c r="HQ76" s="158"/>
      <c r="HR76" s="158"/>
      <c r="HS76" s="158"/>
      <c r="HT76" s="158"/>
      <c r="HU76" s="158"/>
      <c r="HV76" s="158"/>
      <c r="HW76" s="158"/>
      <c r="HX76" s="158"/>
      <c r="HY76" s="158"/>
      <c r="HZ76" s="158"/>
      <c r="IA76" s="158"/>
      <c r="IB76" s="158"/>
      <c r="IC76" s="158"/>
      <c r="ID76" s="158"/>
      <c r="IE76" s="158"/>
      <c r="IF76" s="158"/>
      <c r="IG76" s="158"/>
      <c r="IH76" s="158"/>
      <c r="II76" s="158"/>
      <c r="IJ76" s="158"/>
      <c r="IK76" s="158"/>
      <c r="IL76" s="158"/>
      <c r="IM76" s="158"/>
      <c r="IN76" s="158"/>
      <c r="IO76" s="158"/>
      <c r="IP76" s="158"/>
    </row>
    <row r="77" spans="1:250" ht="15.3" x14ac:dyDescent="0.55000000000000004">
      <c r="A77" s="158"/>
      <c r="B77" s="158"/>
      <c r="C77" s="158"/>
      <c r="D77" s="158"/>
      <c r="E77" s="158"/>
      <c r="F77" s="158"/>
      <c r="G77" s="158"/>
      <c r="H77" s="190"/>
      <c r="I77" s="190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8"/>
      <c r="CN77" s="158"/>
      <c r="CO77" s="158"/>
      <c r="CP77" s="158"/>
      <c r="CQ77" s="158"/>
      <c r="CR77" s="158"/>
      <c r="CS77" s="158"/>
      <c r="CT77" s="158"/>
      <c r="CU77" s="158"/>
      <c r="CV77" s="158"/>
      <c r="CW77" s="158"/>
      <c r="CX77" s="158"/>
      <c r="CY77" s="158"/>
      <c r="CZ77" s="158"/>
      <c r="DA77" s="158"/>
      <c r="DB77" s="158"/>
      <c r="DC77" s="158"/>
      <c r="DD77" s="158"/>
      <c r="DE77" s="158"/>
      <c r="DF77" s="158"/>
      <c r="DG77" s="158"/>
      <c r="DH77" s="158"/>
      <c r="DI77" s="158"/>
      <c r="DJ77" s="158"/>
      <c r="DK77" s="158"/>
      <c r="DL77" s="158"/>
      <c r="DM77" s="158"/>
      <c r="DN77" s="158"/>
      <c r="DO77" s="158"/>
      <c r="DP77" s="158"/>
      <c r="DQ77" s="158"/>
      <c r="DR77" s="158"/>
      <c r="DS77" s="158"/>
      <c r="DT77" s="158"/>
      <c r="DU77" s="158"/>
      <c r="DV77" s="158"/>
      <c r="DW77" s="158"/>
      <c r="DX77" s="158"/>
      <c r="DY77" s="158"/>
      <c r="DZ77" s="158"/>
      <c r="EA77" s="158"/>
      <c r="EB77" s="158"/>
      <c r="EC77" s="158"/>
      <c r="ED77" s="158"/>
      <c r="EE77" s="158"/>
      <c r="EF77" s="158"/>
      <c r="EG77" s="158"/>
      <c r="EH77" s="158"/>
      <c r="EI77" s="158"/>
      <c r="EJ77" s="158"/>
      <c r="EK77" s="158"/>
      <c r="EL77" s="158"/>
      <c r="EM77" s="158"/>
      <c r="EN77" s="158"/>
      <c r="EO77" s="158"/>
      <c r="EP77" s="158"/>
      <c r="EQ77" s="158"/>
      <c r="ER77" s="158"/>
      <c r="ES77" s="158"/>
      <c r="ET77" s="158"/>
      <c r="EU77" s="158"/>
      <c r="EV77" s="158"/>
      <c r="EW77" s="158"/>
      <c r="EX77" s="158"/>
      <c r="EY77" s="158"/>
      <c r="EZ77" s="158"/>
      <c r="FA77" s="158"/>
      <c r="FB77" s="158"/>
      <c r="FC77" s="158"/>
      <c r="FD77" s="158"/>
      <c r="FE77" s="158"/>
      <c r="FF77" s="158"/>
      <c r="FG77" s="158"/>
      <c r="FH77" s="158"/>
      <c r="FI77" s="158"/>
      <c r="FJ77" s="158"/>
      <c r="FK77" s="158"/>
      <c r="FL77" s="158"/>
      <c r="FM77" s="158"/>
      <c r="FN77" s="158"/>
      <c r="FO77" s="158"/>
      <c r="FP77" s="158"/>
      <c r="FQ77" s="158"/>
      <c r="FR77" s="158"/>
      <c r="FS77" s="158"/>
      <c r="FT77" s="158"/>
      <c r="FU77" s="158"/>
      <c r="FV77" s="158"/>
      <c r="FW77" s="158"/>
      <c r="FX77" s="158"/>
      <c r="FY77" s="158"/>
      <c r="FZ77" s="158"/>
      <c r="GA77" s="158"/>
      <c r="GB77" s="158"/>
      <c r="GC77" s="158"/>
      <c r="GD77" s="158"/>
      <c r="GE77" s="158"/>
      <c r="GF77" s="158"/>
      <c r="GG77" s="158"/>
      <c r="GH77" s="158"/>
      <c r="GI77" s="158"/>
      <c r="GJ77" s="158"/>
      <c r="GK77" s="158"/>
      <c r="GL77" s="158"/>
      <c r="GM77" s="158"/>
      <c r="GN77" s="158"/>
      <c r="GO77" s="158"/>
      <c r="GP77" s="158"/>
      <c r="GQ77" s="158"/>
      <c r="GR77" s="158"/>
      <c r="GS77" s="158"/>
      <c r="GT77" s="158"/>
      <c r="GU77" s="158"/>
      <c r="GV77" s="158"/>
      <c r="GW77" s="158"/>
      <c r="GX77" s="158"/>
      <c r="GY77" s="158"/>
      <c r="GZ77" s="158"/>
      <c r="HA77" s="158"/>
      <c r="HB77" s="158"/>
      <c r="HC77" s="158"/>
      <c r="HD77" s="158"/>
      <c r="HE77" s="158"/>
      <c r="HF77" s="158"/>
      <c r="HG77" s="158"/>
      <c r="HH77" s="158"/>
      <c r="HI77" s="158"/>
      <c r="HJ77" s="158"/>
      <c r="HK77" s="158"/>
      <c r="HL77" s="158"/>
      <c r="HM77" s="158"/>
      <c r="HN77" s="158"/>
      <c r="HO77" s="158"/>
      <c r="HP77" s="158"/>
      <c r="HQ77" s="158"/>
      <c r="HR77" s="158"/>
      <c r="HS77" s="158"/>
      <c r="HT77" s="158"/>
      <c r="HU77" s="158"/>
      <c r="HV77" s="158"/>
      <c r="HW77" s="158"/>
      <c r="HX77" s="158"/>
      <c r="HY77" s="158"/>
      <c r="HZ77" s="158"/>
      <c r="IA77" s="158"/>
      <c r="IB77" s="158"/>
      <c r="IC77" s="158"/>
      <c r="ID77" s="158"/>
      <c r="IE77" s="158"/>
      <c r="IF77" s="158"/>
      <c r="IG77" s="158"/>
      <c r="IH77" s="158"/>
      <c r="II77" s="158"/>
      <c r="IJ77" s="158"/>
      <c r="IK77" s="158"/>
      <c r="IL77" s="158"/>
      <c r="IM77" s="158"/>
      <c r="IN77" s="158"/>
      <c r="IO77" s="158"/>
      <c r="IP77" s="158"/>
    </row>
    <row r="78" spans="1:250" ht="15.3" x14ac:dyDescent="0.55000000000000004">
      <c r="A78" s="158"/>
      <c r="B78" s="158"/>
      <c r="C78" s="158"/>
      <c r="D78" s="158"/>
      <c r="E78" s="158"/>
      <c r="F78" s="158"/>
      <c r="G78" s="158"/>
      <c r="H78" s="190"/>
      <c r="I78" s="190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8"/>
      <c r="DJ78" s="158"/>
      <c r="DK78" s="158"/>
      <c r="DL78" s="158"/>
      <c r="DM78" s="158"/>
      <c r="DN78" s="158"/>
      <c r="DO78" s="158"/>
      <c r="DP78" s="158"/>
      <c r="DQ78" s="158"/>
      <c r="DR78" s="158"/>
      <c r="DS78" s="158"/>
      <c r="DT78" s="158"/>
      <c r="DU78" s="158"/>
      <c r="DV78" s="158"/>
      <c r="DW78" s="158"/>
      <c r="DX78" s="158"/>
      <c r="DY78" s="158"/>
      <c r="DZ78" s="158"/>
      <c r="EA78" s="158"/>
      <c r="EB78" s="158"/>
      <c r="EC78" s="158"/>
      <c r="ED78" s="158"/>
      <c r="EE78" s="158"/>
      <c r="EF78" s="158"/>
      <c r="EG78" s="158"/>
      <c r="EH78" s="158"/>
      <c r="EI78" s="158"/>
      <c r="EJ78" s="158"/>
      <c r="EK78" s="158"/>
      <c r="EL78" s="158"/>
      <c r="EM78" s="158"/>
      <c r="EN78" s="158"/>
      <c r="EO78" s="158"/>
      <c r="EP78" s="158"/>
      <c r="EQ78" s="158"/>
      <c r="ER78" s="158"/>
      <c r="ES78" s="158"/>
      <c r="ET78" s="158"/>
      <c r="EU78" s="158"/>
      <c r="EV78" s="158"/>
      <c r="EW78" s="158"/>
      <c r="EX78" s="158"/>
      <c r="EY78" s="158"/>
      <c r="EZ78" s="158"/>
      <c r="FA78" s="158"/>
      <c r="FB78" s="158"/>
      <c r="FC78" s="158"/>
      <c r="FD78" s="158"/>
      <c r="FE78" s="158"/>
      <c r="FF78" s="158"/>
      <c r="FG78" s="158"/>
      <c r="FH78" s="158"/>
      <c r="FI78" s="158"/>
      <c r="FJ78" s="158"/>
      <c r="FK78" s="158"/>
      <c r="FL78" s="158"/>
      <c r="FM78" s="158"/>
      <c r="FN78" s="158"/>
      <c r="FO78" s="158"/>
      <c r="FP78" s="158"/>
      <c r="FQ78" s="158"/>
      <c r="FR78" s="158"/>
      <c r="FS78" s="158"/>
      <c r="FT78" s="158"/>
      <c r="FU78" s="158"/>
      <c r="FV78" s="158"/>
      <c r="FW78" s="158"/>
      <c r="FX78" s="158"/>
      <c r="FY78" s="158"/>
      <c r="FZ78" s="158"/>
      <c r="GA78" s="158"/>
      <c r="GB78" s="158"/>
      <c r="GC78" s="158"/>
      <c r="GD78" s="158"/>
      <c r="GE78" s="158"/>
      <c r="GF78" s="158"/>
      <c r="GG78" s="158"/>
      <c r="GH78" s="158"/>
      <c r="GI78" s="158"/>
      <c r="GJ78" s="158"/>
      <c r="GK78" s="158"/>
      <c r="GL78" s="158"/>
      <c r="GM78" s="158"/>
      <c r="GN78" s="158"/>
      <c r="GO78" s="158"/>
      <c r="GP78" s="158"/>
      <c r="GQ78" s="158"/>
      <c r="GR78" s="158"/>
      <c r="GS78" s="158"/>
      <c r="GT78" s="158"/>
      <c r="GU78" s="158"/>
      <c r="GV78" s="158"/>
      <c r="GW78" s="158"/>
      <c r="GX78" s="158"/>
      <c r="GY78" s="158"/>
      <c r="GZ78" s="158"/>
      <c r="HA78" s="158"/>
      <c r="HB78" s="158"/>
      <c r="HC78" s="158"/>
      <c r="HD78" s="158"/>
      <c r="HE78" s="158"/>
      <c r="HF78" s="158"/>
      <c r="HG78" s="158"/>
      <c r="HH78" s="158"/>
      <c r="HI78" s="158"/>
      <c r="HJ78" s="158"/>
      <c r="HK78" s="158"/>
      <c r="HL78" s="158"/>
      <c r="HM78" s="158"/>
      <c r="HN78" s="158"/>
      <c r="HO78" s="158"/>
      <c r="HP78" s="158"/>
      <c r="HQ78" s="158"/>
      <c r="HR78" s="158"/>
      <c r="HS78" s="158"/>
      <c r="HT78" s="158"/>
      <c r="HU78" s="158"/>
      <c r="HV78" s="158"/>
      <c r="HW78" s="158"/>
      <c r="HX78" s="158"/>
      <c r="HY78" s="158"/>
      <c r="HZ78" s="158"/>
      <c r="IA78" s="158"/>
      <c r="IB78" s="158"/>
      <c r="IC78" s="158"/>
      <c r="ID78" s="158"/>
      <c r="IE78" s="158"/>
      <c r="IF78" s="158"/>
      <c r="IG78" s="158"/>
      <c r="IH78" s="158"/>
      <c r="II78" s="158"/>
      <c r="IJ78" s="158"/>
      <c r="IK78" s="158"/>
      <c r="IL78" s="158"/>
      <c r="IM78" s="158"/>
      <c r="IN78" s="158"/>
      <c r="IO78" s="158"/>
      <c r="IP78" s="158"/>
    </row>
    <row r="79" spans="1:250" ht="15.3" x14ac:dyDescent="0.55000000000000004">
      <c r="A79" s="158"/>
      <c r="B79" s="158"/>
      <c r="C79" s="158"/>
      <c r="D79" s="158"/>
      <c r="E79" s="158"/>
      <c r="F79" s="158"/>
      <c r="G79" s="158"/>
      <c r="H79" s="190"/>
      <c r="I79" s="190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158"/>
      <c r="BU79" s="158"/>
      <c r="BV79" s="158"/>
      <c r="BW79" s="158"/>
      <c r="BX79" s="158"/>
      <c r="BY79" s="158"/>
      <c r="BZ79" s="158"/>
      <c r="CA79" s="158"/>
      <c r="CB79" s="158"/>
      <c r="CC79" s="158"/>
      <c r="CD79" s="158"/>
      <c r="CE79" s="158"/>
      <c r="CF79" s="158"/>
      <c r="CG79" s="158"/>
      <c r="CH79" s="158"/>
      <c r="CI79" s="158"/>
      <c r="CJ79" s="158"/>
      <c r="CK79" s="158"/>
      <c r="CL79" s="158"/>
      <c r="CM79" s="158"/>
      <c r="CN79" s="158"/>
      <c r="CO79" s="158"/>
      <c r="CP79" s="158"/>
      <c r="CQ79" s="158"/>
      <c r="CR79" s="158"/>
      <c r="CS79" s="158"/>
      <c r="CT79" s="158"/>
      <c r="CU79" s="158"/>
      <c r="CV79" s="158"/>
      <c r="CW79" s="158"/>
      <c r="CX79" s="158"/>
      <c r="CY79" s="158"/>
      <c r="CZ79" s="158"/>
      <c r="DA79" s="158"/>
      <c r="DB79" s="158"/>
      <c r="DC79" s="158"/>
      <c r="DD79" s="158"/>
      <c r="DE79" s="158"/>
      <c r="DF79" s="158"/>
      <c r="DG79" s="158"/>
      <c r="DH79" s="158"/>
      <c r="DI79" s="158"/>
      <c r="DJ79" s="158"/>
      <c r="DK79" s="158"/>
      <c r="DL79" s="158"/>
      <c r="DM79" s="158"/>
      <c r="DN79" s="158"/>
      <c r="DO79" s="158"/>
      <c r="DP79" s="158"/>
      <c r="DQ79" s="158"/>
      <c r="DR79" s="158"/>
      <c r="DS79" s="158"/>
      <c r="DT79" s="158"/>
      <c r="DU79" s="158"/>
      <c r="DV79" s="158"/>
      <c r="DW79" s="158"/>
      <c r="DX79" s="158"/>
      <c r="DY79" s="158"/>
      <c r="DZ79" s="158"/>
      <c r="EA79" s="158"/>
      <c r="EB79" s="158"/>
      <c r="EC79" s="158"/>
      <c r="ED79" s="158"/>
      <c r="EE79" s="158"/>
      <c r="EF79" s="158"/>
      <c r="EG79" s="158"/>
      <c r="EH79" s="158"/>
      <c r="EI79" s="158"/>
      <c r="EJ79" s="158"/>
      <c r="EK79" s="158"/>
      <c r="EL79" s="158"/>
      <c r="EM79" s="158"/>
      <c r="EN79" s="158"/>
      <c r="EO79" s="158"/>
      <c r="EP79" s="158"/>
      <c r="EQ79" s="158"/>
      <c r="ER79" s="158"/>
      <c r="ES79" s="158"/>
      <c r="ET79" s="158"/>
      <c r="EU79" s="158"/>
      <c r="EV79" s="158"/>
      <c r="EW79" s="158"/>
      <c r="EX79" s="158"/>
      <c r="EY79" s="158"/>
      <c r="EZ79" s="158"/>
      <c r="FA79" s="158"/>
      <c r="FB79" s="158"/>
      <c r="FC79" s="158"/>
      <c r="FD79" s="158"/>
      <c r="FE79" s="158"/>
      <c r="FF79" s="158"/>
      <c r="FG79" s="158"/>
      <c r="FH79" s="158"/>
      <c r="FI79" s="158"/>
      <c r="FJ79" s="158"/>
      <c r="FK79" s="158"/>
      <c r="FL79" s="158"/>
      <c r="FM79" s="158"/>
      <c r="FN79" s="158"/>
      <c r="FO79" s="158"/>
      <c r="FP79" s="158"/>
      <c r="FQ79" s="158"/>
      <c r="FR79" s="158"/>
      <c r="FS79" s="158"/>
      <c r="FT79" s="158"/>
      <c r="FU79" s="158"/>
      <c r="FV79" s="158"/>
      <c r="FW79" s="158"/>
      <c r="FX79" s="158"/>
      <c r="FY79" s="158"/>
      <c r="FZ79" s="158"/>
      <c r="GA79" s="158"/>
      <c r="GB79" s="158"/>
      <c r="GC79" s="158"/>
      <c r="GD79" s="158"/>
      <c r="GE79" s="158"/>
      <c r="GF79" s="158"/>
      <c r="GG79" s="158"/>
      <c r="GH79" s="158"/>
      <c r="GI79" s="158"/>
      <c r="GJ79" s="158"/>
      <c r="GK79" s="158"/>
      <c r="GL79" s="158"/>
      <c r="GM79" s="158"/>
      <c r="GN79" s="158"/>
      <c r="GO79" s="158"/>
      <c r="GP79" s="158"/>
      <c r="GQ79" s="158"/>
      <c r="GR79" s="158"/>
      <c r="GS79" s="158"/>
      <c r="GT79" s="158"/>
      <c r="GU79" s="158"/>
      <c r="GV79" s="158"/>
      <c r="GW79" s="158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58"/>
      <c r="HK79" s="158"/>
      <c r="HL79" s="158"/>
      <c r="HM79" s="158"/>
      <c r="HN79" s="158"/>
      <c r="HO79" s="158"/>
      <c r="HP79" s="158"/>
      <c r="HQ79" s="158"/>
      <c r="HR79" s="158"/>
      <c r="HS79" s="158"/>
      <c r="HT79" s="158"/>
      <c r="HU79" s="158"/>
      <c r="HV79" s="158"/>
      <c r="HW79" s="158"/>
      <c r="HX79" s="158"/>
      <c r="HY79" s="158"/>
      <c r="HZ79" s="158"/>
      <c r="IA79" s="158"/>
      <c r="IB79" s="158"/>
      <c r="IC79" s="158"/>
      <c r="ID79" s="158"/>
      <c r="IE79" s="158"/>
      <c r="IF79" s="158"/>
      <c r="IG79" s="158"/>
      <c r="IH79" s="158"/>
      <c r="II79" s="158"/>
      <c r="IJ79" s="158"/>
      <c r="IK79" s="158"/>
      <c r="IL79" s="158"/>
      <c r="IM79" s="158"/>
      <c r="IN79" s="158"/>
      <c r="IO79" s="158"/>
      <c r="IP79" s="158"/>
    </row>
    <row r="80" spans="1:250" ht="15.3" x14ac:dyDescent="0.55000000000000004">
      <c r="A80" s="158"/>
      <c r="B80" s="158"/>
      <c r="C80" s="158"/>
      <c r="D80" s="158"/>
      <c r="E80" s="158"/>
      <c r="F80" s="158"/>
      <c r="G80" s="158"/>
      <c r="H80" s="190"/>
      <c r="I80" s="190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58"/>
      <c r="DG80" s="158"/>
      <c r="DH80" s="158"/>
      <c r="DI80" s="158"/>
      <c r="DJ80" s="158"/>
      <c r="DK80" s="158"/>
      <c r="DL80" s="158"/>
      <c r="DM80" s="158"/>
      <c r="DN80" s="158"/>
      <c r="DO80" s="158"/>
      <c r="DP80" s="158"/>
      <c r="DQ80" s="158"/>
      <c r="DR80" s="158"/>
      <c r="DS80" s="158"/>
      <c r="DT80" s="158"/>
      <c r="DU80" s="158"/>
      <c r="DV80" s="158"/>
      <c r="DW80" s="158"/>
      <c r="DX80" s="158"/>
      <c r="DY80" s="158"/>
      <c r="DZ80" s="158"/>
      <c r="EA80" s="158"/>
      <c r="EB80" s="158"/>
      <c r="EC80" s="158"/>
      <c r="ED80" s="158"/>
      <c r="EE80" s="158"/>
      <c r="EF80" s="158"/>
      <c r="EG80" s="158"/>
      <c r="EH80" s="158"/>
      <c r="EI80" s="158"/>
      <c r="EJ80" s="158"/>
      <c r="EK80" s="158"/>
      <c r="EL80" s="158"/>
      <c r="EM80" s="158"/>
      <c r="EN80" s="158"/>
      <c r="EO80" s="158"/>
      <c r="EP80" s="158"/>
      <c r="EQ80" s="158"/>
      <c r="ER80" s="158"/>
      <c r="ES80" s="158"/>
      <c r="ET80" s="158"/>
      <c r="EU80" s="158"/>
      <c r="EV80" s="158"/>
      <c r="EW80" s="158"/>
      <c r="EX80" s="158"/>
      <c r="EY80" s="158"/>
      <c r="EZ80" s="158"/>
      <c r="FA80" s="158"/>
      <c r="FB80" s="158"/>
      <c r="FC80" s="158"/>
      <c r="FD80" s="158"/>
      <c r="FE80" s="158"/>
      <c r="FF80" s="158"/>
      <c r="FG80" s="158"/>
      <c r="FH80" s="158"/>
      <c r="FI80" s="158"/>
      <c r="FJ80" s="158"/>
      <c r="FK80" s="158"/>
      <c r="FL80" s="158"/>
      <c r="FM80" s="158"/>
      <c r="FN80" s="158"/>
      <c r="FO80" s="158"/>
      <c r="FP80" s="158"/>
      <c r="FQ80" s="158"/>
      <c r="FR80" s="158"/>
      <c r="FS80" s="158"/>
      <c r="FT80" s="158"/>
      <c r="FU80" s="158"/>
      <c r="FV80" s="158"/>
      <c r="FW80" s="158"/>
      <c r="FX80" s="158"/>
      <c r="FY80" s="158"/>
      <c r="FZ80" s="158"/>
      <c r="GA80" s="158"/>
      <c r="GB80" s="158"/>
      <c r="GC80" s="158"/>
      <c r="GD80" s="158"/>
      <c r="GE80" s="158"/>
      <c r="GF80" s="158"/>
      <c r="GG80" s="158"/>
      <c r="GH80" s="158"/>
      <c r="GI80" s="158"/>
      <c r="GJ80" s="158"/>
      <c r="GK80" s="158"/>
      <c r="GL80" s="158"/>
      <c r="GM80" s="158"/>
      <c r="GN80" s="158"/>
      <c r="GO80" s="158"/>
      <c r="GP80" s="158"/>
      <c r="GQ80" s="158"/>
      <c r="GR80" s="158"/>
      <c r="GS80" s="158"/>
      <c r="GT80" s="158"/>
      <c r="GU80" s="158"/>
      <c r="GV80" s="158"/>
      <c r="GW80" s="158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58"/>
      <c r="HK80" s="158"/>
      <c r="HL80" s="158"/>
      <c r="HM80" s="158"/>
      <c r="HN80" s="158"/>
      <c r="HO80" s="158"/>
      <c r="HP80" s="158"/>
      <c r="HQ80" s="158"/>
      <c r="HR80" s="158"/>
      <c r="HS80" s="158"/>
      <c r="HT80" s="158"/>
      <c r="HU80" s="158"/>
      <c r="HV80" s="158"/>
      <c r="HW80" s="158"/>
      <c r="HX80" s="158"/>
      <c r="HY80" s="158"/>
      <c r="HZ80" s="158"/>
      <c r="IA80" s="158"/>
      <c r="IB80" s="158"/>
      <c r="IC80" s="158"/>
      <c r="ID80" s="158"/>
      <c r="IE80" s="158"/>
      <c r="IF80" s="158"/>
      <c r="IG80" s="158"/>
      <c r="IH80" s="158"/>
      <c r="II80" s="158"/>
      <c r="IJ80" s="158"/>
      <c r="IK80" s="158"/>
      <c r="IL80" s="158"/>
      <c r="IM80" s="158"/>
      <c r="IN80" s="158"/>
      <c r="IO80" s="158"/>
      <c r="IP80" s="158"/>
    </row>
    <row r="81" spans="1:250" ht="15.3" x14ac:dyDescent="0.55000000000000004">
      <c r="A81" s="158"/>
      <c r="B81" s="158"/>
      <c r="C81" s="158"/>
      <c r="D81" s="158"/>
      <c r="E81" s="158"/>
      <c r="F81" s="158"/>
      <c r="G81" s="158"/>
      <c r="H81" s="190"/>
      <c r="I81" s="190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8"/>
      <c r="CE81" s="158"/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8"/>
      <c r="CV81" s="158"/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8"/>
      <c r="DL81" s="158"/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8"/>
      <c r="EB81" s="158"/>
      <c r="EC81" s="158"/>
      <c r="ED81" s="158"/>
      <c r="EE81" s="158"/>
      <c r="EF81" s="158"/>
      <c r="EG81" s="158"/>
      <c r="EH81" s="158"/>
      <c r="EI81" s="158"/>
      <c r="EJ81" s="158"/>
      <c r="EK81" s="158"/>
      <c r="EL81" s="158"/>
      <c r="EM81" s="158"/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8"/>
      <c r="FA81" s="158"/>
      <c r="FB81" s="158"/>
      <c r="FC81" s="158"/>
      <c r="FD81" s="158"/>
      <c r="FE81" s="158"/>
      <c r="FF81" s="158"/>
      <c r="FG81" s="158"/>
      <c r="FH81" s="158"/>
      <c r="FI81" s="158"/>
      <c r="FJ81" s="158"/>
      <c r="FK81" s="158"/>
      <c r="FL81" s="158"/>
      <c r="FM81" s="158"/>
      <c r="FN81" s="158"/>
      <c r="FO81" s="158"/>
      <c r="FP81" s="158"/>
      <c r="FQ81" s="158"/>
      <c r="FR81" s="158"/>
      <c r="FS81" s="158"/>
      <c r="FT81" s="158"/>
      <c r="FU81" s="158"/>
      <c r="FV81" s="158"/>
      <c r="FW81" s="158"/>
      <c r="FX81" s="158"/>
      <c r="FY81" s="158"/>
      <c r="FZ81" s="158"/>
      <c r="GA81" s="158"/>
      <c r="GB81" s="158"/>
      <c r="GC81" s="158"/>
      <c r="GD81" s="158"/>
      <c r="GE81" s="158"/>
      <c r="GF81" s="158"/>
      <c r="GG81" s="158"/>
      <c r="GH81" s="158"/>
      <c r="GI81" s="158"/>
      <c r="GJ81" s="158"/>
      <c r="GK81" s="158"/>
      <c r="GL81" s="158"/>
      <c r="GM81" s="158"/>
      <c r="GN81" s="158"/>
      <c r="GO81" s="158"/>
      <c r="GP81" s="158"/>
      <c r="GQ81" s="158"/>
      <c r="GR81" s="158"/>
      <c r="GS81" s="158"/>
      <c r="GT81" s="158"/>
      <c r="GU81" s="158"/>
      <c r="GV81" s="158"/>
      <c r="GW81" s="158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58"/>
      <c r="HK81" s="158"/>
      <c r="HL81" s="158"/>
      <c r="HM81" s="158"/>
      <c r="HN81" s="158"/>
      <c r="HO81" s="158"/>
      <c r="HP81" s="158"/>
      <c r="HQ81" s="158"/>
      <c r="HR81" s="158"/>
      <c r="HS81" s="158"/>
      <c r="HT81" s="158"/>
      <c r="HU81" s="158"/>
      <c r="HV81" s="158"/>
      <c r="HW81" s="158"/>
      <c r="HX81" s="158"/>
      <c r="HY81" s="158"/>
      <c r="HZ81" s="158"/>
      <c r="IA81" s="158"/>
      <c r="IB81" s="158"/>
      <c r="IC81" s="158"/>
      <c r="ID81" s="158"/>
      <c r="IE81" s="158"/>
      <c r="IF81" s="158"/>
      <c r="IG81" s="158"/>
      <c r="IH81" s="158"/>
      <c r="II81" s="158"/>
      <c r="IJ81" s="158"/>
      <c r="IK81" s="158"/>
      <c r="IL81" s="158"/>
      <c r="IM81" s="158"/>
      <c r="IN81" s="158"/>
      <c r="IO81" s="158"/>
      <c r="IP81" s="158"/>
    </row>
    <row r="82" spans="1:250" ht="15.3" x14ac:dyDescent="0.55000000000000004">
      <c r="A82" s="158"/>
      <c r="B82" s="158"/>
      <c r="C82" s="158"/>
      <c r="D82" s="158"/>
      <c r="E82" s="158"/>
      <c r="F82" s="158"/>
      <c r="G82" s="158"/>
      <c r="H82" s="190"/>
      <c r="I82" s="190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8"/>
      <c r="CV82" s="158"/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8"/>
      <c r="DL82" s="158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8"/>
      <c r="EB82" s="158"/>
      <c r="EC82" s="158"/>
      <c r="ED82" s="158"/>
      <c r="EE82" s="158"/>
      <c r="EF82" s="158"/>
      <c r="EG82" s="158"/>
      <c r="EH82" s="158"/>
      <c r="EI82" s="158"/>
      <c r="EJ82" s="158"/>
      <c r="EK82" s="158"/>
      <c r="EL82" s="158"/>
      <c r="EM82" s="158"/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8"/>
      <c r="FA82" s="158"/>
      <c r="FB82" s="158"/>
      <c r="FC82" s="158"/>
      <c r="FD82" s="158"/>
      <c r="FE82" s="158"/>
      <c r="FF82" s="158"/>
      <c r="FG82" s="158"/>
      <c r="FH82" s="158"/>
      <c r="FI82" s="158"/>
      <c r="FJ82" s="158"/>
      <c r="FK82" s="158"/>
      <c r="FL82" s="158"/>
      <c r="FM82" s="158"/>
      <c r="FN82" s="158"/>
      <c r="FO82" s="158"/>
      <c r="FP82" s="158"/>
      <c r="FQ82" s="158"/>
      <c r="FR82" s="158"/>
      <c r="FS82" s="158"/>
      <c r="FT82" s="158"/>
      <c r="FU82" s="158"/>
      <c r="FV82" s="158"/>
      <c r="FW82" s="158"/>
      <c r="FX82" s="158"/>
      <c r="FY82" s="158"/>
      <c r="FZ82" s="158"/>
      <c r="GA82" s="158"/>
      <c r="GB82" s="158"/>
      <c r="GC82" s="158"/>
      <c r="GD82" s="158"/>
      <c r="GE82" s="158"/>
      <c r="GF82" s="158"/>
      <c r="GG82" s="158"/>
      <c r="GH82" s="158"/>
      <c r="GI82" s="158"/>
      <c r="GJ82" s="158"/>
      <c r="GK82" s="158"/>
      <c r="GL82" s="158"/>
      <c r="GM82" s="158"/>
      <c r="GN82" s="158"/>
      <c r="GO82" s="158"/>
      <c r="GP82" s="158"/>
      <c r="GQ82" s="158"/>
      <c r="GR82" s="158"/>
      <c r="GS82" s="158"/>
      <c r="GT82" s="158"/>
      <c r="GU82" s="158"/>
      <c r="GV82" s="158"/>
      <c r="GW82" s="158"/>
      <c r="GX82" s="158"/>
      <c r="GY82" s="158"/>
      <c r="GZ82" s="158"/>
      <c r="HA82" s="158"/>
      <c r="HB82" s="158"/>
      <c r="HC82" s="158"/>
      <c r="HD82" s="158"/>
      <c r="HE82" s="158"/>
      <c r="HF82" s="158"/>
      <c r="HG82" s="158"/>
      <c r="HH82" s="158"/>
      <c r="HI82" s="158"/>
      <c r="HJ82" s="158"/>
      <c r="HK82" s="158"/>
      <c r="HL82" s="158"/>
      <c r="HM82" s="158"/>
      <c r="HN82" s="158"/>
      <c r="HO82" s="158"/>
      <c r="HP82" s="158"/>
      <c r="HQ82" s="158"/>
      <c r="HR82" s="158"/>
      <c r="HS82" s="158"/>
      <c r="HT82" s="158"/>
      <c r="HU82" s="158"/>
      <c r="HV82" s="158"/>
      <c r="HW82" s="158"/>
      <c r="HX82" s="158"/>
      <c r="HY82" s="158"/>
      <c r="HZ82" s="158"/>
      <c r="IA82" s="158"/>
      <c r="IB82" s="158"/>
      <c r="IC82" s="158"/>
      <c r="ID82" s="158"/>
      <c r="IE82" s="158"/>
      <c r="IF82" s="158"/>
      <c r="IG82" s="158"/>
      <c r="IH82" s="158"/>
      <c r="II82" s="158"/>
      <c r="IJ82" s="158"/>
      <c r="IK82" s="158"/>
      <c r="IL82" s="158"/>
      <c r="IM82" s="158"/>
      <c r="IN82" s="158"/>
      <c r="IO82" s="158"/>
      <c r="IP82" s="158"/>
    </row>
    <row r="83" spans="1:250" ht="15.3" x14ac:dyDescent="0.55000000000000004">
      <c r="A83" s="158"/>
      <c r="B83" s="158"/>
      <c r="C83" s="158"/>
      <c r="D83" s="158"/>
      <c r="E83" s="158"/>
      <c r="F83" s="158"/>
      <c r="G83" s="158"/>
      <c r="H83" s="190"/>
      <c r="I83" s="190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158"/>
      <c r="FV83" s="158"/>
      <c r="FW83" s="158"/>
      <c r="FX83" s="158"/>
      <c r="FY83" s="158"/>
      <c r="FZ83" s="158"/>
      <c r="GA83" s="158"/>
      <c r="GB83" s="158"/>
      <c r="GC83" s="158"/>
      <c r="GD83" s="158"/>
      <c r="GE83" s="158"/>
      <c r="GF83" s="158"/>
      <c r="GG83" s="158"/>
      <c r="GH83" s="158"/>
      <c r="GI83" s="158"/>
      <c r="GJ83" s="158"/>
      <c r="GK83" s="158"/>
      <c r="GL83" s="158"/>
      <c r="GM83" s="158"/>
      <c r="GN83" s="158"/>
      <c r="GO83" s="158"/>
      <c r="GP83" s="158"/>
      <c r="GQ83" s="158"/>
      <c r="GR83" s="158"/>
      <c r="GS83" s="158"/>
      <c r="GT83" s="158"/>
      <c r="GU83" s="158"/>
      <c r="GV83" s="158"/>
      <c r="GW83" s="158"/>
      <c r="GX83" s="158"/>
      <c r="GY83" s="158"/>
      <c r="GZ83" s="158"/>
      <c r="HA83" s="158"/>
      <c r="HB83" s="158"/>
      <c r="HC83" s="158"/>
      <c r="HD83" s="158"/>
      <c r="HE83" s="158"/>
      <c r="HF83" s="158"/>
      <c r="HG83" s="158"/>
      <c r="HH83" s="158"/>
      <c r="HI83" s="158"/>
      <c r="HJ83" s="158"/>
      <c r="HK83" s="158"/>
      <c r="HL83" s="158"/>
      <c r="HM83" s="158"/>
      <c r="HN83" s="158"/>
      <c r="HO83" s="158"/>
      <c r="HP83" s="158"/>
      <c r="HQ83" s="158"/>
      <c r="HR83" s="158"/>
      <c r="HS83" s="158"/>
      <c r="HT83" s="158"/>
      <c r="HU83" s="158"/>
      <c r="HV83" s="158"/>
      <c r="HW83" s="158"/>
      <c r="HX83" s="158"/>
      <c r="HY83" s="158"/>
      <c r="HZ83" s="158"/>
      <c r="IA83" s="158"/>
      <c r="IB83" s="158"/>
      <c r="IC83" s="158"/>
      <c r="ID83" s="158"/>
      <c r="IE83" s="158"/>
      <c r="IF83" s="158"/>
      <c r="IG83" s="158"/>
      <c r="IH83" s="158"/>
      <c r="II83" s="158"/>
      <c r="IJ83" s="158"/>
      <c r="IK83" s="158"/>
      <c r="IL83" s="158"/>
      <c r="IM83" s="158"/>
      <c r="IN83" s="158"/>
      <c r="IO83" s="158"/>
      <c r="IP83" s="158"/>
    </row>
    <row r="84" spans="1:250" ht="15.3" x14ac:dyDescent="0.55000000000000004">
      <c r="A84" s="158"/>
      <c r="B84" s="158"/>
      <c r="C84" s="158"/>
      <c r="D84" s="158"/>
      <c r="E84" s="158"/>
      <c r="F84" s="158"/>
      <c r="G84" s="158"/>
      <c r="H84" s="190"/>
      <c r="I84" s="190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158"/>
      <c r="FV84" s="158"/>
      <c r="FW84" s="158"/>
      <c r="FX84" s="158"/>
      <c r="FY84" s="158"/>
      <c r="FZ84" s="158"/>
      <c r="GA84" s="158"/>
      <c r="GB84" s="158"/>
      <c r="GC84" s="158"/>
      <c r="GD84" s="158"/>
      <c r="GE84" s="158"/>
      <c r="GF84" s="158"/>
      <c r="GG84" s="158"/>
      <c r="GH84" s="158"/>
      <c r="GI84" s="158"/>
      <c r="GJ84" s="158"/>
      <c r="GK84" s="158"/>
      <c r="GL84" s="158"/>
      <c r="GM84" s="158"/>
      <c r="GN84" s="158"/>
      <c r="GO84" s="158"/>
      <c r="GP84" s="158"/>
      <c r="GQ84" s="158"/>
      <c r="GR84" s="158"/>
      <c r="GS84" s="158"/>
      <c r="GT84" s="158"/>
      <c r="GU84" s="158"/>
      <c r="GV84" s="158"/>
      <c r="GW84" s="158"/>
      <c r="GX84" s="158"/>
      <c r="GY84" s="158"/>
      <c r="GZ84" s="158"/>
      <c r="HA84" s="158"/>
      <c r="HB84" s="158"/>
      <c r="HC84" s="158"/>
      <c r="HD84" s="158"/>
      <c r="HE84" s="158"/>
      <c r="HF84" s="158"/>
      <c r="HG84" s="158"/>
      <c r="HH84" s="158"/>
      <c r="HI84" s="158"/>
      <c r="HJ84" s="158"/>
      <c r="HK84" s="158"/>
      <c r="HL84" s="158"/>
      <c r="HM84" s="158"/>
      <c r="HN84" s="158"/>
      <c r="HO84" s="158"/>
      <c r="HP84" s="158"/>
      <c r="HQ84" s="158"/>
      <c r="HR84" s="158"/>
      <c r="HS84" s="158"/>
      <c r="HT84" s="158"/>
      <c r="HU84" s="158"/>
      <c r="HV84" s="158"/>
      <c r="HW84" s="158"/>
      <c r="HX84" s="158"/>
      <c r="HY84" s="158"/>
      <c r="HZ84" s="158"/>
      <c r="IA84" s="158"/>
      <c r="IB84" s="158"/>
      <c r="IC84" s="158"/>
      <c r="ID84" s="158"/>
      <c r="IE84" s="158"/>
      <c r="IF84" s="158"/>
      <c r="IG84" s="158"/>
      <c r="IH84" s="158"/>
      <c r="II84" s="158"/>
      <c r="IJ84" s="158"/>
      <c r="IK84" s="158"/>
      <c r="IL84" s="158"/>
      <c r="IM84" s="158"/>
      <c r="IN84" s="158"/>
      <c r="IO84" s="158"/>
      <c r="IP84" s="158"/>
    </row>
    <row r="85" spans="1:250" ht="15.3" x14ac:dyDescent="0.55000000000000004">
      <c r="A85" s="158"/>
      <c r="B85" s="158"/>
      <c r="C85" s="158"/>
      <c r="D85" s="158"/>
      <c r="E85" s="158"/>
      <c r="F85" s="158"/>
      <c r="G85" s="158"/>
      <c r="H85" s="190"/>
      <c r="I85" s="190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</row>
    <row r="86" spans="1:250" ht="15.3" x14ac:dyDescent="0.55000000000000004">
      <c r="A86" s="158"/>
      <c r="B86" s="158"/>
      <c r="C86" s="158"/>
      <c r="D86" s="158"/>
      <c r="E86" s="158"/>
      <c r="F86" s="158"/>
      <c r="G86" s="158"/>
      <c r="H86" s="190"/>
      <c r="I86" s="190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58"/>
      <c r="EH86" s="158"/>
      <c r="EI86" s="158"/>
      <c r="EJ86" s="158"/>
      <c r="EK86" s="158"/>
      <c r="EL86" s="158"/>
      <c r="EM86" s="158"/>
      <c r="EN86" s="158"/>
      <c r="EO86" s="158"/>
      <c r="EP86" s="158"/>
      <c r="EQ86" s="158"/>
      <c r="ER86" s="158"/>
      <c r="ES86" s="158"/>
      <c r="ET86" s="158"/>
      <c r="EU86" s="158"/>
      <c r="EV86" s="158"/>
      <c r="EW86" s="158"/>
      <c r="EX86" s="158"/>
      <c r="EY86" s="158"/>
      <c r="EZ86" s="158"/>
      <c r="FA86" s="158"/>
      <c r="FB86" s="158"/>
      <c r="FC86" s="158"/>
      <c r="FD86" s="158"/>
      <c r="FE86" s="158"/>
      <c r="FF86" s="158"/>
      <c r="FG86" s="158"/>
      <c r="FH86" s="158"/>
      <c r="FI86" s="158"/>
      <c r="FJ86" s="158"/>
      <c r="FK86" s="158"/>
      <c r="FL86" s="158"/>
      <c r="FM86" s="158"/>
      <c r="FN86" s="158"/>
      <c r="FO86" s="158"/>
      <c r="FP86" s="158"/>
      <c r="FQ86" s="158"/>
      <c r="FR86" s="158"/>
      <c r="FS86" s="158"/>
      <c r="FT86" s="158"/>
      <c r="FU86" s="158"/>
      <c r="FV86" s="158"/>
      <c r="FW86" s="158"/>
      <c r="FX86" s="158"/>
      <c r="FY86" s="158"/>
      <c r="FZ86" s="158"/>
      <c r="GA86" s="158"/>
      <c r="GB86" s="158"/>
      <c r="GC86" s="158"/>
      <c r="GD86" s="158"/>
      <c r="GE86" s="158"/>
      <c r="GF86" s="158"/>
      <c r="GG86" s="158"/>
      <c r="GH86" s="158"/>
      <c r="GI86" s="158"/>
      <c r="GJ86" s="158"/>
      <c r="GK86" s="158"/>
      <c r="GL86" s="158"/>
      <c r="GM86" s="158"/>
      <c r="GN86" s="158"/>
      <c r="GO86" s="158"/>
      <c r="GP86" s="158"/>
      <c r="GQ86" s="158"/>
      <c r="GR86" s="158"/>
      <c r="GS86" s="158"/>
      <c r="GT86" s="158"/>
      <c r="GU86" s="158"/>
      <c r="GV86" s="158"/>
      <c r="GW86" s="158"/>
      <c r="GX86" s="158"/>
      <c r="GY86" s="158"/>
      <c r="GZ86" s="158"/>
      <c r="HA86" s="158"/>
      <c r="HB86" s="158"/>
      <c r="HC86" s="158"/>
      <c r="HD86" s="158"/>
      <c r="HE86" s="158"/>
      <c r="HF86" s="158"/>
      <c r="HG86" s="158"/>
      <c r="HH86" s="158"/>
      <c r="HI86" s="158"/>
      <c r="HJ86" s="158"/>
      <c r="HK86" s="158"/>
      <c r="HL86" s="158"/>
      <c r="HM86" s="158"/>
      <c r="HN86" s="158"/>
      <c r="HO86" s="158"/>
      <c r="HP86" s="158"/>
      <c r="HQ86" s="158"/>
      <c r="HR86" s="158"/>
      <c r="HS86" s="158"/>
      <c r="HT86" s="158"/>
      <c r="HU86" s="158"/>
      <c r="HV86" s="158"/>
      <c r="HW86" s="158"/>
      <c r="HX86" s="158"/>
      <c r="HY86" s="158"/>
      <c r="HZ86" s="158"/>
      <c r="IA86" s="158"/>
      <c r="IB86" s="158"/>
      <c r="IC86" s="158"/>
      <c r="ID86" s="158"/>
      <c r="IE86" s="158"/>
      <c r="IF86" s="158"/>
      <c r="IG86" s="158"/>
      <c r="IH86" s="158"/>
      <c r="II86" s="158"/>
      <c r="IJ86" s="158"/>
      <c r="IK86" s="158"/>
      <c r="IL86" s="158"/>
      <c r="IM86" s="158"/>
      <c r="IN86" s="158"/>
      <c r="IO86" s="158"/>
      <c r="IP86" s="158"/>
    </row>
    <row r="87" spans="1:250" ht="15.3" x14ac:dyDescent="0.55000000000000004">
      <c r="A87" s="158"/>
      <c r="B87" s="158"/>
      <c r="C87" s="158"/>
      <c r="D87" s="158"/>
      <c r="E87" s="158"/>
      <c r="F87" s="158"/>
      <c r="G87" s="158"/>
      <c r="H87" s="190"/>
      <c r="I87" s="190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58"/>
      <c r="EH87" s="158"/>
      <c r="EI87" s="158"/>
      <c r="EJ87" s="158"/>
      <c r="EK87" s="158"/>
      <c r="EL87" s="158"/>
      <c r="EM87" s="158"/>
      <c r="EN87" s="158"/>
      <c r="EO87" s="158"/>
      <c r="EP87" s="158"/>
      <c r="EQ87" s="158"/>
      <c r="ER87" s="158"/>
      <c r="ES87" s="158"/>
      <c r="ET87" s="158"/>
      <c r="EU87" s="158"/>
      <c r="EV87" s="158"/>
      <c r="EW87" s="158"/>
      <c r="EX87" s="158"/>
      <c r="EY87" s="158"/>
      <c r="EZ87" s="158"/>
      <c r="FA87" s="158"/>
      <c r="FB87" s="158"/>
      <c r="FC87" s="158"/>
      <c r="FD87" s="158"/>
      <c r="FE87" s="158"/>
      <c r="FF87" s="158"/>
      <c r="FG87" s="158"/>
      <c r="FH87" s="158"/>
      <c r="FI87" s="158"/>
      <c r="FJ87" s="158"/>
      <c r="FK87" s="158"/>
      <c r="FL87" s="158"/>
      <c r="FM87" s="158"/>
      <c r="FN87" s="158"/>
      <c r="FO87" s="158"/>
      <c r="FP87" s="158"/>
      <c r="FQ87" s="158"/>
      <c r="FR87" s="158"/>
      <c r="FS87" s="158"/>
      <c r="FT87" s="158"/>
      <c r="FU87" s="158"/>
      <c r="FV87" s="158"/>
      <c r="FW87" s="158"/>
      <c r="FX87" s="158"/>
      <c r="FY87" s="158"/>
      <c r="FZ87" s="158"/>
      <c r="GA87" s="158"/>
      <c r="GB87" s="158"/>
      <c r="GC87" s="158"/>
      <c r="GD87" s="158"/>
      <c r="GE87" s="158"/>
      <c r="GF87" s="158"/>
      <c r="GG87" s="158"/>
      <c r="GH87" s="158"/>
      <c r="GI87" s="158"/>
      <c r="GJ87" s="158"/>
      <c r="GK87" s="158"/>
      <c r="GL87" s="158"/>
      <c r="GM87" s="158"/>
      <c r="GN87" s="158"/>
      <c r="GO87" s="158"/>
      <c r="GP87" s="158"/>
      <c r="GQ87" s="158"/>
      <c r="GR87" s="158"/>
      <c r="GS87" s="158"/>
      <c r="GT87" s="158"/>
      <c r="GU87" s="158"/>
      <c r="GV87" s="158"/>
      <c r="GW87" s="158"/>
      <c r="GX87" s="158"/>
      <c r="GY87" s="158"/>
      <c r="GZ87" s="158"/>
      <c r="HA87" s="158"/>
      <c r="HB87" s="158"/>
      <c r="HC87" s="158"/>
      <c r="HD87" s="158"/>
      <c r="HE87" s="158"/>
      <c r="HF87" s="158"/>
      <c r="HG87" s="158"/>
      <c r="HH87" s="158"/>
      <c r="HI87" s="158"/>
      <c r="HJ87" s="158"/>
      <c r="HK87" s="158"/>
      <c r="HL87" s="158"/>
      <c r="HM87" s="158"/>
      <c r="HN87" s="158"/>
      <c r="HO87" s="158"/>
      <c r="HP87" s="158"/>
      <c r="HQ87" s="158"/>
      <c r="HR87" s="158"/>
      <c r="HS87" s="158"/>
      <c r="HT87" s="158"/>
      <c r="HU87" s="158"/>
      <c r="HV87" s="158"/>
      <c r="HW87" s="158"/>
      <c r="HX87" s="158"/>
      <c r="HY87" s="158"/>
      <c r="HZ87" s="158"/>
      <c r="IA87" s="158"/>
      <c r="IB87" s="158"/>
      <c r="IC87" s="158"/>
      <c r="ID87" s="158"/>
      <c r="IE87" s="158"/>
      <c r="IF87" s="158"/>
      <c r="IG87" s="158"/>
      <c r="IH87" s="158"/>
      <c r="II87" s="158"/>
      <c r="IJ87" s="158"/>
      <c r="IK87" s="158"/>
      <c r="IL87" s="158"/>
      <c r="IM87" s="158"/>
      <c r="IN87" s="158"/>
      <c r="IO87" s="158"/>
      <c r="IP87" s="158"/>
    </row>
    <row r="88" spans="1:250" ht="15.3" x14ac:dyDescent="0.55000000000000004">
      <c r="A88" s="158"/>
      <c r="B88" s="158"/>
      <c r="C88" s="158"/>
      <c r="D88" s="158"/>
      <c r="E88" s="158"/>
      <c r="F88" s="158"/>
      <c r="G88" s="158"/>
      <c r="H88" s="190"/>
      <c r="I88" s="190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/>
      <c r="FD88" s="158"/>
      <c r="FE88" s="158"/>
      <c r="FF88" s="158"/>
      <c r="FG88" s="158"/>
      <c r="FH88" s="158"/>
      <c r="FI88" s="158"/>
      <c r="FJ88" s="158"/>
      <c r="FK88" s="158"/>
      <c r="FL88" s="158"/>
      <c r="FM88" s="158"/>
      <c r="FN88" s="158"/>
      <c r="FO88" s="158"/>
      <c r="FP88" s="158"/>
      <c r="FQ88" s="158"/>
      <c r="FR88" s="158"/>
      <c r="FS88" s="158"/>
      <c r="FT88" s="158"/>
      <c r="FU88" s="158"/>
      <c r="FV88" s="158"/>
      <c r="FW88" s="158"/>
      <c r="FX88" s="158"/>
      <c r="FY88" s="158"/>
      <c r="FZ88" s="158"/>
      <c r="GA88" s="158"/>
      <c r="GB88" s="158"/>
      <c r="GC88" s="158"/>
      <c r="GD88" s="158"/>
      <c r="GE88" s="158"/>
      <c r="GF88" s="158"/>
      <c r="GG88" s="158"/>
      <c r="GH88" s="158"/>
      <c r="GI88" s="158"/>
      <c r="GJ88" s="158"/>
      <c r="GK88" s="158"/>
      <c r="GL88" s="158"/>
      <c r="GM88" s="158"/>
      <c r="GN88" s="158"/>
      <c r="GO88" s="158"/>
      <c r="GP88" s="158"/>
      <c r="GQ88" s="158"/>
      <c r="GR88" s="158"/>
      <c r="GS88" s="158"/>
      <c r="GT88" s="158"/>
      <c r="GU88" s="158"/>
      <c r="GV88" s="158"/>
      <c r="GW88" s="158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58"/>
      <c r="HK88" s="158"/>
      <c r="HL88" s="158"/>
      <c r="HM88" s="158"/>
      <c r="HN88" s="158"/>
      <c r="HO88" s="158"/>
      <c r="HP88" s="158"/>
      <c r="HQ88" s="158"/>
      <c r="HR88" s="158"/>
      <c r="HS88" s="158"/>
      <c r="HT88" s="158"/>
      <c r="HU88" s="158"/>
      <c r="HV88" s="158"/>
      <c r="HW88" s="158"/>
      <c r="HX88" s="158"/>
      <c r="HY88" s="158"/>
      <c r="HZ88" s="158"/>
      <c r="IA88" s="158"/>
      <c r="IB88" s="158"/>
      <c r="IC88" s="158"/>
      <c r="ID88" s="158"/>
      <c r="IE88" s="158"/>
      <c r="IF88" s="158"/>
      <c r="IG88" s="158"/>
      <c r="IH88" s="158"/>
      <c r="II88" s="158"/>
      <c r="IJ88" s="158"/>
      <c r="IK88" s="158"/>
      <c r="IL88" s="158"/>
      <c r="IM88" s="158"/>
      <c r="IN88" s="158"/>
      <c r="IO88" s="158"/>
      <c r="IP88" s="158"/>
    </row>
    <row r="89" spans="1:250" ht="15.3" x14ac:dyDescent="0.55000000000000004">
      <c r="A89" s="158"/>
      <c r="B89" s="158"/>
      <c r="C89" s="158"/>
      <c r="D89" s="158"/>
      <c r="E89" s="158"/>
      <c r="F89" s="158"/>
      <c r="G89" s="158"/>
      <c r="H89" s="190"/>
      <c r="I89" s="190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8"/>
      <c r="EX89" s="158"/>
      <c r="EY89" s="158"/>
      <c r="EZ89" s="158"/>
      <c r="FA89" s="158"/>
      <c r="FB89" s="158"/>
      <c r="FC89" s="158"/>
      <c r="FD89" s="158"/>
      <c r="FE89" s="158"/>
      <c r="FF89" s="158"/>
      <c r="FG89" s="158"/>
      <c r="FH89" s="158"/>
      <c r="FI89" s="158"/>
      <c r="FJ89" s="158"/>
      <c r="FK89" s="158"/>
      <c r="FL89" s="158"/>
      <c r="FM89" s="158"/>
      <c r="FN89" s="158"/>
      <c r="FO89" s="158"/>
      <c r="FP89" s="158"/>
      <c r="FQ89" s="158"/>
      <c r="FR89" s="158"/>
      <c r="FS89" s="158"/>
      <c r="FT89" s="158"/>
      <c r="FU89" s="158"/>
      <c r="FV89" s="158"/>
      <c r="FW89" s="158"/>
      <c r="FX89" s="158"/>
      <c r="FY89" s="158"/>
      <c r="FZ89" s="158"/>
      <c r="GA89" s="158"/>
      <c r="GB89" s="158"/>
      <c r="GC89" s="158"/>
      <c r="GD89" s="158"/>
      <c r="GE89" s="158"/>
      <c r="GF89" s="158"/>
      <c r="GG89" s="158"/>
      <c r="GH89" s="158"/>
      <c r="GI89" s="158"/>
      <c r="GJ89" s="158"/>
      <c r="GK89" s="158"/>
      <c r="GL89" s="158"/>
      <c r="GM89" s="158"/>
      <c r="GN89" s="158"/>
      <c r="GO89" s="158"/>
      <c r="GP89" s="158"/>
      <c r="GQ89" s="158"/>
      <c r="GR89" s="158"/>
      <c r="GS89" s="158"/>
      <c r="GT89" s="158"/>
      <c r="GU89" s="158"/>
      <c r="GV89" s="158"/>
      <c r="GW89" s="158"/>
      <c r="GX89" s="158"/>
      <c r="GY89" s="158"/>
      <c r="GZ89" s="158"/>
      <c r="HA89" s="158"/>
      <c r="HB89" s="158"/>
      <c r="HC89" s="158"/>
      <c r="HD89" s="158"/>
      <c r="HE89" s="158"/>
      <c r="HF89" s="158"/>
      <c r="HG89" s="158"/>
      <c r="HH89" s="158"/>
      <c r="HI89" s="158"/>
      <c r="HJ89" s="158"/>
      <c r="HK89" s="158"/>
      <c r="HL89" s="158"/>
      <c r="HM89" s="158"/>
      <c r="HN89" s="158"/>
      <c r="HO89" s="158"/>
      <c r="HP89" s="158"/>
      <c r="HQ89" s="158"/>
      <c r="HR89" s="158"/>
      <c r="HS89" s="158"/>
      <c r="HT89" s="158"/>
      <c r="HU89" s="158"/>
      <c r="HV89" s="158"/>
      <c r="HW89" s="158"/>
      <c r="HX89" s="158"/>
      <c r="HY89" s="158"/>
      <c r="HZ89" s="158"/>
      <c r="IA89" s="158"/>
      <c r="IB89" s="158"/>
      <c r="IC89" s="158"/>
      <c r="ID89" s="158"/>
      <c r="IE89" s="158"/>
      <c r="IF89" s="158"/>
      <c r="IG89" s="158"/>
      <c r="IH89" s="158"/>
      <c r="II89" s="158"/>
      <c r="IJ89" s="158"/>
      <c r="IK89" s="158"/>
      <c r="IL89" s="158"/>
      <c r="IM89" s="158"/>
      <c r="IN89" s="158"/>
      <c r="IO89" s="158"/>
      <c r="IP89" s="158"/>
    </row>
    <row r="90" spans="1:250" ht="15.3" x14ac:dyDescent="0.55000000000000004">
      <c r="A90" s="158"/>
      <c r="B90" s="158"/>
      <c r="C90" s="158"/>
      <c r="D90" s="158"/>
      <c r="E90" s="158"/>
      <c r="F90" s="158"/>
      <c r="G90" s="158"/>
      <c r="H90" s="190"/>
      <c r="I90" s="190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8"/>
      <c r="HF90" s="158"/>
      <c r="HG90" s="158"/>
      <c r="HH90" s="158"/>
      <c r="HI90" s="158"/>
      <c r="HJ90" s="158"/>
      <c r="HK90" s="158"/>
      <c r="HL90" s="158"/>
      <c r="HM90" s="158"/>
      <c r="HN90" s="158"/>
      <c r="HO90" s="158"/>
      <c r="HP90" s="158"/>
      <c r="HQ90" s="158"/>
      <c r="HR90" s="158"/>
      <c r="HS90" s="158"/>
      <c r="HT90" s="158"/>
      <c r="HU90" s="158"/>
      <c r="HV90" s="158"/>
      <c r="HW90" s="158"/>
      <c r="HX90" s="158"/>
      <c r="HY90" s="158"/>
      <c r="HZ90" s="158"/>
      <c r="IA90" s="158"/>
      <c r="IB90" s="158"/>
      <c r="IC90" s="158"/>
      <c r="ID90" s="158"/>
      <c r="IE90" s="158"/>
      <c r="IF90" s="158"/>
      <c r="IG90" s="158"/>
      <c r="IH90" s="158"/>
      <c r="II90" s="158"/>
      <c r="IJ90" s="158"/>
      <c r="IK90" s="158"/>
      <c r="IL90" s="158"/>
      <c r="IM90" s="158"/>
      <c r="IN90" s="158"/>
      <c r="IO90" s="158"/>
      <c r="IP90" s="158"/>
    </row>
    <row r="91" spans="1:250" ht="15.3" x14ac:dyDescent="0.55000000000000004">
      <c r="A91" s="158"/>
      <c r="B91" s="158"/>
      <c r="C91" s="158"/>
      <c r="D91" s="158"/>
      <c r="E91" s="158"/>
      <c r="F91" s="158"/>
      <c r="G91" s="158"/>
      <c r="H91" s="190"/>
      <c r="I91" s="190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8"/>
      <c r="EZ91" s="158"/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8"/>
      <c r="GL91" s="158"/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8"/>
      <c r="HF91" s="158"/>
      <c r="HG91" s="158"/>
      <c r="HH91" s="158"/>
      <c r="HI91" s="158"/>
      <c r="HJ91" s="158"/>
      <c r="HK91" s="158"/>
      <c r="HL91" s="158"/>
      <c r="HM91" s="158"/>
      <c r="HN91" s="158"/>
      <c r="HO91" s="158"/>
      <c r="HP91" s="158"/>
      <c r="HQ91" s="158"/>
      <c r="HR91" s="158"/>
      <c r="HS91" s="158"/>
      <c r="HT91" s="158"/>
      <c r="HU91" s="158"/>
      <c r="HV91" s="158"/>
      <c r="HW91" s="158"/>
      <c r="HX91" s="158"/>
      <c r="HY91" s="158"/>
      <c r="HZ91" s="158"/>
      <c r="IA91" s="158"/>
      <c r="IB91" s="158"/>
      <c r="IC91" s="158"/>
      <c r="ID91" s="158"/>
      <c r="IE91" s="158"/>
      <c r="IF91" s="158"/>
      <c r="IG91" s="158"/>
      <c r="IH91" s="158"/>
      <c r="II91" s="158"/>
      <c r="IJ91" s="158"/>
      <c r="IK91" s="158"/>
      <c r="IL91" s="158"/>
      <c r="IM91" s="158"/>
      <c r="IN91" s="158"/>
      <c r="IO91" s="158"/>
      <c r="IP91" s="158"/>
    </row>
    <row r="92" spans="1:250" ht="15.3" x14ac:dyDescent="0.55000000000000004">
      <c r="A92" s="158"/>
      <c r="B92" s="158"/>
      <c r="C92" s="158"/>
      <c r="D92" s="158"/>
      <c r="E92" s="158"/>
      <c r="F92" s="158"/>
      <c r="G92" s="158"/>
      <c r="H92" s="190"/>
      <c r="I92" s="190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8"/>
      <c r="EZ92" s="158"/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8"/>
      <c r="FQ92" s="158"/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8"/>
      <c r="GL92" s="158"/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58"/>
      <c r="HK92" s="158"/>
      <c r="HL92" s="158"/>
      <c r="HM92" s="158"/>
      <c r="HN92" s="158"/>
      <c r="HO92" s="158"/>
      <c r="HP92" s="158"/>
      <c r="HQ92" s="158"/>
      <c r="HR92" s="158"/>
      <c r="HS92" s="158"/>
      <c r="HT92" s="158"/>
      <c r="HU92" s="158"/>
      <c r="HV92" s="158"/>
      <c r="HW92" s="158"/>
      <c r="HX92" s="158"/>
      <c r="HY92" s="158"/>
      <c r="HZ92" s="158"/>
      <c r="IA92" s="158"/>
      <c r="IB92" s="158"/>
      <c r="IC92" s="158"/>
      <c r="ID92" s="158"/>
      <c r="IE92" s="158"/>
      <c r="IF92" s="158"/>
      <c r="IG92" s="158"/>
      <c r="IH92" s="158"/>
      <c r="II92" s="158"/>
      <c r="IJ92" s="158"/>
      <c r="IK92" s="158"/>
      <c r="IL92" s="158"/>
      <c r="IM92" s="158"/>
      <c r="IN92" s="158"/>
      <c r="IO92" s="158"/>
      <c r="IP92" s="158"/>
    </row>
    <row r="93" spans="1:250" ht="15.3" x14ac:dyDescent="0.55000000000000004">
      <c r="A93" s="158"/>
      <c r="B93" s="158"/>
      <c r="C93" s="158"/>
      <c r="D93" s="158"/>
      <c r="E93" s="158"/>
      <c r="F93" s="158"/>
      <c r="G93" s="158"/>
      <c r="H93" s="190"/>
      <c r="I93" s="190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8"/>
      <c r="EK93" s="158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8"/>
      <c r="EZ93" s="158"/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8"/>
      <c r="FQ93" s="158"/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8"/>
      <c r="GL93" s="158"/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8"/>
      <c r="GZ93" s="158"/>
      <c r="HA93" s="158"/>
      <c r="HB93" s="158"/>
      <c r="HC93" s="158"/>
      <c r="HD93" s="158"/>
      <c r="HE93" s="158"/>
      <c r="HF93" s="158"/>
      <c r="HG93" s="158"/>
      <c r="HH93" s="158"/>
      <c r="HI93" s="158"/>
      <c r="HJ93" s="158"/>
      <c r="HK93" s="158"/>
      <c r="HL93" s="158"/>
      <c r="HM93" s="158"/>
      <c r="HN93" s="158"/>
      <c r="HO93" s="158"/>
      <c r="HP93" s="158"/>
      <c r="HQ93" s="158"/>
      <c r="HR93" s="158"/>
      <c r="HS93" s="158"/>
      <c r="HT93" s="158"/>
      <c r="HU93" s="158"/>
      <c r="HV93" s="158"/>
      <c r="HW93" s="158"/>
      <c r="HX93" s="158"/>
      <c r="HY93" s="158"/>
      <c r="HZ93" s="158"/>
      <c r="IA93" s="158"/>
      <c r="IB93" s="158"/>
      <c r="IC93" s="158"/>
      <c r="ID93" s="158"/>
      <c r="IE93" s="158"/>
      <c r="IF93" s="158"/>
      <c r="IG93" s="158"/>
      <c r="IH93" s="158"/>
      <c r="II93" s="158"/>
      <c r="IJ93" s="158"/>
      <c r="IK93" s="158"/>
      <c r="IL93" s="158"/>
      <c r="IM93" s="158"/>
      <c r="IN93" s="158"/>
      <c r="IO93" s="158"/>
      <c r="IP93" s="158"/>
    </row>
    <row r="94" spans="1:250" ht="15.3" x14ac:dyDescent="0.55000000000000004">
      <c r="A94" s="158"/>
      <c r="B94" s="158"/>
      <c r="C94" s="158"/>
      <c r="D94" s="158"/>
      <c r="E94" s="158"/>
      <c r="F94" s="158"/>
      <c r="G94" s="158"/>
      <c r="H94" s="190"/>
      <c r="I94" s="190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158"/>
      <c r="DK94" s="158"/>
      <c r="DL94" s="158"/>
      <c r="DM94" s="158"/>
      <c r="DN94" s="158"/>
      <c r="DO94" s="158"/>
      <c r="DP94" s="158"/>
      <c r="DQ94" s="158"/>
      <c r="DR94" s="158"/>
      <c r="DS94" s="158"/>
      <c r="DT94" s="158"/>
      <c r="DU94" s="158"/>
      <c r="DV94" s="158"/>
      <c r="DW94" s="158"/>
      <c r="DX94" s="158"/>
      <c r="DY94" s="158"/>
      <c r="DZ94" s="158"/>
      <c r="EA94" s="158"/>
      <c r="EB94" s="158"/>
      <c r="EC94" s="158"/>
      <c r="ED94" s="158"/>
      <c r="EE94" s="158"/>
      <c r="EF94" s="158"/>
      <c r="EG94" s="158"/>
      <c r="EH94" s="158"/>
      <c r="EI94" s="158"/>
      <c r="EJ94" s="158"/>
      <c r="EK94" s="158"/>
      <c r="EL94" s="158"/>
      <c r="EM94" s="158"/>
      <c r="EN94" s="158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/>
      <c r="FD94" s="158"/>
      <c r="FE94" s="158"/>
      <c r="FF94" s="158"/>
      <c r="FG94" s="158"/>
      <c r="FH94" s="158"/>
      <c r="FI94" s="158"/>
      <c r="FJ94" s="158"/>
      <c r="FK94" s="158"/>
      <c r="FL94" s="158"/>
      <c r="FM94" s="158"/>
      <c r="FN94" s="158"/>
      <c r="FO94" s="158"/>
      <c r="FP94" s="158"/>
      <c r="FQ94" s="158"/>
      <c r="FR94" s="158"/>
      <c r="FS94" s="158"/>
      <c r="FT94" s="158"/>
      <c r="FU94" s="158"/>
      <c r="FV94" s="158"/>
      <c r="FW94" s="158"/>
      <c r="FX94" s="158"/>
      <c r="FY94" s="158"/>
      <c r="FZ94" s="158"/>
      <c r="GA94" s="158"/>
      <c r="GB94" s="158"/>
      <c r="GC94" s="158"/>
      <c r="GD94" s="158"/>
      <c r="GE94" s="158"/>
      <c r="GF94" s="158"/>
      <c r="GG94" s="158"/>
      <c r="GH94" s="158"/>
      <c r="GI94" s="158"/>
      <c r="GJ94" s="158"/>
      <c r="GK94" s="158"/>
      <c r="GL94" s="158"/>
      <c r="GM94" s="158"/>
      <c r="GN94" s="158"/>
      <c r="GO94" s="158"/>
      <c r="GP94" s="158"/>
      <c r="GQ94" s="158"/>
      <c r="GR94" s="158"/>
      <c r="GS94" s="158"/>
      <c r="GT94" s="158"/>
      <c r="GU94" s="158"/>
      <c r="GV94" s="158"/>
      <c r="GW94" s="158"/>
      <c r="GX94" s="158"/>
      <c r="GY94" s="158"/>
      <c r="GZ94" s="158"/>
      <c r="HA94" s="158"/>
      <c r="HB94" s="158"/>
      <c r="HC94" s="158"/>
      <c r="HD94" s="158"/>
      <c r="HE94" s="158"/>
      <c r="HF94" s="158"/>
      <c r="HG94" s="158"/>
      <c r="HH94" s="158"/>
      <c r="HI94" s="158"/>
      <c r="HJ94" s="158"/>
      <c r="HK94" s="158"/>
      <c r="HL94" s="158"/>
      <c r="HM94" s="158"/>
      <c r="HN94" s="158"/>
      <c r="HO94" s="158"/>
      <c r="HP94" s="158"/>
      <c r="HQ94" s="158"/>
      <c r="HR94" s="158"/>
      <c r="HS94" s="158"/>
      <c r="HT94" s="158"/>
      <c r="HU94" s="158"/>
      <c r="HV94" s="158"/>
      <c r="HW94" s="158"/>
      <c r="HX94" s="158"/>
      <c r="HY94" s="158"/>
      <c r="HZ94" s="158"/>
      <c r="IA94" s="158"/>
      <c r="IB94" s="158"/>
      <c r="IC94" s="158"/>
      <c r="ID94" s="158"/>
      <c r="IE94" s="158"/>
      <c r="IF94" s="158"/>
      <c r="IG94" s="158"/>
      <c r="IH94" s="158"/>
      <c r="II94" s="158"/>
      <c r="IJ94" s="158"/>
      <c r="IK94" s="158"/>
      <c r="IL94" s="158"/>
      <c r="IM94" s="158"/>
      <c r="IN94" s="158"/>
      <c r="IO94" s="158"/>
      <c r="IP94" s="158"/>
    </row>
    <row r="95" spans="1:250" ht="15.3" x14ac:dyDescent="0.55000000000000004">
      <c r="A95" s="158"/>
      <c r="B95" s="158"/>
      <c r="C95" s="158"/>
      <c r="D95" s="158"/>
      <c r="E95" s="158"/>
      <c r="F95" s="158"/>
      <c r="G95" s="158"/>
      <c r="H95" s="190"/>
      <c r="I95" s="190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158"/>
      <c r="DK95" s="158"/>
      <c r="DL95" s="158"/>
      <c r="DM95" s="158"/>
      <c r="DN95" s="158"/>
      <c r="DO95" s="158"/>
      <c r="DP95" s="158"/>
      <c r="DQ95" s="158"/>
      <c r="DR95" s="158"/>
      <c r="DS95" s="158"/>
      <c r="DT95" s="158"/>
      <c r="DU95" s="158"/>
      <c r="DV95" s="158"/>
      <c r="DW95" s="158"/>
      <c r="DX95" s="158"/>
      <c r="DY95" s="158"/>
      <c r="DZ95" s="158"/>
      <c r="EA95" s="158"/>
      <c r="EB95" s="158"/>
      <c r="EC95" s="158"/>
      <c r="ED95" s="158"/>
      <c r="EE95" s="158"/>
      <c r="EF95" s="158"/>
      <c r="EG95" s="158"/>
      <c r="EH95" s="158"/>
      <c r="EI95" s="158"/>
      <c r="EJ95" s="158"/>
      <c r="EK95" s="158"/>
      <c r="EL95" s="158"/>
      <c r="EM95" s="158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/>
      <c r="FD95" s="158"/>
      <c r="FE95" s="158"/>
      <c r="FF95" s="158"/>
      <c r="FG95" s="158"/>
      <c r="FH95" s="158"/>
      <c r="FI95" s="158"/>
      <c r="FJ95" s="158"/>
      <c r="FK95" s="158"/>
      <c r="FL95" s="158"/>
      <c r="FM95" s="158"/>
      <c r="FN95" s="158"/>
      <c r="FO95" s="158"/>
      <c r="FP95" s="158"/>
      <c r="FQ95" s="158"/>
      <c r="FR95" s="158"/>
      <c r="FS95" s="158"/>
      <c r="FT95" s="158"/>
      <c r="FU95" s="158"/>
      <c r="FV95" s="158"/>
      <c r="FW95" s="158"/>
      <c r="FX95" s="158"/>
      <c r="FY95" s="158"/>
      <c r="FZ95" s="158"/>
      <c r="GA95" s="158"/>
      <c r="GB95" s="158"/>
      <c r="GC95" s="158"/>
      <c r="GD95" s="158"/>
      <c r="GE95" s="158"/>
      <c r="GF95" s="158"/>
      <c r="GG95" s="158"/>
      <c r="GH95" s="158"/>
      <c r="GI95" s="158"/>
      <c r="GJ95" s="158"/>
      <c r="GK95" s="158"/>
      <c r="GL95" s="158"/>
      <c r="GM95" s="158"/>
      <c r="GN95" s="158"/>
      <c r="GO95" s="158"/>
      <c r="GP95" s="158"/>
      <c r="GQ95" s="158"/>
      <c r="GR95" s="158"/>
      <c r="GS95" s="158"/>
      <c r="GT95" s="158"/>
      <c r="GU95" s="158"/>
      <c r="GV95" s="158"/>
      <c r="GW95" s="158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58"/>
      <c r="HK95" s="158"/>
      <c r="HL95" s="158"/>
      <c r="HM95" s="158"/>
      <c r="HN95" s="158"/>
      <c r="HO95" s="158"/>
      <c r="HP95" s="158"/>
      <c r="HQ95" s="158"/>
      <c r="HR95" s="158"/>
      <c r="HS95" s="158"/>
      <c r="HT95" s="158"/>
      <c r="HU95" s="158"/>
      <c r="HV95" s="158"/>
      <c r="HW95" s="158"/>
      <c r="HX95" s="158"/>
      <c r="HY95" s="158"/>
      <c r="HZ95" s="158"/>
      <c r="IA95" s="158"/>
      <c r="IB95" s="158"/>
      <c r="IC95" s="158"/>
      <c r="ID95" s="158"/>
      <c r="IE95" s="158"/>
      <c r="IF95" s="158"/>
      <c r="IG95" s="158"/>
      <c r="IH95" s="158"/>
      <c r="II95" s="158"/>
      <c r="IJ95" s="158"/>
      <c r="IK95" s="158"/>
      <c r="IL95" s="158"/>
      <c r="IM95" s="158"/>
      <c r="IN95" s="158"/>
      <c r="IO95" s="158"/>
      <c r="IP95" s="158"/>
    </row>
    <row r="96" spans="1:250" ht="15.3" x14ac:dyDescent="0.55000000000000004">
      <c r="A96" s="158"/>
      <c r="B96" s="158"/>
      <c r="C96" s="158"/>
      <c r="D96" s="158"/>
      <c r="E96" s="158"/>
      <c r="F96" s="158"/>
      <c r="G96" s="158"/>
      <c r="H96" s="190"/>
      <c r="I96" s="190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B96" s="158"/>
      <c r="FC96" s="158"/>
      <c r="FD96" s="158"/>
      <c r="FE96" s="158"/>
      <c r="FF96" s="158"/>
      <c r="FG96" s="158"/>
      <c r="FH96" s="158"/>
      <c r="FI96" s="158"/>
      <c r="FJ96" s="158"/>
      <c r="FK96" s="158"/>
      <c r="FL96" s="158"/>
      <c r="FM96" s="158"/>
      <c r="FN96" s="158"/>
      <c r="FO96" s="158"/>
      <c r="FP96" s="158"/>
      <c r="FQ96" s="158"/>
      <c r="FR96" s="158"/>
      <c r="FS96" s="158"/>
      <c r="FT96" s="158"/>
      <c r="FU96" s="158"/>
      <c r="FV96" s="158"/>
      <c r="FW96" s="158"/>
      <c r="FX96" s="158"/>
      <c r="FY96" s="158"/>
      <c r="FZ96" s="158"/>
      <c r="GA96" s="158"/>
      <c r="GB96" s="158"/>
      <c r="GC96" s="158"/>
      <c r="GD96" s="158"/>
      <c r="GE96" s="158"/>
      <c r="GF96" s="158"/>
      <c r="GG96" s="158"/>
      <c r="GH96" s="158"/>
      <c r="GI96" s="158"/>
      <c r="GJ96" s="158"/>
      <c r="GK96" s="158"/>
      <c r="GL96" s="158"/>
      <c r="GM96" s="158"/>
      <c r="GN96" s="158"/>
      <c r="GO96" s="158"/>
      <c r="GP96" s="158"/>
      <c r="GQ96" s="158"/>
      <c r="GR96" s="158"/>
      <c r="GS96" s="158"/>
      <c r="GT96" s="158"/>
      <c r="GU96" s="158"/>
      <c r="GV96" s="158"/>
      <c r="GW96" s="158"/>
      <c r="GX96" s="158"/>
      <c r="GY96" s="158"/>
      <c r="GZ96" s="158"/>
      <c r="HA96" s="158"/>
      <c r="HB96" s="158"/>
      <c r="HC96" s="158"/>
      <c r="HD96" s="158"/>
      <c r="HE96" s="158"/>
      <c r="HF96" s="158"/>
      <c r="HG96" s="158"/>
      <c r="HH96" s="158"/>
      <c r="HI96" s="158"/>
      <c r="HJ96" s="158"/>
      <c r="HK96" s="158"/>
      <c r="HL96" s="158"/>
      <c r="HM96" s="158"/>
      <c r="HN96" s="158"/>
      <c r="HO96" s="158"/>
      <c r="HP96" s="158"/>
      <c r="HQ96" s="158"/>
      <c r="HR96" s="158"/>
      <c r="HS96" s="158"/>
      <c r="HT96" s="158"/>
      <c r="HU96" s="158"/>
      <c r="HV96" s="158"/>
      <c r="HW96" s="158"/>
      <c r="HX96" s="158"/>
      <c r="HY96" s="158"/>
      <c r="HZ96" s="158"/>
      <c r="IA96" s="158"/>
      <c r="IB96" s="158"/>
      <c r="IC96" s="158"/>
      <c r="ID96" s="158"/>
      <c r="IE96" s="158"/>
      <c r="IF96" s="158"/>
      <c r="IG96" s="158"/>
      <c r="IH96" s="158"/>
      <c r="II96" s="158"/>
      <c r="IJ96" s="158"/>
      <c r="IK96" s="158"/>
      <c r="IL96" s="158"/>
      <c r="IM96" s="158"/>
      <c r="IN96" s="158"/>
      <c r="IO96" s="158"/>
      <c r="IP96" s="158"/>
    </row>
    <row r="97" spans="1:250" ht="15.3" x14ac:dyDescent="0.55000000000000004">
      <c r="A97" s="158"/>
      <c r="B97" s="158"/>
      <c r="C97" s="158"/>
      <c r="D97" s="158"/>
      <c r="E97" s="158"/>
      <c r="F97" s="158"/>
      <c r="G97" s="158"/>
      <c r="H97" s="190"/>
      <c r="I97" s="190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  <c r="CH97" s="158"/>
      <c r="CI97" s="158"/>
      <c r="CJ97" s="158"/>
      <c r="CK97" s="158"/>
      <c r="CL97" s="158"/>
      <c r="CM97" s="158"/>
      <c r="CN97" s="158"/>
      <c r="CO97" s="158"/>
      <c r="CP97" s="158"/>
      <c r="CQ97" s="158"/>
      <c r="CR97" s="158"/>
      <c r="CS97" s="158"/>
      <c r="CT97" s="158"/>
      <c r="CU97" s="158"/>
      <c r="CV97" s="158"/>
      <c r="CW97" s="158"/>
      <c r="CX97" s="158"/>
      <c r="CY97" s="158"/>
      <c r="CZ97" s="158"/>
      <c r="DA97" s="158"/>
      <c r="DB97" s="158"/>
      <c r="DC97" s="158"/>
      <c r="DD97" s="158"/>
      <c r="DE97" s="158"/>
      <c r="DF97" s="158"/>
      <c r="DG97" s="158"/>
      <c r="DH97" s="158"/>
      <c r="DI97" s="158"/>
      <c r="DJ97" s="158"/>
      <c r="DK97" s="158"/>
      <c r="DL97" s="158"/>
      <c r="DM97" s="158"/>
      <c r="DN97" s="158"/>
      <c r="DO97" s="158"/>
      <c r="DP97" s="158"/>
      <c r="DQ97" s="158"/>
      <c r="DR97" s="158"/>
      <c r="DS97" s="158"/>
      <c r="DT97" s="158"/>
      <c r="DU97" s="158"/>
      <c r="DV97" s="158"/>
      <c r="DW97" s="158"/>
      <c r="DX97" s="158"/>
      <c r="DY97" s="158"/>
      <c r="DZ97" s="158"/>
      <c r="EA97" s="158"/>
      <c r="EB97" s="158"/>
      <c r="EC97" s="158"/>
      <c r="ED97" s="158"/>
      <c r="EE97" s="158"/>
      <c r="EF97" s="158"/>
      <c r="EG97" s="158"/>
      <c r="EH97" s="158"/>
      <c r="EI97" s="158"/>
      <c r="EJ97" s="158"/>
      <c r="EK97" s="158"/>
      <c r="EL97" s="158"/>
      <c r="EM97" s="158"/>
      <c r="EN97" s="158"/>
      <c r="EO97" s="158"/>
      <c r="EP97" s="158"/>
      <c r="EQ97" s="158"/>
      <c r="ER97" s="158"/>
      <c r="ES97" s="158"/>
      <c r="ET97" s="158"/>
      <c r="EU97" s="158"/>
      <c r="EV97" s="158"/>
      <c r="EW97" s="158"/>
      <c r="EX97" s="158"/>
      <c r="EY97" s="158"/>
      <c r="EZ97" s="158"/>
      <c r="FA97" s="158"/>
      <c r="FB97" s="158"/>
      <c r="FC97" s="158"/>
      <c r="FD97" s="158"/>
      <c r="FE97" s="158"/>
      <c r="FF97" s="158"/>
      <c r="FG97" s="158"/>
      <c r="FH97" s="158"/>
      <c r="FI97" s="158"/>
      <c r="FJ97" s="158"/>
      <c r="FK97" s="158"/>
      <c r="FL97" s="158"/>
      <c r="FM97" s="158"/>
      <c r="FN97" s="158"/>
      <c r="FO97" s="158"/>
      <c r="FP97" s="158"/>
      <c r="FQ97" s="158"/>
      <c r="FR97" s="158"/>
      <c r="FS97" s="158"/>
      <c r="FT97" s="158"/>
      <c r="FU97" s="158"/>
      <c r="FV97" s="158"/>
      <c r="FW97" s="158"/>
      <c r="FX97" s="158"/>
      <c r="FY97" s="158"/>
      <c r="FZ97" s="158"/>
      <c r="GA97" s="158"/>
      <c r="GB97" s="158"/>
      <c r="GC97" s="158"/>
      <c r="GD97" s="158"/>
      <c r="GE97" s="158"/>
      <c r="GF97" s="158"/>
      <c r="GG97" s="158"/>
      <c r="GH97" s="158"/>
      <c r="GI97" s="158"/>
      <c r="GJ97" s="158"/>
      <c r="GK97" s="158"/>
      <c r="GL97" s="158"/>
      <c r="GM97" s="158"/>
      <c r="GN97" s="158"/>
      <c r="GO97" s="158"/>
      <c r="GP97" s="158"/>
      <c r="GQ97" s="158"/>
      <c r="GR97" s="158"/>
      <c r="GS97" s="158"/>
      <c r="GT97" s="158"/>
      <c r="GU97" s="158"/>
      <c r="GV97" s="158"/>
      <c r="GW97" s="158"/>
      <c r="GX97" s="158"/>
      <c r="GY97" s="158"/>
      <c r="GZ97" s="158"/>
      <c r="HA97" s="158"/>
      <c r="HB97" s="158"/>
      <c r="HC97" s="158"/>
      <c r="HD97" s="158"/>
      <c r="HE97" s="158"/>
      <c r="HF97" s="158"/>
      <c r="HG97" s="158"/>
      <c r="HH97" s="158"/>
      <c r="HI97" s="158"/>
      <c r="HJ97" s="158"/>
      <c r="HK97" s="158"/>
      <c r="HL97" s="158"/>
      <c r="HM97" s="158"/>
      <c r="HN97" s="158"/>
      <c r="HO97" s="158"/>
      <c r="HP97" s="158"/>
      <c r="HQ97" s="158"/>
      <c r="HR97" s="158"/>
      <c r="HS97" s="158"/>
      <c r="HT97" s="158"/>
      <c r="HU97" s="158"/>
      <c r="HV97" s="158"/>
      <c r="HW97" s="158"/>
      <c r="HX97" s="158"/>
      <c r="HY97" s="158"/>
      <c r="HZ97" s="158"/>
      <c r="IA97" s="158"/>
      <c r="IB97" s="158"/>
      <c r="IC97" s="158"/>
      <c r="ID97" s="158"/>
      <c r="IE97" s="158"/>
      <c r="IF97" s="158"/>
      <c r="IG97" s="158"/>
      <c r="IH97" s="158"/>
      <c r="II97" s="158"/>
      <c r="IJ97" s="158"/>
      <c r="IK97" s="158"/>
      <c r="IL97" s="158"/>
      <c r="IM97" s="158"/>
      <c r="IN97" s="158"/>
      <c r="IO97" s="158"/>
      <c r="IP97" s="158"/>
    </row>
    <row r="98" spans="1:250" ht="15.3" x14ac:dyDescent="0.55000000000000004">
      <c r="A98" s="158"/>
      <c r="B98" s="158"/>
      <c r="C98" s="158"/>
      <c r="D98" s="158"/>
      <c r="E98" s="158"/>
      <c r="F98" s="158"/>
      <c r="G98" s="158"/>
      <c r="H98" s="190"/>
      <c r="I98" s="190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158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/>
      <c r="DW98" s="158"/>
      <c r="DX98" s="158"/>
      <c r="DY98" s="158"/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8"/>
      <c r="EX98" s="158"/>
      <c r="EY98" s="158"/>
      <c r="EZ98" s="158"/>
      <c r="FA98" s="158"/>
      <c r="FB98" s="158"/>
      <c r="FC98" s="158"/>
      <c r="FD98" s="158"/>
      <c r="FE98" s="158"/>
      <c r="FF98" s="158"/>
      <c r="FG98" s="158"/>
      <c r="FH98" s="158"/>
      <c r="FI98" s="158"/>
      <c r="FJ98" s="158"/>
      <c r="FK98" s="158"/>
      <c r="FL98" s="158"/>
      <c r="FM98" s="158"/>
      <c r="FN98" s="158"/>
      <c r="FO98" s="158"/>
      <c r="FP98" s="158"/>
      <c r="FQ98" s="158"/>
      <c r="FR98" s="158"/>
      <c r="FS98" s="158"/>
      <c r="FT98" s="158"/>
      <c r="FU98" s="158"/>
      <c r="FV98" s="158"/>
      <c r="FW98" s="158"/>
      <c r="FX98" s="158"/>
      <c r="FY98" s="158"/>
      <c r="FZ98" s="158"/>
      <c r="GA98" s="158"/>
      <c r="GB98" s="158"/>
      <c r="GC98" s="158"/>
      <c r="GD98" s="158"/>
      <c r="GE98" s="158"/>
      <c r="GF98" s="158"/>
      <c r="GG98" s="158"/>
      <c r="GH98" s="158"/>
      <c r="GI98" s="158"/>
      <c r="GJ98" s="158"/>
      <c r="GK98" s="158"/>
      <c r="GL98" s="158"/>
      <c r="GM98" s="158"/>
      <c r="GN98" s="158"/>
      <c r="GO98" s="158"/>
      <c r="GP98" s="158"/>
      <c r="GQ98" s="158"/>
      <c r="GR98" s="158"/>
      <c r="GS98" s="158"/>
      <c r="GT98" s="158"/>
      <c r="GU98" s="158"/>
      <c r="GV98" s="158"/>
      <c r="GW98" s="158"/>
      <c r="GX98" s="158"/>
      <c r="GY98" s="158"/>
      <c r="GZ98" s="158"/>
      <c r="HA98" s="158"/>
      <c r="HB98" s="158"/>
      <c r="HC98" s="158"/>
      <c r="HD98" s="158"/>
      <c r="HE98" s="158"/>
      <c r="HF98" s="158"/>
      <c r="HG98" s="158"/>
      <c r="HH98" s="158"/>
      <c r="HI98" s="158"/>
      <c r="HJ98" s="158"/>
      <c r="HK98" s="158"/>
      <c r="HL98" s="158"/>
      <c r="HM98" s="158"/>
      <c r="HN98" s="158"/>
      <c r="HO98" s="158"/>
      <c r="HP98" s="158"/>
      <c r="HQ98" s="158"/>
      <c r="HR98" s="158"/>
      <c r="HS98" s="158"/>
      <c r="HT98" s="158"/>
      <c r="HU98" s="158"/>
      <c r="HV98" s="158"/>
      <c r="HW98" s="158"/>
      <c r="HX98" s="158"/>
      <c r="HY98" s="158"/>
      <c r="HZ98" s="158"/>
      <c r="IA98" s="158"/>
      <c r="IB98" s="158"/>
      <c r="IC98" s="158"/>
      <c r="ID98" s="158"/>
      <c r="IE98" s="158"/>
      <c r="IF98" s="158"/>
      <c r="IG98" s="158"/>
      <c r="IH98" s="158"/>
      <c r="II98" s="158"/>
      <c r="IJ98" s="158"/>
      <c r="IK98" s="158"/>
      <c r="IL98" s="158"/>
      <c r="IM98" s="158"/>
      <c r="IN98" s="158"/>
      <c r="IO98" s="158"/>
      <c r="IP98" s="158"/>
    </row>
    <row r="99" spans="1:250" ht="15.3" x14ac:dyDescent="0.55000000000000004">
      <c r="A99" s="158"/>
      <c r="B99" s="158"/>
      <c r="C99" s="158"/>
      <c r="D99" s="158"/>
      <c r="E99" s="158"/>
      <c r="F99" s="158"/>
      <c r="G99" s="158"/>
      <c r="H99" s="190"/>
      <c r="I99" s="190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8"/>
      <c r="GQ99" s="158"/>
      <c r="GR99" s="158"/>
      <c r="GS99" s="158"/>
      <c r="GT99" s="158"/>
      <c r="GU99" s="158"/>
      <c r="GV99" s="158"/>
      <c r="GW99" s="158"/>
      <c r="GX99" s="158"/>
      <c r="GY99" s="158"/>
      <c r="GZ99" s="158"/>
      <c r="HA99" s="158"/>
      <c r="HB99" s="158"/>
      <c r="HC99" s="158"/>
      <c r="HD99" s="158"/>
      <c r="HE99" s="158"/>
      <c r="HF99" s="158"/>
      <c r="HG99" s="158"/>
      <c r="HH99" s="158"/>
      <c r="HI99" s="158"/>
      <c r="HJ99" s="158"/>
      <c r="HK99" s="158"/>
      <c r="HL99" s="158"/>
      <c r="HM99" s="158"/>
      <c r="HN99" s="158"/>
      <c r="HO99" s="158"/>
      <c r="HP99" s="158"/>
      <c r="HQ99" s="158"/>
      <c r="HR99" s="158"/>
      <c r="HS99" s="158"/>
      <c r="HT99" s="158"/>
      <c r="HU99" s="158"/>
      <c r="HV99" s="158"/>
      <c r="HW99" s="158"/>
      <c r="HX99" s="158"/>
      <c r="HY99" s="158"/>
      <c r="HZ99" s="158"/>
      <c r="IA99" s="158"/>
      <c r="IB99" s="158"/>
      <c r="IC99" s="158"/>
      <c r="ID99" s="158"/>
      <c r="IE99" s="158"/>
      <c r="IF99" s="158"/>
      <c r="IG99" s="158"/>
      <c r="IH99" s="158"/>
      <c r="II99" s="158"/>
      <c r="IJ99" s="158"/>
      <c r="IK99" s="158"/>
      <c r="IL99" s="158"/>
      <c r="IM99" s="158"/>
      <c r="IN99" s="158"/>
      <c r="IO99" s="158"/>
      <c r="IP99" s="158"/>
    </row>
    <row r="100" spans="1:250" ht="15.3" x14ac:dyDescent="0.55000000000000004">
      <c r="A100" s="158"/>
      <c r="B100" s="158"/>
      <c r="C100" s="158"/>
      <c r="D100" s="158"/>
      <c r="E100" s="158"/>
      <c r="F100" s="158"/>
      <c r="G100" s="158"/>
      <c r="H100" s="190"/>
      <c r="I100" s="190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8"/>
      <c r="FY100" s="158"/>
      <c r="FZ100" s="158"/>
      <c r="GA100" s="158"/>
      <c r="GB100" s="158"/>
      <c r="GC100" s="158"/>
      <c r="GD100" s="158"/>
      <c r="GE100" s="158"/>
      <c r="GF100" s="158"/>
      <c r="GG100" s="158"/>
      <c r="GH100" s="158"/>
      <c r="GI100" s="158"/>
      <c r="GJ100" s="158"/>
      <c r="GK100" s="158"/>
      <c r="GL100" s="158"/>
      <c r="GM100" s="158"/>
      <c r="GN100" s="158"/>
      <c r="GO100" s="158"/>
      <c r="GP100" s="158"/>
      <c r="GQ100" s="158"/>
      <c r="GR100" s="158"/>
      <c r="GS100" s="158"/>
      <c r="GT100" s="158"/>
      <c r="GU100" s="158"/>
      <c r="GV100" s="158"/>
      <c r="GW100" s="158"/>
      <c r="GX100" s="158"/>
      <c r="GY100" s="158"/>
      <c r="GZ100" s="158"/>
      <c r="HA100" s="158"/>
      <c r="HB100" s="158"/>
      <c r="HC100" s="158"/>
      <c r="HD100" s="158"/>
      <c r="HE100" s="158"/>
      <c r="HF100" s="158"/>
      <c r="HG100" s="158"/>
      <c r="HH100" s="158"/>
      <c r="HI100" s="158"/>
      <c r="HJ100" s="158"/>
      <c r="HK100" s="158"/>
      <c r="HL100" s="158"/>
      <c r="HM100" s="158"/>
      <c r="HN100" s="158"/>
      <c r="HO100" s="158"/>
      <c r="HP100" s="158"/>
      <c r="HQ100" s="158"/>
      <c r="HR100" s="158"/>
      <c r="HS100" s="158"/>
      <c r="HT100" s="158"/>
      <c r="HU100" s="158"/>
      <c r="HV100" s="158"/>
      <c r="HW100" s="158"/>
      <c r="HX100" s="158"/>
      <c r="HY100" s="158"/>
      <c r="HZ100" s="158"/>
      <c r="IA100" s="158"/>
      <c r="IB100" s="158"/>
      <c r="IC100" s="158"/>
      <c r="ID100" s="158"/>
      <c r="IE100" s="158"/>
      <c r="IF100" s="158"/>
      <c r="IG100" s="158"/>
      <c r="IH100" s="158"/>
      <c r="II100" s="158"/>
      <c r="IJ100" s="158"/>
      <c r="IK100" s="158"/>
      <c r="IL100" s="158"/>
      <c r="IM100" s="158"/>
      <c r="IN100" s="158"/>
      <c r="IO100" s="158"/>
      <c r="IP100" s="158"/>
    </row>
    <row r="101" spans="1:250" ht="15.3" x14ac:dyDescent="0.55000000000000004">
      <c r="A101" s="158"/>
      <c r="B101" s="158"/>
      <c r="C101" s="158"/>
      <c r="D101" s="158"/>
      <c r="E101" s="158"/>
      <c r="F101" s="158"/>
      <c r="G101" s="158"/>
      <c r="H101" s="190"/>
      <c r="I101" s="190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  <c r="GD101" s="158"/>
      <c r="GE101" s="158"/>
      <c r="GF101" s="158"/>
      <c r="GG101" s="158"/>
      <c r="GH101" s="158"/>
      <c r="GI101" s="158"/>
      <c r="GJ101" s="158"/>
      <c r="GK101" s="158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  <c r="ID101" s="158"/>
      <c r="IE101" s="158"/>
      <c r="IF101" s="158"/>
      <c r="IG101" s="158"/>
      <c r="IH101" s="158"/>
      <c r="II101" s="158"/>
      <c r="IJ101" s="158"/>
      <c r="IK101" s="158"/>
      <c r="IL101" s="158"/>
      <c r="IM101" s="158"/>
      <c r="IN101" s="158"/>
      <c r="IO101" s="158"/>
      <c r="IP101" s="158"/>
    </row>
  </sheetData>
  <sheetCalcPr fullCalcOnLoad="1"/>
  <autoFilter ref="A2:IT50">
    <sortState xmlns:xlrd2="http://schemas.microsoft.com/office/spreadsheetml/2017/richdata2" ref="A3:IT50">
      <sortCondition ref="A2:A50"/>
    </sortState>
  </autoFilter>
  <printOptions horizontalCentered="1"/>
  <pageMargins left="0.25" right="0.25" top="0.55000000000000004" bottom="0.2" header="0" footer="0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IV105"/>
  <sheetViews>
    <sheetView zoomScale="87" zoomScaleNormal="87" workbookViewId="0">
      <selection activeCell="B19" sqref="B19"/>
    </sheetView>
  </sheetViews>
  <sheetFormatPr defaultColWidth="12.41796875" defaultRowHeight="15" x14ac:dyDescent="0.5"/>
  <cols>
    <col min="1" max="1" width="12.41796875" style="390" customWidth="1"/>
    <col min="2" max="2" width="59.83984375" style="390" bestFit="1" customWidth="1"/>
    <col min="3" max="4" width="12.41796875" style="390" customWidth="1"/>
    <col min="5" max="5" width="16.26171875" style="390" bestFit="1" customWidth="1"/>
    <col min="6" max="6" width="20" style="390" customWidth="1"/>
    <col min="7" max="7" width="12.41796875" style="390"/>
    <col min="8" max="8" width="18.578125" style="390" customWidth="1"/>
    <col min="9" max="9" width="7.578125" style="390" customWidth="1"/>
    <col min="10" max="10" width="14.578125" style="75" bestFit="1" customWidth="1"/>
    <col min="11" max="11" width="14.15625" style="75" bestFit="1" customWidth="1"/>
    <col min="12" max="12" width="17.41796875" style="390" customWidth="1"/>
    <col min="13" max="13" width="12.41796875" style="390"/>
    <col min="14" max="14" width="18.41796875" style="390" bestFit="1" customWidth="1"/>
    <col min="15" max="16384" width="12.41796875" style="390"/>
  </cols>
  <sheetData>
    <row r="1" spans="1:252" ht="26.4" x14ac:dyDescent="0.85">
      <c r="A1" s="388"/>
      <c r="B1" s="388"/>
      <c r="C1" s="388"/>
      <c r="D1" s="388"/>
      <c r="E1" s="388"/>
      <c r="F1" s="388"/>
      <c r="G1" s="388"/>
      <c r="H1" s="389"/>
      <c r="I1" s="389"/>
      <c r="J1" s="190"/>
      <c r="K1" s="190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389"/>
      <c r="EM1" s="389"/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389"/>
      <c r="FC1" s="389"/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389"/>
      <c r="FS1" s="389"/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389"/>
      <c r="GI1" s="389"/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389"/>
      <c r="GY1" s="389"/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389"/>
      <c r="HO1" s="389"/>
      <c r="HP1" s="389"/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389"/>
      <c r="ID1" s="389"/>
      <c r="IE1" s="389"/>
      <c r="IF1" s="389"/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</row>
    <row r="2" spans="1:252" ht="30.6" x14ac:dyDescent="0.55000000000000004">
      <c r="A2" s="391" t="s">
        <v>106</v>
      </c>
      <c r="B2" s="389" t="s">
        <v>261</v>
      </c>
      <c r="C2" s="391" t="s">
        <v>260</v>
      </c>
      <c r="D2" s="391" t="s">
        <v>259</v>
      </c>
      <c r="E2" s="392" t="s">
        <v>277</v>
      </c>
      <c r="F2" s="392" t="s">
        <v>276</v>
      </c>
      <c r="G2" s="393" t="s">
        <v>275</v>
      </c>
      <c r="H2" s="393"/>
      <c r="J2" s="365"/>
      <c r="K2" s="365"/>
      <c r="L2" s="365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  <c r="AA2" s="389"/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  <c r="AP2" s="389"/>
      <c r="AQ2" s="389"/>
      <c r="AR2" s="389"/>
      <c r="AS2" s="389"/>
      <c r="AT2" s="389"/>
      <c r="AU2" s="389"/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/>
      <c r="CC2" s="389"/>
      <c r="CD2" s="389"/>
      <c r="CE2" s="389"/>
      <c r="CF2" s="389"/>
      <c r="CG2" s="389"/>
      <c r="CH2" s="389"/>
      <c r="CI2" s="389"/>
      <c r="CJ2" s="389"/>
      <c r="CK2" s="389"/>
      <c r="CL2" s="389"/>
      <c r="CM2" s="389"/>
      <c r="CN2" s="389"/>
      <c r="CO2" s="389"/>
      <c r="CP2" s="389"/>
      <c r="CQ2" s="389"/>
      <c r="CR2" s="389"/>
      <c r="CS2" s="389"/>
      <c r="CT2" s="389"/>
      <c r="CU2" s="389"/>
      <c r="CV2" s="389"/>
      <c r="CW2" s="389"/>
      <c r="CX2" s="389"/>
      <c r="CY2" s="389"/>
      <c r="CZ2" s="389"/>
      <c r="DA2" s="389"/>
      <c r="DB2" s="389"/>
      <c r="DC2" s="389"/>
      <c r="DD2" s="389"/>
      <c r="DE2" s="389"/>
      <c r="DF2" s="389"/>
      <c r="DG2" s="389"/>
      <c r="DH2" s="389"/>
      <c r="DI2" s="389"/>
      <c r="DJ2" s="389"/>
      <c r="DK2" s="389"/>
      <c r="DL2" s="389"/>
      <c r="DM2" s="389"/>
      <c r="DN2" s="389"/>
      <c r="DO2" s="389"/>
      <c r="DP2" s="389"/>
      <c r="DQ2" s="389"/>
      <c r="DR2" s="389"/>
      <c r="DS2" s="389"/>
      <c r="DT2" s="389"/>
      <c r="DU2" s="389"/>
      <c r="DV2" s="389"/>
      <c r="DW2" s="389"/>
      <c r="DX2" s="389"/>
      <c r="DY2" s="389"/>
      <c r="DZ2" s="389"/>
      <c r="EA2" s="389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/>
      <c r="EO2" s="389"/>
      <c r="EP2" s="389"/>
      <c r="EQ2" s="389"/>
      <c r="ER2" s="389"/>
      <c r="ES2" s="389"/>
      <c r="ET2" s="389"/>
      <c r="EU2" s="389"/>
      <c r="EV2" s="389"/>
      <c r="EW2" s="389"/>
      <c r="EX2" s="389"/>
      <c r="EY2" s="389"/>
      <c r="EZ2" s="389"/>
      <c r="FA2" s="389"/>
      <c r="FB2" s="389"/>
      <c r="FC2" s="389"/>
      <c r="FD2" s="389"/>
      <c r="FE2" s="389"/>
      <c r="FF2" s="389"/>
      <c r="FG2" s="389"/>
      <c r="FH2" s="389"/>
      <c r="FI2" s="389"/>
      <c r="FJ2" s="389"/>
      <c r="FK2" s="389"/>
      <c r="FL2" s="389"/>
      <c r="FM2" s="389"/>
      <c r="FN2" s="389"/>
      <c r="FO2" s="389"/>
      <c r="FP2" s="389"/>
      <c r="FQ2" s="389"/>
      <c r="FR2" s="389"/>
      <c r="FS2" s="389"/>
      <c r="FT2" s="389"/>
      <c r="FU2" s="389"/>
      <c r="FV2" s="389"/>
      <c r="FW2" s="389"/>
      <c r="FX2" s="389"/>
      <c r="FY2" s="389"/>
      <c r="FZ2" s="389"/>
      <c r="GA2" s="389"/>
      <c r="GB2" s="389"/>
      <c r="GC2" s="389"/>
      <c r="GD2" s="389"/>
      <c r="GE2" s="389"/>
      <c r="GF2" s="389"/>
      <c r="GG2" s="389"/>
      <c r="GH2" s="389"/>
      <c r="GI2" s="389"/>
      <c r="GJ2" s="389"/>
      <c r="GK2" s="389"/>
      <c r="GL2" s="389"/>
      <c r="GM2" s="389"/>
      <c r="GN2" s="389"/>
      <c r="GO2" s="389"/>
      <c r="GP2" s="389"/>
      <c r="GQ2" s="389"/>
      <c r="GR2" s="389"/>
      <c r="GS2" s="389"/>
      <c r="GT2" s="389"/>
      <c r="GU2" s="389"/>
      <c r="GV2" s="389"/>
      <c r="GW2" s="389"/>
      <c r="GX2" s="389"/>
      <c r="GY2" s="389"/>
      <c r="GZ2" s="389"/>
      <c r="HA2" s="389"/>
      <c r="HB2" s="389"/>
      <c r="HC2" s="389"/>
      <c r="HD2" s="389"/>
      <c r="HE2" s="389"/>
      <c r="HF2" s="389"/>
      <c r="HG2" s="389"/>
      <c r="HH2" s="389"/>
      <c r="HI2" s="389"/>
      <c r="HJ2" s="389"/>
      <c r="HK2" s="389"/>
      <c r="HL2" s="389"/>
      <c r="HM2" s="389"/>
      <c r="HN2" s="389"/>
      <c r="HO2" s="389"/>
      <c r="HP2" s="389"/>
      <c r="HQ2" s="389"/>
      <c r="HR2" s="389"/>
      <c r="HS2" s="389"/>
      <c r="HT2" s="389"/>
      <c r="HU2" s="389"/>
      <c r="HV2" s="389"/>
      <c r="HW2" s="389"/>
      <c r="HX2" s="389"/>
      <c r="HY2" s="389"/>
      <c r="HZ2" s="389"/>
      <c r="IA2" s="389"/>
      <c r="IB2" s="389"/>
      <c r="IC2" s="389"/>
      <c r="ID2" s="389"/>
      <c r="IE2" s="389"/>
      <c r="IF2" s="389"/>
      <c r="IG2" s="389"/>
      <c r="IH2" s="389"/>
      <c r="II2" s="389"/>
      <c r="IJ2" s="389"/>
      <c r="IK2" s="389"/>
      <c r="IL2" s="389"/>
      <c r="IM2" s="389"/>
      <c r="IN2" s="389"/>
      <c r="IO2" s="389"/>
      <c r="IP2" s="389"/>
      <c r="IQ2" s="389"/>
      <c r="IR2" s="389"/>
    </row>
    <row r="3" spans="1:252" ht="15.3" x14ac:dyDescent="0.55000000000000004">
      <c r="A3" s="394">
        <f>'[5]Variable Input'!A3</f>
        <v>210001</v>
      </c>
      <c r="B3" s="394" t="str">
        <f>'[5]Variable Input'!B3</f>
        <v>MERITUS MEDICAL CENTER</v>
      </c>
      <c r="C3" s="391">
        <f>VLOOKUP(A3,'[5]Variable Input'!$A:$IV,3,FALSE)</f>
        <v>1</v>
      </c>
      <c r="D3" s="391">
        <f>VLOOKUP(A3,'[5]Variable Input'!$A:$IV,4,FALSE)</f>
        <v>3</v>
      </c>
      <c r="E3" s="395">
        <f>VLOOKUP(A3,PROFIT!$1:$1048576,5,FALSE)+VLOOKUP(A3,[11]PROFIT!$A:$IV,5,FALSE)+VLOOKUP(A3,[12]PROFIT!$A:$IV,5,FALSE)</f>
        <v>87166115.57387647</v>
      </c>
      <c r="F3" s="395">
        <f>VLOOKUP(A3,PROFIT!$1:$1048576,6,FALSE)+VLOOKUP(A3,[11]PROFIT!$A:$IV,6,FALSE)+VLOOKUP(A3,[12]PROFIT!$A:$IV,6,FALSE)</f>
        <v>984998088.2054472</v>
      </c>
      <c r="G3" s="396">
        <f t="shared" ref="G3:G50" si="0">E3/F3</f>
        <v>8.8493690107239772E-2</v>
      </c>
      <c r="H3" s="191"/>
      <c r="I3" s="389"/>
      <c r="J3" s="190"/>
      <c r="K3" s="190"/>
      <c r="L3" s="191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  <c r="AT3" s="389"/>
      <c r="AU3" s="389"/>
      <c r="AV3" s="389"/>
      <c r="AW3" s="389"/>
      <c r="AX3" s="389"/>
      <c r="AY3" s="389"/>
      <c r="AZ3" s="389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89"/>
      <c r="BR3" s="389"/>
      <c r="BS3" s="389"/>
      <c r="BT3" s="389"/>
      <c r="BU3" s="389"/>
      <c r="BV3" s="389"/>
      <c r="BW3" s="389"/>
      <c r="BX3" s="389"/>
      <c r="BY3" s="389"/>
      <c r="BZ3" s="389"/>
      <c r="CA3" s="389"/>
      <c r="CB3" s="389"/>
      <c r="CC3" s="389"/>
      <c r="CD3" s="389"/>
      <c r="CE3" s="389"/>
      <c r="CF3" s="389"/>
      <c r="CG3" s="389"/>
      <c r="CH3" s="389"/>
      <c r="CI3" s="389"/>
      <c r="CJ3" s="389"/>
      <c r="CK3" s="389"/>
      <c r="CL3" s="389"/>
      <c r="CM3" s="389"/>
      <c r="CN3" s="389"/>
      <c r="CO3" s="389"/>
      <c r="CP3" s="389"/>
      <c r="CQ3" s="389"/>
      <c r="CR3" s="389"/>
      <c r="CS3" s="389"/>
      <c r="CT3" s="389"/>
      <c r="CU3" s="389"/>
      <c r="CV3" s="389"/>
      <c r="CW3" s="389"/>
      <c r="CX3" s="389"/>
      <c r="CY3" s="389"/>
      <c r="CZ3" s="389"/>
      <c r="DA3" s="389"/>
      <c r="DB3" s="389"/>
      <c r="DC3" s="389"/>
      <c r="DD3" s="389"/>
      <c r="DE3" s="389"/>
      <c r="DF3" s="389"/>
      <c r="DG3" s="389"/>
      <c r="DH3" s="389"/>
      <c r="DI3" s="389"/>
      <c r="DJ3" s="389"/>
      <c r="DK3" s="389"/>
      <c r="DL3" s="389"/>
      <c r="DM3" s="389"/>
      <c r="DN3" s="389"/>
      <c r="DO3" s="389"/>
      <c r="DP3" s="389"/>
      <c r="DQ3" s="389"/>
      <c r="DR3" s="389"/>
      <c r="DS3" s="389"/>
      <c r="DT3" s="389"/>
      <c r="DU3" s="389"/>
      <c r="DV3" s="389"/>
      <c r="DW3" s="389"/>
      <c r="DX3" s="389"/>
      <c r="DY3" s="389"/>
      <c r="DZ3" s="389"/>
      <c r="EA3" s="389"/>
      <c r="EB3" s="389"/>
      <c r="EC3" s="389"/>
      <c r="ED3" s="389"/>
      <c r="EE3" s="389"/>
      <c r="EF3" s="389"/>
      <c r="EG3" s="389"/>
      <c r="EH3" s="389"/>
      <c r="EI3" s="389"/>
      <c r="EJ3" s="389"/>
      <c r="EK3" s="389"/>
      <c r="EL3" s="389"/>
      <c r="EM3" s="389"/>
      <c r="EN3" s="389"/>
      <c r="EO3" s="389"/>
      <c r="EP3" s="389"/>
      <c r="EQ3" s="389"/>
      <c r="ER3" s="389"/>
      <c r="ES3" s="389"/>
      <c r="ET3" s="389"/>
      <c r="EU3" s="389"/>
      <c r="EV3" s="389"/>
      <c r="EW3" s="389"/>
      <c r="EX3" s="389"/>
      <c r="EY3" s="389"/>
      <c r="EZ3" s="389"/>
      <c r="FA3" s="389"/>
      <c r="FB3" s="389"/>
      <c r="FC3" s="389"/>
      <c r="FD3" s="389"/>
      <c r="FE3" s="389"/>
      <c r="FF3" s="389"/>
      <c r="FG3" s="389"/>
      <c r="FH3" s="389"/>
      <c r="FI3" s="389"/>
      <c r="FJ3" s="389"/>
      <c r="FK3" s="389"/>
      <c r="FL3" s="389"/>
      <c r="FM3" s="389"/>
      <c r="FN3" s="389"/>
      <c r="FO3" s="389"/>
      <c r="FP3" s="389"/>
      <c r="FQ3" s="389"/>
      <c r="FR3" s="389"/>
      <c r="FS3" s="389"/>
      <c r="FT3" s="389"/>
      <c r="FU3" s="389"/>
      <c r="FV3" s="389"/>
      <c r="FW3" s="389"/>
      <c r="FX3" s="389"/>
      <c r="FY3" s="389"/>
      <c r="FZ3" s="389"/>
      <c r="GA3" s="389"/>
      <c r="GB3" s="389"/>
      <c r="GC3" s="389"/>
      <c r="GD3" s="389"/>
      <c r="GE3" s="389"/>
      <c r="GF3" s="389"/>
      <c r="GG3" s="389"/>
      <c r="GH3" s="389"/>
      <c r="GI3" s="389"/>
      <c r="GJ3" s="389"/>
      <c r="GK3" s="389"/>
      <c r="GL3" s="389"/>
      <c r="GM3" s="389"/>
      <c r="GN3" s="389"/>
      <c r="GO3" s="389"/>
      <c r="GP3" s="389"/>
      <c r="GQ3" s="389"/>
      <c r="GR3" s="389"/>
      <c r="GS3" s="389"/>
      <c r="GT3" s="389"/>
      <c r="GU3" s="389"/>
      <c r="GV3" s="389"/>
      <c r="GW3" s="389"/>
      <c r="GX3" s="389"/>
      <c r="GY3" s="389"/>
      <c r="GZ3" s="389"/>
      <c r="HA3" s="389"/>
      <c r="HB3" s="389"/>
      <c r="HC3" s="389"/>
      <c r="HD3" s="389"/>
      <c r="HE3" s="389"/>
      <c r="HF3" s="389"/>
      <c r="HG3" s="389"/>
      <c r="HH3" s="389"/>
      <c r="HI3" s="389"/>
      <c r="HJ3" s="389"/>
      <c r="HK3" s="389"/>
      <c r="HL3" s="389"/>
      <c r="HM3" s="389"/>
      <c r="HN3" s="389"/>
      <c r="HO3" s="389"/>
      <c r="HP3" s="389"/>
      <c r="HQ3" s="389"/>
      <c r="HR3" s="389"/>
      <c r="HS3" s="389"/>
      <c r="HT3" s="389"/>
      <c r="HU3" s="389"/>
      <c r="HV3" s="389"/>
      <c r="HW3" s="389"/>
      <c r="HX3" s="389"/>
      <c r="HY3" s="389"/>
      <c r="HZ3" s="389"/>
      <c r="IA3" s="389"/>
      <c r="IB3" s="389"/>
      <c r="IC3" s="389"/>
      <c r="ID3" s="389"/>
      <c r="IE3" s="389"/>
      <c r="IF3" s="389"/>
      <c r="IG3" s="389"/>
      <c r="IH3" s="389"/>
      <c r="II3" s="389"/>
      <c r="IJ3" s="389"/>
      <c r="IK3" s="389"/>
      <c r="IL3" s="389"/>
      <c r="IM3" s="389"/>
      <c r="IN3" s="389"/>
      <c r="IO3" s="389"/>
      <c r="IP3" s="389"/>
      <c r="IQ3" s="389"/>
      <c r="IR3" s="389"/>
    </row>
    <row r="4" spans="1:252" ht="15.3" x14ac:dyDescent="0.55000000000000004">
      <c r="A4" s="394">
        <f>'[5]Variable Input'!A4</f>
        <v>210002</v>
      </c>
      <c r="B4" s="394" t="str">
        <f>'[5]Variable Input'!B4</f>
        <v>UNIVERSITY OF MARYLAND MEDICAL CENTER</v>
      </c>
      <c r="C4" s="391">
        <f>VLOOKUP(A4,'[5]Variable Input'!$A:$IV,3,FALSE)</f>
        <v>5</v>
      </c>
      <c r="D4" s="391">
        <f>VLOOKUP(A4,'[5]Variable Input'!$A:$IV,4,FALSE)</f>
        <v>5</v>
      </c>
      <c r="E4" s="395">
        <f>VLOOKUP(A4,PROFIT!$1:$1048576,5,FALSE)+VLOOKUP(A4,[11]PROFIT!$A:$IV,5,FALSE)+VLOOKUP(A4,[12]PROFIT!$A:$IV,5,FALSE)</f>
        <v>67054473.262671776</v>
      </c>
      <c r="F4" s="395">
        <f>VLOOKUP(A4,PROFIT!$1:$1048576,6,FALSE)+VLOOKUP(A4,[11]PROFIT!$A:$IV,6,FALSE)+VLOOKUP(A4,[12]PROFIT!$A:$IV,6,FALSE)</f>
        <v>4243156666.0665874</v>
      </c>
      <c r="G4" s="396">
        <f t="shared" si="0"/>
        <v>1.5802969001573863E-2</v>
      </c>
      <c r="H4" s="191"/>
      <c r="I4" s="389"/>
      <c r="J4" s="190"/>
      <c r="K4" s="190"/>
      <c r="L4" s="191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  <c r="CA4" s="389"/>
      <c r="CB4" s="389"/>
      <c r="CC4" s="389"/>
      <c r="CD4" s="389"/>
      <c r="CE4" s="389"/>
      <c r="CF4" s="389"/>
      <c r="CG4" s="389"/>
      <c r="CH4" s="389"/>
      <c r="CI4" s="389"/>
      <c r="CJ4" s="389"/>
      <c r="CK4" s="389"/>
      <c r="CL4" s="389"/>
      <c r="CM4" s="389"/>
      <c r="CN4" s="389"/>
      <c r="CO4" s="389"/>
      <c r="CP4" s="389"/>
      <c r="CQ4" s="389"/>
      <c r="CR4" s="389"/>
      <c r="CS4" s="389"/>
      <c r="CT4" s="389"/>
      <c r="CU4" s="389"/>
      <c r="CV4" s="389"/>
      <c r="CW4" s="389"/>
      <c r="CX4" s="389"/>
      <c r="CY4" s="389"/>
      <c r="CZ4" s="389"/>
      <c r="DA4" s="389"/>
      <c r="DB4" s="389"/>
      <c r="DC4" s="389"/>
      <c r="DD4" s="389"/>
      <c r="DE4" s="389"/>
      <c r="DF4" s="389"/>
      <c r="DG4" s="389"/>
      <c r="DH4" s="389"/>
      <c r="DI4" s="389"/>
      <c r="DJ4" s="389"/>
      <c r="DK4" s="389"/>
      <c r="DL4" s="389"/>
      <c r="DM4" s="389"/>
      <c r="DN4" s="389"/>
      <c r="DO4" s="389"/>
      <c r="DP4" s="389"/>
      <c r="DQ4" s="389"/>
      <c r="DR4" s="389"/>
      <c r="DS4" s="389"/>
      <c r="DT4" s="389"/>
      <c r="DU4" s="389"/>
      <c r="DV4" s="389"/>
      <c r="DW4" s="389"/>
      <c r="DX4" s="389"/>
      <c r="DY4" s="389"/>
      <c r="DZ4" s="389"/>
      <c r="EA4" s="389"/>
      <c r="EB4" s="389"/>
      <c r="EC4" s="389"/>
      <c r="ED4" s="389"/>
      <c r="EE4" s="389"/>
      <c r="EF4" s="389"/>
      <c r="EG4" s="389"/>
      <c r="EH4" s="389"/>
      <c r="EI4" s="389"/>
      <c r="EJ4" s="389"/>
      <c r="EK4" s="389"/>
      <c r="EL4" s="389"/>
      <c r="EM4" s="389"/>
      <c r="EN4" s="389"/>
      <c r="EO4" s="389"/>
      <c r="EP4" s="389"/>
      <c r="EQ4" s="389"/>
      <c r="ER4" s="389"/>
      <c r="ES4" s="389"/>
      <c r="ET4" s="389"/>
      <c r="EU4" s="389"/>
      <c r="EV4" s="389"/>
      <c r="EW4" s="389"/>
      <c r="EX4" s="389"/>
      <c r="EY4" s="389"/>
      <c r="EZ4" s="389"/>
      <c r="FA4" s="389"/>
      <c r="FB4" s="389"/>
      <c r="FC4" s="389"/>
      <c r="FD4" s="389"/>
      <c r="FE4" s="389"/>
      <c r="FF4" s="389"/>
      <c r="FG4" s="389"/>
      <c r="FH4" s="389"/>
      <c r="FI4" s="389"/>
      <c r="FJ4" s="389"/>
      <c r="FK4" s="389"/>
      <c r="FL4" s="389"/>
      <c r="FM4" s="389"/>
      <c r="FN4" s="389"/>
      <c r="FO4" s="389"/>
      <c r="FP4" s="389"/>
      <c r="FQ4" s="389"/>
      <c r="FR4" s="389"/>
      <c r="FS4" s="389"/>
      <c r="FT4" s="389"/>
      <c r="FU4" s="389"/>
      <c r="FV4" s="389"/>
      <c r="FW4" s="389"/>
      <c r="FX4" s="389"/>
      <c r="FY4" s="389"/>
      <c r="FZ4" s="389"/>
      <c r="GA4" s="389"/>
      <c r="GB4" s="389"/>
      <c r="GC4" s="389"/>
      <c r="GD4" s="389"/>
      <c r="GE4" s="389"/>
      <c r="GF4" s="389"/>
      <c r="GG4" s="389"/>
      <c r="GH4" s="389"/>
      <c r="GI4" s="389"/>
      <c r="GJ4" s="389"/>
      <c r="GK4" s="389"/>
      <c r="GL4" s="389"/>
      <c r="GM4" s="389"/>
      <c r="GN4" s="389"/>
      <c r="GO4" s="389"/>
      <c r="GP4" s="389"/>
      <c r="GQ4" s="389"/>
      <c r="GR4" s="389"/>
      <c r="GS4" s="389"/>
      <c r="GT4" s="389"/>
      <c r="GU4" s="389"/>
      <c r="GV4" s="389"/>
      <c r="GW4" s="389"/>
      <c r="GX4" s="389"/>
      <c r="GY4" s="389"/>
      <c r="GZ4" s="389"/>
      <c r="HA4" s="389"/>
      <c r="HB4" s="389"/>
      <c r="HC4" s="389"/>
      <c r="HD4" s="389"/>
      <c r="HE4" s="389"/>
      <c r="HF4" s="389"/>
      <c r="HG4" s="389"/>
      <c r="HH4" s="389"/>
      <c r="HI4" s="389"/>
      <c r="HJ4" s="389"/>
      <c r="HK4" s="389"/>
      <c r="HL4" s="389"/>
      <c r="HM4" s="389"/>
      <c r="HN4" s="389"/>
      <c r="HO4" s="389"/>
      <c r="HP4" s="389"/>
      <c r="HQ4" s="389"/>
      <c r="HR4" s="389"/>
      <c r="HS4" s="389"/>
      <c r="HT4" s="389"/>
      <c r="HU4" s="389"/>
      <c r="HV4" s="389"/>
      <c r="HW4" s="389"/>
      <c r="HX4" s="389"/>
      <c r="HY4" s="389"/>
      <c r="HZ4" s="389"/>
      <c r="IA4" s="389"/>
      <c r="IB4" s="389"/>
      <c r="IC4" s="389"/>
      <c r="ID4" s="389"/>
      <c r="IE4" s="389"/>
      <c r="IF4" s="389"/>
      <c r="IG4" s="389"/>
      <c r="IH4" s="389"/>
      <c r="II4" s="389"/>
      <c r="IJ4" s="389"/>
      <c r="IK4" s="389"/>
      <c r="IL4" s="389"/>
      <c r="IM4" s="389"/>
      <c r="IN4" s="389"/>
      <c r="IO4" s="389"/>
      <c r="IP4" s="389"/>
      <c r="IQ4" s="389"/>
      <c r="IR4" s="389"/>
    </row>
    <row r="5" spans="1:252" ht="15.3" x14ac:dyDescent="0.55000000000000004">
      <c r="A5" s="394">
        <f>'[5]Variable Input'!A5</f>
        <v>210003</v>
      </c>
      <c r="B5" s="394" t="str">
        <f>'[5]Variable Input'!B5</f>
        <v>PRINCE GEORGES HOSPITAL CENTER</v>
      </c>
      <c r="C5" s="391">
        <f>VLOOKUP(A5,'[5]Variable Input'!$A:$IV,3,FALSE)</f>
        <v>1</v>
      </c>
      <c r="D5" s="391">
        <f>VLOOKUP(A5,'[5]Variable Input'!$A:$IV,4,FALSE)</f>
        <v>5</v>
      </c>
      <c r="E5" s="395">
        <f>VLOOKUP(A5,PROFIT!$1:$1048576,5,FALSE)+VLOOKUP(A5,[11]PROFIT!$A:$IV,5,FALSE)+VLOOKUP(A5,[12]PROFIT!$A:$IV,5,FALSE)</f>
        <v>107592553.95281392</v>
      </c>
      <c r="F5" s="395">
        <f>VLOOKUP(A5,PROFIT!$1:$1048576,6,FALSE)+VLOOKUP(A5,[11]PROFIT!$A:$IV,6,FALSE)+VLOOKUP(A5,[12]PROFIT!$A:$IV,6,FALSE)</f>
        <v>919625485.21967959</v>
      </c>
      <c r="G5" s="396">
        <f t="shared" si="0"/>
        <v>0.11699605511379697</v>
      </c>
      <c r="H5" s="191"/>
      <c r="I5" s="389"/>
      <c r="J5" s="190"/>
      <c r="K5" s="190"/>
      <c r="L5" s="191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89"/>
      <c r="BK5" s="389"/>
      <c r="BL5" s="389"/>
      <c r="BM5" s="389"/>
      <c r="BN5" s="389"/>
      <c r="BO5" s="389"/>
      <c r="BP5" s="389"/>
      <c r="BQ5" s="389"/>
      <c r="BR5" s="389"/>
      <c r="BS5" s="389"/>
      <c r="BT5" s="389"/>
      <c r="BU5" s="389"/>
      <c r="BV5" s="389"/>
      <c r="BW5" s="389"/>
      <c r="BX5" s="389"/>
      <c r="BY5" s="389"/>
      <c r="BZ5" s="389"/>
      <c r="CA5" s="389"/>
      <c r="CB5" s="389"/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/>
      <c r="CQ5" s="389"/>
      <c r="CR5" s="389"/>
      <c r="CS5" s="389"/>
      <c r="CT5" s="389"/>
      <c r="CU5" s="389"/>
      <c r="CV5" s="389"/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9"/>
      <c r="EG5" s="389"/>
      <c r="EH5" s="389"/>
      <c r="EI5" s="389"/>
      <c r="EJ5" s="389"/>
      <c r="EK5" s="389"/>
      <c r="EL5" s="389"/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9"/>
      <c r="FW5" s="389"/>
      <c r="FX5" s="389"/>
      <c r="FY5" s="389"/>
      <c r="FZ5" s="389"/>
      <c r="GA5" s="389"/>
      <c r="GB5" s="389"/>
      <c r="GC5" s="389"/>
      <c r="GD5" s="389"/>
      <c r="GE5" s="389"/>
      <c r="GF5" s="389"/>
      <c r="GG5" s="389"/>
      <c r="GH5" s="389"/>
      <c r="GI5" s="389"/>
      <c r="GJ5" s="389"/>
      <c r="GK5" s="389"/>
      <c r="GL5" s="389"/>
      <c r="GM5" s="389"/>
      <c r="GN5" s="389"/>
      <c r="GO5" s="389"/>
      <c r="GP5" s="389"/>
      <c r="GQ5" s="389"/>
      <c r="GR5" s="389"/>
      <c r="GS5" s="389"/>
      <c r="GT5" s="389"/>
      <c r="GU5" s="389"/>
      <c r="GV5" s="389"/>
      <c r="GW5" s="389"/>
      <c r="GX5" s="389"/>
      <c r="GY5" s="389"/>
      <c r="GZ5" s="389"/>
      <c r="HA5" s="389"/>
      <c r="HB5" s="389"/>
      <c r="HC5" s="389"/>
      <c r="HD5" s="389"/>
      <c r="HE5" s="389"/>
      <c r="HF5" s="389"/>
      <c r="HG5" s="389"/>
      <c r="HH5" s="389"/>
      <c r="HI5" s="389"/>
      <c r="HJ5" s="389"/>
      <c r="HK5" s="389"/>
      <c r="HL5" s="389"/>
      <c r="HM5" s="389"/>
      <c r="HN5" s="389"/>
      <c r="HO5" s="389"/>
      <c r="HP5" s="389"/>
      <c r="HQ5" s="389"/>
      <c r="HR5" s="389"/>
      <c r="HS5" s="389"/>
      <c r="HT5" s="389"/>
      <c r="HU5" s="389"/>
      <c r="HV5" s="389"/>
      <c r="HW5" s="389"/>
      <c r="HX5" s="389"/>
      <c r="HY5" s="389"/>
      <c r="HZ5" s="389"/>
      <c r="IA5" s="389"/>
      <c r="IB5" s="389"/>
      <c r="IC5" s="389"/>
      <c r="ID5" s="389"/>
      <c r="IE5" s="389"/>
      <c r="IF5" s="389"/>
      <c r="IG5" s="389"/>
      <c r="IH5" s="389"/>
      <c r="II5" s="389"/>
      <c r="IJ5" s="389"/>
      <c r="IK5" s="389"/>
      <c r="IL5" s="389"/>
      <c r="IM5" s="389"/>
      <c r="IN5" s="389"/>
      <c r="IO5" s="389"/>
      <c r="IP5" s="389"/>
      <c r="IQ5" s="389"/>
      <c r="IR5" s="389"/>
    </row>
    <row r="6" spans="1:252" ht="15.3" x14ac:dyDescent="0.55000000000000004">
      <c r="A6" s="394">
        <f>'[5]Variable Input'!A6</f>
        <v>210004</v>
      </c>
      <c r="B6" s="394" t="str">
        <f>'[5]Variable Input'!B6</f>
        <v>HOLY CROSS HOSPITAL</v>
      </c>
      <c r="C6" s="391">
        <f>VLOOKUP(A6,'[5]Variable Input'!$A:$IV,3,FALSE)</f>
        <v>1</v>
      </c>
      <c r="D6" s="391">
        <f>VLOOKUP(A6,'[5]Variable Input'!$A:$IV,4,FALSE)</f>
        <v>1</v>
      </c>
      <c r="E6" s="395">
        <f>VLOOKUP(A6,PROFIT!$1:$1048576,5,FALSE)+VLOOKUP(A6,[11]PROFIT!$A:$IV,5,FALSE)+VLOOKUP(A6,[12]PROFIT!$A:$IV,5,FALSE)</f>
        <v>173792983.5756371</v>
      </c>
      <c r="F6" s="395">
        <f>VLOOKUP(A6,PROFIT!$1:$1048576,6,FALSE)+VLOOKUP(A6,[11]PROFIT!$A:$IV,6,FALSE)+VLOOKUP(A6,[12]PROFIT!$A:$IV,6,FALSE)</f>
        <v>1399125698.5393815</v>
      </c>
      <c r="G6" s="396">
        <f t="shared" si="0"/>
        <v>0.12421541806934748</v>
      </c>
      <c r="H6" s="191"/>
      <c r="I6" s="389"/>
      <c r="J6" s="190"/>
      <c r="K6" s="190"/>
      <c r="L6" s="191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89"/>
      <c r="BZ6" s="389"/>
      <c r="CA6" s="389"/>
      <c r="CB6" s="389"/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389"/>
      <c r="FZ6" s="389"/>
      <c r="GA6" s="389"/>
      <c r="GB6" s="389"/>
      <c r="GC6" s="389"/>
      <c r="GD6" s="389"/>
      <c r="GE6" s="389"/>
      <c r="GF6" s="389"/>
      <c r="GG6" s="389"/>
      <c r="GH6" s="389"/>
      <c r="GI6" s="389"/>
      <c r="GJ6" s="389"/>
      <c r="GK6" s="389"/>
      <c r="GL6" s="389"/>
      <c r="GM6" s="389"/>
      <c r="GN6" s="389"/>
      <c r="GO6" s="389"/>
      <c r="GP6" s="389"/>
      <c r="GQ6" s="389"/>
      <c r="GR6" s="389"/>
      <c r="GS6" s="389"/>
      <c r="GT6" s="389"/>
      <c r="GU6" s="389"/>
      <c r="GV6" s="389"/>
      <c r="GW6" s="389"/>
      <c r="GX6" s="389"/>
      <c r="GY6" s="389"/>
      <c r="GZ6" s="389"/>
      <c r="HA6" s="389"/>
      <c r="HB6" s="389"/>
      <c r="HC6" s="389"/>
      <c r="HD6" s="389"/>
      <c r="HE6" s="389"/>
      <c r="HF6" s="389"/>
      <c r="HG6" s="389"/>
      <c r="HH6" s="389"/>
      <c r="HI6" s="389"/>
      <c r="HJ6" s="389"/>
      <c r="HK6" s="389"/>
      <c r="HL6" s="389"/>
      <c r="HM6" s="389"/>
      <c r="HN6" s="389"/>
      <c r="HO6" s="389"/>
      <c r="HP6" s="389"/>
      <c r="HQ6" s="389"/>
      <c r="HR6" s="389"/>
      <c r="HS6" s="389"/>
      <c r="HT6" s="389"/>
      <c r="HU6" s="389"/>
      <c r="HV6" s="389"/>
      <c r="HW6" s="389"/>
      <c r="HX6" s="389"/>
      <c r="HY6" s="389"/>
      <c r="HZ6" s="389"/>
      <c r="IA6" s="389"/>
      <c r="IB6" s="389"/>
      <c r="IC6" s="389"/>
      <c r="ID6" s="389"/>
      <c r="IE6" s="389"/>
      <c r="IF6" s="389"/>
      <c r="IG6" s="389"/>
      <c r="IH6" s="389"/>
      <c r="II6" s="389"/>
      <c r="IJ6" s="389"/>
      <c r="IK6" s="389"/>
      <c r="IL6" s="389"/>
      <c r="IM6" s="389"/>
      <c r="IN6" s="389"/>
      <c r="IO6" s="389"/>
      <c r="IP6" s="389"/>
      <c r="IQ6" s="389"/>
      <c r="IR6" s="389"/>
    </row>
    <row r="7" spans="1:252" ht="15.3" x14ac:dyDescent="0.55000000000000004">
      <c r="A7" s="394">
        <f>'[5]Variable Input'!A7</f>
        <v>210005</v>
      </c>
      <c r="B7" s="394" t="str">
        <f>'[5]Variable Input'!B7</f>
        <v>FREDERICK MEMORIAL HOSPITAL</v>
      </c>
      <c r="C7" s="391">
        <f>VLOOKUP(A7,'[5]Variable Input'!$A:$IV,3,FALSE)</f>
        <v>1</v>
      </c>
      <c r="D7" s="391">
        <f>VLOOKUP(A7,'[5]Variable Input'!$A:$IV,4,FALSE)</f>
        <v>3</v>
      </c>
      <c r="E7" s="395">
        <f>VLOOKUP(A7,PROFIT!$1:$1048576,5,FALSE)+VLOOKUP(A7,[11]PROFIT!$A:$IV,5,FALSE)+VLOOKUP(A7,[12]PROFIT!$A:$IV,5,FALSE)</f>
        <v>127388754.78904705</v>
      </c>
      <c r="F7" s="395">
        <f>VLOOKUP(A7,PROFIT!$1:$1048576,6,FALSE)+VLOOKUP(A7,[11]PROFIT!$A:$IV,6,FALSE)+VLOOKUP(A7,[12]PROFIT!$A:$IV,6,FALSE)</f>
        <v>971926916.54141355</v>
      </c>
      <c r="G7" s="396">
        <f t="shared" si="0"/>
        <v>0.13106824455727381</v>
      </c>
      <c r="H7" s="191"/>
      <c r="I7" s="389"/>
      <c r="J7" s="190"/>
      <c r="K7" s="190"/>
      <c r="L7" s="191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89"/>
      <c r="BB7" s="389"/>
      <c r="BC7" s="389"/>
      <c r="BD7" s="389"/>
      <c r="BE7" s="389"/>
      <c r="BF7" s="389"/>
      <c r="BG7" s="389"/>
      <c r="BH7" s="389"/>
      <c r="BI7" s="389"/>
      <c r="BJ7" s="389"/>
      <c r="BK7" s="389"/>
      <c r="BL7" s="389"/>
      <c r="BM7" s="389"/>
      <c r="BN7" s="389"/>
      <c r="BO7" s="389"/>
      <c r="BP7" s="389"/>
      <c r="BQ7" s="389"/>
      <c r="BR7" s="389"/>
      <c r="BS7" s="389"/>
      <c r="BT7" s="389"/>
      <c r="BU7" s="389"/>
      <c r="BV7" s="389"/>
      <c r="BW7" s="389"/>
      <c r="BX7" s="389"/>
      <c r="BY7" s="389"/>
      <c r="BZ7" s="389"/>
      <c r="CA7" s="389"/>
      <c r="CB7" s="389"/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389"/>
      <c r="FY7" s="389"/>
      <c r="FZ7" s="389"/>
      <c r="GA7" s="389"/>
      <c r="GB7" s="389"/>
      <c r="GC7" s="389"/>
      <c r="GD7" s="389"/>
      <c r="GE7" s="389"/>
      <c r="GF7" s="389"/>
      <c r="GG7" s="389"/>
      <c r="GH7" s="389"/>
      <c r="GI7" s="389"/>
      <c r="GJ7" s="389"/>
      <c r="GK7" s="389"/>
      <c r="GL7" s="389"/>
      <c r="GM7" s="389"/>
      <c r="GN7" s="389"/>
      <c r="GO7" s="389"/>
      <c r="GP7" s="389"/>
      <c r="GQ7" s="389"/>
      <c r="GR7" s="389"/>
      <c r="GS7" s="389"/>
      <c r="GT7" s="389"/>
      <c r="GU7" s="389"/>
      <c r="GV7" s="389"/>
      <c r="GW7" s="389"/>
      <c r="GX7" s="389"/>
      <c r="GY7" s="389"/>
      <c r="GZ7" s="389"/>
      <c r="HA7" s="389"/>
      <c r="HB7" s="389"/>
      <c r="HC7" s="389"/>
      <c r="HD7" s="389"/>
      <c r="HE7" s="389"/>
      <c r="HF7" s="389"/>
      <c r="HG7" s="389"/>
      <c r="HH7" s="389"/>
      <c r="HI7" s="389"/>
      <c r="HJ7" s="389"/>
      <c r="HK7" s="389"/>
      <c r="HL7" s="389"/>
      <c r="HM7" s="389"/>
      <c r="HN7" s="389"/>
      <c r="HO7" s="389"/>
      <c r="HP7" s="389"/>
      <c r="HQ7" s="389"/>
      <c r="HR7" s="389"/>
      <c r="HS7" s="389"/>
      <c r="HT7" s="389"/>
      <c r="HU7" s="389"/>
      <c r="HV7" s="389"/>
      <c r="HW7" s="389"/>
      <c r="HX7" s="389"/>
      <c r="HY7" s="389"/>
      <c r="HZ7" s="389"/>
      <c r="IA7" s="389"/>
      <c r="IB7" s="389"/>
      <c r="IC7" s="389"/>
      <c r="ID7" s="389"/>
      <c r="IE7" s="389"/>
      <c r="IF7" s="389"/>
      <c r="IG7" s="389"/>
      <c r="IH7" s="389"/>
      <c r="II7" s="389"/>
      <c r="IJ7" s="389"/>
      <c r="IK7" s="389"/>
      <c r="IL7" s="389"/>
      <c r="IM7" s="389"/>
      <c r="IN7" s="389"/>
      <c r="IO7" s="389"/>
      <c r="IP7" s="389"/>
      <c r="IQ7" s="389"/>
      <c r="IR7" s="389"/>
    </row>
    <row r="8" spans="1:252" ht="15.3" x14ac:dyDescent="0.55000000000000004">
      <c r="A8" s="394">
        <f>'[5]Variable Input'!A8</f>
        <v>210006</v>
      </c>
      <c r="B8" s="394" t="str">
        <f>'[5]Variable Input'!B8</f>
        <v>UM-HARFORD MEMORIAL HOSPITAL</v>
      </c>
      <c r="C8" s="391">
        <f>VLOOKUP(A8,'[5]Variable Input'!$A:$IV,3,FALSE)</f>
        <v>1</v>
      </c>
      <c r="D8" s="391">
        <f>VLOOKUP(A8,'[5]Variable Input'!$A:$IV,4,FALSE)</f>
        <v>3</v>
      </c>
      <c r="E8" s="395">
        <f>VLOOKUP(A8,PROFIT!$1:$1048576,5,FALSE)+VLOOKUP(A8,[11]PROFIT!$A:$IV,5,FALSE)+VLOOKUP(A8,[12]PROFIT!$A:$IV,5,FALSE)</f>
        <v>22695318.000644546</v>
      </c>
      <c r="F8" s="395">
        <f>VLOOKUP(A8,PROFIT!$1:$1048576,6,FALSE)+VLOOKUP(A8,[11]PROFIT!$A:$IV,6,FALSE)+VLOOKUP(A8,[12]PROFIT!$A:$IV,6,FALSE)</f>
        <v>286086658.36480677</v>
      </c>
      <c r="G8" s="396">
        <f t="shared" si="0"/>
        <v>7.9330221585182575E-2</v>
      </c>
      <c r="H8" s="191"/>
      <c r="I8" s="389"/>
      <c r="J8" s="190"/>
      <c r="K8" s="190"/>
      <c r="L8" s="191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389"/>
      <c r="BX8" s="389"/>
      <c r="BY8" s="389"/>
      <c r="BZ8" s="389"/>
      <c r="CA8" s="389"/>
      <c r="CB8" s="389"/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389"/>
      <c r="FY8" s="389"/>
      <c r="FZ8" s="389"/>
      <c r="GA8" s="389"/>
      <c r="GB8" s="389"/>
      <c r="GC8" s="389"/>
      <c r="GD8" s="389"/>
      <c r="GE8" s="389"/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89"/>
      <c r="GY8" s="389"/>
      <c r="GZ8" s="389"/>
      <c r="HA8" s="389"/>
      <c r="HB8" s="389"/>
      <c r="HC8" s="389"/>
      <c r="HD8" s="389"/>
      <c r="HE8" s="389"/>
      <c r="HF8" s="389"/>
      <c r="HG8" s="389"/>
      <c r="HH8" s="389"/>
      <c r="HI8" s="389"/>
      <c r="HJ8" s="389"/>
      <c r="HK8" s="389"/>
      <c r="HL8" s="389"/>
      <c r="HM8" s="389"/>
      <c r="HN8" s="389"/>
      <c r="HO8" s="389"/>
      <c r="HP8" s="389"/>
      <c r="HQ8" s="389"/>
      <c r="HR8" s="389"/>
      <c r="HS8" s="389"/>
      <c r="HT8" s="389"/>
      <c r="HU8" s="389"/>
      <c r="HV8" s="389"/>
      <c r="HW8" s="389"/>
      <c r="HX8" s="389"/>
      <c r="HY8" s="389"/>
      <c r="HZ8" s="389"/>
      <c r="IA8" s="389"/>
      <c r="IB8" s="389"/>
      <c r="IC8" s="389"/>
      <c r="ID8" s="389"/>
      <c r="IE8" s="389"/>
      <c r="IF8" s="389"/>
      <c r="IG8" s="389"/>
      <c r="IH8" s="389"/>
      <c r="II8" s="389"/>
      <c r="IJ8" s="389"/>
      <c r="IK8" s="389"/>
      <c r="IL8" s="389"/>
      <c r="IM8" s="389"/>
      <c r="IN8" s="389"/>
      <c r="IO8" s="389"/>
      <c r="IP8" s="389"/>
      <c r="IQ8" s="389"/>
      <c r="IR8" s="389"/>
    </row>
    <row r="9" spans="1:252" ht="15.3" x14ac:dyDescent="0.55000000000000004">
      <c r="A9" s="394">
        <f>'[5]Variable Input'!A9</f>
        <v>210008</v>
      </c>
      <c r="B9" s="394" t="str">
        <f>'[5]Variable Input'!B9</f>
        <v>MERCY MEDICAL CENTER</v>
      </c>
      <c r="C9" s="391">
        <f>VLOOKUP(A9,'[5]Variable Input'!$A:$IV,3,FALSE)</f>
        <v>1</v>
      </c>
      <c r="D9" s="391">
        <f>VLOOKUP(A9,'[5]Variable Input'!$A:$IV,4,FALSE)</f>
        <v>4</v>
      </c>
      <c r="E9" s="395">
        <f>VLOOKUP(A9,PROFIT!$1:$1048576,5,FALSE)+VLOOKUP(A9,[11]PROFIT!$A:$IV,5,FALSE)+VLOOKUP(A9,[12]PROFIT!$A:$IV,5,FALSE)</f>
        <v>113695263.6630338</v>
      </c>
      <c r="F9" s="395">
        <f>VLOOKUP(A9,PROFIT!$1:$1048576,6,FALSE)+VLOOKUP(A9,[11]PROFIT!$A:$IV,6,FALSE)+VLOOKUP(A9,[12]PROFIT!$A:$IV,6,FALSE)</f>
        <v>1545001552.2354136</v>
      </c>
      <c r="G9" s="396">
        <f t="shared" si="0"/>
        <v>7.3589093485719639E-2</v>
      </c>
      <c r="H9" s="191"/>
      <c r="I9" s="389"/>
      <c r="J9" s="190"/>
      <c r="K9" s="190"/>
      <c r="L9" s="191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389"/>
      <c r="AY9" s="389"/>
      <c r="AZ9" s="389"/>
      <c r="BA9" s="389"/>
      <c r="BB9" s="389"/>
      <c r="BC9" s="389"/>
      <c r="BD9" s="389"/>
      <c r="BE9" s="389"/>
      <c r="BF9" s="389"/>
      <c r="BG9" s="389"/>
      <c r="BH9" s="389"/>
      <c r="BI9" s="389"/>
      <c r="BJ9" s="389"/>
      <c r="BK9" s="389"/>
      <c r="BL9" s="389"/>
      <c r="BM9" s="389"/>
      <c r="BN9" s="389"/>
      <c r="BO9" s="389"/>
      <c r="BP9" s="389"/>
      <c r="BQ9" s="389"/>
      <c r="BR9" s="389"/>
      <c r="BS9" s="389"/>
      <c r="BT9" s="389"/>
      <c r="BU9" s="389"/>
      <c r="BV9" s="389"/>
      <c r="BW9" s="389"/>
      <c r="BX9" s="389"/>
      <c r="BY9" s="389"/>
      <c r="BZ9" s="389"/>
      <c r="CA9" s="389"/>
      <c r="CB9" s="389"/>
      <c r="CC9" s="389"/>
      <c r="CD9" s="389"/>
      <c r="CE9" s="389"/>
      <c r="CF9" s="389"/>
      <c r="CG9" s="389"/>
      <c r="CH9" s="389"/>
      <c r="CI9" s="389"/>
      <c r="CJ9" s="389"/>
      <c r="CK9" s="389"/>
      <c r="CL9" s="389"/>
      <c r="CM9" s="389"/>
      <c r="CN9" s="389"/>
      <c r="CO9" s="389"/>
      <c r="CP9" s="389"/>
      <c r="CQ9" s="389"/>
      <c r="CR9" s="389"/>
      <c r="CS9" s="389"/>
      <c r="CT9" s="389"/>
      <c r="CU9" s="389"/>
      <c r="CV9" s="389"/>
      <c r="CW9" s="389"/>
      <c r="CX9" s="389"/>
      <c r="CY9" s="389"/>
      <c r="CZ9" s="389"/>
      <c r="DA9" s="389"/>
      <c r="DB9" s="389"/>
      <c r="DC9" s="389"/>
      <c r="DD9" s="389"/>
      <c r="DE9" s="389"/>
      <c r="DF9" s="389"/>
      <c r="DG9" s="389"/>
      <c r="DH9" s="389"/>
      <c r="DI9" s="389"/>
      <c r="DJ9" s="389"/>
      <c r="DK9" s="389"/>
      <c r="DL9" s="389"/>
      <c r="DM9" s="389"/>
      <c r="DN9" s="389"/>
      <c r="DO9" s="389"/>
      <c r="DP9" s="389"/>
      <c r="DQ9" s="389"/>
      <c r="DR9" s="389"/>
      <c r="DS9" s="389"/>
      <c r="DT9" s="389"/>
      <c r="DU9" s="389"/>
      <c r="DV9" s="389"/>
      <c r="DW9" s="389"/>
      <c r="DX9" s="389"/>
      <c r="DY9" s="389"/>
      <c r="DZ9" s="389"/>
      <c r="EA9" s="389"/>
      <c r="EB9" s="389"/>
      <c r="EC9" s="389"/>
      <c r="ED9" s="389"/>
      <c r="EE9" s="389"/>
      <c r="EF9" s="389"/>
      <c r="EG9" s="389"/>
      <c r="EH9" s="389"/>
      <c r="EI9" s="389"/>
      <c r="EJ9" s="389"/>
      <c r="EK9" s="389"/>
      <c r="EL9" s="389"/>
      <c r="EM9" s="389"/>
      <c r="EN9" s="389"/>
      <c r="EO9" s="389"/>
      <c r="EP9" s="389"/>
      <c r="EQ9" s="389"/>
      <c r="ER9" s="389"/>
      <c r="ES9" s="389"/>
      <c r="ET9" s="389"/>
      <c r="EU9" s="389"/>
      <c r="EV9" s="389"/>
      <c r="EW9" s="389"/>
      <c r="EX9" s="389"/>
      <c r="EY9" s="389"/>
      <c r="EZ9" s="389"/>
      <c r="FA9" s="389"/>
      <c r="FB9" s="389"/>
      <c r="FC9" s="389"/>
      <c r="FD9" s="389"/>
      <c r="FE9" s="389"/>
      <c r="FF9" s="389"/>
      <c r="FG9" s="389"/>
      <c r="FH9" s="389"/>
      <c r="FI9" s="389"/>
      <c r="FJ9" s="389"/>
      <c r="FK9" s="389"/>
      <c r="FL9" s="389"/>
      <c r="FM9" s="389"/>
      <c r="FN9" s="389"/>
      <c r="FO9" s="389"/>
      <c r="FP9" s="389"/>
      <c r="FQ9" s="389"/>
      <c r="FR9" s="389"/>
      <c r="FS9" s="389"/>
      <c r="FT9" s="389"/>
      <c r="FU9" s="389"/>
      <c r="FV9" s="389"/>
      <c r="FW9" s="389"/>
      <c r="FX9" s="389"/>
      <c r="FY9" s="389"/>
      <c r="FZ9" s="389"/>
      <c r="GA9" s="389"/>
      <c r="GB9" s="389"/>
      <c r="GC9" s="389"/>
      <c r="GD9" s="389"/>
      <c r="GE9" s="389"/>
      <c r="GF9" s="389"/>
      <c r="GG9" s="389"/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89"/>
      <c r="GW9" s="389"/>
      <c r="GX9" s="389"/>
      <c r="GY9" s="389"/>
      <c r="GZ9" s="389"/>
      <c r="HA9" s="389"/>
      <c r="HB9" s="389"/>
      <c r="HC9" s="389"/>
      <c r="HD9" s="389"/>
      <c r="HE9" s="389"/>
      <c r="HF9" s="389"/>
      <c r="HG9" s="389"/>
      <c r="HH9" s="389"/>
      <c r="HI9" s="389"/>
      <c r="HJ9" s="389"/>
      <c r="HK9" s="389"/>
      <c r="HL9" s="389"/>
      <c r="HM9" s="389"/>
      <c r="HN9" s="389"/>
      <c r="HO9" s="389"/>
      <c r="HP9" s="389"/>
      <c r="HQ9" s="389"/>
      <c r="HR9" s="389"/>
      <c r="HS9" s="389"/>
      <c r="HT9" s="389"/>
      <c r="HU9" s="389"/>
      <c r="HV9" s="389"/>
      <c r="HW9" s="389"/>
      <c r="HX9" s="389"/>
      <c r="HY9" s="389"/>
      <c r="HZ9" s="389"/>
      <c r="IA9" s="389"/>
      <c r="IB9" s="389"/>
      <c r="IC9" s="389"/>
      <c r="ID9" s="389"/>
      <c r="IE9" s="389"/>
      <c r="IF9" s="389"/>
      <c r="IG9" s="389"/>
      <c r="IH9" s="389"/>
      <c r="II9" s="389"/>
      <c r="IJ9" s="389"/>
      <c r="IK9" s="389"/>
      <c r="IL9" s="389"/>
      <c r="IM9" s="389"/>
      <c r="IN9" s="389"/>
      <c r="IO9" s="389"/>
      <c r="IP9" s="389"/>
      <c r="IQ9" s="389"/>
      <c r="IR9" s="389"/>
    </row>
    <row r="10" spans="1:252" ht="15.3" x14ac:dyDescent="0.55000000000000004">
      <c r="A10" s="394">
        <f>'[5]Variable Input'!A10</f>
        <v>210009</v>
      </c>
      <c r="B10" s="394" t="str">
        <f>'[5]Variable Input'!B10</f>
        <v>JOHNS HOPKINS HOSPITAL</v>
      </c>
      <c r="C10" s="391">
        <f>VLOOKUP(A10,'[5]Variable Input'!$A:$IV,3,FALSE)</f>
        <v>5</v>
      </c>
      <c r="D10" s="391">
        <f>VLOOKUP(A10,'[5]Variable Input'!$A:$IV,4,FALSE)</f>
        <v>5</v>
      </c>
      <c r="E10" s="395">
        <f>VLOOKUP(A10,PROFIT!$1:$1048576,5,FALSE)+VLOOKUP(A10,[11]PROFIT!$A:$IV,5,FALSE)+VLOOKUP(A10,[12]PROFIT!$A:$IV,5,FALSE)</f>
        <v>132702408.42711385</v>
      </c>
      <c r="F10" s="395">
        <f>VLOOKUP(A10,PROFIT!$1:$1048576,6,FALSE)+VLOOKUP(A10,[11]PROFIT!$A:$IV,6,FALSE)+VLOOKUP(A10,[12]PROFIT!$A:$IV,6,FALSE)</f>
        <v>6648651708.4271145</v>
      </c>
      <c r="G10" s="396">
        <f t="shared" si="0"/>
        <v>1.9959296147054082E-2</v>
      </c>
      <c r="H10" s="191"/>
      <c r="I10" s="389"/>
      <c r="J10" s="190"/>
      <c r="K10" s="190"/>
      <c r="L10" s="191"/>
      <c r="M10" s="389"/>
      <c r="N10" s="398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9"/>
      <c r="AQ10" s="389"/>
      <c r="AR10" s="389"/>
      <c r="AS10" s="389"/>
      <c r="AT10" s="389"/>
      <c r="AU10" s="389"/>
      <c r="AV10" s="389"/>
      <c r="AW10" s="389"/>
      <c r="AX10" s="389"/>
      <c r="AY10" s="389"/>
      <c r="AZ10" s="389"/>
      <c r="BA10" s="389"/>
      <c r="BB10" s="389"/>
      <c r="BC10" s="389"/>
      <c r="BD10" s="389"/>
      <c r="BE10" s="389"/>
      <c r="BF10" s="389"/>
      <c r="BG10" s="389"/>
      <c r="BH10" s="389"/>
      <c r="BI10" s="389"/>
      <c r="BJ10" s="389"/>
      <c r="BK10" s="389"/>
      <c r="BL10" s="389"/>
      <c r="BM10" s="389"/>
      <c r="BN10" s="389"/>
      <c r="BO10" s="389"/>
      <c r="BP10" s="389"/>
      <c r="BQ10" s="389"/>
      <c r="BR10" s="389"/>
      <c r="BS10" s="389"/>
      <c r="BT10" s="389"/>
      <c r="BU10" s="389"/>
      <c r="BV10" s="389"/>
      <c r="BW10" s="389"/>
      <c r="BX10" s="389"/>
      <c r="BY10" s="389"/>
      <c r="BZ10" s="389"/>
      <c r="CA10" s="389"/>
      <c r="CB10" s="389"/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389"/>
      <c r="FY10" s="389"/>
      <c r="FZ10" s="389"/>
      <c r="GA10" s="389"/>
      <c r="GB10" s="389"/>
      <c r="GC10" s="389"/>
      <c r="GD10" s="389"/>
      <c r="GE10" s="389"/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89"/>
      <c r="GX10" s="389"/>
      <c r="GY10" s="389"/>
      <c r="GZ10" s="389"/>
      <c r="HA10" s="389"/>
      <c r="HB10" s="389"/>
      <c r="HC10" s="389"/>
      <c r="HD10" s="389"/>
      <c r="HE10" s="389"/>
      <c r="HF10" s="389"/>
      <c r="HG10" s="389"/>
      <c r="HH10" s="389"/>
      <c r="HI10" s="389"/>
      <c r="HJ10" s="389"/>
      <c r="HK10" s="389"/>
      <c r="HL10" s="389"/>
      <c r="HM10" s="389"/>
      <c r="HN10" s="389"/>
      <c r="HO10" s="389"/>
      <c r="HP10" s="389"/>
      <c r="HQ10" s="389"/>
      <c r="HR10" s="389"/>
      <c r="HS10" s="389"/>
      <c r="HT10" s="389"/>
      <c r="HU10" s="389"/>
      <c r="HV10" s="389"/>
      <c r="HW10" s="389"/>
      <c r="HX10" s="389"/>
      <c r="HY10" s="389"/>
      <c r="HZ10" s="389"/>
      <c r="IA10" s="389"/>
      <c r="IB10" s="389"/>
      <c r="IC10" s="389"/>
      <c r="ID10" s="389"/>
      <c r="IE10" s="389"/>
      <c r="IF10" s="389"/>
      <c r="IG10" s="389"/>
      <c r="IH10" s="389"/>
      <c r="II10" s="389"/>
      <c r="IJ10" s="389"/>
      <c r="IK10" s="389"/>
      <c r="IL10" s="389"/>
      <c r="IM10" s="389"/>
      <c r="IN10" s="389"/>
      <c r="IO10" s="389"/>
      <c r="IP10" s="389"/>
      <c r="IQ10" s="389"/>
      <c r="IR10" s="389"/>
    </row>
    <row r="11" spans="1:252" ht="15.3" x14ac:dyDescent="0.55000000000000004">
      <c r="A11" s="394">
        <f>'[5]Variable Input'!A12</f>
        <v>210011</v>
      </c>
      <c r="B11" s="394" t="str">
        <f>'[5]Variable Input'!B12</f>
        <v>ST. AGNES HOSPITAL</v>
      </c>
      <c r="C11" s="391">
        <f>VLOOKUP(A11,'[5]Variable Input'!$A:$IV,3,FALSE)</f>
        <v>1</v>
      </c>
      <c r="D11" s="391">
        <f>VLOOKUP(A11,'[5]Variable Input'!$A:$IV,4,FALSE)</f>
        <v>1</v>
      </c>
      <c r="E11" s="395">
        <f>VLOOKUP(A11,PROFIT!$1:$1048576,5,FALSE)+VLOOKUP(A11,[11]PROFIT!$A:$IV,5,FALSE)+VLOOKUP(A11,[12]PROFIT!$A:$IV,5,FALSE)</f>
        <v>187993327.95476991</v>
      </c>
      <c r="F11" s="395">
        <f>VLOOKUP(A11,PROFIT!$1:$1048576,6,FALSE)+VLOOKUP(A11,[11]PROFIT!$A:$IV,6,FALSE)+VLOOKUP(A11,[12]PROFIT!$A:$IV,6,FALSE)</f>
        <v>1154856748.3145211</v>
      </c>
      <c r="G11" s="396">
        <f t="shared" si="0"/>
        <v>0.16278497591077037</v>
      </c>
      <c r="H11" s="191"/>
      <c r="I11" s="389"/>
      <c r="J11" s="190"/>
      <c r="K11" s="190"/>
      <c r="L11" s="191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389"/>
      <c r="BL11" s="389"/>
      <c r="BM11" s="389"/>
      <c r="BN11" s="389"/>
      <c r="BO11" s="389"/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  <c r="CA11" s="389"/>
      <c r="CB11" s="389"/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389"/>
      <c r="FY11" s="389"/>
      <c r="FZ11" s="389"/>
      <c r="GA11" s="389"/>
      <c r="GB11" s="389"/>
      <c r="GC11" s="389"/>
      <c r="GD11" s="389"/>
      <c r="GE11" s="389"/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89"/>
      <c r="GX11" s="389"/>
      <c r="GY11" s="389"/>
      <c r="GZ11" s="389"/>
      <c r="HA11" s="389"/>
      <c r="HB11" s="389"/>
      <c r="HC11" s="389"/>
      <c r="HD11" s="389"/>
      <c r="HE11" s="389"/>
      <c r="HF11" s="389"/>
      <c r="HG11" s="389"/>
      <c r="HH11" s="389"/>
      <c r="HI11" s="389"/>
      <c r="HJ11" s="389"/>
      <c r="HK11" s="389"/>
      <c r="HL11" s="389"/>
      <c r="HM11" s="389"/>
      <c r="HN11" s="389"/>
      <c r="HO11" s="389"/>
      <c r="HP11" s="389"/>
      <c r="HQ11" s="389"/>
      <c r="HR11" s="389"/>
      <c r="HS11" s="389"/>
      <c r="HT11" s="389"/>
      <c r="HU11" s="389"/>
      <c r="HV11" s="389"/>
      <c r="HW11" s="389"/>
      <c r="HX11" s="389"/>
      <c r="HY11" s="389"/>
      <c r="HZ11" s="389"/>
      <c r="IA11" s="389"/>
      <c r="IB11" s="389"/>
      <c r="IC11" s="389"/>
      <c r="ID11" s="389"/>
      <c r="IE11" s="389"/>
      <c r="IF11" s="389"/>
      <c r="IG11" s="389"/>
      <c r="IH11" s="389"/>
      <c r="II11" s="389"/>
      <c r="IJ11" s="389"/>
      <c r="IK11" s="389"/>
      <c r="IL11" s="389"/>
      <c r="IM11" s="389"/>
      <c r="IN11" s="389"/>
      <c r="IO11" s="389"/>
      <c r="IP11" s="389"/>
      <c r="IQ11" s="389"/>
      <c r="IR11" s="389"/>
    </row>
    <row r="12" spans="1:252" ht="15.3" x14ac:dyDescent="0.55000000000000004">
      <c r="A12" s="394">
        <f>'[5]Variable Input'!A13</f>
        <v>210012</v>
      </c>
      <c r="B12" s="394" t="str">
        <f>'[5]Variable Input'!B13</f>
        <v>SINAI HOSPITAL</v>
      </c>
      <c r="C12" s="391">
        <f>VLOOKUP(A12,'[5]Variable Input'!$A:$IV,3,FALSE)</f>
        <v>1</v>
      </c>
      <c r="D12" s="391">
        <f>VLOOKUP(A12,'[5]Variable Input'!$A:$IV,4,FALSE)</f>
        <v>5</v>
      </c>
      <c r="E12" s="395">
        <f>VLOOKUP(A12,PROFIT!$1:$1048576,5,FALSE)+VLOOKUP(A12,[11]PROFIT!$A:$IV,5,FALSE)+VLOOKUP(A12,[12]PROFIT!$A:$IV,5,FALSE)</f>
        <v>287906004.26141846</v>
      </c>
      <c r="F12" s="395">
        <f>VLOOKUP(A12,PROFIT!$1:$1048576,6,FALSE)+VLOOKUP(A12,[11]PROFIT!$A:$IV,6,FALSE)+VLOOKUP(A12,[12]PROFIT!$A:$IV,6,FALSE)</f>
        <v>2214064595.5608592</v>
      </c>
      <c r="G12" s="396">
        <f t="shared" si="0"/>
        <v>0.13003505174991839</v>
      </c>
      <c r="H12" s="190"/>
      <c r="I12" s="389"/>
      <c r="J12" s="190"/>
      <c r="K12" s="190"/>
      <c r="L12" s="191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  <c r="BJ12" s="389"/>
      <c r="BK12" s="389"/>
      <c r="BL12" s="389"/>
      <c r="BM12" s="389"/>
      <c r="BN12" s="389"/>
      <c r="BO12" s="389"/>
      <c r="BP12" s="389"/>
      <c r="BQ12" s="389"/>
      <c r="BR12" s="389"/>
      <c r="BS12" s="389"/>
      <c r="BT12" s="389"/>
      <c r="BU12" s="389"/>
      <c r="BV12" s="389"/>
      <c r="BW12" s="389"/>
      <c r="BX12" s="389"/>
      <c r="BY12" s="389"/>
      <c r="BZ12" s="389"/>
      <c r="CA12" s="389"/>
      <c r="CB12" s="389"/>
      <c r="CC12" s="389"/>
      <c r="CD12" s="389"/>
      <c r="CE12" s="389"/>
      <c r="CF12" s="389"/>
      <c r="CG12" s="389"/>
      <c r="CH12" s="389"/>
      <c r="CI12" s="389"/>
      <c r="CJ12" s="389"/>
      <c r="CK12" s="389"/>
      <c r="CL12" s="389"/>
      <c r="CM12" s="389"/>
      <c r="CN12" s="389"/>
      <c r="CO12" s="389"/>
      <c r="CP12" s="389"/>
      <c r="CQ12" s="389"/>
      <c r="CR12" s="389"/>
      <c r="CS12" s="389"/>
      <c r="CT12" s="389"/>
      <c r="CU12" s="389"/>
      <c r="CV12" s="389"/>
      <c r="CW12" s="389"/>
      <c r="CX12" s="389"/>
      <c r="CY12" s="389"/>
      <c r="CZ12" s="389"/>
      <c r="DA12" s="389"/>
      <c r="DB12" s="389"/>
      <c r="DC12" s="389"/>
      <c r="DD12" s="389"/>
      <c r="DE12" s="389"/>
      <c r="DF12" s="389"/>
      <c r="DG12" s="389"/>
      <c r="DH12" s="389"/>
      <c r="DI12" s="389"/>
      <c r="DJ12" s="389"/>
      <c r="DK12" s="389"/>
      <c r="DL12" s="389"/>
      <c r="DM12" s="389"/>
      <c r="DN12" s="389"/>
      <c r="DO12" s="389"/>
      <c r="DP12" s="389"/>
      <c r="DQ12" s="389"/>
      <c r="DR12" s="389"/>
      <c r="DS12" s="389"/>
      <c r="DT12" s="389"/>
      <c r="DU12" s="389"/>
      <c r="DV12" s="389"/>
      <c r="DW12" s="389"/>
      <c r="DX12" s="389"/>
      <c r="DY12" s="389"/>
      <c r="DZ12" s="389"/>
      <c r="EA12" s="389"/>
      <c r="EB12" s="389"/>
      <c r="EC12" s="389"/>
      <c r="ED12" s="389"/>
      <c r="EE12" s="389"/>
      <c r="EF12" s="389"/>
      <c r="EG12" s="389"/>
      <c r="EH12" s="389"/>
      <c r="EI12" s="389"/>
      <c r="EJ12" s="389"/>
      <c r="EK12" s="389"/>
      <c r="EL12" s="389"/>
      <c r="EM12" s="389"/>
      <c r="EN12" s="389"/>
      <c r="EO12" s="389"/>
      <c r="EP12" s="389"/>
      <c r="EQ12" s="389"/>
      <c r="ER12" s="389"/>
      <c r="ES12" s="389"/>
      <c r="ET12" s="389"/>
      <c r="EU12" s="389"/>
      <c r="EV12" s="389"/>
      <c r="EW12" s="389"/>
      <c r="EX12" s="389"/>
      <c r="EY12" s="389"/>
      <c r="EZ12" s="389"/>
      <c r="FA12" s="389"/>
      <c r="FB12" s="389"/>
      <c r="FC12" s="389"/>
      <c r="FD12" s="389"/>
      <c r="FE12" s="389"/>
      <c r="FF12" s="389"/>
      <c r="FG12" s="389"/>
      <c r="FH12" s="389"/>
      <c r="FI12" s="389"/>
      <c r="FJ12" s="389"/>
      <c r="FK12" s="389"/>
      <c r="FL12" s="389"/>
      <c r="FM12" s="389"/>
      <c r="FN12" s="389"/>
      <c r="FO12" s="389"/>
      <c r="FP12" s="389"/>
      <c r="FQ12" s="389"/>
      <c r="FR12" s="389"/>
      <c r="FS12" s="389"/>
      <c r="FT12" s="389"/>
      <c r="FU12" s="389"/>
      <c r="FV12" s="389"/>
      <c r="FW12" s="389"/>
      <c r="FX12" s="389"/>
      <c r="FY12" s="389"/>
      <c r="FZ12" s="389"/>
      <c r="GA12" s="389"/>
      <c r="GB12" s="389"/>
      <c r="GC12" s="389"/>
      <c r="GD12" s="389"/>
      <c r="GE12" s="389"/>
      <c r="GF12" s="389"/>
      <c r="GG12" s="389"/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89"/>
      <c r="GW12" s="389"/>
      <c r="GX12" s="389"/>
      <c r="GY12" s="389"/>
      <c r="GZ12" s="389"/>
      <c r="HA12" s="389"/>
      <c r="HB12" s="389"/>
      <c r="HC12" s="389"/>
      <c r="HD12" s="389"/>
      <c r="HE12" s="389"/>
      <c r="HF12" s="389"/>
      <c r="HG12" s="389"/>
      <c r="HH12" s="389"/>
      <c r="HI12" s="389"/>
      <c r="HJ12" s="389"/>
      <c r="HK12" s="389"/>
      <c r="HL12" s="389"/>
      <c r="HM12" s="389"/>
      <c r="HN12" s="389"/>
      <c r="HO12" s="389"/>
      <c r="HP12" s="389"/>
      <c r="HQ12" s="389"/>
      <c r="HR12" s="389"/>
      <c r="HS12" s="389"/>
      <c r="HT12" s="389"/>
      <c r="HU12" s="389"/>
      <c r="HV12" s="389"/>
      <c r="HW12" s="389"/>
      <c r="HX12" s="389"/>
      <c r="HY12" s="389"/>
      <c r="HZ12" s="389"/>
      <c r="IA12" s="389"/>
      <c r="IB12" s="389"/>
      <c r="IC12" s="389"/>
      <c r="ID12" s="389"/>
      <c r="IE12" s="389"/>
      <c r="IF12" s="389"/>
      <c r="IG12" s="389"/>
      <c r="IH12" s="389"/>
      <c r="II12" s="389"/>
      <c r="IJ12" s="389"/>
      <c r="IK12" s="389"/>
      <c r="IL12" s="389"/>
      <c r="IM12" s="389"/>
      <c r="IN12" s="389"/>
      <c r="IO12" s="389"/>
      <c r="IP12" s="389"/>
      <c r="IQ12" s="389"/>
      <c r="IR12" s="389"/>
    </row>
    <row r="13" spans="1:252" ht="15.3" x14ac:dyDescent="0.55000000000000004">
      <c r="A13" s="394">
        <f>'[5]Variable Input'!A15</f>
        <v>210015</v>
      </c>
      <c r="B13" s="394" t="str">
        <f>'[5]Variable Input'!B15</f>
        <v>MEDSTAR FRANKLIN SQUARE</v>
      </c>
      <c r="C13" s="391">
        <f>VLOOKUP(A13,'[5]Variable Input'!$A:$IV,3,FALSE)</f>
        <v>1</v>
      </c>
      <c r="D13" s="391">
        <f>VLOOKUP(A13,'[5]Variable Input'!$A:$IV,4,FALSE)</f>
        <v>1</v>
      </c>
      <c r="E13" s="395">
        <f>VLOOKUP(A13,PROFIT!$1:$1048576,5,FALSE)+VLOOKUP(A13,[11]PROFIT!$A:$IV,5,FALSE)+VLOOKUP(A13,[12]PROFIT!$A:$IV,5,FALSE)</f>
        <v>148718431.77826881</v>
      </c>
      <c r="F13" s="395">
        <f>VLOOKUP(A13,PROFIT!$1:$1048576,6,FALSE)+VLOOKUP(A13,[11]PROFIT!$A:$IV,6,FALSE)+VLOOKUP(A13,[12]PROFIT!$A:$IV,6,FALSE)</f>
        <v>1480806528.5713038</v>
      </c>
      <c r="G13" s="396">
        <f t="shared" si="0"/>
        <v>0.10043069699439654</v>
      </c>
      <c r="H13" s="191"/>
      <c r="I13" s="389"/>
      <c r="J13" s="190"/>
      <c r="K13" s="190"/>
      <c r="L13" s="191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/>
      <c r="CA13" s="389"/>
      <c r="CB13" s="389"/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  <c r="FL13" s="389"/>
      <c r="FM13" s="389"/>
      <c r="FN13" s="389"/>
      <c r="FO13" s="389"/>
      <c r="FP13" s="389"/>
      <c r="FQ13" s="389"/>
      <c r="FR13" s="389"/>
      <c r="FS13" s="389"/>
      <c r="FT13" s="389"/>
      <c r="FU13" s="389"/>
      <c r="FV13" s="389"/>
      <c r="FW13" s="389"/>
      <c r="FX13" s="389"/>
      <c r="FY13" s="389"/>
      <c r="FZ13" s="389"/>
      <c r="GA13" s="389"/>
      <c r="GB13" s="389"/>
      <c r="GC13" s="389"/>
      <c r="GD13" s="389"/>
      <c r="GE13" s="389"/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89"/>
      <c r="GX13" s="389"/>
      <c r="GY13" s="389"/>
      <c r="GZ13" s="389"/>
      <c r="HA13" s="389"/>
      <c r="HB13" s="389"/>
      <c r="HC13" s="389"/>
      <c r="HD13" s="389"/>
      <c r="HE13" s="389"/>
      <c r="HF13" s="389"/>
      <c r="HG13" s="389"/>
      <c r="HH13" s="389"/>
      <c r="HI13" s="389"/>
      <c r="HJ13" s="389"/>
      <c r="HK13" s="389"/>
      <c r="HL13" s="389"/>
      <c r="HM13" s="389"/>
      <c r="HN13" s="389"/>
      <c r="HO13" s="389"/>
      <c r="HP13" s="389"/>
      <c r="HQ13" s="389"/>
      <c r="HR13" s="389"/>
      <c r="HS13" s="389"/>
      <c r="HT13" s="389"/>
      <c r="HU13" s="389"/>
      <c r="HV13" s="389"/>
      <c r="HW13" s="389"/>
      <c r="HX13" s="389"/>
      <c r="HY13" s="389"/>
      <c r="HZ13" s="389"/>
      <c r="IA13" s="389"/>
      <c r="IB13" s="389"/>
      <c r="IC13" s="389"/>
      <c r="ID13" s="389"/>
      <c r="IE13" s="389"/>
      <c r="IF13" s="389"/>
      <c r="IG13" s="389"/>
      <c r="IH13" s="389"/>
      <c r="II13" s="389"/>
      <c r="IJ13" s="389"/>
      <c r="IK13" s="389"/>
      <c r="IL13" s="389"/>
      <c r="IM13" s="389"/>
      <c r="IN13" s="389"/>
      <c r="IO13" s="389"/>
      <c r="IP13" s="389"/>
      <c r="IQ13" s="389"/>
      <c r="IR13" s="389"/>
    </row>
    <row r="14" spans="1:252" ht="15.3" x14ac:dyDescent="0.55000000000000004">
      <c r="A14" s="394">
        <f>'[5]Variable Input'!A16</f>
        <v>210016</v>
      </c>
      <c r="B14" s="394" t="str">
        <f>'[5]Variable Input'!B16</f>
        <v>WASHINGTON ADVENTIST HOSPITAL</v>
      </c>
      <c r="C14" s="391">
        <f>VLOOKUP(A14,'[5]Variable Input'!$A:$IV,3,FALSE)</f>
        <v>1</v>
      </c>
      <c r="D14" s="391">
        <f>VLOOKUP(A14,'[5]Variable Input'!$A:$IV,4,FALSE)</f>
        <v>3</v>
      </c>
      <c r="E14" s="395">
        <f>VLOOKUP(A14,PROFIT!$1:$1048576,5,FALSE)+VLOOKUP(A14,[11]PROFIT!$A:$IV,5,FALSE)+VLOOKUP(A14,[12]PROFIT!$A:$IV,5,FALSE)</f>
        <v>80501061.455162227</v>
      </c>
      <c r="F14" s="395">
        <f>VLOOKUP(A14,PROFIT!$1:$1048576,6,FALSE)+VLOOKUP(A14,[11]PROFIT!$A:$IV,6,FALSE)+VLOOKUP(A14,[12]PROFIT!$A:$IV,6,FALSE)</f>
        <v>791080838.34691775</v>
      </c>
      <c r="G14" s="396">
        <f t="shared" si="0"/>
        <v>0.10176085369907491</v>
      </c>
      <c r="H14" s="191"/>
      <c r="I14" s="389"/>
      <c r="J14" s="190"/>
      <c r="K14" s="190"/>
      <c r="L14" s="191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89"/>
      <c r="FY14" s="389"/>
      <c r="FZ14" s="389"/>
      <c r="GA14" s="389"/>
      <c r="GB14" s="389"/>
      <c r="GC14" s="389"/>
      <c r="GD14" s="389"/>
      <c r="GE14" s="389"/>
      <c r="GF14" s="389"/>
      <c r="GG14" s="389"/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89"/>
      <c r="GW14" s="389"/>
      <c r="GX14" s="389"/>
      <c r="GY14" s="389"/>
      <c r="GZ14" s="389"/>
      <c r="HA14" s="389"/>
      <c r="HB14" s="389"/>
      <c r="HC14" s="389"/>
      <c r="HD14" s="389"/>
      <c r="HE14" s="389"/>
      <c r="HF14" s="389"/>
      <c r="HG14" s="389"/>
      <c r="HH14" s="389"/>
      <c r="HI14" s="389"/>
      <c r="HJ14" s="389"/>
      <c r="HK14" s="389"/>
      <c r="HL14" s="389"/>
      <c r="HM14" s="389"/>
      <c r="HN14" s="389"/>
      <c r="HO14" s="389"/>
      <c r="HP14" s="389"/>
      <c r="HQ14" s="389"/>
      <c r="HR14" s="389"/>
      <c r="HS14" s="389"/>
      <c r="HT14" s="389"/>
      <c r="HU14" s="389"/>
      <c r="HV14" s="389"/>
      <c r="HW14" s="389"/>
      <c r="HX14" s="389"/>
      <c r="HY14" s="389"/>
      <c r="HZ14" s="389"/>
      <c r="IA14" s="389"/>
      <c r="IB14" s="389"/>
      <c r="IC14" s="389"/>
      <c r="ID14" s="389"/>
      <c r="IE14" s="389"/>
      <c r="IF14" s="389"/>
      <c r="IG14" s="389"/>
      <c r="IH14" s="389"/>
      <c r="II14" s="389"/>
      <c r="IJ14" s="389"/>
      <c r="IK14" s="389"/>
      <c r="IL14" s="389"/>
      <c r="IM14" s="389"/>
      <c r="IN14" s="389"/>
      <c r="IO14" s="389"/>
      <c r="IP14" s="389"/>
      <c r="IQ14" s="389"/>
      <c r="IR14" s="389"/>
    </row>
    <row r="15" spans="1:252" ht="15.3" x14ac:dyDescent="0.55000000000000004">
      <c r="A15" s="394">
        <f>'[5]Variable Input'!A17</f>
        <v>210017</v>
      </c>
      <c r="B15" s="394" t="str">
        <f>'[5]Variable Input'!B17</f>
        <v>GARRETT COUNTY MEMORIAL HOSPITAL</v>
      </c>
      <c r="C15" s="391">
        <f>VLOOKUP(A15,'[5]Variable Input'!$A:$IV,3,FALSE)</f>
        <v>1</v>
      </c>
      <c r="D15" s="391">
        <f>VLOOKUP(A15,'[5]Variable Input'!$A:$IV,4,FALSE)</f>
        <v>3</v>
      </c>
      <c r="E15" s="395">
        <f>VLOOKUP(A15,PROFIT!$1:$1048576,5,FALSE)+VLOOKUP(A15,[11]PROFIT!$A:$IV,5,FALSE)+VLOOKUP(A15,[12]PROFIT!$A:$IV,5,FALSE)</f>
        <v>16745267.046629174</v>
      </c>
      <c r="F15" s="395">
        <f>VLOOKUP(A15,PROFIT!$1:$1048576,6,FALSE)+VLOOKUP(A15,[11]PROFIT!$A:$IV,6,FALSE)+VLOOKUP(A15,[12]PROFIT!$A:$IV,6,FALSE)</f>
        <v>167538376.5459508</v>
      </c>
      <c r="G15" s="396">
        <f t="shared" si="0"/>
        <v>9.9948843911809332E-2</v>
      </c>
      <c r="H15" s="191"/>
      <c r="I15" s="389"/>
      <c r="J15" s="190"/>
      <c r="K15" s="190"/>
      <c r="L15" s="191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389"/>
      <c r="AC15" s="389"/>
      <c r="AD15" s="389"/>
      <c r="AE15" s="389"/>
      <c r="AF15" s="389"/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  <c r="BJ15" s="389"/>
      <c r="BK15" s="389"/>
      <c r="BL15" s="389"/>
      <c r="BM15" s="389"/>
      <c r="BN15" s="389"/>
      <c r="BO15" s="389"/>
      <c r="BP15" s="389"/>
      <c r="BQ15" s="389"/>
      <c r="BR15" s="389"/>
      <c r="BS15" s="389"/>
      <c r="BT15" s="389"/>
      <c r="BU15" s="389"/>
      <c r="BV15" s="389"/>
      <c r="BW15" s="389"/>
      <c r="BX15" s="389"/>
      <c r="BY15" s="389"/>
      <c r="BZ15" s="389"/>
      <c r="CA15" s="389"/>
      <c r="CB15" s="389"/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389"/>
      <c r="FY15" s="389"/>
      <c r="FZ15" s="389"/>
      <c r="GA15" s="389"/>
      <c r="GB15" s="389"/>
      <c r="GC15" s="389"/>
      <c r="GD15" s="389"/>
      <c r="GE15" s="389"/>
      <c r="GF15" s="389"/>
      <c r="GG15" s="389"/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89"/>
      <c r="GW15" s="389"/>
      <c r="GX15" s="389"/>
      <c r="GY15" s="389"/>
      <c r="GZ15" s="389"/>
      <c r="HA15" s="389"/>
      <c r="HB15" s="389"/>
      <c r="HC15" s="389"/>
      <c r="HD15" s="389"/>
      <c r="HE15" s="389"/>
      <c r="HF15" s="389"/>
      <c r="HG15" s="389"/>
      <c r="HH15" s="389"/>
      <c r="HI15" s="389"/>
      <c r="HJ15" s="389"/>
      <c r="HK15" s="389"/>
      <c r="HL15" s="389"/>
      <c r="HM15" s="389"/>
      <c r="HN15" s="389"/>
      <c r="HO15" s="389"/>
      <c r="HP15" s="389"/>
      <c r="HQ15" s="389"/>
      <c r="HR15" s="389"/>
      <c r="HS15" s="389"/>
      <c r="HT15" s="389"/>
      <c r="HU15" s="389"/>
      <c r="HV15" s="389"/>
      <c r="HW15" s="389"/>
      <c r="HX15" s="389"/>
      <c r="HY15" s="389"/>
      <c r="HZ15" s="389"/>
      <c r="IA15" s="389"/>
      <c r="IB15" s="389"/>
      <c r="IC15" s="389"/>
      <c r="ID15" s="389"/>
      <c r="IE15" s="389"/>
      <c r="IF15" s="389"/>
      <c r="IG15" s="389"/>
      <c r="IH15" s="389"/>
      <c r="II15" s="389"/>
      <c r="IJ15" s="389"/>
      <c r="IK15" s="389"/>
      <c r="IL15" s="389"/>
      <c r="IM15" s="389"/>
      <c r="IN15" s="389"/>
      <c r="IO15" s="389"/>
      <c r="IP15" s="389"/>
      <c r="IQ15" s="389"/>
      <c r="IR15" s="389"/>
    </row>
    <row r="16" spans="1:252" ht="15.3" x14ac:dyDescent="0.55000000000000004">
      <c r="A16" s="394">
        <f>'[5]Variable Input'!A18</f>
        <v>210018</v>
      </c>
      <c r="B16" s="394" t="str">
        <f>'[5]Variable Input'!B18</f>
        <v>MEDSTAR MONTGOMERY MEDICAL CENTER</v>
      </c>
      <c r="C16" s="391">
        <f>VLOOKUP(A16,'[5]Variable Input'!$A:$IV,3,FALSE)</f>
        <v>1</v>
      </c>
      <c r="D16" s="391">
        <f>VLOOKUP(A16,'[5]Variable Input'!$A:$IV,4,FALSE)</f>
        <v>3</v>
      </c>
      <c r="E16" s="395">
        <f>VLOOKUP(A16,PROFIT!$1:$1048576,5,FALSE)+VLOOKUP(A16,[11]PROFIT!$A:$IV,5,FALSE)+VLOOKUP(A16,[12]PROFIT!$A:$IV,5,FALSE)</f>
        <v>47962249.727918833</v>
      </c>
      <c r="F16" s="395">
        <f>VLOOKUP(A16,PROFIT!$1:$1048576,6,FALSE)+VLOOKUP(A16,[11]PROFIT!$A:$IV,6,FALSE)+VLOOKUP(A16,[12]PROFIT!$A:$IV,6,FALSE)</f>
        <v>483544285.90352046</v>
      </c>
      <c r="G16" s="396">
        <f t="shared" si="0"/>
        <v>9.9188949442964858E-2</v>
      </c>
      <c r="H16" s="191"/>
      <c r="I16" s="389"/>
      <c r="J16" s="190"/>
      <c r="K16" s="190"/>
      <c r="L16" s="191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  <c r="BJ16" s="389"/>
      <c r="BK16" s="389"/>
      <c r="BL16" s="389"/>
      <c r="BM16" s="389"/>
      <c r="BN16" s="389"/>
      <c r="BO16" s="389"/>
      <c r="BP16" s="389"/>
      <c r="BQ16" s="389"/>
      <c r="BR16" s="389"/>
      <c r="BS16" s="389"/>
      <c r="BT16" s="389"/>
      <c r="BU16" s="389"/>
      <c r="BV16" s="389"/>
      <c r="BW16" s="389"/>
      <c r="BX16" s="389"/>
      <c r="BY16" s="389"/>
      <c r="BZ16" s="389"/>
      <c r="CA16" s="389"/>
      <c r="CB16" s="389"/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389"/>
      <c r="FY16" s="389"/>
      <c r="FZ16" s="389"/>
      <c r="GA16" s="389"/>
      <c r="GB16" s="389"/>
      <c r="GC16" s="389"/>
      <c r="GD16" s="389"/>
      <c r="GE16" s="389"/>
      <c r="GF16" s="389"/>
      <c r="GG16" s="389"/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89"/>
      <c r="GW16" s="389"/>
      <c r="GX16" s="389"/>
      <c r="GY16" s="389"/>
      <c r="GZ16" s="389"/>
      <c r="HA16" s="389"/>
      <c r="HB16" s="389"/>
      <c r="HC16" s="389"/>
      <c r="HD16" s="389"/>
      <c r="HE16" s="389"/>
      <c r="HF16" s="389"/>
      <c r="HG16" s="389"/>
      <c r="HH16" s="389"/>
      <c r="HI16" s="389"/>
      <c r="HJ16" s="389"/>
      <c r="HK16" s="389"/>
      <c r="HL16" s="389"/>
      <c r="HM16" s="389"/>
      <c r="HN16" s="389"/>
      <c r="HO16" s="389"/>
      <c r="HP16" s="389"/>
      <c r="HQ16" s="389"/>
      <c r="HR16" s="389"/>
      <c r="HS16" s="389"/>
      <c r="HT16" s="389"/>
      <c r="HU16" s="389"/>
      <c r="HV16" s="389"/>
      <c r="HW16" s="389"/>
      <c r="HX16" s="389"/>
      <c r="HY16" s="389"/>
      <c r="HZ16" s="389"/>
      <c r="IA16" s="389"/>
      <c r="IB16" s="389"/>
      <c r="IC16" s="389"/>
      <c r="ID16" s="389"/>
      <c r="IE16" s="389"/>
      <c r="IF16" s="389"/>
      <c r="IG16" s="389"/>
      <c r="IH16" s="389"/>
      <c r="II16" s="389"/>
      <c r="IJ16" s="389"/>
      <c r="IK16" s="389"/>
      <c r="IL16" s="389"/>
      <c r="IM16" s="389"/>
      <c r="IN16" s="389"/>
      <c r="IO16" s="389"/>
      <c r="IP16" s="389"/>
      <c r="IQ16" s="389"/>
      <c r="IR16" s="389"/>
    </row>
    <row r="17" spans="1:252" ht="15.3" x14ac:dyDescent="0.55000000000000004">
      <c r="A17" s="394">
        <f>'[5]Variable Input'!A19</f>
        <v>210019</v>
      </c>
      <c r="B17" s="394" t="str">
        <f>'[5]Variable Input'!B19</f>
        <v>PENINSULA REGIONAL MEDICAL CENTER</v>
      </c>
      <c r="C17" s="391">
        <f>VLOOKUP(A17,'[5]Variable Input'!$A:$IV,3,FALSE)</f>
        <v>1</v>
      </c>
      <c r="D17" s="391">
        <f>VLOOKUP(A17,'[5]Variable Input'!$A:$IV,4,FALSE)</f>
        <v>3</v>
      </c>
      <c r="E17" s="395">
        <f>VLOOKUP(A17,PROFIT!$1:$1048576,5,FALSE)+VLOOKUP(A17,[11]PROFIT!$A:$IV,5,FALSE)+VLOOKUP(A17,[12]PROFIT!$A:$IV,5,FALSE)</f>
        <v>144851511.02244049</v>
      </c>
      <c r="F17" s="395">
        <f>VLOOKUP(A17,PROFIT!$1:$1048576,6,FALSE)+VLOOKUP(A17,[11]PROFIT!$A:$IV,6,FALSE)+VLOOKUP(A17,[12]PROFIT!$A:$IV,6,FALSE)</f>
        <v>1221306062.8724406</v>
      </c>
      <c r="G17" s="396">
        <f t="shared" si="0"/>
        <v>0.11860377625716374</v>
      </c>
      <c r="H17" s="191"/>
      <c r="I17" s="389"/>
      <c r="J17" s="190"/>
      <c r="K17" s="190"/>
      <c r="L17" s="191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389"/>
      <c r="FZ17" s="389"/>
      <c r="GA17" s="389"/>
      <c r="GB17" s="389"/>
      <c r="GC17" s="389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89"/>
      <c r="GZ17" s="389"/>
      <c r="HA17" s="389"/>
      <c r="HB17" s="389"/>
      <c r="HC17" s="389"/>
      <c r="HD17" s="389"/>
      <c r="HE17" s="389"/>
      <c r="HF17" s="389"/>
      <c r="HG17" s="389"/>
      <c r="HH17" s="389"/>
      <c r="HI17" s="389"/>
      <c r="HJ17" s="389"/>
      <c r="HK17" s="389"/>
      <c r="HL17" s="389"/>
      <c r="HM17" s="389"/>
      <c r="HN17" s="389"/>
      <c r="HO17" s="389"/>
      <c r="HP17" s="389"/>
      <c r="HQ17" s="389"/>
      <c r="HR17" s="389"/>
      <c r="HS17" s="389"/>
      <c r="HT17" s="389"/>
      <c r="HU17" s="389"/>
      <c r="HV17" s="389"/>
      <c r="HW17" s="389"/>
      <c r="HX17" s="389"/>
      <c r="HY17" s="389"/>
      <c r="HZ17" s="389"/>
      <c r="IA17" s="389"/>
      <c r="IB17" s="389"/>
      <c r="IC17" s="389"/>
      <c r="ID17" s="389"/>
      <c r="IE17" s="389"/>
      <c r="IF17" s="389"/>
      <c r="IG17" s="389"/>
      <c r="IH17" s="389"/>
      <c r="II17" s="389"/>
      <c r="IJ17" s="389"/>
      <c r="IK17" s="389"/>
      <c r="IL17" s="389"/>
      <c r="IM17" s="389"/>
      <c r="IN17" s="389"/>
      <c r="IO17" s="389"/>
      <c r="IP17" s="389"/>
      <c r="IQ17" s="389"/>
      <c r="IR17" s="389"/>
    </row>
    <row r="18" spans="1:252" ht="15.3" x14ac:dyDescent="0.55000000000000004">
      <c r="A18" s="394">
        <f>'[5]Variable Input'!A20</f>
        <v>210022</v>
      </c>
      <c r="B18" s="394" t="str">
        <f>'[5]Variable Input'!B20</f>
        <v>SUBURBAN HOSPITAL</v>
      </c>
      <c r="C18" s="391">
        <f>VLOOKUP(A18,'[5]Variable Input'!$A:$IV,3,FALSE)</f>
        <v>1</v>
      </c>
      <c r="D18" s="391">
        <f>VLOOKUP(A18,'[5]Variable Input'!$A:$IV,4,FALSE)</f>
        <v>1</v>
      </c>
      <c r="E18" s="395">
        <f>VLOOKUP(A18,PROFIT!$1:$1048576,5,FALSE)+VLOOKUP(A18,[11]PROFIT!$A:$IV,5,FALSE)+VLOOKUP(A18,[12]PROFIT!$A:$IV,5,FALSE)</f>
        <v>76915607.350487381</v>
      </c>
      <c r="F18" s="395">
        <f>VLOOKUP(A18,PROFIT!$1:$1048576,6,FALSE)+VLOOKUP(A18,[11]PROFIT!$A:$IV,6,FALSE)+VLOOKUP(A18,[12]PROFIT!$A:$IV,6,FALSE)</f>
        <v>918429633.19048738</v>
      </c>
      <c r="G18" s="396">
        <f t="shared" si="0"/>
        <v>8.3746870278231383E-2</v>
      </c>
      <c r="H18" s="191"/>
      <c r="I18" s="389"/>
      <c r="J18" s="190"/>
      <c r="K18" s="190"/>
      <c r="L18" s="191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389"/>
      <c r="FZ18" s="389"/>
      <c r="GA18" s="389"/>
      <c r="GB18" s="389"/>
      <c r="GC18" s="389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89"/>
      <c r="GZ18" s="389"/>
      <c r="HA18" s="389"/>
      <c r="HB18" s="389"/>
      <c r="HC18" s="389"/>
      <c r="HD18" s="389"/>
      <c r="HE18" s="389"/>
      <c r="HF18" s="389"/>
      <c r="HG18" s="389"/>
      <c r="HH18" s="389"/>
      <c r="HI18" s="389"/>
      <c r="HJ18" s="389"/>
      <c r="HK18" s="389"/>
      <c r="HL18" s="389"/>
      <c r="HM18" s="389"/>
      <c r="HN18" s="389"/>
      <c r="HO18" s="389"/>
      <c r="HP18" s="389"/>
      <c r="HQ18" s="389"/>
      <c r="HR18" s="389"/>
      <c r="HS18" s="389"/>
      <c r="HT18" s="389"/>
      <c r="HU18" s="389"/>
      <c r="HV18" s="389"/>
      <c r="HW18" s="389"/>
      <c r="HX18" s="389"/>
      <c r="HY18" s="389"/>
      <c r="HZ18" s="389"/>
      <c r="IA18" s="389"/>
      <c r="IB18" s="389"/>
      <c r="IC18" s="389"/>
      <c r="ID18" s="389"/>
      <c r="IE18" s="389"/>
      <c r="IF18" s="389"/>
      <c r="IG18" s="389"/>
      <c r="IH18" s="389"/>
      <c r="II18" s="389"/>
      <c r="IJ18" s="389"/>
      <c r="IK18" s="389"/>
      <c r="IL18" s="389"/>
      <c r="IM18" s="389"/>
      <c r="IN18" s="389"/>
      <c r="IO18" s="389"/>
      <c r="IP18" s="389"/>
      <c r="IQ18" s="389"/>
      <c r="IR18" s="389"/>
    </row>
    <row r="19" spans="1:252" ht="15.3" x14ac:dyDescent="0.55000000000000004">
      <c r="A19" s="394">
        <f>'[5]Variable Input'!A21</f>
        <v>210023</v>
      </c>
      <c r="B19" s="394" t="str">
        <f>'[5]Variable Input'!B21</f>
        <v>ANNE ARUNDEL MEDICAL CENTER</v>
      </c>
      <c r="C19" s="391">
        <f>VLOOKUP(A19,'[5]Variable Input'!$A:$IV,3,FALSE)</f>
        <v>1</v>
      </c>
      <c r="D19" s="391">
        <f>VLOOKUP(A19,'[5]Variable Input'!$A:$IV,4,FALSE)</f>
        <v>3</v>
      </c>
      <c r="E19" s="395">
        <f>VLOOKUP(A19,PROFIT!$1:$1048576,5,FALSE)+VLOOKUP(A19,[11]PROFIT!$A:$IV,5,FALSE)+VLOOKUP(A19,[12]PROFIT!$A:$IV,5,FALSE)</f>
        <v>139432415.92482769</v>
      </c>
      <c r="F19" s="395">
        <f>VLOOKUP(A19,PROFIT!$1:$1048576,6,FALSE)+VLOOKUP(A19,[11]PROFIT!$A:$IV,6,FALSE)+VLOOKUP(A19,[12]PROFIT!$A:$IV,6,FALSE)</f>
        <v>1756848474.333303</v>
      </c>
      <c r="G19" s="396">
        <f t="shared" si="0"/>
        <v>7.9365077843574508E-2</v>
      </c>
      <c r="H19" s="191"/>
      <c r="I19" s="389"/>
      <c r="J19" s="190"/>
      <c r="K19" s="190"/>
      <c r="L19" s="191"/>
      <c r="M19" s="389"/>
      <c r="N19" s="389"/>
      <c r="O19" s="389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89"/>
      <c r="HA19" s="389"/>
      <c r="HB19" s="389"/>
      <c r="HC19" s="389"/>
      <c r="HD19" s="389"/>
      <c r="HE19" s="389"/>
      <c r="HF19" s="389"/>
      <c r="HG19" s="389"/>
      <c r="HH19" s="389"/>
      <c r="HI19" s="389"/>
      <c r="HJ19" s="389"/>
      <c r="HK19" s="389"/>
      <c r="HL19" s="389"/>
      <c r="HM19" s="389"/>
      <c r="HN19" s="389"/>
      <c r="HO19" s="389"/>
      <c r="HP19" s="389"/>
      <c r="HQ19" s="389"/>
      <c r="HR19" s="389"/>
      <c r="HS19" s="389"/>
      <c r="HT19" s="389"/>
      <c r="HU19" s="389"/>
      <c r="HV19" s="389"/>
      <c r="HW19" s="389"/>
      <c r="HX19" s="389"/>
      <c r="HY19" s="389"/>
      <c r="HZ19" s="389"/>
      <c r="IA19" s="389"/>
      <c r="IB19" s="389"/>
      <c r="IC19" s="389"/>
      <c r="ID19" s="389"/>
      <c r="IE19" s="389"/>
      <c r="IF19" s="389"/>
      <c r="IG19" s="389"/>
      <c r="IH19" s="389"/>
      <c r="II19" s="389"/>
      <c r="IJ19" s="389"/>
      <c r="IK19" s="389"/>
      <c r="IL19" s="389"/>
      <c r="IM19" s="389"/>
      <c r="IN19" s="389"/>
      <c r="IO19" s="389"/>
      <c r="IP19" s="389"/>
      <c r="IQ19" s="389"/>
      <c r="IR19" s="389"/>
    </row>
    <row r="20" spans="1:252" ht="15.3" x14ac:dyDescent="0.55000000000000004">
      <c r="A20" s="394">
        <f>'[5]Variable Input'!A22</f>
        <v>210024</v>
      </c>
      <c r="B20" s="394" t="str">
        <f>'[5]Variable Input'!B22</f>
        <v>MEDSTAR UNION MEMORIAL HOSPITAL</v>
      </c>
      <c r="C20" s="391">
        <f>VLOOKUP(A20,'[5]Variable Input'!$A:$IV,3,FALSE)</f>
        <v>1</v>
      </c>
      <c r="D20" s="391">
        <f>VLOOKUP(A20,'[5]Variable Input'!$A:$IV,4,FALSE)</f>
        <v>5</v>
      </c>
      <c r="E20" s="395">
        <f>VLOOKUP(A20,PROFIT!$1:$1048576,5,FALSE)+VLOOKUP(A20,[11]PROFIT!$A:$IV,5,FALSE)+VLOOKUP(A20,[12]PROFIT!$A:$IV,5,FALSE)</f>
        <v>81082459.786386505</v>
      </c>
      <c r="F20" s="395">
        <f>VLOOKUP(A20,PROFIT!$1:$1048576,6,FALSE)+VLOOKUP(A20,[11]PROFIT!$A:$IV,6,FALSE)+VLOOKUP(A20,[12]PROFIT!$A:$IV,6,FALSE)</f>
        <v>1149894486.363318</v>
      </c>
      <c r="G20" s="396">
        <f t="shared" si="0"/>
        <v>7.0512956404217314E-2</v>
      </c>
      <c r="H20" s="191"/>
      <c r="I20" s="389"/>
      <c r="J20" s="190"/>
      <c r="K20" s="190"/>
      <c r="L20" s="191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389"/>
      <c r="FZ20" s="389"/>
      <c r="GA20" s="389"/>
      <c r="GB20" s="389"/>
      <c r="GC20" s="389"/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89"/>
      <c r="GZ20" s="389"/>
      <c r="HA20" s="389"/>
      <c r="HB20" s="389"/>
      <c r="HC20" s="389"/>
      <c r="HD20" s="389"/>
      <c r="HE20" s="389"/>
      <c r="HF20" s="389"/>
      <c r="HG20" s="389"/>
      <c r="HH20" s="389"/>
      <c r="HI20" s="389"/>
      <c r="HJ20" s="389"/>
      <c r="HK20" s="389"/>
      <c r="HL20" s="389"/>
      <c r="HM20" s="389"/>
      <c r="HN20" s="389"/>
      <c r="HO20" s="389"/>
      <c r="HP20" s="389"/>
      <c r="HQ20" s="389"/>
      <c r="HR20" s="389"/>
      <c r="HS20" s="389"/>
      <c r="HT20" s="389"/>
      <c r="HU20" s="389"/>
      <c r="HV20" s="389"/>
      <c r="HW20" s="389"/>
      <c r="HX20" s="389"/>
      <c r="HY20" s="389"/>
      <c r="HZ20" s="389"/>
      <c r="IA20" s="389"/>
      <c r="IB20" s="389"/>
      <c r="IC20" s="389"/>
      <c r="ID20" s="389"/>
      <c r="IE20" s="389"/>
      <c r="IF20" s="389"/>
      <c r="IG20" s="389"/>
      <c r="IH20" s="389"/>
      <c r="II20" s="389"/>
      <c r="IJ20" s="389"/>
      <c r="IK20" s="389"/>
      <c r="IL20" s="389"/>
      <c r="IM20" s="389"/>
      <c r="IN20" s="389"/>
      <c r="IO20" s="389"/>
      <c r="IP20" s="389"/>
      <c r="IQ20" s="389"/>
      <c r="IR20" s="389"/>
    </row>
    <row r="21" spans="1:252" ht="15.3" x14ac:dyDescent="0.55000000000000004">
      <c r="A21" s="394">
        <f>'[5]Variable Input'!A23</f>
        <v>210027</v>
      </c>
      <c r="B21" s="394" t="str">
        <f>'[5]Variable Input'!B23</f>
        <v>WESTERN MARYLAND REGIONAL MEDICAL CENTER</v>
      </c>
      <c r="C21" s="391">
        <f>VLOOKUP(A21,'[5]Variable Input'!$A:$IV,3,FALSE)</f>
        <v>1</v>
      </c>
      <c r="D21" s="391">
        <f>VLOOKUP(A21,'[5]Variable Input'!$A:$IV,4,FALSE)</f>
        <v>3</v>
      </c>
      <c r="E21" s="395">
        <f>VLOOKUP(A21,PROFIT!$1:$1048576,5,FALSE)+VLOOKUP(A21,[11]PROFIT!$A:$IV,5,FALSE)+VLOOKUP(A21,[12]PROFIT!$A:$IV,5,FALSE)</f>
        <v>143686432.24795637</v>
      </c>
      <c r="F21" s="395">
        <f>VLOOKUP(A21,PROFIT!$1:$1048576,6,FALSE)+VLOOKUP(A21,[11]PROFIT!$A:$IV,6,FALSE)+VLOOKUP(A21,[12]PROFIT!$A:$IV,6,FALSE)</f>
        <v>870223908.38295627</v>
      </c>
      <c r="G21" s="396">
        <f t="shared" si="0"/>
        <v>0.16511432386976524</v>
      </c>
      <c r="H21" s="191"/>
      <c r="I21" s="389"/>
      <c r="J21" s="190"/>
      <c r="K21" s="190"/>
      <c r="L21" s="191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389"/>
      <c r="FZ21" s="389"/>
      <c r="GA21" s="389"/>
      <c r="GB21" s="389"/>
      <c r="GC21" s="389"/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89"/>
      <c r="GZ21" s="389"/>
      <c r="HA21" s="389"/>
      <c r="HB21" s="389"/>
      <c r="HC21" s="389"/>
      <c r="HD21" s="389"/>
      <c r="HE21" s="389"/>
      <c r="HF21" s="389"/>
      <c r="HG21" s="389"/>
      <c r="HH21" s="389"/>
      <c r="HI21" s="389"/>
      <c r="HJ21" s="389"/>
      <c r="HK21" s="389"/>
      <c r="HL21" s="389"/>
      <c r="HM21" s="389"/>
      <c r="HN21" s="389"/>
      <c r="HO21" s="389"/>
      <c r="HP21" s="389"/>
      <c r="HQ21" s="389"/>
      <c r="HR21" s="389"/>
      <c r="HS21" s="389"/>
      <c r="HT21" s="389"/>
      <c r="HU21" s="389"/>
      <c r="HV21" s="389"/>
      <c r="HW21" s="389"/>
      <c r="HX21" s="389"/>
      <c r="HY21" s="389"/>
      <c r="HZ21" s="389"/>
      <c r="IA21" s="389"/>
      <c r="IB21" s="389"/>
      <c r="IC21" s="389"/>
      <c r="ID21" s="389"/>
      <c r="IE21" s="389"/>
      <c r="IF21" s="389"/>
      <c r="IG21" s="389"/>
      <c r="IH21" s="389"/>
      <c r="II21" s="389"/>
      <c r="IJ21" s="389"/>
      <c r="IK21" s="389"/>
      <c r="IL21" s="389"/>
      <c r="IM21" s="389"/>
      <c r="IN21" s="389"/>
      <c r="IO21" s="389"/>
      <c r="IP21" s="389"/>
      <c r="IQ21" s="389"/>
      <c r="IR21" s="389"/>
    </row>
    <row r="22" spans="1:252" ht="15.3" x14ac:dyDescent="0.55000000000000004">
      <c r="A22" s="394">
        <f>'[5]Variable Input'!A24</f>
        <v>210028</v>
      </c>
      <c r="B22" s="394" t="str">
        <f>'[5]Variable Input'!B24</f>
        <v xml:space="preserve">MEDSTAR ST. MARY'S HOSPITAL </v>
      </c>
      <c r="C22" s="391">
        <f>VLOOKUP(A22,'[5]Variable Input'!$A:$IV,3,FALSE)</f>
        <v>1</v>
      </c>
      <c r="D22" s="391">
        <f>VLOOKUP(A22,'[5]Variable Input'!$A:$IV,4,FALSE)</f>
        <v>3</v>
      </c>
      <c r="E22" s="395">
        <f>VLOOKUP(A22,PROFIT!$1:$1048576,5,FALSE)+VLOOKUP(A22,[11]PROFIT!$A:$IV,5,FALSE)+VLOOKUP(A22,[12]PROFIT!$A:$IV,5,FALSE)</f>
        <v>73961876.832336128</v>
      </c>
      <c r="F22" s="395">
        <f>VLOOKUP(A22,PROFIT!$1:$1048576,6,FALSE)+VLOOKUP(A22,[11]PROFIT!$A:$IV,6,FALSE)+VLOOKUP(A22,[12]PROFIT!$A:$IV,6,FALSE)</f>
        <v>513121878.4785946</v>
      </c>
      <c r="G22" s="396">
        <f t="shared" si="0"/>
        <v>0.14414095351309703</v>
      </c>
      <c r="H22" s="191"/>
      <c r="I22" s="389"/>
      <c r="J22" s="190"/>
      <c r="K22" s="190"/>
      <c r="L22" s="191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89"/>
      <c r="GZ22" s="389"/>
      <c r="HA22" s="389"/>
      <c r="HB22" s="389"/>
      <c r="HC22" s="389"/>
      <c r="HD22" s="389"/>
      <c r="HE22" s="389"/>
      <c r="HF22" s="389"/>
      <c r="HG22" s="389"/>
      <c r="HH22" s="389"/>
      <c r="HI22" s="389"/>
      <c r="HJ22" s="389"/>
      <c r="HK22" s="389"/>
      <c r="HL22" s="389"/>
      <c r="HM22" s="389"/>
      <c r="HN22" s="389"/>
      <c r="HO22" s="389"/>
      <c r="HP22" s="389"/>
      <c r="HQ22" s="389"/>
      <c r="HR22" s="389"/>
      <c r="HS22" s="389"/>
      <c r="HT22" s="389"/>
      <c r="HU22" s="389"/>
      <c r="HV22" s="389"/>
      <c r="HW22" s="389"/>
      <c r="HX22" s="389"/>
      <c r="HY22" s="389"/>
      <c r="HZ22" s="389"/>
      <c r="IA22" s="389"/>
      <c r="IB22" s="389"/>
      <c r="IC22" s="389"/>
      <c r="ID22" s="389"/>
      <c r="IE22" s="389"/>
      <c r="IF22" s="389"/>
      <c r="IG22" s="389"/>
      <c r="IH22" s="389"/>
      <c r="II22" s="389"/>
      <c r="IJ22" s="389"/>
      <c r="IK22" s="389"/>
      <c r="IL22" s="389"/>
      <c r="IM22" s="389"/>
      <c r="IN22" s="389"/>
      <c r="IO22" s="389"/>
      <c r="IP22" s="389"/>
      <c r="IQ22" s="389"/>
      <c r="IR22" s="389"/>
    </row>
    <row r="23" spans="1:252" ht="15.3" x14ac:dyDescent="0.55000000000000004">
      <c r="A23" s="394">
        <f>'[5]Variable Input'!A25</f>
        <v>210029</v>
      </c>
      <c r="B23" s="394" t="str">
        <f>'[5]Variable Input'!B25</f>
        <v>JOHNS HOPKINS BAYVIEW MEDICAL CENTER</v>
      </c>
      <c r="C23" s="391">
        <f>VLOOKUP(A23,'[5]Variable Input'!$A:$IV,3,FALSE)</f>
        <v>1</v>
      </c>
      <c r="D23" s="391">
        <f>VLOOKUP(A23,'[5]Variable Input'!$A:$IV,4,FALSE)</f>
        <v>5</v>
      </c>
      <c r="E23" s="395">
        <f>VLOOKUP(A23,PROFIT!$1:$1048576,5,FALSE)+VLOOKUP(A23,[11]PROFIT!$A:$IV,5,FALSE)+VLOOKUP(A23,[12]PROFIT!$A:$IV,5,FALSE)</f>
        <v>-3092148.8012445476</v>
      </c>
      <c r="F23" s="395">
        <f>VLOOKUP(A23,PROFIT!$1:$1048576,6,FALSE)+VLOOKUP(A23,[11]PROFIT!$A:$IV,6,FALSE)+VLOOKUP(A23,[12]PROFIT!$A:$IV,6,FALSE)</f>
        <v>1825708245.8898778</v>
      </c>
      <c r="G23" s="396">
        <f t="shared" si="0"/>
        <v>-1.6936708305972444E-3</v>
      </c>
      <c r="H23" s="191"/>
      <c r="I23" s="389"/>
      <c r="J23" s="190"/>
      <c r="K23" s="190"/>
      <c r="L23" s="191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  <c r="BJ23" s="389"/>
      <c r="BK23" s="389"/>
      <c r="BL23" s="389"/>
      <c r="BM23" s="389"/>
      <c r="BN23" s="389"/>
      <c r="BO23" s="389"/>
      <c r="BP23" s="389"/>
      <c r="BQ23" s="389"/>
      <c r="BR23" s="389"/>
      <c r="BS23" s="389"/>
      <c r="BT23" s="389"/>
      <c r="BU23" s="389"/>
      <c r="BV23" s="389"/>
      <c r="BW23" s="389"/>
      <c r="BX23" s="389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389"/>
      <c r="FZ23" s="389"/>
      <c r="GA23" s="389"/>
      <c r="GB23" s="389"/>
      <c r="GC23" s="389"/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89"/>
      <c r="GZ23" s="389"/>
      <c r="HA23" s="389"/>
      <c r="HB23" s="389"/>
      <c r="HC23" s="389"/>
      <c r="HD23" s="389"/>
      <c r="HE23" s="389"/>
      <c r="HF23" s="389"/>
      <c r="HG23" s="389"/>
      <c r="HH23" s="389"/>
      <c r="HI23" s="389"/>
      <c r="HJ23" s="389"/>
      <c r="HK23" s="389"/>
      <c r="HL23" s="389"/>
      <c r="HM23" s="389"/>
      <c r="HN23" s="389"/>
      <c r="HO23" s="389"/>
      <c r="HP23" s="389"/>
      <c r="HQ23" s="389"/>
      <c r="HR23" s="389"/>
      <c r="HS23" s="389"/>
      <c r="HT23" s="389"/>
      <c r="HU23" s="389"/>
      <c r="HV23" s="389"/>
      <c r="HW23" s="389"/>
      <c r="HX23" s="389"/>
      <c r="HY23" s="389"/>
      <c r="HZ23" s="389"/>
      <c r="IA23" s="389"/>
      <c r="IB23" s="389"/>
      <c r="IC23" s="389"/>
      <c r="ID23" s="389"/>
      <c r="IE23" s="389"/>
      <c r="IF23" s="389"/>
      <c r="IG23" s="389"/>
      <c r="IH23" s="389"/>
      <c r="II23" s="389"/>
      <c r="IJ23" s="389"/>
      <c r="IK23" s="389"/>
      <c r="IL23" s="389"/>
      <c r="IM23" s="389"/>
      <c r="IN23" s="389"/>
      <c r="IO23" s="389"/>
      <c r="IP23" s="389"/>
      <c r="IQ23" s="389"/>
      <c r="IR23" s="389"/>
    </row>
    <row r="24" spans="1:252" ht="15.3" x14ac:dyDescent="0.55000000000000004">
      <c r="A24" s="394">
        <f>'[5]Variable Input'!A26</f>
        <v>210030</v>
      </c>
      <c r="B24" s="394" t="str">
        <f>'[5]Variable Input'!B26</f>
        <v>UM-SHORE REGIONAL HEALTH AT CHESTERTOWN</v>
      </c>
      <c r="C24" s="391">
        <f>VLOOKUP(A24,'[5]Variable Input'!$A:$IV,3,FALSE)</f>
        <v>1</v>
      </c>
      <c r="D24" s="391">
        <f>VLOOKUP(A24,'[5]Variable Input'!$A:$IV,4,FALSE)</f>
        <v>3</v>
      </c>
      <c r="E24" s="395">
        <f>VLOOKUP(A24,PROFIT!$1:$1048576,5,FALSE)+VLOOKUP(A24,[11]PROFIT!$A:$IV,5,FALSE)+VLOOKUP(A24,[12]PROFIT!$A:$IV,5,FALSE)</f>
        <v>24298271.29907281</v>
      </c>
      <c r="F24" s="395">
        <f>VLOOKUP(A24,PROFIT!$1:$1048576,6,FALSE)+VLOOKUP(A24,[11]PROFIT!$A:$IV,6,FALSE)+VLOOKUP(A24,[12]PROFIT!$A:$IV,6,FALSE)</f>
        <v>141383529.81335026</v>
      </c>
      <c r="G24" s="396">
        <f t="shared" si="0"/>
        <v>0.17186069219767369</v>
      </c>
      <c r="H24" s="191"/>
      <c r="I24" s="389"/>
      <c r="J24" s="190"/>
      <c r="K24" s="190"/>
      <c r="L24" s="191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89"/>
      <c r="FY24" s="389"/>
      <c r="FZ24" s="389"/>
      <c r="GA24" s="389"/>
      <c r="GB24" s="389"/>
      <c r="GC24" s="389"/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89"/>
      <c r="GZ24" s="389"/>
      <c r="HA24" s="389"/>
      <c r="HB24" s="389"/>
      <c r="HC24" s="389"/>
      <c r="HD24" s="389"/>
      <c r="HE24" s="389"/>
      <c r="HF24" s="389"/>
      <c r="HG24" s="389"/>
      <c r="HH24" s="389"/>
      <c r="HI24" s="389"/>
      <c r="HJ24" s="389"/>
      <c r="HK24" s="389"/>
      <c r="HL24" s="389"/>
      <c r="HM24" s="389"/>
      <c r="HN24" s="389"/>
      <c r="HO24" s="389"/>
      <c r="HP24" s="389"/>
      <c r="HQ24" s="389"/>
      <c r="HR24" s="389"/>
      <c r="HS24" s="389"/>
      <c r="HT24" s="389"/>
      <c r="HU24" s="389"/>
      <c r="HV24" s="389"/>
      <c r="HW24" s="389"/>
      <c r="HX24" s="389"/>
      <c r="HY24" s="389"/>
      <c r="HZ24" s="389"/>
      <c r="IA24" s="389"/>
      <c r="IB24" s="389"/>
      <c r="IC24" s="389"/>
      <c r="ID24" s="389"/>
      <c r="IE24" s="389"/>
      <c r="IF24" s="389"/>
      <c r="IG24" s="389"/>
      <c r="IH24" s="389"/>
      <c r="II24" s="389"/>
      <c r="IJ24" s="389"/>
      <c r="IK24" s="389"/>
      <c r="IL24" s="389"/>
      <c r="IM24" s="389"/>
      <c r="IN24" s="389"/>
      <c r="IO24" s="389"/>
      <c r="IP24" s="389"/>
      <c r="IQ24" s="389"/>
      <c r="IR24" s="389"/>
    </row>
    <row r="25" spans="1:252" ht="15.3" x14ac:dyDescent="0.55000000000000004">
      <c r="A25" s="394">
        <f>'[5]Variable Input'!A27</f>
        <v>210032</v>
      </c>
      <c r="B25" s="394" t="str">
        <f>'[5]Variable Input'!B27</f>
        <v>UNION HOSPITAL OF CECIL COUNTY</v>
      </c>
      <c r="C25" s="391">
        <f>VLOOKUP(A25,'[5]Variable Input'!$A:$IV,3,FALSE)</f>
        <v>1</v>
      </c>
      <c r="D25" s="391">
        <f>VLOOKUP(A25,'[5]Variable Input'!$A:$IV,4,FALSE)</f>
        <v>3</v>
      </c>
      <c r="E25" s="395">
        <f>VLOOKUP(A25,PROFIT!$1:$1048576,5,FALSE)+VLOOKUP(A25,[11]PROFIT!$A:$IV,5,FALSE)+VLOOKUP(A25,[12]PROFIT!$A:$IV,5,FALSE)</f>
        <v>12389716.020088242</v>
      </c>
      <c r="F25" s="395">
        <f>VLOOKUP(A25,PROFIT!$1:$1048576,6,FALSE)+VLOOKUP(A25,[11]PROFIT!$A:$IV,6,FALSE)+VLOOKUP(A25,[12]PROFIT!$A:$IV,6,FALSE)</f>
        <v>425600176.27380228</v>
      </c>
      <c r="G25" s="396">
        <f t="shared" si="0"/>
        <v>2.9111162802050956E-2</v>
      </c>
      <c r="H25" s="191"/>
      <c r="I25" s="389"/>
      <c r="J25" s="190"/>
      <c r="K25" s="190"/>
      <c r="L25" s="191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389"/>
      <c r="FZ25" s="389"/>
      <c r="GA25" s="389"/>
      <c r="GB25" s="389"/>
      <c r="GC25" s="389"/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89"/>
      <c r="GZ25" s="389"/>
      <c r="HA25" s="389"/>
      <c r="HB25" s="389"/>
      <c r="HC25" s="389"/>
      <c r="HD25" s="389"/>
      <c r="HE25" s="389"/>
      <c r="HF25" s="389"/>
      <c r="HG25" s="389"/>
      <c r="HH25" s="389"/>
      <c r="HI25" s="389"/>
      <c r="HJ25" s="389"/>
      <c r="HK25" s="389"/>
      <c r="HL25" s="389"/>
      <c r="HM25" s="389"/>
      <c r="HN25" s="389"/>
      <c r="HO25" s="389"/>
      <c r="HP25" s="389"/>
      <c r="HQ25" s="389"/>
      <c r="HR25" s="389"/>
      <c r="HS25" s="389"/>
      <c r="HT25" s="389"/>
      <c r="HU25" s="389"/>
      <c r="HV25" s="389"/>
      <c r="HW25" s="389"/>
      <c r="HX25" s="389"/>
      <c r="HY25" s="389"/>
      <c r="HZ25" s="389"/>
      <c r="IA25" s="389"/>
      <c r="IB25" s="389"/>
      <c r="IC25" s="389"/>
      <c r="ID25" s="389"/>
      <c r="IE25" s="389"/>
      <c r="IF25" s="389"/>
      <c r="IG25" s="389"/>
      <c r="IH25" s="389"/>
      <c r="II25" s="389"/>
      <c r="IJ25" s="389"/>
      <c r="IK25" s="389"/>
      <c r="IL25" s="389"/>
      <c r="IM25" s="389"/>
      <c r="IN25" s="389"/>
      <c r="IO25" s="389"/>
      <c r="IP25" s="389"/>
      <c r="IQ25" s="389"/>
      <c r="IR25" s="389"/>
    </row>
    <row r="26" spans="1:252" ht="15.3" x14ac:dyDescent="0.55000000000000004">
      <c r="A26" s="394">
        <f>'[5]Variable Input'!A28</f>
        <v>210033</v>
      </c>
      <c r="B26" s="394" t="str">
        <f>'[5]Variable Input'!B28</f>
        <v>CARROLL HOSPITAL CENTER</v>
      </c>
      <c r="C26" s="391">
        <f>VLOOKUP(A26,'[5]Variable Input'!$A:$IV,3,FALSE)</f>
        <v>1</v>
      </c>
      <c r="D26" s="391">
        <f>VLOOKUP(A26,'[5]Variable Input'!$A:$IV,4,FALSE)</f>
        <v>3</v>
      </c>
      <c r="E26" s="395">
        <f>VLOOKUP(A26,PROFIT!$1:$1048576,5,FALSE)+VLOOKUP(A26,[11]PROFIT!$A:$IV,5,FALSE)+VLOOKUP(A26,[12]PROFIT!$A:$IV,5,FALSE)</f>
        <v>81097064.693999901</v>
      </c>
      <c r="F26" s="395">
        <f>VLOOKUP(A26,PROFIT!$1:$1048576,6,FALSE)+VLOOKUP(A26,[11]PROFIT!$A:$IV,6,FALSE)+VLOOKUP(A26,[12]PROFIT!$A:$IV,6,FALSE)</f>
        <v>659761349.41938448</v>
      </c>
      <c r="G26" s="396">
        <f t="shared" si="0"/>
        <v>0.12291878686947706</v>
      </c>
      <c r="H26" s="191"/>
      <c r="I26" s="389"/>
      <c r="J26" s="190"/>
      <c r="K26" s="190"/>
      <c r="L26" s="191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  <c r="BL26" s="389"/>
      <c r="BM26" s="389"/>
      <c r="BN26" s="389"/>
      <c r="BO26" s="389"/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389"/>
      <c r="FZ26" s="389"/>
      <c r="GA26" s="389"/>
      <c r="GB26" s="389"/>
      <c r="GC26" s="389"/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89"/>
      <c r="GZ26" s="389"/>
      <c r="HA26" s="389"/>
      <c r="HB26" s="389"/>
      <c r="HC26" s="389"/>
      <c r="HD26" s="389"/>
      <c r="HE26" s="389"/>
      <c r="HF26" s="389"/>
      <c r="HG26" s="389"/>
      <c r="HH26" s="389"/>
      <c r="HI26" s="389"/>
      <c r="HJ26" s="389"/>
      <c r="HK26" s="389"/>
      <c r="HL26" s="389"/>
      <c r="HM26" s="389"/>
      <c r="HN26" s="389"/>
      <c r="HO26" s="389"/>
      <c r="HP26" s="389"/>
      <c r="HQ26" s="389"/>
      <c r="HR26" s="389"/>
      <c r="HS26" s="389"/>
      <c r="HT26" s="389"/>
      <c r="HU26" s="389"/>
      <c r="HV26" s="389"/>
      <c r="HW26" s="389"/>
      <c r="HX26" s="389"/>
      <c r="HY26" s="389"/>
      <c r="HZ26" s="389"/>
      <c r="IA26" s="389"/>
      <c r="IB26" s="389"/>
      <c r="IC26" s="389"/>
      <c r="ID26" s="389"/>
      <c r="IE26" s="389"/>
      <c r="IF26" s="389"/>
      <c r="IG26" s="389"/>
      <c r="IH26" s="389"/>
      <c r="II26" s="389"/>
      <c r="IJ26" s="389"/>
      <c r="IK26" s="389"/>
      <c r="IL26" s="389"/>
      <c r="IM26" s="389"/>
      <c r="IN26" s="389"/>
      <c r="IO26" s="389"/>
      <c r="IP26" s="389"/>
      <c r="IQ26" s="389"/>
      <c r="IR26" s="389"/>
    </row>
    <row r="27" spans="1:252" ht="15.75" customHeight="1" x14ac:dyDescent="0.55000000000000004">
      <c r="A27" s="394">
        <f>'[5]Variable Input'!A29</f>
        <v>210034</v>
      </c>
      <c r="B27" s="394" t="str">
        <f>'[5]Variable Input'!B29</f>
        <v>MEDSTAR HARBOR HOSPITAL CENTER</v>
      </c>
      <c r="C27" s="391">
        <f>VLOOKUP(A27,'[5]Variable Input'!$A:$IV,3,FALSE)</f>
        <v>1</v>
      </c>
      <c r="D27" s="391">
        <f>VLOOKUP(A27,'[5]Variable Input'!$A:$IV,4,FALSE)</f>
        <v>4</v>
      </c>
      <c r="E27" s="395">
        <f>VLOOKUP(A27,PROFIT!$1:$1048576,5,FALSE)+VLOOKUP(A27,[11]PROFIT!$A:$IV,5,FALSE)+VLOOKUP(A27,[12]PROFIT!$A:$IV,5,FALSE)</f>
        <v>50693090.550401405</v>
      </c>
      <c r="F27" s="395">
        <f>VLOOKUP(A27,PROFIT!$1:$1048576,6,FALSE)+VLOOKUP(A27,[11]PROFIT!$A:$IV,6,FALSE)+VLOOKUP(A27,[12]PROFIT!$A:$IV,6,FALSE)</f>
        <v>507501801.84025633</v>
      </c>
      <c r="G27" s="396">
        <f t="shared" si="0"/>
        <v>9.9887508510477771E-2</v>
      </c>
      <c r="H27" s="191"/>
      <c r="I27" s="389"/>
      <c r="J27" s="190"/>
      <c r="K27" s="190"/>
      <c r="L27" s="191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389"/>
      <c r="FZ27" s="389"/>
      <c r="GA27" s="389"/>
      <c r="GB27" s="389"/>
      <c r="GC27" s="389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89"/>
      <c r="HA27" s="389"/>
      <c r="HB27" s="389"/>
      <c r="HC27" s="389"/>
      <c r="HD27" s="389"/>
      <c r="HE27" s="389"/>
      <c r="HF27" s="389"/>
      <c r="HG27" s="389"/>
      <c r="HH27" s="389"/>
      <c r="HI27" s="389"/>
      <c r="HJ27" s="389"/>
      <c r="HK27" s="389"/>
      <c r="HL27" s="389"/>
      <c r="HM27" s="389"/>
      <c r="HN27" s="389"/>
      <c r="HO27" s="389"/>
      <c r="HP27" s="389"/>
      <c r="HQ27" s="389"/>
      <c r="HR27" s="389"/>
      <c r="HS27" s="389"/>
      <c r="HT27" s="389"/>
      <c r="HU27" s="389"/>
      <c r="HV27" s="389"/>
      <c r="HW27" s="389"/>
      <c r="HX27" s="389"/>
      <c r="HY27" s="389"/>
      <c r="HZ27" s="389"/>
      <c r="IA27" s="389"/>
      <c r="IB27" s="389"/>
      <c r="IC27" s="389"/>
      <c r="ID27" s="389"/>
      <c r="IE27" s="389"/>
      <c r="IF27" s="389"/>
      <c r="IG27" s="389"/>
      <c r="IH27" s="389"/>
      <c r="II27" s="389"/>
      <c r="IJ27" s="389"/>
      <c r="IK27" s="389"/>
      <c r="IL27" s="389"/>
      <c r="IM27" s="389"/>
      <c r="IN27" s="389"/>
      <c r="IO27" s="389"/>
      <c r="IP27" s="389"/>
      <c r="IQ27" s="389"/>
      <c r="IR27" s="389"/>
    </row>
    <row r="28" spans="1:252" ht="15.3" x14ac:dyDescent="0.55000000000000004">
      <c r="A28" s="394">
        <f>'[5]Variable Input'!A30</f>
        <v>210035</v>
      </c>
      <c r="B28" s="394" t="str">
        <f>'[5]Variable Input'!B30</f>
        <v>UM-CHARLES REGIONAL MEDICAL CENTER</v>
      </c>
      <c r="C28" s="391">
        <f>VLOOKUP(A28,'[5]Variable Input'!$A:$IV,3,FALSE)</f>
        <v>1</v>
      </c>
      <c r="D28" s="391">
        <f>VLOOKUP(A28,'[5]Variable Input'!$A:$IV,4,FALSE)</f>
        <v>3</v>
      </c>
      <c r="E28" s="395">
        <f>VLOOKUP(A28,PROFIT!$1:$1048576,5,FALSE)+VLOOKUP(A28,[11]PROFIT!$A:$IV,5,FALSE)+VLOOKUP(A28,[12]PROFIT!$A:$IV,5,FALSE)</f>
        <v>44837549.477513388</v>
      </c>
      <c r="F28" s="395">
        <f>VLOOKUP(A28,PROFIT!$1:$1048576,6,FALSE)+VLOOKUP(A28,[11]PROFIT!$A:$IV,6,FALSE)+VLOOKUP(A28,[12]PROFIT!$A:$IV,6,FALSE)</f>
        <v>416689488.31517965</v>
      </c>
      <c r="G28" s="396">
        <f t="shared" si="0"/>
        <v>0.10760422505210578</v>
      </c>
      <c r="H28" s="191"/>
      <c r="I28" s="389"/>
      <c r="J28" s="190"/>
      <c r="K28" s="190"/>
      <c r="L28" s="191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  <c r="BJ28" s="389"/>
      <c r="BK28" s="389"/>
      <c r="BL28" s="389"/>
      <c r="BM28" s="389"/>
      <c r="BN28" s="389"/>
      <c r="BO28" s="389"/>
      <c r="BP28" s="389"/>
      <c r="BQ28" s="389"/>
      <c r="BR28" s="389"/>
      <c r="BS28" s="389"/>
      <c r="BT28" s="389"/>
      <c r="BU28" s="389"/>
      <c r="BV28" s="389"/>
      <c r="BW28" s="389"/>
      <c r="BX28" s="389"/>
      <c r="BY28" s="389"/>
      <c r="BZ28" s="389"/>
      <c r="CA28" s="389"/>
      <c r="CB28" s="389"/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389"/>
      <c r="FZ28" s="389"/>
      <c r="GA28" s="389"/>
      <c r="GB28" s="389"/>
      <c r="GC28" s="389"/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89"/>
      <c r="GZ28" s="389"/>
      <c r="HA28" s="389"/>
      <c r="HB28" s="389"/>
      <c r="HC28" s="389"/>
      <c r="HD28" s="389"/>
      <c r="HE28" s="389"/>
      <c r="HF28" s="389"/>
      <c r="HG28" s="389"/>
      <c r="HH28" s="389"/>
      <c r="HI28" s="389"/>
      <c r="HJ28" s="389"/>
      <c r="HK28" s="389"/>
      <c r="HL28" s="389"/>
      <c r="HM28" s="389"/>
      <c r="HN28" s="389"/>
      <c r="HO28" s="389"/>
      <c r="HP28" s="389"/>
      <c r="HQ28" s="389"/>
      <c r="HR28" s="389"/>
      <c r="HS28" s="389"/>
      <c r="HT28" s="389"/>
      <c r="HU28" s="389"/>
      <c r="HV28" s="389"/>
      <c r="HW28" s="389"/>
      <c r="HX28" s="389"/>
      <c r="HY28" s="389"/>
      <c r="HZ28" s="389"/>
      <c r="IA28" s="389"/>
      <c r="IB28" s="389"/>
      <c r="IC28" s="389"/>
      <c r="ID28" s="389"/>
      <c r="IE28" s="389"/>
      <c r="IF28" s="389"/>
      <c r="IG28" s="389"/>
      <c r="IH28" s="389"/>
      <c r="II28" s="389"/>
      <c r="IJ28" s="389"/>
      <c r="IK28" s="389"/>
      <c r="IL28" s="389"/>
      <c r="IM28" s="389"/>
      <c r="IN28" s="389"/>
      <c r="IO28" s="389"/>
      <c r="IP28" s="389"/>
      <c r="IQ28" s="389"/>
      <c r="IR28" s="389"/>
    </row>
    <row r="29" spans="1:252" ht="15.3" x14ac:dyDescent="0.55000000000000004">
      <c r="A29" s="394">
        <f>'[5]Variable Input'!A31</f>
        <v>210037</v>
      </c>
      <c r="B29" s="394" t="str">
        <f>'[5]Variable Input'!B31</f>
        <v>UM-SHORE REGIONAL HEALTH AT EASTON</v>
      </c>
      <c r="C29" s="391">
        <f>VLOOKUP(A29,'[5]Variable Input'!$A:$IV,3,FALSE)</f>
        <v>1</v>
      </c>
      <c r="D29" s="391">
        <f>VLOOKUP(A29,'[5]Variable Input'!$A:$IV,4,FALSE)</f>
        <v>3</v>
      </c>
      <c r="E29" s="395">
        <f>VLOOKUP(A29,PROFIT!$1:$1048576,5,FALSE)+VLOOKUP(A29,[11]PROFIT!$A:$IV,5,FALSE)+VLOOKUP(A29,[12]PROFIT!$A:$IV,5,FALSE)</f>
        <v>138055848.21914661</v>
      </c>
      <c r="F29" s="395">
        <f>VLOOKUP(A29,PROFIT!$1:$1048576,6,FALSE)+VLOOKUP(A29,[11]PROFIT!$A:$IV,6,FALSE)+VLOOKUP(A29,[12]PROFIT!$A:$IV,6,FALSE)</f>
        <v>632648731.44710016</v>
      </c>
      <c r="G29" s="396">
        <f t="shared" si="0"/>
        <v>0.21821880193035739</v>
      </c>
      <c r="H29" s="191"/>
      <c r="I29" s="389"/>
      <c r="J29" s="190"/>
      <c r="K29" s="190"/>
      <c r="L29" s="191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89"/>
      <c r="FY29" s="389"/>
      <c r="FZ29" s="389"/>
      <c r="GA29" s="389"/>
      <c r="GB29" s="389"/>
      <c r="GC29" s="389"/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89"/>
      <c r="GZ29" s="389"/>
      <c r="HA29" s="389"/>
      <c r="HB29" s="389"/>
      <c r="HC29" s="389"/>
      <c r="HD29" s="389"/>
      <c r="HE29" s="389"/>
      <c r="HF29" s="389"/>
      <c r="HG29" s="389"/>
      <c r="HH29" s="389"/>
      <c r="HI29" s="389"/>
      <c r="HJ29" s="389"/>
      <c r="HK29" s="389"/>
      <c r="HL29" s="389"/>
      <c r="HM29" s="389"/>
      <c r="HN29" s="389"/>
      <c r="HO29" s="389"/>
      <c r="HP29" s="389"/>
      <c r="HQ29" s="389"/>
      <c r="HR29" s="389"/>
      <c r="HS29" s="389"/>
      <c r="HT29" s="389"/>
      <c r="HU29" s="389"/>
      <c r="HV29" s="389"/>
      <c r="HW29" s="389"/>
      <c r="HX29" s="389"/>
      <c r="HY29" s="389"/>
      <c r="HZ29" s="389"/>
      <c r="IA29" s="389"/>
      <c r="IB29" s="389"/>
      <c r="IC29" s="389"/>
      <c r="ID29" s="389"/>
      <c r="IE29" s="389"/>
      <c r="IF29" s="389"/>
      <c r="IG29" s="389"/>
      <c r="IH29" s="389"/>
      <c r="II29" s="389"/>
      <c r="IJ29" s="389"/>
      <c r="IK29" s="389"/>
      <c r="IL29" s="389"/>
      <c r="IM29" s="389"/>
      <c r="IN29" s="389"/>
      <c r="IO29" s="389"/>
      <c r="IP29" s="389"/>
      <c r="IQ29" s="389"/>
      <c r="IR29" s="389"/>
    </row>
    <row r="30" spans="1:252" ht="15.3" x14ac:dyDescent="0.55000000000000004">
      <c r="A30" s="394">
        <f>'[5]Variable Input'!A32</f>
        <v>210038</v>
      </c>
      <c r="B30" s="394" t="str">
        <f>'[5]Variable Input'!B32</f>
        <v>UMMC MIDTOWN CAMPUS</v>
      </c>
      <c r="C30" s="391">
        <f>VLOOKUP(A30,'[5]Variable Input'!$A:$IV,3,FALSE)</f>
        <v>1</v>
      </c>
      <c r="D30" s="391">
        <f>VLOOKUP(A30,'[5]Variable Input'!$A:$IV,4,FALSE)</f>
        <v>4</v>
      </c>
      <c r="E30" s="395">
        <f>VLOOKUP(A30,PROFIT!$1:$1048576,5,FALSE)+VLOOKUP(A30,[11]PROFIT!$A:$IV,5,FALSE)+VLOOKUP(A30,[12]PROFIT!$A:$IV,5,FALSE)</f>
        <v>46940279.224413119</v>
      </c>
      <c r="F30" s="395">
        <f>VLOOKUP(A30,PROFIT!$1:$1048576,6,FALSE)+VLOOKUP(A30,[11]PROFIT!$A:$IV,6,FALSE)+VLOOKUP(A30,[12]PROFIT!$A:$IV,6,FALSE)</f>
        <v>607148073.24718797</v>
      </c>
      <c r="G30" s="396">
        <f t="shared" si="0"/>
        <v>7.7312736863948406E-2</v>
      </c>
      <c r="H30" s="191"/>
      <c r="I30" s="389"/>
      <c r="J30" s="190"/>
      <c r="K30" s="190"/>
      <c r="L30" s="191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  <c r="BJ30" s="389"/>
      <c r="BK30" s="389"/>
      <c r="BL30" s="389"/>
      <c r="BM30" s="389"/>
      <c r="BN30" s="389"/>
      <c r="BO30" s="389"/>
      <c r="BP30" s="389"/>
      <c r="BQ30" s="389"/>
      <c r="BR30" s="389"/>
      <c r="BS30" s="389"/>
      <c r="BT30" s="389"/>
      <c r="BU30" s="389"/>
      <c r="BV30" s="389"/>
      <c r="BW30" s="389"/>
      <c r="BX30" s="389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389"/>
      <c r="FZ30" s="389"/>
      <c r="GA30" s="389"/>
      <c r="GB30" s="389"/>
      <c r="GC30" s="389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89"/>
      <c r="GZ30" s="389"/>
      <c r="HA30" s="389"/>
      <c r="HB30" s="389"/>
      <c r="HC30" s="389"/>
      <c r="HD30" s="389"/>
      <c r="HE30" s="389"/>
      <c r="HF30" s="389"/>
      <c r="HG30" s="389"/>
      <c r="HH30" s="389"/>
      <c r="HI30" s="389"/>
      <c r="HJ30" s="389"/>
      <c r="HK30" s="389"/>
      <c r="HL30" s="389"/>
      <c r="HM30" s="389"/>
      <c r="HN30" s="389"/>
      <c r="HO30" s="389"/>
      <c r="HP30" s="389"/>
      <c r="HQ30" s="389"/>
      <c r="HR30" s="389"/>
      <c r="HS30" s="389"/>
      <c r="HT30" s="389"/>
      <c r="HU30" s="389"/>
      <c r="HV30" s="389"/>
      <c r="HW30" s="389"/>
      <c r="HX30" s="389"/>
      <c r="HY30" s="389"/>
      <c r="HZ30" s="389"/>
      <c r="IA30" s="389"/>
      <c r="IB30" s="389"/>
      <c r="IC30" s="389"/>
      <c r="ID30" s="389"/>
      <c r="IE30" s="389"/>
      <c r="IF30" s="389"/>
      <c r="IG30" s="389"/>
      <c r="IH30" s="389"/>
      <c r="II30" s="389"/>
      <c r="IJ30" s="389"/>
      <c r="IK30" s="389"/>
      <c r="IL30" s="389"/>
      <c r="IM30" s="389"/>
      <c r="IN30" s="389"/>
      <c r="IO30" s="389"/>
      <c r="IP30" s="389"/>
      <c r="IQ30" s="389"/>
      <c r="IR30" s="389"/>
    </row>
    <row r="31" spans="1:252" ht="15.3" x14ac:dyDescent="0.55000000000000004">
      <c r="A31" s="394">
        <f>'[5]Variable Input'!A33</f>
        <v>210039</v>
      </c>
      <c r="B31" s="394" t="str">
        <f>'[5]Variable Input'!B33</f>
        <v>CALVERT MEMORIAL HOSPITAL</v>
      </c>
      <c r="C31" s="391">
        <f>VLOOKUP(A31,'[5]Variable Input'!$A:$IV,3,FALSE)</f>
        <v>1</v>
      </c>
      <c r="D31" s="391">
        <f>VLOOKUP(A31,'[5]Variable Input'!$A:$IV,4,FALSE)</f>
        <v>3</v>
      </c>
      <c r="E31" s="395">
        <f>VLOOKUP(A31,PROFIT!$1:$1048576,5,FALSE)+VLOOKUP(A31,[11]PROFIT!$A:$IV,5,FALSE)+VLOOKUP(A31,[12]PROFIT!$A:$IV,5,FALSE)</f>
        <v>40695839.402366176</v>
      </c>
      <c r="F31" s="395">
        <f>VLOOKUP(A31,PROFIT!$1:$1048576,6,FALSE)+VLOOKUP(A31,[11]PROFIT!$A:$IV,6,FALSE)+VLOOKUP(A31,[12]PROFIT!$A:$IV,6,FALSE)</f>
        <v>413582014.12512922</v>
      </c>
      <c r="G31" s="396">
        <f t="shared" si="0"/>
        <v>9.839847481871794E-2</v>
      </c>
      <c r="H31" s="191"/>
      <c r="I31" s="389"/>
      <c r="J31" s="190"/>
      <c r="K31" s="190"/>
      <c r="L31" s="191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  <c r="BJ31" s="389"/>
      <c r="BK31" s="389"/>
      <c r="BL31" s="389"/>
      <c r="BM31" s="389"/>
      <c r="BN31" s="389"/>
      <c r="BO31" s="389"/>
      <c r="BP31" s="389"/>
      <c r="BQ31" s="389"/>
      <c r="BR31" s="389"/>
      <c r="BS31" s="389"/>
      <c r="BT31" s="389"/>
      <c r="BU31" s="389"/>
      <c r="BV31" s="389"/>
      <c r="BW31" s="389"/>
      <c r="BX31" s="389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389"/>
      <c r="FZ31" s="389"/>
      <c r="GA31" s="389"/>
      <c r="GB31" s="389"/>
      <c r="GC31" s="389"/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89"/>
      <c r="GZ31" s="389"/>
      <c r="HA31" s="389"/>
      <c r="HB31" s="389"/>
      <c r="HC31" s="389"/>
      <c r="HD31" s="389"/>
      <c r="HE31" s="389"/>
      <c r="HF31" s="389"/>
      <c r="HG31" s="389"/>
      <c r="HH31" s="389"/>
      <c r="HI31" s="389"/>
      <c r="HJ31" s="389"/>
      <c r="HK31" s="389"/>
      <c r="HL31" s="389"/>
      <c r="HM31" s="389"/>
      <c r="HN31" s="389"/>
      <c r="HO31" s="389"/>
      <c r="HP31" s="389"/>
      <c r="HQ31" s="389"/>
      <c r="HR31" s="389"/>
      <c r="HS31" s="389"/>
      <c r="HT31" s="389"/>
      <c r="HU31" s="389"/>
      <c r="HV31" s="389"/>
      <c r="HW31" s="389"/>
      <c r="HX31" s="389"/>
      <c r="HY31" s="389"/>
      <c r="HZ31" s="389"/>
      <c r="IA31" s="389"/>
      <c r="IB31" s="389"/>
      <c r="IC31" s="389"/>
      <c r="ID31" s="389"/>
      <c r="IE31" s="389"/>
      <c r="IF31" s="389"/>
      <c r="IG31" s="389"/>
      <c r="IH31" s="389"/>
      <c r="II31" s="389"/>
      <c r="IJ31" s="389"/>
      <c r="IK31" s="389"/>
      <c r="IL31" s="389"/>
      <c r="IM31" s="389"/>
      <c r="IN31" s="389"/>
      <c r="IO31" s="389"/>
      <c r="IP31" s="389"/>
      <c r="IQ31" s="389"/>
      <c r="IR31" s="389"/>
    </row>
    <row r="32" spans="1:252" ht="15.3" x14ac:dyDescent="0.55000000000000004">
      <c r="A32" s="394">
        <f>'[5]Variable Input'!A34</f>
        <v>210040</v>
      </c>
      <c r="B32" s="394" t="str">
        <f>'[5]Variable Input'!B34</f>
        <v>NORTHWEST HOSPITAL CENTER</v>
      </c>
      <c r="C32" s="391">
        <f>VLOOKUP(A32,'[5]Variable Input'!$A:$IV,3,FALSE)</f>
        <v>1</v>
      </c>
      <c r="D32" s="391">
        <f>VLOOKUP(A32,'[5]Variable Input'!$A:$IV,4,FALSE)</f>
        <v>3</v>
      </c>
      <c r="E32" s="395">
        <f>VLOOKUP(A32,PROFIT!$1:$1048576,5,FALSE)+VLOOKUP(A32,[11]PROFIT!$A:$IV,5,FALSE)+VLOOKUP(A32,[12]PROFIT!$A:$IV,5,FALSE)</f>
        <v>111495214.39957285</v>
      </c>
      <c r="F32" s="395">
        <f>VLOOKUP(A32,PROFIT!$1:$1048576,6,FALSE)+VLOOKUP(A32,[11]PROFIT!$A:$IV,6,FALSE)+VLOOKUP(A32,[12]PROFIT!$A:$IV,6,FALSE)</f>
        <v>732011746.47213292</v>
      </c>
      <c r="G32" s="396">
        <f t="shared" si="0"/>
        <v>0.15231342247841562</v>
      </c>
      <c r="H32" s="191"/>
      <c r="I32" s="389"/>
      <c r="J32" s="190"/>
      <c r="K32" s="190"/>
      <c r="L32" s="191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389"/>
      <c r="FZ32" s="389"/>
      <c r="GA32" s="389"/>
      <c r="GB32" s="389"/>
      <c r="GC32" s="389"/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89"/>
      <c r="GZ32" s="389"/>
      <c r="HA32" s="389"/>
      <c r="HB32" s="389"/>
      <c r="HC32" s="389"/>
      <c r="HD32" s="389"/>
      <c r="HE32" s="389"/>
      <c r="HF32" s="389"/>
      <c r="HG32" s="389"/>
      <c r="HH32" s="389"/>
      <c r="HI32" s="389"/>
      <c r="HJ32" s="389"/>
      <c r="HK32" s="389"/>
      <c r="HL32" s="389"/>
      <c r="HM32" s="389"/>
      <c r="HN32" s="389"/>
      <c r="HO32" s="389"/>
      <c r="HP32" s="389"/>
      <c r="HQ32" s="389"/>
      <c r="HR32" s="389"/>
      <c r="HS32" s="389"/>
      <c r="HT32" s="389"/>
      <c r="HU32" s="389"/>
      <c r="HV32" s="389"/>
      <c r="HW32" s="389"/>
      <c r="HX32" s="389"/>
      <c r="HY32" s="389"/>
      <c r="HZ32" s="389"/>
      <c r="IA32" s="389"/>
      <c r="IB32" s="389"/>
      <c r="IC32" s="389"/>
      <c r="ID32" s="389"/>
      <c r="IE32" s="389"/>
      <c r="IF32" s="389"/>
      <c r="IG32" s="389"/>
      <c r="IH32" s="389"/>
      <c r="II32" s="389"/>
      <c r="IJ32" s="389"/>
      <c r="IK32" s="389"/>
      <c r="IL32" s="389"/>
      <c r="IM32" s="389"/>
      <c r="IN32" s="389"/>
      <c r="IO32" s="389"/>
      <c r="IP32" s="389"/>
      <c r="IQ32" s="389"/>
      <c r="IR32" s="389"/>
    </row>
    <row r="33" spans="1:252" ht="15.3" x14ac:dyDescent="0.55000000000000004">
      <c r="A33" s="394">
        <f>'[5]Variable Input'!A35</f>
        <v>210043</v>
      </c>
      <c r="B33" s="394" t="str">
        <f>'[5]Variable Input'!B35</f>
        <v>UM-BALTIMORE WASHINGTON MEDICAL CENTER</v>
      </c>
      <c r="C33" s="391">
        <f>VLOOKUP(A33,'[5]Variable Input'!$A:$IV,3,FALSE)</f>
        <v>1</v>
      </c>
      <c r="D33" s="391">
        <f>VLOOKUP(A33,'[5]Variable Input'!$A:$IV,4,FALSE)</f>
        <v>1</v>
      </c>
      <c r="E33" s="395">
        <f>VLOOKUP(A33,PROFIT!$1:$1048576,5,FALSE)+VLOOKUP(A33,[11]PROFIT!$A:$IV,5,FALSE)+VLOOKUP(A33,[12]PROFIT!$A:$IV,5,FALSE)</f>
        <v>114082936.87828746</v>
      </c>
      <c r="F33" s="395">
        <f>VLOOKUP(A33,PROFIT!$1:$1048576,6,FALSE)+VLOOKUP(A33,[11]PROFIT!$A:$IV,6,FALSE)+VLOOKUP(A33,[12]PROFIT!$A:$IV,6,FALSE)</f>
        <v>1210895360.8473756</v>
      </c>
      <c r="G33" s="396">
        <f t="shared" si="0"/>
        <v>9.4213703815375971E-2</v>
      </c>
      <c r="H33" s="191"/>
      <c r="I33" s="389"/>
      <c r="J33" s="190"/>
      <c r="K33" s="190"/>
      <c r="L33" s="191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389"/>
      <c r="FZ33" s="389"/>
      <c r="GA33" s="389"/>
      <c r="GB33" s="389"/>
      <c r="GC33" s="389"/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89"/>
      <c r="GZ33" s="389"/>
      <c r="HA33" s="389"/>
      <c r="HB33" s="389"/>
      <c r="HC33" s="389"/>
      <c r="HD33" s="389"/>
      <c r="HE33" s="389"/>
      <c r="HF33" s="389"/>
      <c r="HG33" s="389"/>
      <c r="HH33" s="389"/>
      <c r="HI33" s="389"/>
      <c r="HJ33" s="389"/>
      <c r="HK33" s="389"/>
      <c r="HL33" s="389"/>
      <c r="HM33" s="389"/>
      <c r="HN33" s="389"/>
      <c r="HO33" s="389"/>
      <c r="HP33" s="389"/>
      <c r="HQ33" s="389"/>
      <c r="HR33" s="389"/>
      <c r="HS33" s="389"/>
      <c r="HT33" s="389"/>
      <c r="HU33" s="389"/>
      <c r="HV33" s="389"/>
      <c r="HW33" s="389"/>
      <c r="HX33" s="389"/>
      <c r="HY33" s="389"/>
      <c r="HZ33" s="389"/>
      <c r="IA33" s="389"/>
      <c r="IB33" s="389"/>
      <c r="IC33" s="389"/>
      <c r="ID33" s="389"/>
      <c r="IE33" s="389"/>
      <c r="IF33" s="389"/>
      <c r="IG33" s="389"/>
      <c r="IH33" s="389"/>
      <c r="II33" s="389"/>
      <c r="IJ33" s="389"/>
      <c r="IK33" s="389"/>
      <c r="IL33" s="389"/>
      <c r="IM33" s="389"/>
      <c r="IN33" s="389"/>
      <c r="IO33" s="389"/>
      <c r="IP33" s="389"/>
      <c r="IQ33" s="389"/>
      <c r="IR33" s="389"/>
    </row>
    <row r="34" spans="1:252" ht="15.3" x14ac:dyDescent="0.55000000000000004">
      <c r="A34" s="394">
        <f>'[5]Variable Input'!A36</f>
        <v>210044</v>
      </c>
      <c r="B34" s="394" t="str">
        <f>'[5]Variable Input'!B36</f>
        <v>GREATER BALTIMORE MEDICAL CENTER</v>
      </c>
      <c r="C34" s="391">
        <f>VLOOKUP(A34,'[5]Variable Input'!$A:$IV,3,FALSE)</f>
        <v>1</v>
      </c>
      <c r="D34" s="391">
        <f>VLOOKUP(A34,'[5]Variable Input'!$A:$IV,4,FALSE)</f>
        <v>1</v>
      </c>
      <c r="E34" s="395">
        <f>VLOOKUP(A34,PROFIT!$1:$1048576,5,FALSE)+VLOOKUP(A34,[11]PROFIT!$A:$IV,5,FALSE)+VLOOKUP(A34,[12]PROFIT!$A:$IV,5,FALSE)</f>
        <v>112908128.54638462</v>
      </c>
      <c r="F34" s="395">
        <f>VLOOKUP(A34,PROFIT!$1:$1048576,6,FALSE)+VLOOKUP(A34,[11]PROFIT!$A:$IV,6,FALSE)+VLOOKUP(A34,[12]PROFIT!$A:$IV,6,FALSE)</f>
        <v>1264687257.7239485</v>
      </c>
      <c r="G34" s="396">
        <f t="shared" si="0"/>
        <v>8.9277509405435801E-2</v>
      </c>
      <c r="H34" s="191"/>
      <c r="I34" s="389"/>
      <c r="J34" s="190"/>
      <c r="K34" s="190"/>
      <c r="L34" s="191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389"/>
      <c r="FZ34" s="389"/>
      <c r="GA34" s="389"/>
      <c r="GB34" s="389"/>
      <c r="GC34" s="389"/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89"/>
      <c r="GZ34" s="389"/>
      <c r="HA34" s="389"/>
      <c r="HB34" s="389"/>
      <c r="HC34" s="389"/>
      <c r="HD34" s="389"/>
      <c r="HE34" s="389"/>
      <c r="HF34" s="389"/>
      <c r="HG34" s="389"/>
      <c r="HH34" s="389"/>
      <c r="HI34" s="389"/>
      <c r="HJ34" s="389"/>
      <c r="HK34" s="389"/>
      <c r="HL34" s="389"/>
      <c r="HM34" s="389"/>
      <c r="HN34" s="389"/>
      <c r="HO34" s="389"/>
      <c r="HP34" s="389"/>
      <c r="HQ34" s="389"/>
      <c r="HR34" s="389"/>
      <c r="HS34" s="389"/>
      <c r="HT34" s="389"/>
      <c r="HU34" s="389"/>
      <c r="HV34" s="389"/>
      <c r="HW34" s="389"/>
      <c r="HX34" s="389"/>
      <c r="HY34" s="389"/>
      <c r="HZ34" s="389"/>
      <c r="IA34" s="389"/>
      <c r="IB34" s="389"/>
      <c r="IC34" s="389"/>
      <c r="ID34" s="389"/>
      <c r="IE34" s="389"/>
      <c r="IF34" s="389"/>
      <c r="IG34" s="389"/>
      <c r="IH34" s="389"/>
      <c r="II34" s="389"/>
      <c r="IJ34" s="389"/>
      <c r="IK34" s="389"/>
      <c r="IL34" s="389"/>
      <c r="IM34" s="389"/>
      <c r="IN34" s="389"/>
      <c r="IO34" s="389"/>
      <c r="IP34" s="389"/>
      <c r="IQ34" s="389"/>
      <c r="IR34" s="389"/>
    </row>
    <row r="35" spans="1:252" ht="15.3" x14ac:dyDescent="0.55000000000000004">
      <c r="A35" s="394">
        <f>'[5]Variable Input'!A38</f>
        <v>210048</v>
      </c>
      <c r="B35" s="394" t="str">
        <f>'[5]Variable Input'!B38</f>
        <v>HOWARD COUNTY GENERAL HOSPITAL</v>
      </c>
      <c r="C35" s="391">
        <f>VLOOKUP(A35,'[5]Variable Input'!$A:$IV,3,FALSE)</f>
        <v>1</v>
      </c>
      <c r="D35" s="391">
        <f>VLOOKUP(A35,'[5]Variable Input'!$A:$IV,4,FALSE)</f>
        <v>3</v>
      </c>
      <c r="E35" s="395">
        <f>VLOOKUP(A35,PROFIT!$1:$1048576,5,FALSE)+VLOOKUP(A35,[11]PROFIT!$A:$IV,5,FALSE)+VLOOKUP(A35,[12]PROFIT!$A:$IV,5,FALSE)</f>
        <v>20942428.034912713</v>
      </c>
      <c r="F35" s="395">
        <f>VLOOKUP(A35,PROFIT!$1:$1048576,6,FALSE)+VLOOKUP(A35,[11]PROFIT!$A:$IV,6,FALSE)+VLOOKUP(A35,[12]PROFIT!$A:$IV,6,FALSE)</f>
        <v>832327786.87091279</v>
      </c>
      <c r="G35" s="396">
        <f t="shared" si="0"/>
        <v>2.5161274638738827E-2</v>
      </c>
      <c r="H35" s="191"/>
      <c r="I35" s="389"/>
      <c r="J35" s="190"/>
      <c r="K35" s="190"/>
      <c r="L35" s="191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389"/>
      <c r="FZ35" s="389"/>
      <c r="GA35" s="389"/>
      <c r="GB35" s="389"/>
      <c r="GC35" s="389"/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89"/>
      <c r="GZ35" s="389"/>
      <c r="HA35" s="389"/>
      <c r="HB35" s="389"/>
      <c r="HC35" s="389"/>
      <c r="HD35" s="389"/>
      <c r="HE35" s="389"/>
      <c r="HF35" s="389"/>
      <c r="HG35" s="389"/>
      <c r="HH35" s="389"/>
      <c r="HI35" s="389"/>
      <c r="HJ35" s="389"/>
      <c r="HK35" s="389"/>
      <c r="HL35" s="389"/>
      <c r="HM35" s="389"/>
      <c r="HN35" s="389"/>
      <c r="HO35" s="389"/>
      <c r="HP35" s="389"/>
      <c r="HQ35" s="389"/>
      <c r="HR35" s="389"/>
      <c r="HS35" s="389"/>
      <c r="HT35" s="389"/>
      <c r="HU35" s="389"/>
      <c r="HV35" s="389"/>
      <c r="HW35" s="389"/>
      <c r="HX35" s="389"/>
      <c r="HY35" s="389"/>
      <c r="HZ35" s="389"/>
      <c r="IA35" s="389"/>
      <c r="IB35" s="389"/>
      <c r="IC35" s="389"/>
      <c r="ID35" s="389"/>
      <c r="IE35" s="389"/>
      <c r="IF35" s="389"/>
      <c r="IG35" s="389"/>
      <c r="IH35" s="389"/>
      <c r="II35" s="389"/>
      <c r="IJ35" s="389"/>
      <c r="IK35" s="389"/>
      <c r="IL35" s="389"/>
      <c r="IM35" s="389"/>
      <c r="IN35" s="389"/>
      <c r="IO35" s="389"/>
      <c r="IP35" s="389"/>
      <c r="IQ35" s="389"/>
      <c r="IR35" s="389"/>
    </row>
    <row r="36" spans="1:252" ht="15.3" x14ac:dyDescent="0.55000000000000004">
      <c r="A36" s="394">
        <f>'[5]Variable Input'!A39</f>
        <v>210049</v>
      </c>
      <c r="B36" s="394" t="str">
        <f>'[5]Variable Input'!B39</f>
        <v>UM-UPPER CHESAPEAKE MEDICAL CENTER</v>
      </c>
      <c r="C36" s="391">
        <f>VLOOKUP(A36,'[5]Variable Input'!$A:$IV,3,FALSE)</f>
        <v>1</v>
      </c>
      <c r="D36" s="391">
        <f>VLOOKUP(A36,'[5]Variable Input'!$A:$IV,4,FALSE)</f>
        <v>3</v>
      </c>
      <c r="E36" s="395">
        <f>VLOOKUP(A36,PROFIT!$1:$1048576,5,FALSE)+VLOOKUP(A36,[11]PROFIT!$A:$IV,5,FALSE)+VLOOKUP(A36,[12]PROFIT!$A:$IV,5,FALSE)</f>
        <v>146693952.93013915</v>
      </c>
      <c r="F36" s="395">
        <f>VLOOKUP(A36,PROFIT!$1:$1048576,6,FALSE)+VLOOKUP(A36,[11]PROFIT!$A:$IV,6,FALSE)+VLOOKUP(A36,[12]PROFIT!$A:$IV,6,FALSE)</f>
        <v>904533568.22995687</v>
      </c>
      <c r="G36" s="396">
        <f t="shared" si="0"/>
        <v>0.16217635042245948</v>
      </c>
      <c r="H36" s="191"/>
      <c r="I36" s="389"/>
      <c r="J36" s="190"/>
      <c r="K36" s="190"/>
      <c r="L36" s="191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  <c r="BJ36" s="389"/>
      <c r="BK36" s="389"/>
      <c r="BL36" s="389"/>
      <c r="BM36" s="389"/>
      <c r="BN36" s="389"/>
      <c r="BO36" s="389"/>
      <c r="BP36" s="389"/>
      <c r="BQ36" s="389"/>
      <c r="BR36" s="389"/>
      <c r="BS36" s="389"/>
      <c r="BT36" s="389"/>
      <c r="BU36" s="389"/>
      <c r="BV36" s="389"/>
      <c r="BW36" s="389"/>
      <c r="BX36" s="389"/>
      <c r="BY36" s="389"/>
      <c r="BZ36" s="389"/>
      <c r="CA36" s="389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389"/>
      <c r="FZ36" s="389"/>
      <c r="GA36" s="389"/>
      <c r="GB36" s="389"/>
      <c r="GC36" s="389"/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89"/>
      <c r="GZ36" s="389"/>
      <c r="HA36" s="389"/>
      <c r="HB36" s="389"/>
      <c r="HC36" s="389"/>
      <c r="HD36" s="389"/>
      <c r="HE36" s="389"/>
      <c r="HF36" s="389"/>
      <c r="HG36" s="389"/>
      <c r="HH36" s="389"/>
      <c r="HI36" s="389"/>
      <c r="HJ36" s="389"/>
      <c r="HK36" s="389"/>
      <c r="HL36" s="389"/>
      <c r="HM36" s="389"/>
      <c r="HN36" s="389"/>
      <c r="HO36" s="389"/>
      <c r="HP36" s="389"/>
      <c r="HQ36" s="389"/>
      <c r="HR36" s="389"/>
      <c r="HS36" s="389"/>
      <c r="HT36" s="389"/>
      <c r="HU36" s="389"/>
      <c r="HV36" s="389"/>
      <c r="HW36" s="389"/>
      <c r="HX36" s="389"/>
      <c r="HY36" s="389"/>
      <c r="HZ36" s="389"/>
      <c r="IA36" s="389"/>
      <c r="IB36" s="389"/>
      <c r="IC36" s="389"/>
      <c r="ID36" s="389"/>
      <c r="IE36" s="389"/>
      <c r="IF36" s="389"/>
      <c r="IG36" s="389"/>
      <c r="IH36" s="389"/>
      <c r="II36" s="389"/>
      <c r="IJ36" s="389"/>
      <c r="IK36" s="389"/>
      <c r="IL36" s="389"/>
      <c r="IM36" s="389"/>
      <c r="IN36" s="389"/>
      <c r="IO36" s="389"/>
      <c r="IP36" s="389"/>
      <c r="IQ36" s="389"/>
      <c r="IR36" s="389"/>
    </row>
    <row r="37" spans="1:252" ht="15.3" x14ac:dyDescent="0.55000000000000004">
      <c r="A37" s="394">
        <f>'[5]Variable Input'!A40</f>
        <v>210051</v>
      </c>
      <c r="B37" s="394" t="str">
        <f>'[5]Variable Input'!B40</f>
        <v>DOCTORS COMMUNITY HOSPITAL</v>
      </c>
      <c r="C37" s="391">
        <f>VLOOKUP(A37,'[5]Variable Input'!$A:$IV,3,FALSE)</f>
        <v>1</v>
      </c>
      <c r="D37" s="391">
        <f>VLOOKUP(A37,'[5]Variable Input'!$A:$IV,4,FALSE)</f>
        <v>3</v>
      </c>
      <c r="E37" s="395">
        <f>VLOOKUP(A37,PROFIT!$1:$1048576,5,FALSE)+VLOOKUP(A37,[11]PROFIT!$A:$IV,5,FALSE)+VLOOKUP(A37,[12]PROFIT!$A:$IV,5,FALSE)</f>
        <v>54453711.292862087</v>
      </c>
      <c r="F37" s="395">
        <f>VLOOKUP(A37,PROFIT!$1:$1048576,6,FALSE)+VLOOKUP(A37,[11]PROFIT!$A:$IV,6,FALSE)+VLOOKUP(A37,[12]PROFIT!$A:$IV,6,FALSE)</f>
        <v>660386384.95680881</v>
      </c>
      <c r="G37" s="396">
        <f t="shared" si="0"/>
        <v>8.2457350020054582E-2</v>
      </c>
      <c r="H37" s="191"/>
      <c r="I37" s="389"/>
      <c r="J37" s="190"/>
      <c r="K37" s="190"/>
      <c r="L37" s="191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  <c r="BJ37" s="389"/>
      <c r="BK37" s="389"/>
      <c r="BL37" s="389"/>
      <c r="BM37" s="389"/>
      <c r="BN37" s="389"/>
      <c r="BO37" s="389"/>
      <c r="BP37" s="389"/>
      <c r="BQ37" s="389"/>
      <c r="BR37" s="389"/>
      <c r="BS37" s="389"/>
      <c r="BT37" s="389"/>
      <c r="BU37" s="389"/>
      <c r="BV37" s="389"/>
      <c r="BW37" s="389"/>
      <c r="BX37" s="389"/>
      <c r="BY37" s="389"/>
      <c r="BZ37" s="389"/>
      <c r="CA37" s="389"/>
      <c r="CB37" s="389"/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389"/>
      <c r="FZ37" s="389"/>
      <c r="GA37" s="389"/>
      <c r="GB37" s="389"/>
      <c r="GC37" s="389"/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89"/>
      <c r="GZ37" s="389"/>
      <c r="HA37" s="389"/>
      <c r="HB37" s="389"/>
      <c r="HC37" s="389"/>
      <c r="HD37" s="389"/>
      <c r="HE37" s="389"/>
      <c r="HF37" s="389"/>
      <c r="HG37" s="389"/>
      <c r="HH37" s="389"/>
      <c r="HI37" s="389"/>
      <c r="HJ37" s="389"/>
      <c r="HK37" s="389"/>
      <c r="HL37" s="389"/>
      <c r="HM37" s="389"/>
      <c r="HN37" s="389"/>
      <c r="HO37" s="389"/>
      <c r="HP37" s="389"/>
      <c r="HQ37" s="389"/>
      <c r="HR37" s="389"/>
      <c r="HS37" s="389"/>
      <c r="HT37" s="389"/>
      <c r="HU37" s="389"/>
      <c r="HV37" s="389"/>
      <c r="HW37" s="389"/>
      <c r="HX37" s="389"/>
      <c r="HY37" s="389"/>
      <c r="HZ37" s="389"/>
      <c r="IA37" s="389"/>
      <c r="IB37" s="389"/>
      <c r="IC37" s="389"/>
      <c r="ID37" s="389"/>
      <c r="IE37" s="389"/>
      <c r="IF37" s="389"/>
      <c r="IG37" s="389"/>
      <c r="IH37" s="389"/>
      <c r="II37" s="389"/>
      <c r="IJ37" s="389"/>
      <c r="IK37" s="389"/>
      <c r="IL37" s="389"/>
      <c r="IM37" s="389"/>
      <c r="IN37" s="389"/>
      <c r="IO37" s="389"/>
      <c r="IP37" s="389"/>
      <c r="IQ37" s="389"/>
      <c r="IR37" s="389"/>
    </row>
    <row r="38" spans="1:252" ht="15.3" x14ac:dyDescent="0.55000000000000004">
      <c r="A38" s="394">
        <f>'[5]Variable Input'!A42</f>
        <v>210056</v>
      </c>
      <c r="B38" s="394" t="str">
        <f>'[5]Variable Input'!B42</f>
        <v>MEDSTAR GOOD SAMARITAN</v>
      </c>
      <c r="C38" s="391">
        <f>VLOOKUP(A38,'[5]Variable Input'!$A:$IV,3,FALSE)</f>
        <v>1</v>
      </c>
      <c r="D38" s="391">
        <f>VLOOKUP(A38,'[5]Variable Input'!$A:$IV,4,FALSE)</f>
        <v>1</v>
      </c>
      <c r="E38" s="395">
        <f>VLOOKUP(A38,PROFIT!$1:$1048576,5,FALSE)+VLOOKUP(A38,[11]PROFIT!$A:$IV,5,FALSE)+VLOOKUP(A38,[12]PROFIT!$A:$IV,5,FALSE)</f>
        <v>52046214.354791373</v>
      </c>
      <c r="F38" s="395">
        <f>VLOOKUP(A38,PROFIT!$1:$1048576,6,FALSE)+VLOOKUP(A38,[11]PROFIT!$A:$IV,6,FALSE)+VLOOKUP(A38,[12]PROFIT!$A:$IV,6,FALSE)</f>
        <v>709565368.85830426</v>
      </c>
      <c r="G38" s="396">
        <f t="shared" si="0"/>
        <v>7.3349428592511645E-2</v>
      </c>
      <c r="H38" s="191"/>
      <c r="I38" s="389"/>
      <c r="J38" s="190"/>
      <c r="K38" s="190"/>
      <c r="L38" s="191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  <c r="IR38" s="389"/>
    </row>
    <row r="39" spans="1:252" ht="15.3" x14ac:dyDescent="0.55000000000000004">
      <c r="A39" s="394">
        <f>'[5]Variable Input'!A43</f>
        <v>210057</v>
      </c>
      <c r="B39" s="394" t="str">
        <f>'[5]Variable Input'!B43</f>
        <v>SHADY GROVE ADVENTIST HOSPITAL</v>
      </c>
      <c r="C39" s="391">
        <f>VLOOKUP(A39,'[5]Variable Input'!$A:$IV,3,FALSE)</f>
        <v>1</v>
      </c>
      <c r="D39" s="391">
        <f>VLOOKUP(A39,'[5]Variable Input'!$A:$IV,4,FALSE)</f>
        <v>3</v>
      </c>
      <c r="E39" s="395">
        <f>VLOOKUP(A39,PROFIT!$1:$1048576,5,FALSE)+VLOOKUP(A39,[11]PROFIT!$A:$IV,5,FALSE)+VLOOKUP(A39,[12]PROFIT!$A:$IV,5,FALSE)</f>
        <v>143749970.56879142</v>
      </c>
      <c r="F39" s="395">
        <f>VLOOKUP(A39,PROFIT!$1:$1048576,6,FALSE)+VLOOKUP(A39,[11]PROFIT!$A:$IV,6,FALSE)+VLOOKUP(A39,[12]PROFIT!$A:$IV,6,FALSE)</f>
        <v>1190546441.1387916</v>
      </c>
      <c r="G39" s="396">
        <f t="shared" si="0"/>
        <v>0.12074285017499231</v>
      </c>
      <c r="H39" s="191"/>
      <c r="I39" s="389"/>
      <c r="J39" s="190"/>
      <c r="K39" s="190"/>
      <c r="L39" s="191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  <c r="IR39" s="389"/>
    </row>
    <row r="40" spans="1:252" ht="15.3" x14ac:dyDescent="0.55000000000000004">
      <c r="A40" s="394">
        <f>'[5]Variable Input'!A44</f>
        <v>210058</v>
      </c>
      <c r="B40" s="394" t="str">
        <f>'[5]Variable Input'!B44</f>
        <v>UM-REHABILITATION &amp; ORTHOPAEDIC INSTITUTE</v>
      </c>
      <c r="C40" s="391">
        <f>VLOOKUP(A40,'[5]Variable Input'!$A:$IV,3,FALSE)</f>
        <v>1</v>
      </c>
      <c r="D40" s="391">
        <f>VLOOKUP(A40,'[5]Variable Input'!$A:$IV,4,FALSE)</f>
        <v>1</v>
      </c>
      <c r="E40" s="395">
        <f>VLOOKUP(A40,PROFIT!$1:$1048576,5,FALSE)+VLOOKUP(A40,[11]PROFIT!$A:$IV,5,FALSE)+VLOOKUP(A40,[12]PROFIT!$A:$IV,5,FALSE)</f>
        <v>25955648.204098176</v>
      </c>
      <c r="F40" s="395">
        <f>VLOOKUP(A40,PROFIT!$1:$1048576,6,FALSE)+VLOOKUP(A40,[11]PROFIT!$A:$IV,6,FALSE)+VLOOKUP(A40,[12]PROFIT!$A:$IV,6,FALSE)</f>
        <v>341425610.22773314</v>
      </c>
      <c r="G40" s="396">
        <f t="shared" si="0"/>
        <v>7.6021386289053083E-2</v>
      </c>
      <c r="H40" s="191"/>
      <c r="I40" s="389"/>
      <c r="J40" s="190"/>
      <c r="K40" s="190"/>
      <c r="L40" s="191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389"/>
      <c r="FZ40" s="389"/>
      <c r="GA40" s="389"/>
      <c r="GB40" s="389"/>
      <c r="GC40" s="389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89"/>
      <c r="GT40" s="389"/>
      <c r="GU40" s="389"/>
      <c r="GV40" s="389"/>
      <c r="GW40" s="389"/>
      <c r="GX40" s="389"/>
      <c r="GY40" s="389"/>
      <c r="GZ40" s="389"/>
      <c r="HA40" s="389"/>
      <c r="HB40" s="389"/>
      <c r="HC40" s="389"/>
      <c r="HD40" s="389"/>
      <c r="HE40" s="389"/>
      <c r="HF40" s="389"/>
      <c r="HG40" s="389"/>
      <c r="HH40" s="389"/>
      <c r="HI40" s="389"/>
      <c r="HJ40" s="389"/>
      <c r="HK40" s="389"/>
      <c r="HL40" s="389"/>
      <c r="HM40" s="389"/>
      <c r="HN40" s="389"/>
      <c r="HO40" s="389"/>
      <c r="HP40" s="389"/>
      <c r="HQ40" s="389"/>
      <c r="HR40" s="389"/>
      <c r="HS40" s="389"/>
      <c r="HT40" s="389"/>
      <c r="HU40" s="389"/>
      <c r="HV40" s="389"/>
      <c r="HW40" s="389"/>
      <c r="HX40" s="389"/>
      <c r="HY40" s="389"/>
      <c r="HZ40" s="389"/>
      <c r="IA40" s="389"/>
      <c r="IB40" s="389"/>
      <c r="IC40" s="389"/>
      <c r="ID40" s="389"/>
      <c r="IE40" s="389"/>
      <c r="IF40" s="389"/>
      <c r="IG40" s="389"/>
      <c r="IH40" s="389"/>
      <c r="II40" s="389"/>
      <c r="IJ40" s="389"/>
      <c r="IK40" s="389"/>
      <c r="IL40" s="389"/>
      <c r="IM40" s="389"/>
      <c r="IN40" s="389"/>
      <c r="IO40" s="389"/>
      <c r="IP40" s="389"/>
      <c r="IQ40" s="389"/>
      <c r="IR40" s="389"/>
    </row>
    <row r="41" spans="1:252" ht="15.3" x14ac:dyDescent="0.55000000000000004">
      <c r="A41" s="394">
        <f>'[5]Variable Input'!A45</f>
        <v>210060</v>
      </c>
      <c r="B41" s="394" t="str">
        <f>'[5]Variable Input'!B45</f>
        <v>FORT WASHINGTON MEDICAL CENTER</v>
      </c>
      <c r="C41" s="391">
        <f>VLOOKUP(A41,'[5]Variable Input'!$A:$IV,3,FALSE)</f>
        <v>1</v>
      </c>
      <c r="D41" s="391">
        <f>VLOOKUP(A41,'[5]Variable Input'!$A:$IV,4,FALSE)</f>
        <v>3</v>
      </c>
      <c r="E41" s="395">
        <f>VLOOKUP(A41,PROFIT!$1:$1048576,5,FALSE)+VLOOKUP(A41,[11]PROFIT!$A:$IV,5,FALSE)+VLOOKUP(A41,[12]PROFIT!$A:$IV,5,FALSE)</f>
        <v>8362621.7237178646</v>
      </c>
      <c r="F41" s="395">
        <f>VLOOKUP(A41,PROFIT!$1:$1048576,6,FALSE)+VLOOKUP(A41,[11]PROFIT!$A:$IV,6,FALSE)+VLOOKUP(A41,[12]PROFIT!$A:$IV,6,FALSE)</f>
        <v>149538800.42019406</v>
      </c>
      <c r="G41" s="396">
        <f t="shared" si="0"/>
        <v>5.5922755166013471E-2</v>
      </c>
      <c r="H41" s="191"/>
      <c r="I41" s="389"/>
      <c r="J41" s="190"/>
      <c r="K41" s="190"/>
      <c r="L41" s="191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  <c r="IR41" s="389"/>
    </row>
    <row r="42" spans="1:252" ht="15.3" x14ac:dyDescent="0.55000000000000004">
      <c r="A42" s="394">
        <f>'[5]Variable Input'!A46</f>
        <v>210061</v>
      </c>
      <c r="B42" s="394" t="str">
        <f>'[5]Variable Input'!B46</f>
        <v>ATLANTIC GENERAL HOSPITAL</v>
      </c>
      <c r="C42" s="391">
        <f>VLOOKUP(A42,'[5]Variable Input'!$A:$IV,3,FALSE)</f>
        <v>1</v>
      </c>
      <c r="D42" s="391">
        <f>VLOOKUP(A42,'[5]Variable Input'!$A:$IV,4,FALSE)</f>
        <v>3</v>
      </c>
      <c r="E42" s="395">
        <f>VLOOKUP(A42,PROFIT!$1:$1048576,5,FALSE)+VLOOKUP(A42,[11]PROFIT!$A:$IV,5,FALSE)+VLOOKUP(A42,[12]PROFIT!$A:$IV,5,FALSE)</f>
        <v>55769111.90579433</v>
      </c>
      <c r="F42" s="395">
        <f>VLOOKUP(A42,PROFIT!$1:$1048576,6,FALSE)+VLOOKUP(A42,[11]PROFIT!$A:$IV,6,FALSE)+VLOOKUP(A42,[12]PROFIT!$A:$IV,6,FALSE)</f>
        <v>305190126.35748398</v>
      </c>
      <c r="G42" s="396">
        <f t="shared" si="0"/>
        <v>0.18273563621278255</v>
      </c>
      <c r="H42" s="191"/>
      <c r="I42" s="389"/>
      <c r="J42" s="190"/>
      <c r="K42" s="190"/>
      <c r="L42" s="191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  <c r="IR42" s="389"/>
    </row>
    <row r="43" spans="1:252" ht="15.3" x14ac:dyDescent="0.55000000000000004">
      <c r="A43" s="394">
        <f>'[5]Variable Input'!A47</f>
        <v>210062</v>
      </c>
      <c r="B43" s="394" t="str">
        <f>'[5]Variable Input'!B47</f>
        <v>MEDSTAR SOUTHERN MARYLAND HOSPITAL CENTER</v>
      </c>
      <c r="C43" s="391">
        <f>VLOOKUP(A43,'[5]Variable Input'!$A:$IV,3,FALSE)</f>
        <v>1</v>
      </c>
      <c r="D43" s="391">
        <f>VLOOKUP(A43,'[5]Variable Input'!$A:$IV,4,FALSE)</f>
        <v>3</v>
      </c>
      <c r="E43" s="395">
        <f>VLOOKUP(A43,PROFIT!$1:$1048576,5,FALSE)+VLOOKUP(A43,[11]PROFIT!$A:$IV,5,FALSE)+VLOOKUP(A43,[12]PROFIT!$A:$IV,5,FALSE)</f>
        <v>33339953.678423457</v>
      </c>
      <c r="F43" s="395">
        <f>VLOOKUP(A43,PROFIT!$1:$1048576,6,FALSE)+VLOOKUP(A43,[11]PROFIT!$A:$IV,6,FALSE)+VLOOKUP(A43,[12]PROFIT!$A:$IV,6,FALSE)</f>
        <v>721355199.5725143</v>
      </c>
      <c r="G43" s="396">
        <f t="shared" si="0"/>
        <v>4.6218497763904944E-2</v>
      </c>
      <c r="H43" s="191"/>
      <c r="I43" s="389"/>
      <c r="J43" s="190"/>
      <c r="K43" s="190"/>
      <c r="L43" s="191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389"/>
      <c r="BX43" s="389"/>
      <c r="BY43" s="389"/>
      <c r="BZ43" s="389"/>
      <c r="CA43" s="389"/>
      <c r="CB43" s="389"/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389"/>
      <c r="FZ43" s="389"/>
      <c r="GA43" s="389"/>
      <c r="GB43" s="389"/>
      <c r="GC43" s="389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89"/>
      <c r="GT43" s="389"/>
      <c r="GU43" s="389"/>
      <c r="GV43" s="389"/>
      <c r="GW43" s="389"/>
      <c r="GX43" s="389"/>
      <c r="GY43" s="389"/>
      <c r="GZ43" s="389"/>
      <c r="HA43" s="389"/>
      <c r="HB43" s="389"/>
      <c r="HC43" s="389"/>
      <c r="HD43" s="389"/>
      <c r="HE43" s="389"/>
      <c r="HF43" s="389"/>
      <c r="HG43" s="389"/>
      <c r="HH43" s="389"/>
      <c r="HI43" s="389"/>
      <c r="HJ43" s="389"/>
      <c r="HK43" s="389"/>
      <c r="HL43" s="389"/>
      <c r="HM43" s="389"/>
      <c r="HN43" s="389"/>
      <c r="HO43" s="389"/>
      <c r="HP43" s="389"/>
      <c r="HQ43" s="389"/>
      <c r="HR43" s="389"/>
      <c r="HS43" s="389"/>
      <c r="HT43" s="389"/>
      <c r="HU43" s="389"/>
      <c r="HV43" s="389"/>
      <c r="HW43" s="389"/>
      <c r="HX43" s="389"/>
      <c r="HY43" s="389"/>
      <c r="HZ43" s="389"/>
      <c r="IA43" s="389"/>
      <c r="IB43" s="389"/>
      <c r="IC43" s="389"/>
      <c r="ID43" s="389"/>
      <c r="IE43" s="389"/>
      <c r="IF43" s="389"/>
      <c r="IG43" s="389"/>
      <c r="IH43" s="389"/>
      <c r="II43" s="389"/>
      <c r="IJ43" s="389"/>
      <c r="IK43" s="389"/>
      <c r="IL43" s="389"/>
      <c r="IM43" s="389"/>
      <c r="IN43" s="389"/>
      <c r="IO43" s="389"/>
      <c r="IP43" s="389"/>
      <c r="IQ43" s="389"/>
      <c r="IR43" s="389"/>
    </row>
    <row r="44" spans="1:252" ht="15.3" x14ac:dyDescent="0.55000000000000004">
      <c r="A44" s="394">
        <f>'[5]Variable Input'!A48</f>
        <v>210063</v>
      </c>
      <c r="B44" s="394" t="str">
        <f>'[5]Variable Input'!B48</f>
        <v>UM-ST. JOSEPH MEDICAL CENTER</v>
      </c>
      <c r="C44" s="391">
        <f>VLOOKUP(A44,'[5]Variable Input'!$A:$IV,3,FALSE)</f>
        <v>1</v>
      </c>
      <c r="D44" s="391">
        <f>VLOOKUP(A44,'[5]Variable Input'!$A:$IV,4,FALSE)</f>
        <v>3</v>
      </c>
      <c r="E44" s="395">
        <f>VLOOKUP(A44,PROFIT!$1:$1048576,5,FALSE)+VLOOKUP(A44,[11]PROFIT!$A:$IV,5,FALSE)+VLOOKUP(A44,[12]PROFIT!$A:$IV,5,FALSE)</f>
        <v>145894212.67411143</v>
      </c>
      <c r="F44" s="395">
        <f>VLOOKUP(A44,PROFIT!$1:$1048576,6,FALSE)+VLOOKUP(A44,[11]PROFIT!$A:$IV,6,FALSE)+VLOOKUP(A44,[12]PROFIT!$A:$IV,6,FALSE)</f>
        <v>1076126777.2527368</v>
      </c>
      <c r="G44" s="396">
        <f t="shared" si="0"/>
        <v>0.13557344335076146</v>
      </c>
      <c r="H44" s="191"/>
      <c r="I44" s="389"/>
      <c r="J44" s="190"/>
      <c r="K44" s="190"/>
      <c r="L44" s="191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  <c r="IR44" s="389"/>
    </row>
    <row r="45" spans="1:252" ht="15.3" x14ac:dyDescent="0.55000000000000004">
      <c r="A45" s="394">
        <v>210065</v>
      </c>
      <c r="B45" s="394" t="s">
        <v>81</v>
      </c>
      <c r="C45" s="391">
        <f>VLOOKUP(A45,'[5]Variable Input'!$A:$IV,3,FALSE)</f>
        <v>1</v>
      </c>
      <c r="D45" s="391">
        <f>VLOOKUP(A45,'[5]Variable Input'!$A:$IV,4,FALSE)</f>
        <v>3</v>
      </c>
      <c r="E45" s="395">
        <f>VLOOKUP(A45,PROFIT!$1:$1048576,5,FALSE)+VLOOKUP(A45,[11]PROFIT!$A:$IV,5,FALSE)+VLOOKUP(A45,[12]PROFIT!$A:$IV,5,FALSE)</f>
        <v>-10162989.235349905</v>
      </c>
      <c r="F45" s="395">
        <f>VLOOKUP(A45,PROFIT!$1:$1048576,6,FALSE)+VLOOKUP(A45,[11]PROFIT!$A:$IV,6,FALSE)+VLOOKUP(A45,[12]PROFIT!$A:$IV,6,FALSE)</f>
        <v>304019239.81578583</v>
      </c>
      <c r="G45" s="396">
        <f t="shared" si="0"/>
        <v>-3.3428769973597589E-2</v>
      </c>
      <c r="H45" s="191"/>
      <c r="I45" s="389"/>
      <c r="J45" s="190"/>
      <c r="K45" s="190"/>
      <c r="L45" s="191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  <c r="IR45" s="389"/>
    </row>
    <row r="46" spans="1:252" ht="15.3" x14ac:dyDescent="0.55000000000000004">
      <c r="A46" s="394">
        <f>'[5]Variable Input'!A50</f>
        <v>910003</v>
      </c>
      <c r="B46" s="394" t="str">
        <f>'[5]Variable Input'!B50</f>
        <v>Prince Georges Hospital</v>
      </c>
      <c r="C46" s="397">
        <f>VLOOKUP(A46,'[5]Variable Input'!$A:$IV,4,FALSE)</f>
        <v>5</v>
      </c>
      <c r="D46" s="391">
        <f>VLOOKUP(A46,'[5]Variable Input'!$A:$IV,4,FALSE)</f>
        <v>5</v>
      </c>
      <c r="E46" s="395">
        <f>VLOOKUP(A46,PROFIT!$1:$1048576,5,FALSE)+VLOOKUP(A46,[11]PROFIT!$A:$IV,5,FALSE)+VLOOKUP(A46,[12]PROFIT!$A:$IV,5,FALSE)</f>
        <v>107592553.95281392</v>
      </c>
      <c r="F46" s="395">
        <f>VLOOKUP(A46,PROFIT!$1:$1048576,6,FALSE)+VLOOKUP(A46,[11]PROFIT!$A:$IV,6,FALSE)+VLOOKUP(A46,[12]PROFIT!$A:$IV,6,FALSE)</f>
        <v>919625485.21967959</v>
      </c>
      <c r="G46" s="396">
        <f t="shared" si="0"/>
        <v>0.11699605511379697</v>
      </c>
      <c r="H46" s="191"/>
      <c r="I46" s="389"/>
      <c r="J46" s="190"/>
      <c r="K46" s="190"/>
      <c r="L46" s="191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89"/>
      <c r="GT46" s="389"/>
      <c r="GU46" s="389"/>
      <c r="GV46" s="389"/>
      <c r="GW46" s="389"/>
      <c r="GX46" s="389"/>
      <c r="GY46" s="389"/>
      <c r="GZ46" s="389"/>
      <c r="HA46" s="389"/>
      <c r="HB46" s="389"/>
      <c r="HC46" s="389"/>
      <c r="HD46" s="389"/>
      <c r="HE46" s="389"/>
      <c r="HF46" s="389"/>
      <c r="HG46" s="389"/>
      <c r="HH46" s="389"/>
      <c r="HI46" s="389"/>
      <c r="HJ46" s="389"/>
      <c r="HK46" s="389"/>
      <c r="HL46" s="389"/>
      <c r="HM46" s="389"/>
      <c r="HN46" s="389"/>
      <c r="HO46" s="389"/>
      <c r="HP46" s="389"/>
      <c r="HQ46" s="389"/>
      <c r="HR46" s="389"/>
      <c r="HS46" s="389"/>
      <c r="HT46" s="389"/>
      <c r="HU46" s="389"/>
      <c r="HV46" s="389"/>
      <c r="HW46" s="389"/>
      <c r="HX46" s="389"/>
      <c r="HY46" s="389"/>
      <c r="HZ46" s="389"/>
      <c r="IA46" s="389"/>
      <c r="IB46" s="389"/>
      <c r="IC46" s="389"/>
      <c r="ID46" s="389"/>
      <c r="IE46" s="389"/>
      <c r="IF46" s="389"/>
      <c r="IG46" s="389"/>
      <c r="IH46" s="389"/>
      <c r="II46" s="389"/>
      <c r="IJ46" s="389"/>
      <c r="IK46" s="389"/>
      <c r="IL46" s="389"/>
      <c r="IM46" s="389"/>
      <c r="IN46" s="389"/>
      <c r="IO46" s="389"/>
      <c r="IP46" s="389"/>
      <c r="IQ46" s="389"/>
      <c r="IR46" s="389"/>
    </row>
    <row r="47" spans="1:252" ht="15.3" x14ac:dyDescent="0.55000000000000004">
      <c r="A47" s="394">
        <f>'[5]Variable Input'!A51</f>
        <v>910008</v>
      </c>
      <c r="B47" s="394" t="str">
        <f>'[5]Variable Input'!B51</f>
        <v>Mercy Medical Center</v>
      </c>
      <c r="C47" s="397">
        <f>VLOOKUP(A47,'[5]Variable Input'!$A:$IV,4,FALSE)</f>
        <v>5</v>
      </c>
      <c r="D47" s="391">
        <f>VLOOKUP(A47,'[5]Variable Input'!$A:$IV,4,FALSE)</f>
        <v>5</v>
      </c>
      <c r="E47" s="395">
        <f>VLOOKUP(A47,PROFIT!$1:$1048576,5,FALSE)+VLOOKUP(A47,[11]PROFIT!$A:$IV,5,FALSE)+VLOOKUP(A47,[12]PROFIT!$A:$IV,5,FALSE)</f>
        <v>113695263.6630338</v>
      </c>
      <c r="F47" s="395">
        <f>VLOOKUP(A47,PROFIT!$1:$1048576,6,FALSE)+VLOOKUP(A47,[11]PROFIT!$A:$IV,6,FALSE)+VLOOKUP(A47,[12]PROFIT!$A:$IV,6,FALSE)</f>
        <v>1545001552.2354136</v>
      </c>
      <c r="G47" s="396">
        <f t="shared" si="0"/>
        <v>7.3589093485719639E-2</v>
      </c>
      <c r="H47" s="191"/>
      <c r="I47" s="389"/>
      <c r="J47" s="190"/>
      <c r="K47" s="190"/>
      <c r="L47" s="191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  <c r="IR47" s="389"/>
    </row>
    <row r="48" spans="1:252" ht="15.3" x14ac:dyDescent="0.55000000000000004">
      <c r="A48" s="394">
        <f>'[5]Variable Input'!A52</f>
        <v>910012</v>
      </c>
      <c r="B48" s="394" t="str">
        <f>'[5]Variable Input'!B52</f>
        <v>Sinai Hospital</v>
      </c>
      <c r="C48" s="397">
        <f>VLOOKUP(A48,'[5]Variable Input'!$A:$IV,4,FALSE)</f>
        <v>5</v>
      </c>
      <c r="D48" s="391">
        <f>VLOOKUP(A48,'[5]Variable Input'!$A:$IV,4,FALSE)</f>
        <v>5</v>
      </c>
      <c r="E48" s="395">
        <f>VLOOKUP(A48,PROFIT!$1:$1048576,5,FALSE)+VLOOKUP(A48,[11]PROFIT!$A:$IV,5,FALSE)+VLOOKUP(A48,[12]PROFIT!$A:$IV,5,FALSE)</f>
        <v>287906004.26141846</v>
      </c>
      <c r="F48" s="395">
        <f>VLOOKUP(A48,PROFIT!$1:$1048576,6,FALSE)+VLOOKUP(A48,[11]PROFIT!$A:$IV,6,FALSE)+VLOOKUP(A48,[12]PROFIT!$A:$IV,6,FALSE)</f>
        <v>2214064595.5608592</v>
      </c>
      <c r="G48" s="396">
        <f t="shared" si="0"/>
        <v>0.13003505174991839</v>
      </c>
      <c r="H48" s="191"/>
      <c r="I48" s="389"/>
      <c r="J48" s="190"/>
      <c r="K48" s="190"/>
      <c r="L48" s="191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9"/>
      <c r="AQ48" s="389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389"/>
      <c r="FZ48" s="389"/>
      <c r="GA48" s="389"/>
      <c r="GB48" s="389"/>
      <c r="GC48" s="389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89"/>
      <c r="GT48" s="389"/>
      <c r="GU48" s="389"/>
      <c r="GV48" s="389"/>
      <c r="GW48" s="389"/>
      <c r="GX48" s="389"/>
      <c r="GY48" s="389"/>
      <c r="GZ48" s="389"/>
      <c r="HA48" s="389"/>
      <c r="HB48" s="389"/>
      <c r="HC48" s="389"/>
      <c r="HD48" s="389"/>
      <c r="HE48" s="389"/>
      <c r="HF48" s="389"/>
      <c r="HG48" s="389"/>
      <c r="HH48" s="389"/>
      <c r="HI48" s="389"/>
      <c r="HJ48" s="389"/>
      <c r="HK48" s="389"/>
      <c r="HL48" s="389"/>
      <c r="HM48" s="389"/>
      <c r="HN48" s="389"/>
      <c r="HO48" s="389"/>
      <c r="HP48" s="389"/>
      <c r="HQ48" s="389"/>
      <c r="HR48" s="389"/>
      <c r="HS48" s="389"/>
      <c r="HT48" s="389"/>
      <c r="HU48" s="389"/>
      <c r="HV48" s="389"/>
      <c r="HW48" s="389"/>
      <c r="HX48" s="389"/>
      <c r="HY48" s="389"/>
      <c r="HZ48" s="389"/>
      <c r="IA48" s="389"/>
      <c r="IB48" s="389"/>
      <c r="IC48" s="389"/>
      <c r="ID48" s="389"/>
      <c r="IE48" s="389"/>
      <c r="IF48" s="389"/>
      <c r="IG48" s="389"/>
      <c r="IH48" s="389"/>
      <c r="II48" s="389"/>
      <c r="IJ48" s="389"/>
      <c r="IK48" s="389"/>
      <c r="IL48" s="389"/>
      <c r="IM48" s="389"/>
      <c r="IN48" s="389"/>
      <c r="IO48" s="389"/>
      <c r="IP48" s="389"/>
      <c r="IQ48" s="389"/>
      <c r="IR48" s="389"/>
    </row>
    <row r="49" spans="1:256" ht="15.3" x14ac:dyDescent="0.55000000000000004">
      <c r="A49" s="394">
        <f>'[5]Variable Input'!A53</f>
        <v>910024</v>
      </c>
      <c r="B49" s="394" t="str">
        <f>'[5]Variable Input'!B53</f>
        <v>Union Memorial Hospital</v>
      </c>
      <c r="C49" s="397">
        <f>VLOOKUP(A49,'[5]Variable Input'!$A:$IV,4,FALSE)</f>
        <v>5</v>
      </c>
      <c r="D49" s="391">
        <f>VLOOKUP(A49,'[5]Variable Input'!$A:$IV,4,FALSE)</f>
        <v>5</v>
      </c>
      <c r="E49" s="395">
        <f>VLOOKUP(A49,PROFIT!$1:$1048576,5,FALSE)+VLOOKUP(A49,[11]PROFIT!$A:$IV,5,FALSE)+VLOOKUP(A49,[12]PROFIT!$A:$IV,5,FALSE)</f>
        <v>81082459.786386505</v>
      </c>
      <c r="F49" s="395">
        <f>VLOOKUP(A49,PROFIT!$1:$1048576,6,FALSE)+VLOOKUP(A49,[11]PROFIT!$A:$IV,6,FALSE)+VLOOKUP(A49,[12]PROFIT!$A:$IV,6,FALSE)</f>
        <v>1149894486.363318</v>
      </c>
      <c r="G49" s="396">
        <f t="shared" si="0"/>
        <v>7.0512956404217314E-2</v>
      </c>
      <c r="H49" s="191"/>
      <c r="I49" s="389"/>
      <c r="J49" s="190"/>
      <c r="K49" s="190"/>
      <c r="L49" s="191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389"/>
      <c r="FZ49" s="389"/>
      <c r="GA49" s="389"/>
      <c r="GB49" s="389"/>
      <c r="GC49" s="389"/>
      <c r="GD49" s="389"/>
      <c r="GE49" s="389"/>
      <c r="GF49" s="389"/>
      <c r="GG49" s="389"/>
      <c r="GH49" s="389"/>
      <c r="GI49" s="389"/>
      <c r="GJ49" s="389"/>
      <c r="GK49" s="389"/>
      <c r="GL49" s="389"/>
      <c r="GM49" s="389"/>
      <c r="GN49" s="389"/>
      <c r="GO49" s="389"/>
      <c r="GP49" s="389"/>
      <c r="GQ49" s="389"/>
      <c r="GR49" s="389"/>
      <c r="GS49" s="389"/>
      <c r="GT49" s="389"/>
      <c r="GU49" s="389"/>
      <c r="GV49" s="389"/>
      <c r="GW49" s="389"/>
      <c r="GX49" s="389"/>
      <c r="GY49" s="389"/>
      <c r="GZ49" s="389"/>
      <c r="HA49" s="389"/>
      <c r="HB49" s="389"/>
      <c r="HC49" s="389"/>
      <c r="HD49" s="389"/>
      <c r="HE49" s="389"/>
      <c r="HF49" s="389"/>
      <c r="HG49" s="389"/>
      <c r="HH49" s="389"/>
      <c r="HI49" s="389"/>
      <c r="HJ49" s="389"/>
      <c r="HK49" s="389"/>
      <c r="HL49" s="389"/>
      <c r="HM49" s="389"/>
      <c r="HN49" s="389"/>
      <c r="HO49" s="389"/>
      <c r="HP49" s="389"/>
      <c r="HQ49" s="389"/>
      <c r="HR49" s="389"/>
      <c r="HS49" s="389"/>
      <c r="HT49" s="389"/>
      <c r="HU49" s="389"/>
      <c r="HV49" s="389"/>
      <c r="HW49" s="389"/>
      <c r="HX49" s="389"/>
      <c r="HY49" s="389"/>
      <c r="HZ49" s="389"/>
      <c r="IA49" s="389"/>
      <c r="IB49" s="389"/>
      <c r="IC49" s="389"/>
      <c r="ID49" s="389"/>
      <c r="IE49" s="389"/>
      <c r="IF49" s="389"/>
      <c r="IG49" s="389"/>
      <c r="IH49" s="389"/>
      <c r="II49" s="389"/>
      <c r="IJ49" s="389"/>
      <c r="IK49" s="389"/>
      <c r="IL49" s="389"/>
      <c r="IM49" s="389"/>
      <c r="IN49" s="389"/>
      <c r="IO49" s="389"/>
      <c r="IP49" s="389"/>
      <c r="IQ49" s="389"/>
      <c r="IR49" s="389"/>
    </row>
    <row r="50" spans="1:256" ht="15.3" x14ac:dyDescent="0.55000000000000004">
      <c r="A50" s="394">
        <f>'[5]Variable Input'!A54</f>
        <v>910029</v>
      </c>
      <c r="B50" s="394" t="str">
        <f>'[5]Variable Input'!B54</f>
        <v>Johns Hopkins Bayview Medical Center</v>
      </c>
      <c r="C50" s="397">
        <f>VLOOKUP(A50,'[5]Variable Input'!$A:$IV,4,FALSE)</f>
        <v>5</v>
      </c>
      <c r="D50" s="391">
        <f>VLOOKUP(A50,'[5]Variable Input'!$A:$IV,4,FALSE)</f>
        <v>5</v>
      </c>
      <c r="E50" s="395">
        <f>VLOOKUP(A50,PROFIT!$1:$1048576,5,FALSE)+VLOOKUP(A50,[11]PROFIT!$A:$IV,5,FALSE)+VLOOKUP(A50,[12]PROFIT!$A:$IV,5,FALSE)</f>
        <v>-3092148.8012445476</v>
      </c>
      <c r="F50" s="395">
        <f>VLOOKUP(A50,PROFIT!$1:$1048576,6,FALSE)+VLOOKUP(A50,[11]PROFIT!$A:$IV,6,FALSE)+VLOOKUP(A50,[12]PROFIT!$A:$IV,6,FALSE)</f>
        <v>1825708245.8898778</v>
      </c>
      <c r="G50" s="396">
        <f t="shared" si="0"/>
        <v>-1.6936708305972444E-3</v>
      </c>
      <c r="H50" s="191"/>
      <c r="I50" s="389"/>
      <c r="J50" s="190"/>
      <c r="K50" s="190"/>
      <c r="L50" s="191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389"/>
      <c r="BU50" s="389"/>
      <c r="BV50" s="389"/>
      <c r="BW50" s="389"/>
      <c r="BX50" s="389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389"/>
      <c r="FZ50" s="389"/>
      <c r="GA50" s="389"/>
      <c r="GB50" s="389"/>
      <c r="GC50" s="389"/>
      <c r="GD50" s="389"/>
      <c r="GE50" s="389"/>
      <c r="GF50" s="389"/>
      <c r="GG50" s="389"/>
      <c r="GH50" s="389"/>
      <c r="GI50" s="389"/>
      <c r="GJ50" s="389"/>
      <c r="GK50" s="389"/>
      <c r="GL50" s="389"/>
      <c r="GM50" s="389"/>
      <c r="GN50" s="389"/>
      <c r="GO50" s="389"/>
      <c r="GP50" s="389"/>
      <c r="GQ50" s="389"/>
      <c r="GR50" s="389"/>
      <c r="GS50" s="389"/>
      <c r="GT50" s="389"/>
      <c r="GU50" s="389"/>
      <c r="GV50" s="389"/>
      <c r="GW50" s="389"/>
      <c r="GX50" s="389"/>
      <c r="GY50" s="389"/>
      <c r="GZ50" s="389"/>
      <c r="HA50" s="389"/>
      <c r="HB50" s="389"/>
      <c r="HC50" s="389"/>
      <c r="HD50" s="389"/>
      <c r="HE50" s="389"/>
      <c r="HF50" s="389"/>
      <c r="HG50" s="389"/>
      <c r="HH50" s="389"/>
      <c r="HI50" s="389"/>
      <c r="HJ50" s="389"/>
      <c r="HK50" s="389"/>
      <c r="HL50" s="389"/>
      <c r="HM50" s="389"/>
      <c r="HN50" s="389"/>
      <c r="HO50" s="389"/>
      <c r="HP50" s="389"/>
      <c r="HQ50" s="389"/>
      <c r="HR50" s="389"/>
      <c r="HS50" s="389"/>
      <c r="HT50" s="389"/>
      <c r="HU50" s="389"/>
      <c r="HV50" s="389"/>
      <c r="HW50" s="389"/>
      <c r="HX50" s="389"/>
      <c r="HY50" s="389"/>
      <c r="HZ50" s="389"/>
      <c r="IA50" s="389"/>
      <c r="IB50" s="389"/>
      <c r="IC50" s="389"/>
      <c r="ID50" s="389"/>
      <c r="IE50" s="389"/>
      <c r="IF50" s="389"/>
      <c r="IG50" s="389"/>
      <c r="IH50" s="389"/>
      <c r="II50" s="389"/>
      <c r="IJ50" s="389"/>
      <c r="IK50" s="389"/>
      <c r="IL50" s="389"/>
      <c r="IM50" s="389"/>
      <c r="IN50" s="389"/>
      <c r="IO50" s="389"/>
      <c r="IP50" s="389"/>
      <c r="IQ50" s="389"/>
      <c r="IR50" s="389"/>
    </row>
    <row r="51" spans="1:256" ht="15.3" x14ac:dyDescent="0.55000000000000004">
      <c r="A51" s="394"/>
      <c r="B51" s="394"/>
      <c r="C51" s="394"/>
      <c r="D51" s="394"/>
      <c r="E51" s="395"/>
      <c r="F51" s="395"/>
      <c r="G51" s="396"/>
      <c r="H51" s="389"/>
      <c r="I51" s="389"/>
      <c r="J51" s="190"/>
      <c r="K51" s="190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  <c r="IR51" s="389"/>
    </row>
    <row r="52" spans="1:256" ht="15.3" x14ac:dyDescent="0.55000000000000004">
      <c r="A52" s="394"/>
      <c r="B52" s="394"/>
      <c r="C52" s="394"/>
      <c r="D52" s="394"/>
      <c r="E52" s="395"/>
      <c r="F52" s="395"/>
      <c r="G52" s="396"/>
      <c r="H52" s="389"/>
      <c r="I52" s="389"/>
      <c r="J52" s="190"/>
      <c r="K52" s="190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  <c r="AP52" s="389"/>
      <c r="AQ52" s="389"/>
      <c r="AR52" s="389"/>
      <c r="AS52" s="389"/>
      <c r="AT52" s="389"/>
      <c r="AU52" s="389"/>
      <c r="AV52" s="389"/>
      <c r="AW52" s="389"/>
      <c r="AX52" s="389"/>
      <c r="AY52" s="389"/>
      <c r="AZ52" s="389"/>
      <c r="BA52" s="389"/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389"/>
      <c r="BU52" s="389"/>
      <c r="BV52" s="389"/>
      <c r="BW52" s="389"/>
      <c r="BX52" s="389"/>
      <c r="BY52" s="389"/>
      <c r="BZ52" s="389"/>
      <c r="CA52" s="389"/>
      <c r="CB52" s="389"/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389"/>
      <c r="FZ52" s="389"/>
      <c r="GA52" s="389"/>
      <c r="GB52" s="389"/>
      <c r="GC52" s="389"/>
      <c r="GD52" s="389"/>
      <c r="GE52" s="389"/>
      <c r="GF52" s="389"/>
      <c r="GG52" s="389"/>
      <c r="GH52" s="389"/>
      <c r="GI52" s="389"/>
      <c r="GJ52" s="389"/>
      <c r="GK52" s="389"/>
      <c r="GL52" s="389"/>
      <c r="GM52" s="389"/>
      <c r="GN52" s="389"/>
      <c r="GO52" s="389"/>
      <c r="GP52" s="389"/>
      <c r="GQ52" s="389"/>
      <c r="GR52" s="389"/>
      <c r="GS52" s="389"/>
      <c r="GT52" s="389"/>
      <c r="GU52" s="389"/>
      <c r="GV52" s="389"/>
      <c r="GW52" s="389"/>
      <c r="GX52" s="389"/>
      <c r="GY52" s="389"/>
      <c r="GZ52" s="389"/>
      <c r="HA52" s="389"/>
      <c r="HB52" s="389"/>
      <c r="HC52" s="389"/>
      <c r="HD52" s="389"/>
      <c r="HE52" s="389"/>
      <c r="HF52" s="389"/>
      <c r="HG52" s="389"/>
      <c r="HH52" s="389"/>
      <c r="HI52" s="389"/>
      <c r="HJ52" s="389"/>
      <c r="HK52" s="389"/>
      <c r="HL52" s="389"/>
      <c r="HM52" s="389"/>
      <c r="HN52" s="389"/>
      <c r="HO52" s="389"/>
      <c r="HP52" s="389"/>
      <c r="HQ52" s="389"/>
      <c r="HR52" s="389"/>
      <c r="HS52" s="389"/>
      <c r="HT52" s="389"/>
      <c r="HU52" s="389"/>
      <c r="HV52" s="389"/>
      <c r="HW52" s="389"/>
      <c r="HX52" s="389"/>
      <c r="HY52" s="389"/>
      <c r="HZ52" s="389"/>
      <c r="IA52" s="389"/>
      <c r="IB52" s="389"/>
      <c r="IC52" s="389"/>
      <c r="ID52" s="389"/>
      <c r="IE52" s="389"/>
      <c r="IF52" s="389"/>
      <c r="IG52" s="389"/>
      <c r="IH52" s="389"/>
      <c r="II52" s="389"/>
      <c r="IJ52" s="389"/>
      <c r="IK52" s="389"/>
      <c r="IL52" s="389"/>
      <c r="IM52" s="389"/>
      <c r="IN52" s="389"/>
      <c r="IO52" s="389"/>
      <c r="IP52" s="389"/>
      <c r="IQ52" s="389"/>
      <c r="IR52" s="389"/>
    </row>
    <row r="53" spans="1:256" ht="15.3" x14ac:dyDescent="0.55000000000000004">
      <c r="A53" s="394"/>
      <c r="B53" s="394"/>
      <c r="C53" s="394"/>
      <c r="D53" s="394"/>
      <c r="E53" s="395"/>
      <c r="F53" s="395"/>
      <c r="G53" s="396"/>
      <c r="H53" s="389"/>
      <c r="I53" s="389"/>
      <c r="J53" s="190"/>
      <c r="K53" s="190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  <c r="AP53" s="389"/>
      <c r="AQ53" s="389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  <c r="CA53" s="389"/>
      <c r="CB53" s="389"/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389"/>
      <c r="FZ53" s="389"/>
      <c r="GA53" s="389"/>
      <c r="GB53" s="389"/>
      <c r="GC53" s="389"/>
      <c r="GD53" s="389"/>
      <c r="GE53" s="389"/>
      <c r="GF53" s="389"/>
      <c r="GG53" s="389"/>
      <c r="GH53" s="389"/>
      <c r="GI53" s="389"/>
      <c r="GJ53" s="389"/>
      <c r="GK53" s="389"/>
      <c r="GL53" s="389"/>
      <c r="GM53" s="389"/>
      <c r="GN53" s="389"/>
      <c r="GO53" s="389"/>
      <c r="GP53" s="389"/>
      <c r="GQ53" s="389"/>
      <c r="GR53" s="389"/>
      <c r="GS53" s="389"/>
      <c r="GT53" s="389"/>
      <c r="GU53" s="389"/>
      <c r="GV53" s="389"/>
      <c r="GW53" s="389"/>
      <c r="GX53" s="389"/>
      <c r="GY53" s="389"/>
      <c r="GZ53" s="389"/>
      <c r="HA53" s="389"/>
      <c r="HB53" s="389"/>
      <c r="HC53" s="389"/>
      <c r="HD53" s="389"/>
      <c r="HE53" s="389"/>
      <c r="HF53" s="389"/>
      <c r="HG53" s="389"/>
      <c r="HH53" s="389"/>
      <c r="HI53" s="389"/>
      <c r="HJ53" s="389"/>
      <c r="HK53" s="389"/>
      <c r="HL53" s="389"/>
      <c r="HM53" s="389"/>
      <c r="HN53" s="389"/>
      <c r="HO53" s="389"/>
      <c r="HP53" s="389"/>
      <c r="HQ53" s="389"/>
      <c r="HR53" s="389"/>
      <c r="HS53" s="389"/>
      <c r="HT53" s="389"/>
      <c r="HU53" s="389"/>
      <c r="HV53" s="389"/>
      <c r="HW53" s="389"/>
      <c r="HX53" s="389"/>
      <c r="HY53" s="389"/>
      <c r="HZ53" s="389"/>
      <c r="IA53" s="389"/>
      <c r="IB53" s="389"/>
      <c r="IC53" s="389"/>
      <c r="ID53" s="389"/>
      <c r="IE53" s="389"/>
      <c r="IF53" s="389"/>
      <c r="IG53" s="389"/>
      <c r="IH53" s="389"/>
      <c r="II53" s="389"/>
      <c r="IJ53" s="389"/>
      <c r="IK53" s="389"/>
      <c r="IL53" s="389"/>
      <c r="IM53" s="389"/>
      <c r="IN53" s="389"/>
      <c r="IO53" s="389"/>
      <c r="IP53" s="389"/>
      <c r="IQ53" s="389"/>
      <c r="IR53" s="389"/>
    </row>
    <row r="54" spans="1:256" ht="15.3" x14ac:dyDescent="0.55000000000000004">
      <c r="A54" s="394"/>
      <c r="B54" s="394"/>
      <c r="C54" s="394"/>
      <c r="D54" s="394"/>
      <c r="E54" s="395"/>
      <c r="F54" s="395"/>
      <c r="G54" s="396"/>
      <c r="H54" s="389"/>
      <c r="I54" s="389"/>
      <c r="J54" s="190"/>
      <c r="K54" s="190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389"/>
      <c r="FZ54" s="389"/>
      <c r="GA54" s="389"/>
      <c r="GB54" s="389"/>
      <c r="GC54" s="389"/>
      <c r="GD54" s="389"/>
      <c r="GE54" s="389"/>
      <c r="GF54" s="389"/>
      <c r="GG54" s="389"/>
      <c r="GH54" s="389"/>
      <c r="GI54" s="389"/>
      <c r="GJ54" s="389"/>
      <c r="GK54" s="389"/>
      <c r="GL54" s="389"/>
      <c r="GM54" s="389"/>
      <c r="GN54" s="389"/>
      <c r="GO54" s="389"/>
      <c r="GP54" s="389"/>
      <c r="GQ54" s="389"/>
      <c r="GR54" s="389"/>
      <c r="GS54" s="389"/>
      <c r="GT54" s="389"/>
      <c r="GU54" s="389"/>
      <c r="GV54" s="389"/>
      <c r="GW54" s="389"/>
      <c r="GX54" s="389"/>
      <c r="GY54" s="389"/>
      <c r="GZ54" s="389"/>
      <c r="HA54" s="389"/>
      <c r="HB54" s="389"/>
      <c r="HC54" s="389"/>
      <c r="HD54" s="389"/>
      <c r="HE54" s="389"/>
      <c r="HF54" s="389"/>
      <c r="HG54" s="389"/>
      <c r="HH54" s="389"/>
      <c r="HI54" s="389"/>
      <c r="HJ54" s="389"/>
      <c r="HK54" s="389"/>
      <c r="HL54" s="389"/>
      <c r="HM54" s="389"/>
      <c r="HN54" s="389"/>
      <c r="HO54" s="389"/>
      <c r="HP54" s="389"/>
      <c r="HQ54" s="389"/>
      <c r="HR54" s="389"/>
      <c r="HS54" s="389"/>
      <c r="HT54" s="389"/>
      <c r="HU54" s="389"/>
      <c r="HV54" s="389"/>
      <c r="HW54" s="389"/>
      <c r="HX54" s="389"/>
      <c r="HY54" s="389"/>
      <c r="HZ54" s="389"/>
      <c r="IA54" s="389"/>
      <c r="IB54" s="389"/>
      <c r="IC54" s="389"/>
      <c r="ID54" s="389"/>
      <c r="IE54" s="389"/>
      <c r="IF54" s="389"/>
      <c r="IG54" s="389"/>
      <c r="IH54" s="389"/>
      <c r="II54" s="389"/>
      <c r="IJ54" s="389"/>
      <c r="IK54" s="389"/>
      <c r="IL54" s="389"/>
      <c r="IM54" s="389"/>
      <c r="IN54" s="389"/>
      <c r="IO54" s="389"/>
      <c r="IP54" s="389"/>
      <c r="IQ54" s="389"/>
      <c r="IR54" s="389"/>
    </row>
    <row r="55" spans="1:256" ht="15.3" x14ac:dyDescent="0.55000000000000004">
      <c r="A55" s="394"/>
      <c r="B55" s="394"/>
      <c r="C55" s="394"/>
      <c r="D55" s="394"/>
      <c r="E55" s="395"/>
      <c r="F55" s="395"/>
      <c r="G55" s="396"/>
      <c r="H55" s="389"/>
      <c r="I55" s="389"/>
      <c r="J55" s="190"/>
      <c r="K55" s="190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9"/>
      <c r="AQ55" s="389"/>
      <c r="AR55" s="389"/>
      <c r="AS55" s="389"/>
      <c r="AT55" s="389"/>
      <c r="AU55" s="389"/>
      <c r="AV55" s="389"/>
      <c r="AW55" s="389"/>
      <c r="AX55" s="389"/>
      <c r="AY55" s="389"/>
      <c r="AZ55" s="389"/>
      <c r="BA55" s="389"/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389"/>
      <c r="BU55" s="389"/>
      <c r="BV55" s="389"/>
      <c r="BW55" s="389"/>
      <c r="BX55" s="389"/>
      <c r="BY55" s="389"/>
      <c r="BZ55" s="389"/>
      <c r="CA55" s="389"/>
      <c r="CB55" s="389"/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389"/>
      <c r="FZ55" s="389"/>
      <c r="GA55" s="389"/>
      <c r="GB55" s="389"/>
      <c r="GC55" s="389"/>
      <c r="GD55" s="389"/>
      <c r="GE55" s="389"/>
      <c r="GF55" s="389"/>
      <c r="GG55" s="389"/>
      <c r="GH55" s="389"/>
      <c r="GI55" s="389"/>
      <c r="GJ55" s="389"/>
      <c r="GK55" s="389"/>
      <c r="GL55" s="389"/>
      <c r="GM55" s="389"/>
      <c r="GN55" s="389"/>
      <c r="GO55" s="389"/>
      <c r="GP55" s="389"/>
      <c r="GQ55" s="389"/>
      <c r="GR55" s="389"/>
      <c r="GS55" s="389"/>
      <c r="GT55" s="389"/>
      <c r="GU55" s="389"/>
      <c r="GV55" s="389"/>
      <c r="GW55" s="389"/>
      <c r="GX55" s="389"/>
      <c r="GY55" s="389"/>
      <c r="GZ55" s="389"/>
      <c r="HA55" s="389"/>
      <c r="HB55" s="389"/>
      <c r="HC55" s="389"/>
      <c r="HD55" s="389"/>
      <c r="HE55" s="389"/>
      <c r="HF55" s="389"/>
      <c r="HG55" s="389"/>
      <c r="HH55" s="389"/>
      <c r="HI55" s="389"/>
      <c r="HJ55" s="389"/>
      <c r="HK55" s="389"/>
      <c r="HL55" s="389"/>
      <c r="HM55" s="389"/>
      <c r="HN55" s="389"/>
      <c r="HO55" s="389"/>
      <c r="HP55" s="389"/>
      <c r="HQ55" s="389"/>
      <c r="HR55" s="389"/>
      <c r="HS55" s="389"/>
      <c r="HT55" s="389"/>
      <c r="HU55" s="389"/>
      <c r="HV55" s="389"/>
      <c r="HW55" s="389"/>
      <c r="HX55" s="389"/>
      <c r="HY55" s="389"/>
      <c r="HZ55" s="389"/>
      <c r="IA55" s="389"/>
      <c r="IB55" s="389"/>
      <c r="IC55" s="389"/>
      <c r="ID55" s="389"/>
      <c r="IE55" s="389"/>
      <c r="IF55" s="389"/>
      <c r="IG55" s="389"/>
      <c r="IH55" s="389"/>
      <c r="II55" s="389"/>
      <c r="IJ55" s="389"/>
      <c r="IK55" s="389"/>
      <c r="IL55" s="389"/>
      <c r="IM55" s="389"/>
      <c r="IN55" s="389"/>
      <c r="IO55" s="389"/>
      <c r="IP55" s="389"/>
      <c r="IQ55" s="389"/>
      <c r="IR55" s="389"/>
    </row>
    <row r="56" spans="1:256" ht="15.3" x14ac:dyDescent="0.55000000000000004">
      <c r="A56" s="394"/>
      <c r="B56" s="394"/>
      <c r="C56" s="394"/>
      <c r="D56" s="394"/>
      <c r="E56" s="395"/>
      <c r="F56" s="395"/>
      <c r="G56" s="396"/>
      <c r="H56" s="389"/>
      <c r="I56" s="389"/>
      <c r="J56" s="190"/>
      <c r="K56" s="190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  <c r="AP56" s="389"/>
      <c r="AQ56" s="389"/>
      <c r="AR56" s="389"/>
      <c r="AS56" s="389"/>
      <c r="AT56" s="389"/>
      <c r="AU56" s="389"/>
      <c r="AV56" s="389"/>
      <c r="AW56" s="389"/>
      <c r="AX56" s="389"/>
      <c r="AY56" s="389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389"/>
      <c r="BU56" s="389"/>
      <c r="BV56" s="389"/>
      <c r="BW56" s="389"/>
      <c r="BX56" s="389"/>
      <c r="BY56" s="389"/>
      <c r="BZ56" s="389"/>
      <c r="CA56" s="389"/>
      <c r="CB56" s="389"/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389"/>
      <c r="FZ56" s="389"/>
      <c r="GA56" s="389"/>
      <c r="GB56" s="389"/>
      <c r="GC56" s="389"/>
      <c r="GD56" s="389"/>
      <c r="GE56" s="389"/>
      <c r="GF56" s="389"/>
      <c r="GG56" s="389"/>
      <c r="GH56" s="389"/>
      <c r="GI56" s="389"/>
      <c r="GJ56" s="389"/>
      <c r="GK56" s="389"/>
      <c r="GL56" s="389"/>
      <c r="GM56" s="389"/>
      <c r="GN56" s="389"/>
      <c r="GO56" s="389"/>
      <c r="GP56" s="389"/>
      <c r="GQ56" s="389"/>
      <c r="GR56" s="389"/>
      <c r="GS56" s="389"/>
      <c r="GT56" s="389"/>
      <c r="GU56" s="389"/>
      <c r="GV56" s="389"/>
      <c r="GW56" s="389"/>
      <c r="GX56" s="389"/>
      <c r="GY56" s="389"/>
      <c r="GZ56" s="389"/>
      <c r="HA56" s="389"/>
      <c r="HB56" s="389"/>
      <c r="HC56" s="389"/>
      <c r="HD56" s="389"/>
      <c r="HE56" s="389"/>
      <c r="HF56" s="389"/>
      <c r="HG56" s="389"/>
      <c r="HH56" s="389"/>
      <c r="HI56" s="389"/>
      <c r="HJ56" s="389"/>
      <c r="HK56" s="389"/>
      <c r="HL56" s="389"/>
      <c r="HM56" s="389"/>
      <c r="HN56" s="389"/>
      <c r="HO56" s="389"/>
      <c r="HP56" s="389"/>
      <c r="HQ56" s="389"/>
      <c r="HR56" s="389"/>
      <c r="HS56" s="389"/>
      <c r="HT56" s="389"/>
      <c r="HU56" s="389"/>
      <c r="HV56" s="389"/>
      <c r="HW56" s="389"/>
      <c r="HX56" s="389"/>
      <c r="HY56" s="389"/>
      <c r="HZ56" s="389"/>
      <c r="IA56" s="389"/>
      <c r="IB56" s="389"/>
      <c r="IC56" s="389"/>
      <c r="ID56" s="389"/>
      <c r="IE56" s="389"/>
      <c r="IF56" s="389"/>
      <c r="IG56" s="389"/>
      <c r="IH56" s="389"/>
      <c r="II56" s="389"/>
      <c r="IJ56" s="389"/>
      <c r="IK56" s="389"/>
      <c r="IL56" s="389"/>
      <c r="IM56" s="389"/>
      <c r="IN56" s="389"/>
      <c r="IO56" s="389"/>
      <c r="IP56" s="389"/>
      <c r="IQ56" s="389"/>
      <c r="IR56" s="389"/>
    </row>
    <row r="57" spans="1:256" ht="15.3" x14ac:dyDescent="0.55000000000000004">
      <c r="A57" s="389" t="s">
        <v>255</v>
      </c>
      <c r="C57" s="399"/>
      <c r="D57" s="400" t="s">
        <v>255</v>
      </c>
      <c r="E57" s="401">
        <f>SUBTOTAL(9,E3:E56)</f>
        <v>4300475275.5381413</v>
      </c>
      <c r="F57" s="401">
        <f>SUBTOTAL(9,F3:F56)</f>
        <v>53407216034.849113</v>
      </c>
      <c r="G57" s="396">
        <f>E57/F57</f>
        <v>8.0522363733245492E-2</v>
      </c>
      <c r="H57" s="401"/>
      <c r="I57" s="396"/>
      <c r="J57" s="191"/>
      <c r="K57" s="366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  <c r="AP57" s="389"/>
      <c r="AQ57" s="389"/>
      <c r="AR57" s="389"/>
      <c r="AS57" s="389"/>
      <c r="AT57" s="389"/>
      <c r="AU57" s="389"/>
      <c r="AV57" s="389"/>
      <c r="AW57" s="389"/>
      <c r="AX57" s="389"/>
      <c r="AY57" s="389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389"/>
      <c r="BU57" s="389"/>
      <c r="BV57" s="389"/>
      <c r="BW57" s="389"/>
      <c r="BX57" s="389"/>
      <c r="BY57" s="389"/>
      <c r="BZ57" s="389"/>
      <c r="CA57" s="389"/>
      <c r="CB57" s="389"/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389"/>
      <c r="FZ57" s="389"/>
      <c r="GA57" s="389"/>
      <c r="GB57" s="389"/>
      <c r="GC57" s="389"/>
      <c r="GD57" s="389"/>
      <c r="GE57" s="389"/>
      <c r="GF57" s="389"/>
      <c r="GG57" s="389"/>
      <c r="GH57" s="389"/>
      <c r="GI57" s="389"/>
      <c r="GJ57" s="389"/>
      <c r="GK57" s="389"/>
      <c r="GL57" s="389"/>
      <c r="GM57" s="389"/>
      <c r="GN57" s="389"/>
      <c r="GO57" s="389"/>
      <c r="GP57" s="389"/>
      <c r="GQ57" s="389"/>
      <c r="GR57" s="389"/>
      <c r="GS57" s="389"/>
      <c r="GT57" s="389"/>
      <c r="GU57" s="389"/>
      <c r="GV57" s="389"/>
      <c r="GW57" s="389"/>
      <c r="GX57" s="389"/>
      <c r="GY57" s="389"/>
      <c r="GZ57" s="389"/>
      <c r="HA57" s="389"/>
      <c r="HB57" s="389"/>
      <c r="HC57" s="389"/>
      <c r="HD57" s="389"/>
      <c r="HE57" s="389"/>
      <c r="HF57" s="389"/>
      <c r="HG57" s="389"/>
      <c r="HH57" s="389"/>
      <c r="HI57" s="389"/>
      <c r="HJ57" s="389"/>
      <c r="HK57" s="389"/>
      <c r="HL57" s="389"/>
      <c r="HM57" s="389"/>
      <c r="HN57" s="389"/>
      <c r="HO57" s="389"/>
      <c r="HP57" s="389"/>
      <c r="HQ57" s="389"/>
      <c r="HR57" s="389"/>
      <c r="HS57" s="389"/>
      <c r="HT57" s="389"/>
      <c r="HU57" s="389"/>
      <c r="HV57" s="389"/>
      <c r="HW57" s="389"/>
      <c r="HX57" s="389"/>
      <c r="HY57" s="389"/>
      <c r="HZ57" s="389"/>
      <c r="IA57" s="389"/>
      <c r="IB57" s="389"/>
      <c r="IC57" s="389"/>
      <c r="ID57" s="389"/>
      <c r="IE57" s="389"/>
      <c r="IF57" s="389"/>
      <c r="IG57" s="389"/>
      <c r="IH57" s="389"/>
      <c r="II57" s="389"/>
      <c r="IJ57" s="389"/>
      <c r="IK57" s="389"/>
      <c r="IL57" s="389"/>
      <c r="IM57" s="389"/>
      <c r="IN57" s="389"/>
      <c r="IO57" s="389"/>
      <c r="IP57" s="389"/>
      <c r="IQ57" s="389"/>
      <c r="IR57" s="389"/>
      <c r="IS57" s="389"/>
      <c r="IT57" s="389"/>
      <c r="IU57" s="389"/>
      <c r="IV57" s="389"/>
    </row>
    <row r="58" spans="1:256" ht="15.3" x14ac:dyDescent="0.55000000000000004">
      <c r="A58" s="389">
        <v>99</v>
      </c>
      <c r="B58" s="389"/>
      <c r="C58" s="400"/>
      <c r="D58" s="400" t="s">
        <v>254</v>
      </c>
      <c r="E58" s="401">
        <f>SUM(E3:E50)-SUMPRODUCT((LEFT($A$3:$A$50,1)+0=9)*E3:E50)</f>
        <v>3713291142.6757331</v>
      </c>
      <c r="F58" s="401">
        <f>SUM(F3:F50)-SUMPRODUCT((LEFT($A$3:$A$50,1)+0=9)*F3:F50)</f>
        <v>45752921669.579964</v>
      </c>
      <c r="G58" s="396">
        <f>E58/F58</f>
        <v>8.1159650732088931E-2</v>
      </c>
      <c r="H58" s="401"/>
      <c r="I58" s="396"/>
      <c r="J58" s="190"/>
      <c r="K58" s="190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389"/>
      <c r="FZ58" s="389"/>
      <c r="GA58" s="389"/>
      <c r="GB58" s="389"/>
      <c r="GC58" s="389"/>
      <c r="GD58" s="389"/>
      <c r="GE58" s="389"/>
      <c r="GF58" s="389"/>
      <c r="GG58" s="389"/>
      <c r="GH58" s="389"/>
      <c r="GI58" s="389"/>
      <c r="GJ58" s="389"/>
      <c r="GK58" s="389"/>
      <c r="GL58" s="389"/>
      <c r="GM58" s="389"/>
      <c r="GN58" s="389"/>
      <c r="GO58" s="389"/>
      <c r="GP58" s="389"/>
      <c r="GQ58" s="389"/>
      <c r="GR58" s="389"/>
      <c r="GS58" s="389"/>
      <c r="GT58" s="389"/>
      <c r="GU58" s="389"/>
      <c r="GV58" s="389"/>
      <c r="GW58" s="389"/>
      <c r="GX58" s="389"/>
      <c r="GY58" s="389"/>
      <c r="GZ58" s="389"/>
      <c r="HA58" s="389"/>
      <c r="HB58" s="389"/>
      <c r="HC58" s="389"/>
      <c r="HD58" s="389"/>
      <c r="HE58" s="389"/>
      <c r="HF58" s="389"/>
      <c r="HG58" s="389"/>
      <c r="HH58" s="389"/>
      <c r="HI58" s="389"/>
      <c r="HJ58" s="389"/>
      <c r="HK58" s="389"/>
      <c r="HL58" s="389"/>
      <c r="HM58" s="389"/>
      <c r="HN58" s="389"/>
      <c r="HO58" s="389"/>
      <c r="HP58" s="389"/>
      <c r="HQ58" s="389"/>
      <c r="HR58" s="389"/>
      <c r="HS58" s="389"/>
      <c r="HT58" s="389"/>
      <c r="HU58" s="389"/>
      <c r="HV58" s="389"/>
      <c r="HW58" s="389"/>
      <c r="HX58" s="389"/>
      <c r="HY58" s="389"/>
      <c r="HZ58" s="389"/>
      <c r="IA58" s="389"/>
      <c r="IB58" s="389"/>
      <c r="IC58" s="389"/>
      <c r="ID58" s="389"/>
      <c r="IE58" s="389"/>
      <c r="IF58" s="389"/>
      <c r="IG58" s="389"/>
      <c r="IH58" s="389"/>
      <c r="II58" s="389"/>
      <c r="IJ58" s="389"/>
      <c r="IK58" s="389"/>
      <c r="IL58" s="389"/>
      <c r="IM58" s="389"/>
      <c r="IN58" s="389"/>
      <c r="IO58" s="389"/>
      <c r="IP58" s="389"/>
      <c r="IQ58" s="389"/>
      <c r="IR58" s="389"/>
      <c r="IS58" s="389"/>
      <c r="IT58" s="389"/>
      <c r="IU58" s="389"/>
      <c r="IV58" s="389"/>
    </row>
    <row r="59" spans="1:256" s="389" customFormat="1" ht="15.3" x14ac:dyDescent="0.55000000000000004">
      <c r="C59" s="400"/>
      <c r="D59" s="400"/>
      <c r="J59" s="190"/>
      <c r="K59" s="190"/>
    </row>
    <row r="60" spans="1:256" s="389" customFormat="1" ht="15.3" x14ac:dyDescent="0.55000000000000004">
      <c r="A60" s="389">
        <v>1</v>
      </c>
      <c r="C60" s="400"/>
      <c r="D60" s="400" t="s">
        <v>253</v>
      </c>
      <c r="E60" s="395">
        <f>SUMIF($C$1:$C$65531,1,E$1:E$65531)</f>
        <v>3513534260.9859471</v>
      </c>
      <c r="F60" s="395">
        <f>SUMIF($C$1:$C$65531,1,F$1:F$65531)</f>
        <v>34861113295.086266</v>
      </c>
      <c r="G60" s="396">
        <f>E60/F60</f>
        <v>0.10078663384170194</v>
      </c>
      <c r="H60" s="395"/>
      <c r="I60" s="396"/>
      <c r="J60" s="190"/>
      <c r="K60" s="190"/>
    </row>
    <row r="61" spans="1:256" s="389" customFormat="1" ht="15.3" hidden="1" x14ac:dyDescent="0.55000000000000004">
      <c r="A61" s="389">
        <v>3</v>
      </c>
      <c r="C61" s="400"/>
      <c r="D61" s="400" t="s">
        <v>252</v>
      </c>
      <c r="E61" s="395">
        <f>SUMIF($C$1:$C$65531,3,E$1:E$65531)</f>
        <v>0</v>
      </c>
      <c r="F61" s="395">
        <f>SUMIF($C$1:$C$65531,3,F$1:F$65531)</f>
        <v>0</v>
      </c>
      <c r="G61" s="396" t="e">
        <f>E61/F61</f>
        <v>#DIV/0!</v>
      </c>
      <c r="H61" s="395"/>
      <c r="I61" s="396"/>
      <c r="J61" s="190"/>
      <c r="K61" s="190"/>
    </row>
    <row r="62" spans="1:256" s="389" customFormat="1" ht="15.3" hidden="1" x14ac:dyDescent="0.55000000000000004">
      <c r="A62" s="389">
        <v>4</v>
      </c>
      <c r="C62" s="400"/>
      <c r="D62" s="400" t="s">
        <v>251</v>
      </c>
      <c r="E62" s="395">
        <f>SUMIF($C$1:$C$65531,4,E$1:E$65531)</f>
        <v>0</v>
      </c>
      <c r="F62" s="395">
        <f>SUMIF($C$1:$C$65531,4,F$1:F$65531)</f>
        <v>0</v>
      </c>
      <c r="G62" s="396" t="e">
        <f>E62/F62</f>
        <v>#DIV/0!</v>
      </c>
      <c r="H62" s="395"/>
      <c r="I62" s="396"/>
      <c r="J62" s="190"/>
      <c r="K62" s="190"/>
    </row>
    <row r="63" spans="1:256" s="389" customFormat="1" ht="15.3" x14ac:dyDescent="0.55000000000000004">
      <c r="A63" s="389">
        <v>5</v>
      </c>
      <c r="C63" s="400"/>
      <c r="D63" s="400" t="s">
        <v>250</v>
      </c>
      <c r="E63" s="395">
        <f>SUMIF($C$1:$C$65531,5,E$1:E$65531)</f>
        <v>786941014.55219388</v>
      </c>
      <c r="F63" s="395">
        <f>SUMIF($C$1:$C$65531,5,F$1:F$65531)</f>
        <v>18546102739.762852</v>
      </c>
      <c r="G63" s="396">
        <f>E63/F63</f>
        <v>4.243161086695546E-2</v>
      </c>
      <c r="H63" s="395"/>
      <c r="I63" s="396"/>
      <c r="J63" s="190"/>
      <c r="K63" s="190"/>
    </row>
    <row r="64" spans="1:256" ht="15.3" x14ac:dyDescent="0.55000000000000004">
      <c r="A64" s="389"/>
      <c r="B64" s="389"/>
      <c r="C64" s="389"/>
      <c r="D64" s="389"/>
      <c r="E64" s="389"/>
      <c r="F64" s="389"/>
      <c r="G64" s="389"/>
      <c r="H64" s="389"/>
      <c r="I64" s="389"/>
      <c r="J64" s="190"/>
      <c r="K64" s="190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89"/>
      <c r="FY64" s="389"/>
      <c r="FZ64" s="389"/>
      <c r="GA64" s="389"/>
      <c r="GB64" s="389"/>
      <c r="GC64" s="389"/>
      <c r="GD64" s="389"/>
      <c r="GE64" s="389"/>
      <c r="GF64" s="389"/>
      <c r="GG64" s="389"/>
      <c r="GH64" s="389"/>
      <c r="GI64" s="389"/>
      <c r="GJ64" s="389"/>
      <c r="GK64" s="389"/>
      <c r="GL64" s="389"/>
      <c r="GM64" s="389"/>
      <c r="GN64" s="389"/>
      <c r="GO64" s="389"/>
      <c r="GP64" s="389"/>
      <c r="GQ64" s="389"/>
      <c r="GR64" s="389"/>
      <c r="GS64" s="389"/>
      <c r="GT64" s="389"/>
      <c r="GU64" s="389"/>
      <c r="GV64" s="389"/>
      <c r="GW64" s="389"/>
      <c r="GX64" s="389"/>
      <c r="GY64" s="389"/>
      <c r="GZ64" s="389"/>
      <c r="HA64" s="389"/>
      <c r="HB64" s="389"/>
      <c r="HC64" s="389"/>
      <c r="HD64" s="389"/>
      <c r="HE64" s="389"/>
      <c r="HF64" s="389"/>
      <c r="HG64" s="389"/>
      <c r="HH64" s="389"/>
      <c r="HI64" s="389"/>
      <c r="HJ64" s="389"/>
      <c r="HK64" s="389"/>
      <c r="HL64" s="389"/>
      <c r="HM64" s="389"/>
      <c r="HN64" s="389"/>
      <c r="HO64" s="389"/>
      <c r="HP64" s="389"/>
      <c r="HQ64" s="389"/>
      <c r="HR64" s="389"/>
      <c r="HS64" s="389"/>
      <c r="HT64" s="389"/>
      <c r="HU64" s="389"/>
      <c r="HV64" s="389"/>
      <c r="HW64" s="389"/>
      <c r="HX64" s="389"/>
      <c r="HY64" s="389"/>
      <c r="HZ64" s="389"/>
      <c r="IA64" s="389"/>
      <c r="IB64" s="389"/>
      <c r="IC64" s="389"/>
      <c r="ID64" s="389"/>
      <c r="IE64" s="389"/>
      <c r="IF64" s="389"/>
      <c r="IG64" s="389"/>
      <c r="IH64" s="389"/>
      <c r="II64" s="389"/>
      <c r="IJ64" s="389"/>
      <c r="IK64" s="389"/>
      <c r="IL64" s="389"/>
      <c r="IM64" s="389"/>
      <c r="IN64" s="389"/>
      <c r="IO64" s="389"/>
      <c r="IP64" s="389"/>
      <c r="IQ64" s="389"/>
      <c r="IR64" s="389"/>
    </row>
    <row r="65" spans="1:252" ht="15.3" x14ac:dyDescent="0.55000000000000004">
      <c r="A65" s="389"/>
      <c r="B65" s="389"/>
      <c r="C65" s="389"/>
      <c r="D65" s="389"/>
      <c r="E65" s="389"/>
      <c r="F65" s="389"/>
      <c r="G65" s="389"/>
      <c r="H65" s="389"/>
      <c r="I65" s="389"/>
      <c r="J65" s="190"/>
      <c r="K65" s="190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  <c r="AP65" s="389"/>
      <c r="AQ65" s="389"/>
      <c r="AR65" s="389"/>
      <c r="AS65" s="389"/>
      <c r="AT65" s="389"/>
      <c r="AU65" s="389"/>
      <c r="AV65" s="389"/>
      <c r="AW65" s="389"/>
      <c r="AX65" s="389"/>
      <c r="AY65" s="389"/>
      <c r="AZ65" s="389"/>
      <c r="BA65" s="389"/>
      <c r="BB65" s="389"/>
      <c r="BC65" s="389"/>
      <c r="BD65" s="389"/>
      <c r="BE65" s="389"/>
      <c r="BF65" s="389"/>
      <c r="BG65" s="389"/>
      <c r="BH65" s="389"/>
      <c r="BI65" s="389"/>
      <c r="BJ65" s="389"/>
      <c r="BK65" s="389"/>
      <c r="BL65" s="389"/>
      <c r="BM65" s="389"/>
      <c r="BN65" s="389"/>
      <c r="BO65" s="389"/>
      <c r="BP65" s="389"/>
      <c r="BQ65" s="389"/>
      <c r="BR65" s="389"/>
      <c r="BS65" s="389"/>
      <c r="BT65" s="389"/>
      <c r="BU65" s="389"/>
      <c r="BV65" s="389"/>
      <c r="BW65" s="389"/>
      <c r="BX65" s="389"/>
      <c r="BY65" s="389"/>
      <c r="BZ65" s="389"/>
      <c r="CA65" s="389"/>
      <c r="CB65" s="389"/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9"/>
      <c r="FQ65" s="389"/>
      <c r="FR65" s="389"/>
      <c r="FS65" s="389"/>
      <c r="FT65" s="389"/>
      <c r="FU65" s="389"/>
      <c r="FV65" s="389"/>
      <c r="FW65" s="389"/>
      <c r="FX65" s="389"/>
      <c r="FY65" s="389"/>
      <c r="FZ65" s="389"/>
      <c r="GA65" s="389"/>
      <c r="GB65" s="389"/>
      <c r="GC65" s="389"/>
      <c r="GD65" s="389"/>
      <c r="GE65" s="389"/>
      <c r="GF65" s="389"/>
      <c r="GG65" s="389"/>
      <c r="GH65" s="389"/>
      <c r="GI65" s="389"/>
      <c r="GJ65" s="389"/>
      <c r="GK65" s="389"/>
      <c r="GL65" s="389"/>
      <c r="GM65" s="389"/>
      <c r="GN65" s="389"/>
      <c r="GO65" s="389"/>
      <c r="GP65" s="389"/>
      <c r="GQ65" s="389"/>
      <c r="GR65" s="389"/>
      <c r="GS65" s="389"/>
      <c r="GT65" s="389"/>
      <c r="GU65" s="389"/>
      <c r="GV65" s="389"/>
      <c r="GW65" s="389"/>
      <c r="GX65" s="389"/>
      <c r="GY65" s="389"/>
      <c r="GZ65" s="389"/>
      <c r="HA65" s="389"/>
      <c r="HB65" s="389"/>
      <c r="HC65" s="389"/>
      <c r="HD65" s="389"/>
      <c r="HE65" s="389"/>
      <c r="HF65" s="389"/>
      <c r="HG65" s="389"/>
      <c r="HH65" s="389"/>
      <c r="HI65" s="389"/>
      <c r="HJ65" s="389"/>
      <c r="HK65" s="389"/>
      <c r="HL65" s="389"/>
      <c r="HM65" s="389"/>
      <c r="HN65" s="389"/>
      <c r="HO65" s="389"/>
      <c r="HP65" s="389"/>
      <c r="HQ65" s="389"/>
      <c r="HR65" s="389"/>
      <c r="HS65" s="389"/>
      <c r="HT65" s="389"/>
      <c r="HU65" s="389"/>
      <c r="HV65" s="389"/>
      <c r="HW65" s="389"/>
      <c r="HX65" s="389"/>
      <c r="HY65" s="389"/>
      <c r="HZ65" s="389"/>
      <c r="IA65" s="389"/>
      <c r="IB65" s="389"/>
      <c r="IC65" s="389"/>
      <c r="ID65" s="389"/>
      <c r="IE65" s="389"/>
      <c r="IF65" s="389"/>
      <c r="IG65" s="389"/>
      <c r="IH65" s="389"/>
      <c r="II65" s="389"/>
      <c r="IJ65" s="389"/>
      <c r="IK65" s="389"/>
      <c r="IL65" s="389"/>
      <c r="IM65" s="389"/>
      <c r="IN65" s="389"/>
      <c r="IO65" s="389"/>
      <c r="IP65" s="389"/>
      <c r="IQ65" s="389"/>
      <c r="IR65" s="389"/>
    </row>
    <row r="66" spans="1:252" ht="15.3" x14ac:dyDescent="0.55000000000000004">
      <c r="A66" s="389"/>
      <c r="B66" s="389"/>
      <c r="C66" s="389"/>
      <c r="D66" s="389"/>
      <c r="E66" s="389"/>
      <c r="F66" s="389"/>
      <c r="G66" s="389"/>
      <c r="H66" s="389"/>
      <c r="I66" s="389"/>
      <c r="J66" s="190"/>
      <c r="K66" s="190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389"/>
      <c r="BU66" s="389"/>
      <c r="BV66" s="389"/>
      <c r="BW66" s="389"/>
      <c r="BX66" s="389"/>
      <c r="BY66" s="389"/>
      <c r="BZ66" s="389"/>
      <c r="CA66" s="389"/>
      <c r="CB66" s="389"/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389"/>
      <c r="FY66" s="389"/>
      <c r="FZ66" s="389"/>
      <c r="GA66" s="389"/>
      <c r="GB66" s="389"/>
      <c r="GC66" s="389"/>
      <c r="GD66" s="389"/>
      <c r="GE66" s="389"/>
      <c r="GF66" s="389"/>
      <c r="GG66" s="389"/>
      <c r="GH66" s="389"/>
      <c r="GI66" s="389"/>
      <c r="GJ66" s="389"/>
      <c r="GK66" s="389"/>
      <c r="GL66" s="389"/>
      <c r="GM66" s="389"/>
      <c r="GN66" s="389"/>
      <c r="GO66" s="389"/>
      <c r="GP66" s="389"/>
      <c r="GQ66" s="389"/>
      <c r="GR66" s="389"/>
      <c r="GS66" s="389"/>
      <c r="GT66" s="389"/>
      <c r="GU66" s="389"/>
      <c r="GV66" s="389"/>
      <c r="GW66" s="389"/>
      <c r="GX66" s="389"/>
      <c r="GY66" s="389"/>
      <c r="GZ66" s="389"/>
      <c r="HA66" s="389"/>
      <c r="HB66" s="389"/>
      <c r="HC66" s="389"/>
      <c r="HD66" s="389"/>
      <c r="HE66" s="389"/>
      <c r="HF66" s="389"/>
      <c r="HG66" s="389"/>
      <c r="HH66" s="389"/>
      <c r="HI66" s="389"/>
      <c r="HJ66" s="389"/>
      <c r="HK66" s="389"/>
      <c r="HL66" s="389"/>
      <c r="HM66" s="389"/>
      <c r="HN66" s="389"/>
      <c r="HO66" s="389"/>
      <c r="HP66" s="389"/>
      <c r="HQ66" s="389"/>
      <c r="HR66" s="389"/>
      <c r="HS66" s="389"/>
      <c r="HT66" s="389"/>
      <c r="HU66" s="389"/>
      <c r="HV66" s="389"/>
      <c r="HW66" s="389"/>
      <c r="HX66" s="389"/>
      <c r="HY66" s="389"/>
      <c r="HZ66" s="389"/>
      <c r="IA66" s="389"/>
      <c r="IB66" s="389"/>
      <c r="IC66" s="389"/>
      <c r="ID66" s="389"/>
      <c r="IE66" s="389"/>
      <c r="IF66" s="389"/>
      <c r="IG66" s="389"/>
      <c r="IH66" s="389"/>
      <c r="II66" s="389"/>
      <c r="IJ66" s="389"/>
      <c r="IK66" s="389"/>
      <c r="IL66" s="389"/>
      <c r="IM66" s="389"/>
      <c r="IN66" s="389"/>
      <c r="IO66" s="389"/>
      <c r="IP66" s="389"/>
      <c r="IQ66" s="389"/>
      <c r="IR66" s="389"/>
    </row>
    <row r="67" spans="1:252" ht="15.3" x14ac:dyDescent="0.55000000000000004">
      <c r="A67" s="389"/>
      <c r="B67" s="389"/>
      <c r="C67" s="389"/>
      <c r="D67" s="389"/>
      <c r="E67" s="389"/>
      <c r="F67" s="389"/>
      <c r="G67" s="389"/>
      <c r="H67" s="389"/>
      <c r="I67" s="389"/>
      <c r="J67" s="190"/>
      <c r="K67" s="190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  <c r="AP67" s="389"/>
      <c r="AQ67" s="389"/>
      <c r="AR67" s="389"/>
      <c r="AS67" s="389"/>
      <c r="AT67" s="389"/>
      <c r="AU67" s="389"/>
      <c r="AV67" s="389"/>
      <c r="AW67" s="389"/>
      <c r="AX67" s="389"/>
      <c r="AY67" s="389"/>
      <c r="AZ67" s="389"/>
      <c r="BA67" s="389"/>
      <c r="BB67" s="389"/>
      <c r="BC67" s="389"/>
      <c r="BD67" s="389"/>
      <c r="BE67" s="389"/>
      <c r="BF67" s="389"/>
      <c r="BG67" s="389"/>
      <c r="BH67" s="389"/>
      <c r="BI67" s="389"/>
      <c r="BJ67" s="389"/>
      <c r="BK67" s="389"/>
      <c r="BL67" s="389"/>
      <c r="BM67" s="389"/>
      <c r="BN67" s="389"/>
      <c r="BO67" s="389"/>
      <c r="BP67" s="389"/>
      <c r="BQ67" s="389"/>
      <c r="BR67" s="389"/>
      <c r="BS67" s="389"/>
      <c r="BT67" s="389"/>
      <c r="BU67" s="389"/>
      <c r="BV67" s="389"/>
      <c r="BW67" s="389"/>
      <c r="BX67" s="389"/>
      <c r="BY67" s="389"/>
      <c r="BZ67" s="389"/>
      <c r="CA67" s="389"/>
      <c r="CB67" s="389"/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389"/>
      <c r="FY67" s="389"/>
      <c r="FZ67" s="389"/>
      <c r="GA67" s="389"/>
      <c r="GB67" s="389"/>
      <c r="GC67" s="389"/>
      <c r="GD67" s="389"/>
      <c r="GE67" s="389"/>
      <c r="GF67" s="389"/>
      <c r="GG67" s="389"/>
      <c r="GH67" s="389"/>
      <c r="GI67" s="389"/>
      <c r="GJ67" s="389"/>
      <c r="GK67" s="389"/>
      <c r="GL67" s="389"/>
      <c r="GM67" s="389"/>
      <c r="GN67" s="389"/>
      <c r="GO67" s="389"/>
      <c r="GP67" s="389"/>
      <c r="GQ67" s="389"/>
      <c r="GR67" s="389"/>
      <c r="GS67" s="389"/>
      <c r="GT67" s="389"/>
      <c r="GU67" s="389"/>
      <c r="GV67" s="389"/>
      <c r="GW67" s="389"/>
      <c r="GX67" s="389"/>
      <c r="GY67" s="389"/>
      <c r="GZ67" s="389"/>
      <c r="HA67" s="389"/>
      <c r="HB67" s="389"/>
      <c r="HC67" s="389"/>
      <c r="HD67" s="389"/>
      <c r="HE67" s="389"/>
      <c r="HF67" s="389"/>
      <c r="HG67" s="389"/>
      <c r="HH67" s="389"/>
      <c r="HI67" s="389"/>
      <c r="HJ67" s="389"/>
      <c r="HK67" s="389"/>
      <c r="HL67" s="389"/>
      <c r="HM67" s="389"/>
      <c r="HN67" s="389"/>
      <c r="HO67" s="389"/>
      <c r="HP67" s="389"/>
      <c r="HQ67" s="389"/>
      <c r="HR67" s="389"/>
      <c r="HS67" s="389"/>
      <c r="HT67" s="389"/>
      <c r="HU67" s="389"/>
      <c r="HV67" s="389"/>
      <c r="HW67" s="389"/>
      <c r="HX67" s="389"/>
      <c r="HY67" s="389"/>
      <c r="HZ67" s="389"/>
      <c r="IA67" s="389"/>
      <c r="IB67" s="389"/>
      <c r="IC67" s="389"/>
      <c r="ID67" s="389"/>
      <c r="IE67" s="389"/>
      <c r="IF67" s="389"/>
      <c r="IG67" s="389"/>
      <c r="IH67" s="389"/>
      <c r="II67" s="389"/>
      <c r="IJ67" s="389"/>
      <c r="IK67" s="389"/>
      <c r="IL67" s="389"/>
      <c r="IM67" s="389"/>
      <c r="IN67" s="389"/>
      <c r="IO67" s="389"/>
      <c r="IP67" s="389"/>
      <c r="IQ67" s="389"/>
      <c r="IR67" s="389"/>
    </row>
    <row r="68" spans="1:252" ht="15.3" x14ac:dyDescent="0.55000000000000004">
      <c r="A68" s="389"/>
      <c r="B68" s="389"/>
      <c r="C68" s="389"/>
      <c r="D68" s="389"/>
      <c r="E68" s="389"/>
      <c r="F68" s="389"/>
      <c r="G68" s="389"/>
      <c r="H68" s="389"/>
      <c r="I68" s="389"/>
      <c r="J68" s="190"/>
      <c r="K68" s="190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89"/>
      <c r="AY68" s="389"/>
      <c r="AZ68" s="389"/>
      <c r="BA68" s="389"/>
      <c r="BB68" s="389"/>
      <c r="BC68" s="389"/>
      <c r="BD68" s="389"/>
      <c r="BE68" s="389"/>
      <c r="BF68" s="389"/>
      <c r="BG68" s="389"/>
      <c r="BH68" s="389"/>
      <c r="BI68" s="389"/>
      <c r="BJ68" s="389"/>
      <c r="BK68" s="389"/>
      <c r="BL68" s="389"/>
      <c r="BM68" s="389"/>
      <c r="BN68" s="389"/>
      <c r="BO68" s="389"/>
      <c r="BP68" s="389"/>
      <c r="BQ68" s="389"/>
      <c r="BR68" s="389"/>
      <c r="BS68" s="389"/>
      <c r="BT68" s="389"/>
      <c r="BU68" s="389"/>
      <c r="BV68" s="389"/>
      <c r="BW68" s="389"/>
      <c r="BX68" s="389"/>
      <c r="BY68" s="389"/>
      <c r="BZ68" s="389"/>
      <c r="CA68" s="389"/>
      <c r="CB68" s="389"/>
      <c r="CC68" s="389"/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389"/>
      <c r="FY68" s="389"/>
      <c r="FZ68" s="389"/>
      <c r="GA68" s="389"/>
      <c r="GB68" s="389"/>
      <c r="GC68" s="389"/>
      <c r="GD68" s="389"/>
      <c r="GE68" s="389"/>
      <c r="GF68" s="389"/>
      <c r="GG68" s="389"/>
      <c r="GH68" s="389"/>
      <c r="GI68" s="389"/>
      <c r="GJ68" s="389"/>
      <c r="GK68" s="389"/>
      <c r="GL68" s="389"/>
      <c r="GM68" s="389"/>
      <c r="GN68" s="389"/>
      <c r="GO68" s="389"/>
      <c r="GP68" s="389"/>
      <c r="GQ68" s="389"/>
      <c r="GR68" s="389"/>
      <c r="GS68" s="389"/>
      <c r="GT68" s="389"/>
      <c r="GU68" s="389"/>
      <c r="GV68" s="389"/>
      <c r="GW68" s="389"/>
      <c r="GX68" s="389"/>
      <c r="GY68" s="389"/>
      <c r="GZ68" s="389"/>
      <c r="HA68" s="389"/>
      <c r="HB68" s="389"/>
      <c r="HC68" s="389"/>
      <c r="HD68" s="389"/>
      <c r="HE68" s="389"/>
      <c r="HF68" s="389"/>
      <c r="HG68" s="389"/>
      <c r="HH68" s="389"/>
      <c r="HI68" s="389"/>
      <c r="HJ68" s="389"/>
      <c r="HK68" s="389"/>
      <c r="HL68" s="389"/>
      <c r="HM68" s="389"/>
      <c r="HN68" s="389"/>
      <c r="HO68" s="389"/>
      <c r="HP68" s="389"/>
      <c r="HQ68" s="389"/>
      <c r="HR68" s="389"/>
      <c r="HS68" s="389"/>
      <c r="HT68" s="389"/>
      <c r="HU68" s="389"/>
      <c r="HV68" s="389"/>
      <c r="HW68" s="389"/>
      <c r="HX68" s="389"/>
      <c r="HY68" s="389"/>
      <c r="HZ68" s="389"/>
      <c r="IA68" s="389"/>
      <c r="IB68" s="389"/>
      <c r="IC68" s="389"/>
      <c r="ID68" s="389"/>
      <c r="IE68" s="389"/>
      <c r="IF68" s="389"/>
      <c r="IG68" s="389"/>
      <c r="IH68" s="389"/>
      <c r="II68" s="389"/>
      <c r="IJ68" s="389"/>
      <c r="IK68" s="389"/>
      <c r="IL68" s="389"/>
      <c r="IM68" s="389"/>
      <c r="IN68" s="389"/>
      <c r="IO68" s="389"/>
      <c r="IP68" s="389"/>
      <c r="IQ68" s="389"/>
      <c r="IR68" s="389"/>
    </row>
    <row r="69" spans="1:252" ht="15.3" x14ac:dyDescent="0.55000000000000004">
      <c r="A69" s="389"/>
      <c r="B69" s="389"/>
      <c r="C69" s="389"/>
      <c r="D69" s="389"/>
      <c r="E69" s="389"/>
      <c r="F69" s="389"/>
      <c r="G69" s="389"/>
      <c r="H69" s="389"/>
      <c r="I69" s="389"/>
      <c r="J69" s="190"/>
      <c r="K69" s="190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389"/>
      <c r="FZ69" s="389"/>
      <c r="GA69" s="389"/>
      <c r="GB69" s="389"/>
      <c r="GC69" s="389"/>
      <c r="GD69" s="389"/>
      <c r="GE69" s="389"/>
      <c r="GF69" s="389"/>
      <c r="GG69" s="389"/>
      <c r="GH69" s="389"/>
      <c r="GI69" s="389"/>
      <c r="GJ69" s="389"/>
      <c r="GK69" s="389"/>
      <c r="GL69" s="389"/>
      <c r="GM69" s="389"/>
      <c r="GN69" s="389"/>
      <c r="GO69" s="389"/>
      <c r="GP69" s="389"/>
      <c r="GQ69" s="389"/>
      <c r="GR69" s="389"/>
      <c r="GS69" s="389"/>
      <c r="GT69" s="389"/>
      <c r="GU69" s="389"/>
      <c r="GV69" s="389"/>
      <c r="GW69" s="389"/>
      <c r="GX69" s="389"/>
      <c r="GY69" s="389"/>
      <c r="GZ69" s="389"/>
      <c r="HA69" s="389"/>
      <c r="HB69" s="389"/>
      <c r="HC69" s="389"/>
      <c r="HD69" s="389"/>
      <c r="HE69" s="389"/>
      <c r="HF69" s="389"/>
      <c r="HG69" s="389"/>
      <c r="HH69" s="389"/>
      <c r="HI69" s="389"/>
      <c r="HJ69" s="389"/>
      <c r="HK69" s="389"/>
      <c r="HL69" s="389"/>
      <c r="HM69" s="389"/>
      <c r="HN69" s="389"/>
      <c r="HO69" s="389"/>
      <c r="HP69" s="389"/>
      <c r="HQ69" s="389"/>
      <c r="HR69" s="389"/>
      <c r="HS69" s="389"/>
      <c r="HT69" s="389"/>
      <c r="HU69" s="389"/>
      <c r="HV69" s="389"/>
      <c r="HW69" s="389"/>
      <c r="HX69" s="389"/>
      <c r="HY69" s="389"/>
      <c r="HZ69" s="389"/>
      <c r="IA69" s="389"/>
      <c r="IB69" s="389"/>
      <c r="IC69" s="389"/>
      <c r="ID69" s="389"/>
      <c r="IE69" s="389"/>
      <c r="IF69" s="389"/>
      <c r="IG69" s="389"/>
      <c r="IH69" s="389"/>
      <c r="II69" s="389"/>
      <c r="IJ69" s="389"/>
      <c r="IK69" s="389"/>
      <c r="IL69" s="389"/>
      <c r="IM69" s="389"/>
      <c r="IN69" s="389"/>
      <c r="IO69" s="389"/>
      <c r="IP69" s="389"/>
      <c r="IQ69" s="389"/>
      <c r="IR69" s="389"/>
    </row>
    <row r="70" spans="1:252" ht="15.3" x14ac:dyDescent="0.55000000000000004">
      <c r="A70" s="389"/>
      <c r="B70" s="389"/>
      <c r="C70" s="389"/>
      <c r="D70" s="389"/>
      <c r="E70" s="389"/>
      <c r="F70" s="389"/>
      <c r="G70" s="389"/>
      <c r="H70" s="389"/>
      <c r="I70" s="389"/>
      <c r="J70" s="190"/>
      <c r="K70" s="190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  <c r="AP70" s="389"/>
      <c r="AQ70" s="389"/>
      <c r="AR70" s="389"/>
      <c r="AS70" s="389"/>
      <c r="AT70" s="389"/>
      <c r="AU70" s="389"/>
      <c r="AV70" s="389"/>
      <c r="AW70" s="389"/>
      <c r="AX70" s="389"/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389"/>
      <c r="FZ70" s="389"/>
      <c r="GA70" s="389"/>
      <c r="GB70" s="389"/>
      <c r="GC70" s="389"/>
      <c r="GD70" s="389"/>
      <c r="GE70" s="389"/>
      <c r="GF70" s="389"/>
      <c r="GG70" s="389"/>
      <c r="GH70" s="389"/>
      <c r="GI70" s="389"/>
      <c r="GJ70" s="389"/>
      <c r="GK70" s="389"/>
      <c r="GL70" s="389"/>
      <c r="GM70" s="389"/>
      <c r="GN70" s="389"/>
      <c r="GO70" s="389"/>
      <c r="GP70" s="389"/>
      <c r="GQ70" s="389"/>
      <c r="GR70" s="389"/>
      <c r="GS70" s="389"/>
      <c r="GT70" s="389"/>
      <c r="GU70" s="389"/>
      <c r="GV70" s="389"/>
      <c r="GW70" s="389"/>
      <c r="GX70" s="389"/>
      <c r="GY70" s="389"/>
      <c r="GZ70" s="389"/>
      <c r="HA70" s="389"/>
      <c r="HB70" s="389"/>
      <c r="HC70" s="389"/>
      <c r="HD70" s="389"/>
      <c r="HE70" s="389"/>
      <c r="HF70" s="389"/>
      <c r="HG70" s="389"/>
      <c r="HH70" s="389"/>
      <c r="HI70" s="389"/>
      <c r="HJ70" s="389"/>
      <c r="HK70" s="389"/>
      <c r="HL70" s="389"/>
      <c r="HM70" s="389"/>
      <c r="HN70" s="389"/>
      <c r="HO70" s="389"/>
      <c r="HP70" s="389"/>
      <c r="HQ70" s="389"/>
      <c r="HR70" s="389"/>
      <c r="HS70" s="389"/>
      <c r="HT70" s="389"/>
      <c r="HU70" s="389"/>
      <c r="HV70" s="389"/>
      <c r="HW70" s="389"/>
      <c r="HX70" s="389"/>
      <c r="HY70" s="389"/>
      <c r="HZ70" s="389"/>
      <c r="IA70" s="389"/>
      <c r="IB70" s="389"/>
      <c r="IC70" s="389"/>
      <c r="ID70" s="389"/>
      <c r="IE70" s="389"/>
      <c r="IF70" s="389"/>
      <c r="IG70" s="389"/>
      <c r="IH70" s="389"/>
      <c r="II70" s="389"/>
      <c r="IJ70" s="389"/>
      <c r="IK70" s="389"/>
      <c r="IL70" s="389"/>
      <c r="IM70" s="389"/>
      <c r="IN70" s="389"/>
      <c r="IO70" s="389"/>
      <c r="IP70" s="389"/>
      <c r="IQ70" s="389"/>
      <c r="IR70" s="389"/>
    </row>
    <row r="71" spans="1:252" ht="15.3" x14ac:dyDescent="0.55000000000000004">
      <c r="A71" s="389"/>
      <c r="B71" s="389"/>
      <c r="C71" s="389"/>
      <c r="D71" s="389"/>
      <c r="E71" s="389"/>
      <c r="F71" s="389"/>
      <c r="G71" s="389"/>
      <c r="H71" s="389"/>
      <c r="I71" s="389"/>
      <c r="J71" s="190"/>
      <c r="K71" s="190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  <c r="AP71" s="389"/>
      <c r="AQ71" s="389"/>
      <c r="AR71" s="389"/>
      <c r="AS71" s="389"/>
      <c r="AT71" s="389"/>
      <c r="AU71" s="389"/>
      <c r="AV71" s="389"/>
      <c r="AW71" s="389"/>
      <c r="AX71" s="389"/>
      <c r="AY71" s="389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389"/>
      <c r="FZ71" s="389"/>
      <c r="GA71" s="389"/>
      <c r="GB71" s="389"/>
      <c r="GC71" s="389"/>
      <c r="GD71" s="389"/>
      <c r="GE71" s="389"/>
      <c r="GF71" s="389"/>
      <c r="GG71" s="389"/>
      <c r="GH71" s="389"/>
      <c r="GI71" s="389"/>
      <c r="GJ71" s="389"/>
      <c r="GK71" s="389"/>
      <c r="GL71" s="389"/>
      <c r="GM71" s="389"/>
      <c r="GN71" s="389"/>
      <c r="GO71" s="389"/>
      <c r="GP71" s="389"/>
      <c r="GQ71" s="389"/>
      <c r="GR71" s="389"/>
      <c r="GS71" s="389"/>
      <c r="GT71" s="389"/>
      <c r="GU71" s="389"/>
      <c r="GV71" s="389"/>
      <c r="GW71" s="389"/>
      <c r="GX71" s="389"/>
      <c r="GY71" s="389"/>
      <c r="GZ71" s="389"/>
      <c r="HA71" s="389"/>
      <c r="HB71" s="389"/>
      <c r="HC71" s="389"/>
      <c r="HD71" s="389"/>
      <c r="HE71" s="389"/>
      <c r="HF71" s="389"/>
      <c r="HG71" s="389"/>
      <c r="HH71" s="389"/>
      <c r="HI71" s="389"/>
      <c r="HJ71" s="389"/>
      <c r="HK71" s="389"/>
      <c r="HL71" s="389"/>
      <c r="HM71" s="389"/>
      <c r="HN71" s="389"/>
      <c r="HO71" s="389"/>
      <c r="HP71" s="389"/>
      <c r="HQ71" s="389"/>
      <c r="HR71" s="389"/>
      <c r="HS71" s="389"/>
      <c r="HT71" s="389"/>
      <c r="HU71" s="389"/>
      <c r="HV71" s="389"/>
      <c r="HW71" s="389"/>
      <c r="HX71" s="389"/>
      <c r="HY71" s="389"/>
      <c r="HZ71" s="389"/>
      <c r="IA71" s="389"/>
      <c r="IB71" s="389"/>
      <c r="IC71" s="389"/>
      <c r="ID71" s="389"/>
      <c r="IE71" s="389"/>
      <c r="IF71" s="389"/>
      <c r="IG71" s="389"/>
      <c r="IH71" s="389"/>
      <c r="II71" s="389"/>
      <c r="IJ71" s="389"/>
      <c r="IK71" s="389"/>
      <c r="IL71" s="389"/>
      <c r="IM71" s="389"/>
      <c r="IN71" s="389"/>
      <c r="IO71" s="389"/>
      <c r="IP71" s="389"/>
      <c r="IQ71" s="389"/>
      <c r="IR71" s="389"/>
    </row>
    <row r="72" spans="1:252" ht="15.3" x14ac:dyDescent="0.55000000000000004">
      <c r="A72" s="389"/>
      <c r="B72" s="389"/>
      <c r="C72" s="389"/>
      <c r="D72" s="389"/>
      <c r="E72" s="389"/>
      <c r="F72" s="389"/>
      <c r="G72" s="389"/>
      <c r="H72" s="389"/>
      <c r="I72" s="389"/>
      <c r="J72" s="190"/>
      <c r="K72" s="190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  <c r="AP72" s="389"/>
      <c r="AQ72" s="389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389"/>
      <c r="FZ72" s="389"/>
      <c r="GA72" s="389"/>
      <c r="GB72" s="389"/>
      <c r="GC72" s="389"/>
      <c r="GD72" s="389"/>
      <c r="GE72" s="389"/>
      <c r="GF72" s="389"/>
      <c r="GG72" s="389"/>
      <c r="GH72" s="389"/>
      <c r="GI72" s="389"/>
      <c r="GJ72" s="389"/>
      <c r="GK72" s="389"/>
      <c r="GL72" s="389"/>
      <c r="GM72" s="389"/>
      <c r="GN72" s="389"/>
      <c r="GO72" s="389"/>
      <c r="GP72" s="389"/>
      <c r="GQ72" s="389"/>
      <c r="GR72" s="389"/>
      <c r="GS72" s="389"/>
      <c r="GT72" s="389"/>
      <c r="GU72" s="389"/>
      <c r="GV72" s="389"/>
      <c r="GW72" s="389"/>
      <c r="GX72" s="389"/>
      <c r="GY72" s="389"/>
      <c r="GZ72" s="389"/>
      <c r="HA72" s="389"/>
      <c r="HB72" s="389"/>
      <c r="HC72" s="389"/>
      <c r="HD72" s="389"/>
      <c r="HE72" s="389"/>
      <c r="HF72" s="389"/>
      <c r="HG72" s="389"/>
      <c r="HH72" s="389"/>
      <c r="HI72" s="389"/>
      <c r="HJ72" s="389"/>
      <c r="HK72" s="389"/>
      <c r="HL72" s="389"/>
      <c r="HM72" s="389"/>
      <c r="HN72" s="389"/>
      <c r="HO72" s="389"/>
      <c r="HP72" s="389"/>
      <c r="HQ72" s="389"/>
      <c r="HR72" s="389"/>
      <c r="HS72" s="389"/>
      <c r="HT72" s="389"/>
      <c r="HU72" s="389"/>
      <c r="HV72" s="389"/>
      <c r="HW72" s="389"/>
      <c r="HX72" s="389"/>
      <c r="HY72" s="389"/>
      <c r="HZ72" s="389"/>
      <c r="IA72" s="389"/>
      <c r="IB72" s="389"/>
      <c r="IC72" s="389"/>
      <c r="ID72" s="389"/>
      <c r="IE72" s="389"/>
      <c r="IF72" s="389"/>
      <c r="IG72" s="389"/>
      <c r="IH72" s="389"/>
      <c r="II72" s="389"/>
      <c r="IJ72" s="389"/>
      <c r="IK72" s="389"/>
      <c r="IL72" s="389"/>
      <c r="IM72" s="389"/>
      <c r="IN72" s="389"/>
      <c r="IO72" s="389"/>
      <c r="IP72" s="389"/>
      <c r="IQ72" s="389"/>
      <c r="IR72" s="389"/>
    </row>
    <row r="73" spans="1:252" ht="15.3" x14ac:dyDescent="0.55000000000000004">
      <c r="A73" s="389"/>
      <c r="B73" s="389"/>
      <c r="C73" s="389"/>
      <c r="D73" s="389"/>
      <c r="E73" s="389"/>
      <c r="F73" s="389"/>
      <c r="G73" s="389"/>
      <c r="H73" s="389"/>
      <c r="I73" s="389"/>
      <c r="J73" s="190"/>
      <c r="K73" s="190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  <c r="AP73" s="389"/>
      <c r="AQ73" s="389"/>
      <c r="AR73" s="389"/>
      <c r="AS73" s="389"/>
      <c r="AT73" s="389"/>
      <c r="AU73" s="389"/>
      <c r="AV73" s="389"/>
      <c r="AW73" s="389"/>
      <c r="AX73" s="389"/>
      <c r="AY73" s="389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389"/>
      <c r="BU73" s="389"/>
      <c r="BV73" s="389"/>
      <c r="BW73" s="389"/>
      <c r="BX73" s="389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389"/>
      <c r="FZ73" s="389"/>
      <c r="GA73" s="389"/>
      <c r="GB73" s="389"/>
      <c r="GC73" s="389"/>
      <c r="GD73" s="389"/>
      <c r="GE73" s="389"/>
      <c r="GF73" s="389"/>
      <c r="GG73" s="389"/>
      <c r="GH73" s="389"/>
      <c r="GI73" s="389"/>
      <c r="GJ73" s="389"/>
      <c r="GK73" s="389"/>
      <c r="GL73" s="389"/>
      <c r="GM73" s="389"/>
      <c r="GN73" s="389"/>
      <c r="GO73" s="389"/>
      <c r="GP73" s="389"/>
      <c r="GQ73" s="389"/>
      <c r="GR73" s="389"/>
      <c r="GS73" s="389"/>
      <c r="GT73" s="389"/>
      <c r="GU73" s="389"/>
      <c r="GV73" s="389"/>
      <c r="GW73" s="389"/>
      <c r="GX73" s="389"/>
      <c r="GY73" s="389"/>
      <c r="GZ73" s="389"/>
      <c r="HA73" s="389"/>
      <c r="HB73" s="389"/>
      <c r="HC73" s="389"/>
      <c r="HD73" s="389"/>
      <c r="HE73" s="389"/>
      <c r="HF73" s="389"/>
      <c r="HG73" s="389"/>
      <c r="HH73" s="389"/>
      <c r="HI73" s="389"/>
      <c r="HJ73" s="389"/>
      <c r="HK73" s="389"/>
      <c r="HL73" s="389"/>
      <c r="HM73" s="389"/>
      <c r="HN73" s="389"/>
      <c r="HO73" s="389"/>
      <c r="HP73" s="389"/>
      <c r="HQ73" s="389"/>
      <c r="HR73" s="389"/>
      <c r="HS73" s="389"/>
      <c r="HT73" s="389"/>
      <c r="HU73" s="389"/>
      <c r="HV73" s="389"/>
      <c r="HW73" s="389"/>
      <c r="HX73" s="389"/>
      <c r="HY73" s="389"/>
      <c r="HZ73" s="389"/>
      <c r="IA73" s="389"/>
      <c r="IB73" s="389"/>
      <c r="IC73" s="389"/>
      <c r="ID73" s="389"/>
      <c r="IE73" s="389"/>
      <c r="IF73" s="389"/>
      <c r="IG73" s="389"/>
      <c r="IH73" s="389"/>
      <c r="II73" s="389"/>
      <c r="IJ73" s="389"/>
      <c r="IK73" s="389"/>
      <c r="IL73" s="389"/>
      <c r="IM73" s="389"/>
      <c r="IN73" s="389"/>
      <c r="IO73" s="389"/>
      <c r="IP73" s="389"/>
      <c r="IQ73" s="389"/>
      <c r="IR73" s="389"/>
    </row>
    <row r="74" spans="1:252" ht="15.3" x14ac:dyDescent="0.55000000000000004">
      <c r="A74" s="389"/>
      <c r="B74" s="389"/>
      <c r="C74" s="389"/>
      <c r="D74" s="389"/>
      <c r="E74" s="389"/>
      <c r="F74" s="389"/>
      <c r="G74" s="389"/>
      <c r="H74" s="389"/>
      <c r="I74" s="389"/>
      <c r="J74" s="190"/>
      <c r="K74" s="190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389"/>
      <c r="FZ74" s="389"/>
      <c r="GA74" s="389"/>
      <c r="GB74" s="389"/>
      <c r="GC74" s="389"/>
      <c r="GD74" s="389"/>
      <c r="GE74" s="389"/>
      <c r="GF74" s="389"/>
      <c r="GG74" s="389"/>
      <c r="GH74" s="389"/>
      <c r="GI74" s="389"/>
      <c r="GJ74" s="389"/>
      <c r="GK74" s="389"/>
      <c r="GL74" s="389"/>
      <c r="GM74" s="389"/>
      <c r="GN74" s="389"/>
      <c r="GO74" s="389"/>
      <c r="GP74" s="389"/>
      <c r="GQ74" s="389"/>
      <c r="GR74" s="389"/>
      <c r="GS74" s="389"/>
      <c r="GT74" s="389"/>
      <c r="GU74" s="389"/>
      <c r="GV74" s="389"/>
      <c r="GW74" s="389"/>
      <c r="GX74" s="389"/>
      <c r="GY74" s="389"/>
      <c r="GZ74" s="389"/>
      <c r="HA74" s="389"/>
      <c r="HB74" s="389"/>
      <c r="HC74" s="389"/>
      <c r="HD74" s="389"/>
      <c r="HE74" s="389"/>
      <c r="HF74" s="389"/>
      <c r="HG74" s="389"/>
      <c r="HH74" s="389"/>
      <c r="HI74" s="389"/>
      <c r="HJ74" s="389"/>
      <c r="HK74" s="389"/>
      <c r="HL74" s="389"/>
      <c r="HM74" s="389"/>
      <c r="HN74" s="389"/>
      <c r="HO74" s="389"/>
      <c r="HP74" s="389"/>
      <c r="HQ74" s="389"/>
      <c r="HR74" s="389"/>
      <c r="HS74" s="389"/>
      <c r="HT74" s="389"/>
      <c r="HU74" s="389"/>
      <c r="HV74" s="389"/>
      <c r="HW74" s="389"/>
      <c r="HX74" s="389"/>
      <c r="HY74" s="389"/>
      <c r="HZ74" s="389"/>
      <c r="IA74" s="389"/>
      <c r="IB74" s="389"/>
      <c r="IC74" s="389"/>
      <c r="ID74" s="389"/>
      <c r="IE74" s="389"/>
      <c r="IF74" s="389"/>
      <c r="IG74" s="389"/>
      <c r="IH74" s="389"/>
      <c r="II74" s="389"/>
      <c r="IJ74" s="389"/>
      <c r="IK74" s="389"/>
      <c r="IL74" s="389"/>
      <c r="IM74" s="389"/>
      <c r="IN74" s="389"/>
      <c r="IO74" s="389"/>
      <c r="IP74" s="389"/>
      <c r="IQ74" s="389"/>
      <c r="IR74" s="389"/>
    </row>
    <row r="75" spans="1:252" ht="15.3" x14ac:dyDescent="0.55000000000000004">
      <c r="A75" s="389"/>
      <c r="B75" s="389"/>
      <c r="C75" s="389"/>
      <c r="D75" s="389"/>
      <c r="E75" s="389"/>
      <c r="F75" s="389"/>
      <c r="G75" s="389"/>
      <c r="H75" s="389"/>
      <c r="I75" s="389"/>
      <c r="J75" s="190"/>
      <c r="K75" s="190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  <c r="AP75" s="389"/>
      <c r="AQ75" s="389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389"/>
      <c r="FZ75" s="389"/>
      <c r="GA75" s="389"/>
      <c r="GB75" s="389"/>
      <c r="GC75" s="389"/>
      <c r="GD75" s="389"/>
      <c r="GE75" s="389"/>
      <c r="GF75" s="389"/>
      <c r="GG75" s="389"/>
      <c r="GH75" s="389"/>
      <c r="GI75" s="389"/>
      <c r="GJ75" s="389"/>
      <c r="GK75" s="389"/>
      <c r="GL75" s="389"/>
      <c r="GM75" s="389"/>
      <c r="GN75" s="389"/>
      <c r="GO75" s="389"/>
      <c r="GP75" s="389"/>
      <c r="GQ75" s="389"/>
      <c r="GR75" s="389"/>
      <c r="GS75" s="389"/>
      <c r="GT75" s="389"/>
      <c r="GU75" s="389"/>
      <c r="GV75" s="389"/>
      <c r="GW75" s="389"/>
      <c r="GX75" s="389"/>
      <c r="GY75" s="389"/>
      <c r="GZ75" s="389"/>
      <c r="HA75" s="389"/>
      <c r="HB75" s="389"/>
      <c r="HC75" s="389"/>
      <c r="HD75" s="389"/>
      <c r="HE75" s="389"/>
      <c r="HF75" s="389"/>
      <c r="HG75" s="389"/>
      <c r="HH75" s="389"/>
      <c r="HI75" s="389"/>
      <c r="HJ75" s="389"/>
      <c r="HK75" s="389"/>
      <c r="HL75" s="389"/>
      <c r="HM75" s="389"/>
      <c r="HN75" s="389"/>
      <c r="HO75" s="389"/>
      <c r="HP75" s="389"/>
      <c r="HQ75" s="389"/>
      <c r="HR75" s="389"/>
      <c r="HS75" s="389"/>
      <c r="HT75" s="389"/>
      <c r="HU75" s="389"/>
      <c r="HV75" s="389"/>
      <c r="HW75" s="389"/>
      <c r="HX75" s="389"/>
      <c r="HY75" s="389"/>
      <c r="HZ75" s="389"/>
      <c r="IA75" s="389"/>
      <c r="IB75" s="389"/>
      <c r="IC75" s="389"/>
      <c r="ID75" s="389"/>
      <c r="IE75" s="389"/>
      <c r="IF75" s="389"/>
      <c r="IG75" s="389"/>
      <c r="IH75" s="389"/>
      <c r="II75" s="389"/>
      <c r="IJ75" s="389"/>
      <c r="IK75" s="389"/>
      <c r="IL75" s="389"/>
      <c r="IM75" s="389"/>
      <c r="IN75" s="389"/>
      <c r="IO75" s="389"/>
      <c r="IP75" s="389"/>
      <c r="IQ75" s="389"/>
      <c r="IR75" s="389"/>
    </row>
    <row r="76" spans="1:252" ht="15.3" x14ac:dyDescent="0.55000000000000004">
      <c r="A76" s="389"/>
      <c r="B76" s="389"/>
      <c r="C76" s="389"/>
      <c r="D76" s="389"/>
      <c r="E76" s="389"/>
      <c r="F76" s="389"/>
      <c r="G76" s="389"/>
      <c r="H76" s="389"/>
      <c r="I76" s="389"/>
      <c r="J76" s="190"/>
      <c r="K76" s="190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  <c r="AP76" s="389"/>
      <c r="AQ76" s="389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389"/>
      <c r="FZ76" s="389"/>
      <c r="GA76" s="389"/>
      <c r="GB76" s="389"/>
      <c r="GC76" s="389"/>
      <c r="GD76" s="389"/>
      <c r="GE76" s="389"/>
      <c r="GF76" s="389"/>
      <c r="GG76" s="389"/>
      <c r="GH76" s="389"/>
      <c r="GI76" s="389"/>
      <c r="GJ76" s="389"/>
      <c r="GK76" s="389"/>
      <c r="GL76" s="389"/>
      <c r="GM76" s="389"/>
      <c r="GN76" s="389"/>
      <c r="GO76" s="389"/>
      <c r="GP76" s="389"/>
      <c r="GQ76" s="389"/>
      <c r="GR76" s="389"/>
      <c r="GS76" s="389"/>
      <c r="GT76" s="389"/>
      <c r="GU76" s="389"/>
      <c r="GV76" s="389"/>
      <c r="GW76" s="389"/>
      <c r="GX76" s="389"/>
      <c r="GY76" s="389"/>
      <c r="GZ76" s="389"/>
      <c r="HA76" s="389"/>
      <c r="HB76" s="389"/>
      <c r="HC76" s="389"/>
      <c r="HD76" s="389"/>
      <c r="HE76" s="389"/>
      <c r="HF76" s="389"/>
      <c r="HG76" s="389"/>
      <c r="HH76" s="389"/>
      <c r="HI76" s="389"/>
      <c r="HJ76" s="389"/>
      <c r="HK76" s="389"/>
      <c r="HL76" s="389"/>
      <c r="HM76" s="389"/>
      <c r="HN76" s="389"/>
      <c r="HO76" s="389"/>
      <c r="HP76" s="389"/>
      <c r="HQ76" s="389"/>
      <c r="HR76" s="389"/>
      <c r="HS76" s="389"/>
      <c r="HT76" s="389"/>
      <c r="HU76" s="389"/>
      <c r="HV76" s="389"/>
      <c r="HW76" s="389"/>
      <c r="HX76" s="389"/>
      <c r="HY76" s="389"/>
      <c r="HZ76" s="389"/>
      <c r="IA76" s="389"/>
      <c r="IB76" s="389"/>
      <c r="IC76" s="389"/>
      <c r="ID76" s="389"/>
      <c r="IE76" s="389"/>
      <c r="IF76" s="389"/>
      <c r="IG76" s="389"/>
      <c r="IH76" s="389"/>
      <c r="II76" s="389"/>
      <c r="IJ76" s="389"/>
      <c r="IK76" s="389"/>
      <c r="IL76" s="389"/>
      <c r="IM76" s="389"/>
      <c r="IN76" s="389"/>
      <c r="IO76" s="389"/>
      <c r="IP76" s="389"/>
      <c r="IQ76" s="389"/>
      <c r="IR76" s="389"/>
    </row>
    <row r="77" spans="1:252" ht="15.3" x14ac:dyDescent="0.55000000000000004">
      <c r="A77" s="389"/>
      <c r="B77" s="389"/>
      <c r="C77" s="389"/>
      <c r="D77" s="389"/>
      <c r="E77" s="389"/>
      <c r="F77" s="389"/>
      <c r="G77" s="389"/>
      <c r="H77" s="389"/>
      <c r="I77" s="389"/>
      <c r="J77" s="190"/>
      <c r="K77" s="190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  <c r="AP77" s="389"/>
      <c r="AQ77" s="389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389"/>
      <c r="FZ77" s="389"/>
      <c r="GA77" s="389"/>
      <c r="GB77" s="389"/>
      <c r="GC77" s="389"/>
      <c r="GD77" s="389"/>
      <c r="GE77" s="389"/>
      <c r="GF77" s="389"/>
      <c r="GG77" s="389"/>
      <c r="GH77" s="389"/>
      <c r="GI77" s="389"/>
      <c r="GJ77" s="389"/>
      <c r="GK77" s="389"/>
      <c r="GL77" s="389"/>
      <c r="GM77" s="389"/>
      <c r="GN77" s="389"/>
      <c r="GO77" s="389"/>
      <c r="GP77" s="389"/>
      <c r="GQ77" s="389"/>
      <c r="GR77" s="389"/>
      <c r="GS77" s="389"/>
      <c r="GT77" s="389"/>
      <c r="GU77" s="389"/>
      <c r="GV77" s="389"/>
      <c r="GW77" s="389"/>
      <c r="GX77" s="389"/>
      <c r="GY77" s="389"/>
      <c r="GZ77" s="389"/>
      <c r="HA77" s="389"/>
      <c r="HB77" s="389"/>
      <c r="HC77" s="389"/>
      <c r="HD77" s="389"/>
      <c r="HE77" s="389"/>
      <c r="HF77" s="389"/>
      <c r="HG77" s="389"/>
      <c r="HH77" s="389"/>
      <c r="HI77" s="389"/>
      <c r="HJ77" s="389"/>
      <c r="HK77" s="389"/>
      <c r="HL77" s="389"/>
      <c r="HM77" s="389"/>
      <c r="HN77" s="389"/>
      <c r="HO77" s="389"/>
      <c r="HP77" s="389"/>
      <c r="HQ77" s="389"/>
      <c r="HR77" s="389"/>
      <c r="HS77" s="389"/>
      <c r="HT77" s="389"/>
      <c r="HU77" s="389"/>
      <c r="HV77" s="389"/>
      <c r="HW77" s="389"/>
      <c r="HX77" s="389"/>
      <c r="HY77" s="389"/>
      <c r="HZ77" s="389"/>
      <c r="IA77" s="389"/>
      <c r="IB77" s="389"/>
      <c r="IC77" s="389"/>
      <c r="ID77" s="389"/>
      <c r="IE77" s="389"/>
      <c r="IF77" s="389"/>
      <c r="IG77" s="389"/>
      <c r="IH77" s="389"/>
      <c r="II77" s="389"/>
      <c r="IJ77" s="389"/>
      <c r="IK77" s="389"/>
      <c r="IL77" s="389"/>
      <c r="IM77" s="389"/>
      <c r="IN77" s="389"/>
      <c r="IO77" s="389"/>
      <c r="IP77" s="389"/>
      <c r="IQ77" s="389"/>
      <c r="IR77" s="389"/>
    </row>
    <row r="78" spans="1:252" ht="15.3" x14ac:dyDescent="0.55000000000000004">
      <c r="A78" s="389"/>
      <c r="B78" s="389"/>
      <c r="C78" s="389"/>
      <c r="D78" s="389"/>
      <c r="E78" s="389"/>
      <c r="F78" s="389"/>
      <c r="G78" s="389"/>
      <c r="H78" s="389"/>
      <c r="I78" s="389"/>
      <c r="J78" s="190"/>
      <c r="K78" s="190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  <c r="AP78" s="389"/>
      <c r="AQ78" s="389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389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389"/>
      <c r="FZ78" s="389"/>
      <c r="GA78" s="389"/>
      <c r="GB78" s="389"/>
      <c r="GC78" s="389"/>
      <c r="GD78" s="389"/>
      <c r="GE78" s="389"/>
      <c r="GF78" s="389"/>
      <c r="GG78" s="389"/>
      <c r="GH78" s="389"/>
      <c r="GI78" s="389"/>
      <c r="GJ78" s="389"/>
      <c r="GK78" s="389"/>
      <c r="GL78" s="389"/>
      <c r="GM78" s="389"/>
      <c r="GN78" s="389"/>
      <c r="GO78" s="389"/>
      <c r="GP78" s="389"/>
      <c r="GQ78" s="389"/>
      <c r="GR78" s="389"/>
      <c r="GS78" s="389"/>
      <c r="GT78" s="389"/>
      <c r="GU78" s="389"/>
      <c r="GV78" s="389"/>
      <c r="GW78" s="389"/>
      <c r="GX78" s="389"/>
      <c r="GY78" s="389"/>
      <c r="GZ78" s="389"/>
      <c r="HA78" s="389"/>
      <c r="HB78" s="389"/>
      <c r="HC78" s="389"/>
      <c r="HD78" s="389"/>
      <c r="HE78" s="389"/>
      <c r="HF78" s="389"/>
      <c r="HG78" s="389"/>
      <c r="HH78" s="389"/>
      <c r="HI78" s="389"/>
      <c r="HJ78" s="389"/>
      <c r="HK78" s="389"/>
      <c r="HL78" s="389"/>
      <c r="HM78" s="389"/>
      <c r="HN78" s="389"/>
      <c r="HO78" s="389"/>
      <c r="HP78" s="389"/>
      <c r="HQ78" s="389"/>
      <c r="HR78" s="389"/>
      <c r="HS78" s="389"/>
      <c r="HT78" s="389"/>
      <c r="HU78" s="389"/>
      <c r="HV78" s="389"/>
      <c r="HW78" s="389"/>
      <c r="HX78" s="389"/>
      <c r="HY78" s="389"/>
      <c r="HZ78" s="389"/>
      <c r="IA78" s="389"/>
      <c r="IB78" s="389"/>
      <c r="IC78" s="389"/>
      <c r="ID78" s="389"/>
      <c r="IE78" s="389"/>
      <c r="IF78" s="389"/>
      <c r="IG78" s="389"/>
      <c r="IH78" s="389"/>
      <c r="II78" s="389"/>
      <c r="IJ78" s="389"/>
      <c r="IK78" s="389"/>
      <c r="IL78" s="389"/>
      <c r="IM78" s="389"/>
      <c r="IN78" s="389"/>
      <c r="IO78" s="389"/>
      <c r="IP78" s="389"/>
      <c r="IQ78" s="389"/>
      <c r="IR78" s="389"/>
    </row>
    <row r="79" spans="1:252" ht="15.3" x14ac:dyDescent="0.55000000000000004">
      <c r="A79" s="389"/>
      <c r="B79" s="389"/>
      <c r="C79" s="389"/>
      <c r="D79" s="389"/>
      <c r="E79" s="389"/>
      <c r="F79" s="389"/>
      <c r="G79" s="389"/>
      <c r="H79" s="389"/>
      <c r="I79" s="389"/>
      <c r="J79" s="190"/>
      <c r="K79" s="190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389"/>
      <c r="FZ79" s="389"/>
      <c r="GA79" s="389"/>
      <c r="GB79" s="389"/>
      <c r="GC79" s="389"/>
      <c r="GD79" s="389"/>
      <c r="GE79" s="389"/>
      <c r="GF79" s="389"/>
      <c r="GG79" s="389"/>
      <c r="GH79" s="389"/>
      <c r="GI79" s="389"/>
      <c r="GJ79" s="389"/>
      <c r="GK79" s="389"/>
      <c r="GL79" s="389"/>
      <c r="GM79" s="389"/>
      <c r="GN79" s="389"/>
      <c r="GO79" s="389"/>
      <c r="GP79" s="389"/>
      <c r="GQ79" s="389"/>
      <c r="GR79" s="389"/>
      <c r="GS79" s="389"/>
      <c r="GT79" s="389"/>
      <c r="GU79" s="389"/>
      <c r="GV79" s="389"/>
      <c r="GW79" s="389"/>
      <c r="GX79" s="389"/>
      <c r="GY79" s="389"/>
      <c r="GZ79" s="389"/>
      <c r="HA79" s="389"/>
      <c r="HB79" s="389"/>
      <c r="HC79" s="389"/>
      <c r="HD79" s="389"/>
      <c r="HE79" s="389"/>
      <c r="HF79" s="389"/>
      <c r="HG79" s="389"/>
      <c r="HH79" s="389"/>
      <c r="HI79" s="389"/>
      <c r="HJ79" s="389"/>
      <c r="HK79" s="389"/>
      <c r="HL79" s="389"/>
      <c r="HM79" s="389"/>
      <c r="HN79" s="389"/>
      <c r="HO79" s="389"/>
      <c r="HP79" s="389"/>
      <c r="HQ79" s="389"/>
      <c r="HR79" s="389"/>
      <c r="HS79" s="389"/>
      <c r="HT79" s="389"/>
      <c r="HU79" s="389"/>
      <c r="HV79" s="389"/>
      <c r="HW79" s="389"/>
      <c r="HX79" s="389"/>
      <c r="HY79" s="389"/>
      <c r="HZ79" s="389"/>
      <c r="IA79" s="389"/>
      <c r="IB79" s="389"/>
      <c r="IC79" s="389"/>
      <c r="ID79" s="389"/>
      <c r="IE79" s="389"/>
      <c r="IF79" s="389"/>
      <c r="IG79" s="389"/>
      <c r="IH79" s="389"/>
      <c r="II79" s="389"/>
      <c r="IJ79" s="389"/>
      <c r="IK79" s="389"/>
      <c r="IL79" s="389"/>
      <c r="IM79" s="389"/>
      <c r="IN79" s="389"/>
      <c r="IO79" s="389"/>
      <c r="IP79" s="389"/>
      <c r="IQ79" s="389"/>
      <c r="IR79" s="389"/>
    </row>
    <row r="80" spans="1:252" ht="15.3" x14ac:dyDescent="0.55000000000000004">
      <c r="A80" s="389"/>
      <c r="B80" s="389"/>
      <c r="C80" s="389"/>
      <c r="D80" s="389"/>
      <c r="E80" s="389"/>
      <c r="F80" s="389"/>
      <c r="G80" s="389"/>
      <c r="H80" s="389"/>
      <c r="I80" s="389"/>
      <c r="J80" s="190"/>
      <c r="K80" s="190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  <c r="AP80" s="389"/>
      <c r="AQ80" s="389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389"/>
      <c r="FZ80" s="389"/>
      <c r="GA80" s="389"/>
      <c r="GB80" s="389"/>
      <c r="GC80" s="389"/>
      <c r="GD80" s="389"/>
      <c r="GE80" s="389"/>
      <c r="GF80" s="389"/>
      <c r="GG80" s="389"/>
      <c r="GH80" s="389"/>
      <c r="GI80" s="389"/>
      <c r="GJ80" s="389"/>
      <c r="GK80" s="389"/>
      <c r="GL80" s="389"/>
      <c r="GM80" s="389"/>
      <c r="GN80" s="389"/>
      <c r="GO80" s="389"/>
      <c r="GP80" s="389"/>
      <c r="GQ80" s="389"/>
      <c r="GR80" s="389"/>
      <c r="GS80" s="389"/>
      <c r="GT80" s="389"/>
      <c r="GU80" s="389"/>
      <c r="GV80" s="389"/>
      <c r="GW80" s="389"/>
      <c r="GX80" s="389"/>
      <c r="GY80" s="389"/>
      <c r="GZ80" s="389"/>
      <c r="HA80" s="389"/>
      <c r="HB80" s="389"/>
      <c r="HC80" s="389"/>
      <c r="HD80" s="389"/>
      <c r="HE80" s="389"/>
      <c r="HF80" s="389"/>
      <c r="HG80" s="389"/>
      <c r="HH80" s="389"/>
      <c r="HI80" s="389"/>
      <c r="HJ80" s="389"/>
      <c r="HK80" s="389"/>
      <c r="HL80" s="389"/>
      <c r="HM80" s="389"/>
      <c r="HN80" s="389"/>
      <c r="HO80" s="389"/>
      <c r="HP80" s="389"/>
      <c r="HQ80" s="389"/>
      <c r="HR80" s="389"/>
      <c r="HS80" s="389"/>
      <c r="HT80" s="389"/>
      <c r="HU80" s="389"/>
      <c r="HV80" s="389"/>
      <c r="HW80" s="389"/>
      <c r="HX80" s="389"/>
      <c r="HY80" s="389"/>
      <c r="HZ80" s="389"/>
      <c r="IA80" s="389"/>
      <c r="IB80" s="389"/>
      <c r="IC80" s="389"/>
      <c r="ID80" s="389"/>
      <c r="IE80" s="389"/>
      <c r="IF80" s="389"/>
      <c r="IG80" s="389"/>
      <c r="IH80" s="389"/>
      <c r="II80" s="389"/>
      <c r="IJ80" s="389"/>
      <c r="IK80" s="389"/>
      <c r="IL80" s="389"/>
      <c r="IM80" s="389"/>
      <c r="IN80" s="389"/>
      <c r="IO80" s="389"/>
      <c r="IP80" s="389"/>
      <c r="IQ80" s="389"/>
      <c r="IR80" s="389"/>
    </row>
    <row r="81" spans="1:252" ht="15.3" x14ac:dyDescent="0.55000000000000004">
      <c r="A81" s="389"/>
      <c r="B81" s="389"/>
      <c r="C81" s="389"/>
      <c r="D81" s="389"/>
      <c r="E81" s="389"/>
      <c r="F81" s="389"/>
      <c r="G81" s="389"/>
      <c r="H81" s="389"/>
      <c r="I81" s="389"/>
      <c r="J81" s="190"/>
      <c r="K81" s="190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  <c r="AP81" s="389"/>
      <c r="AQ81" s="389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389"/>
      <c r="FZ81" s="389"/>
      <c r="GA81" s="389"/>
      <c r="GB81" s="389"/>
      <c r="GC81" s="389"/>
      <c r="GD81" s="389"/>
      <c r="GE81" s="389"/>
      <c r="GF81" s="389"/>
      <c r="GG81" s="389"/>
      <c r="GH81" s="389"/>
      <c r="GI81" s="389"/>
      <c r="GJ81" s="389"/>
      <c r="GK81" s="389"/>
      <c r="GL81" s="389"/>
      <c r="GM81" s="389"/>
      <c r="GN81" s="389"/>
      <c r="GO81" s="389"/>
      <c r="GP81" s="389"/>
      <c r="GQ81" s="389"/>
      <c r="GR81" s="389"/>
      <c r="GS81" s="389"/>
      <c r="GT81" s="389"/>
      <c r="GU81" s="389"/>
      <c r="GV81" s="389"/>
      <c r="GW81" s="389"/>
      <c r="GX81" s="389"/>
      <c r="GY81" s="389"/>
      <c r="GZ81" s="389"/>
      <c r="HA81" s="389"/>
      <c r="HB81" s="389"/>
      <c r="HC81" s="389"/>
      <c r="HD81" s="389"/>
      <c r="HE81" s="389"/>
      <c r="HF81" s="389"/>
      <c r="HG81" s="389"/>
      <c r="HH81" s="389"/>
      <c r="HI81" s="389"/>
      <c r="HJ81" s="389"/>
      <c r="HK81" s="389"/>
      <c r="HL81" s="389"/>
      <c r="HM81" s="389"/>
      <c r="HN81" s="389"/>
      <c r="HO81" s="389"/>
      <c r="HP81" s="389"/>
      <c r="HQ81" s="389"/>
      <c r="HR81" s="389"/>
      <c r="HS81" s="389"/>
      <c r="HT81" s="389"/>
      <c r="HU81" s="389"/>
      <c r="HV81" s="389"/>
      <c r="HW81" s="389"/>
      <c r="HX81" s="389"/>
      <c r="HY81" s="389"/>
      <c r="HZ81" s="389"/>
      <c r="IA81" s="389"/>
      <c r="IB81" s="389"/>
      <c r="IC81" s="389"/>
      <c r="ID81" s="389"/>
      <c r="IE81" s="389"/>
      <c r="IF81" s="389"/>
      <c r="IG81" s="389"/>
      <c r="IH81" s="389"/>
      <c r="II81" s="389"/>
      <c r="IJ81" s="389"/>
      <c r="IK81" s="389"/>
      <c r="IL81" s="389"/>
      <c r="IM81" s="389"/>
      <c r="IN81" s="389"/>
      <c r="IO81" s="389"/>
      <c r="IP81" s="389"/>
      <c r="IQ81" s="389"/>
      <c r="IR81" s="389"/>
    </row>
    <row r="82" spans="1:252" ht="15.3" x14ac:dyDescent="0.55000000000000004">
      <c r="A82" s="389"/>
      <c r="B82" s="389"/>
      <c r="C82" s="389"/>
      <c r="D82" s="389"/>
      <c r="E82" s="389"/>
      <c r="F82" s="389"/>
      <c r="G82" s="389"/>
      <c r="H82" s="389"/>
      <c r="I82" s="389"/>
      <c r="J82" s="190"/>
      <c r="K82" s="190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389"/>
      <c r="FZ82" s="389"/>
      <c r="GA82" s="389"/>
      <c r="GB82" s="389"/>
      <c r="GC82" s="389"/>
      <c r="GD82" s="389"/>
      <c r="GE82" s="389"/>
      <c r="GF82" s="389"/>
      <c r="GG82" s="389"/>
      <c r="GH82" s="389"/>
      <c r="GI82" s="389"/>
      <c r="GJ82" s="389"/>
      <c r="GK82" s="389"/>
      <c r="GL82" s="389"/>
      <c r="GM82" s="389"/>
      <c r="GN82" s="389"/>
      <c r="GO82" s="389"/>
      <c r="GP82" s="389"/>
      <c r="GQ82" s="389"/>
      <c r="GR82" s="389"/>
      <c r="GS82" s="389"/>
      <c r="GT82" s="389"/>
      <c r="GU82" s="389"/>
      <c r="GV82" s="389"/>
      <c r="GW82" s="389"/>
      <c r="GX82" s="389"/>
      <c r="GY82" s="389"/>
      <c r="GZ82" s="389"/>
      <c r="HA82" s="389"/>
      <c r="HB82" s="389"/>
      <c r="HC82" s="389"/>
      <c r="HD82" s="389"/>
      <c r="HE82" s="389"/>
      <c r="HF82" s="389"/>
      <c r="HG82" s="389"/>
      <c r="HH82" s="389"/>
      <c r="HI82" s="389"/>
      <c r="HJ82" s="389"/>
      <c r="HK82" s="389"/>
      <c r="HL82" s="389"/>
      <c r="HM82" s="389"/>
      <c r="HN82" s="389"/>
      <c r="HO82" s="389"/>
      <c r="HP82" s="389"/>
      <c r="HQ82" s="389"/>
      <c r="HR82" s="389"/>
      <c r="HS82" s="389"/>
      <c r="HT82" s="389"/>
      <c r="HU82" s="389"/>
      <c r="HV82" s="389"/>
      <c r="HW82" s="389"/>
      <c r="HX82" s="389"/>
      <c r="HY82" s="389"/>
      <c r="HZ82" s="389"/>
      <c r="IA82" s="389"/>
      <c r="IB82" s="389"/>
      <c r="IC82" s="389"/>
      <c r="ID82" s="389"/>
      <c r="IE82" s="389"/>
      <c r="IF82" s="389"/>
      <c r="IG82" s="389"/>
      <c r="IH82" s="389"/>
      <c r="II82" s="389"/>
      <c r="IJ82" s="389"/>
      <c r="IK82" s="389"/>
      <c r="IL82" s="389"/>
      <c r="IM82" s="389"/>
      <c r="IN82" s="389"/>
      <c r="IO82" s="389"/>
      <c r="IP82" s="389"/>
      <c r="IQ82" s="389"/>
      <c r="IR82" s="389"/>
    </row>
    <row r="83" spans="1:252" ht="15.3" x14ac:dyDescent="0.55000000000000004">
      <c r="A83" s="389"/>
      <c r="B83" s="389"/>
      <c r="C83" s="389"/>
      <c r="D83" s="389"/>
      <c r="E83" s="389"/>
      <c r="F83" s="389"/>
      <c r="G83" s="389"/>
      <c r="H83" s="389"/>
      <c r="I83" s="389"/>
      <c r="J83" s="190"/>
      <c r="K83" s="190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  <c r="GP83" s="389"/>
      <c r="GQ83" s="389"/>
      <c r="GR83" s="389"/>
      <c r="GS83" s="389"/>
      <c r="GT83" s="389"/>
      <c r="GU83" s="389"/>
      <c r="GV83" s="389"/>
      <c r="GW83" s="389"/>
      <c r="GX83" s="389"/>
      <c r="GY83" s="389"/>
      <c r="GZ83" s="389"/>
      <c r="HA83" s="389"/>
      <c r="HB83" s="389"/>
      <c r="HC83" s="389"/>
      <c r="HD83" s="389"/>
      <c r="HE83" s="389"/>
      <c r="HF83" s="389"/>
      <c r="HG83" s="389"/>
      <c r="HH83" s="389"/>
      <c r="HI83" s="389"/>
      <c r="HJ83" s="389"/>
      <c r="HK83" s="389"/>
      <c r="HL83" s="389"/>
      <c r="HM83" s="389"/>
      <c r="HN83" s="389"/>
      <c r="HO83" s="389"/>
      <c r="HP83" s="389"/>
      <c r="HQ83" s="389"/>
      <c r="HR83" s="389"/>
      <c r="HS83" s="389"/>
      <c r="HT83" s="389"/>
      <c r="HU83" s="389"/>
      <c r="HV83" s="389"/>
      <c r="HW83" s="389"/>
      <c r="HX83" s="389"/>
      <c r="HY83" s="389"/>
      <c r="HZ83" s="389"/>
      <c r="IA83" s="389"/>
      <c r="IB83" s="389"/>
      <c r="IC83" s="389"/>
      <c r="ID83" s="389"/>
      <c r="IE83" s="389"/>
      <c r="IF83" s="389"/>
      <c r="IG83" s="389"/>
      <c r="IH83" s="389"/>
      <c r="II83" s="389"/>
      <c r="IJ83" s="389"/>
      <c r="IK83" s="389"/>
      <c r="IL83" s="389"/>
      <c r="IM83" s="389"/>
      <c r="IN83" s="389"/>
      <c r="IO83" s="389"/>
      <c r="IP83" s="389"/>
      <c r="IQ83" s="389"/>
      <c r="IR83" s="389"/>
    </row>
    <row r="84" spans="1:252" ht="15.3" x14ac:dyDescent="0.55000000000000004">
      <c r="A84" s="389"/>
      <c r="B84" s="389"/>
      <c r="C84" s="389"/>
      <c r="D84" s="389"/>
      <c r="E84" s="389"/>
      <c r="F84" s="389"/>
      <c r="G84" s="389"/>
      <c r="H84" s="389"/>
      <c r="I84" s="389"/>
      <c r="J84" s="190"/>
      <c r="K84" s="190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389"/>
      <c r="FZ84" s="389"/>
      <c r="GA84" s="389"/>
      <c r="GB84" s="389"/>
      <c r="GC84" s="389"/>
      <c r="GD84" s="389"/>
      <c r="GE84" s="389"/>
      <c r="GF84" s="389"/>
      <c r="GG84" s="389"/>
      <c r="GH84" s="389"/>
      <c r="GI84" s="389"/>
      <c r="GJ84" s="389"/>
      <c r="GK84" s="389"/>
      <c r="GL84" s="389"/>
      <c r="GM84" s="389"/>
      <c r="GN84" s="389"/>
      <c r="GO84" s="389"/>
      <c r="GP84" s="389"/>
      <c r="GQ84" s="389"/>
      <c r="GR84" s="389"/>
      <c r="GS84" s="389"/>
      <c r="GT84" s="389"/>
      <c r="GU84" s="389"/>
      <c r="GV84" s="389"/>
      <c r="GW84" s="389"/>
      <c r="GX84" s="389"/>
      <c r="GY84" s="389"/>
      <c r="GZ84" s="389"/>
      <c r="HA84" s="389"/>
      <c r="HB84" s="389"/>
      <c r="HC84" s="389"/>
      <c r="HD84" s="389"/>
      <c r="HE84" s="389"/>
      <c r="HF84" s="389"/>
      <c r="HG84" s="389"/>
      <c r="HH84" s="389"/>
      <c r="HI84" s="389"/>
      <c r="HJ84" s="389"/>
      <c r="HK84" s="389"/>
      <c r="HL84" s="389"/>
      <c r="HM84" s="389"/>
      <c r="HN84" s="389"/>
      <c r="HO84" s="389"/>
      <c r="HP84" s="389"/>
      <c r="HQ84" s="389"/>
      <c r="HR84" s="389"/>
      <c r="HS84" s="389"/>
      <c r="HT84" s="389"/>
      <c r="HU84" s="389"/>
      <c r="HV84" s="389"/>
      <c r="HW84" s="389"/>
      <c r="HX84" s="389"/>
      <c r="HY84" s="389"/>
      <c r="HZ84" s="389"/>
      <c r="IA84" s="389"/>
      <c r="IB84" s="389"/>
      <c r="IC84" s="389"/>
      <c r="ID84" s="389"/>
      <c r="IE84" s="389"/>
      <c r="IF84" s="389"/>
      <c r="IG84" s="389"/>
      <c r="IH84" s="389"/>
      <c r="II84" s="389"/>
      <c r="IJ84" s="389"/>
      <c r="IK84" s="389"/>
      <c r="IL84" s="389"/>
      <c r="IM84" s="389"/>
      <c r="IN84" s="389"/>
      <c r="IO84" s="389"/>
      <c r="IP84" s="389"/>
      <c r="IQ84" s="389"/>
      <c r="IR84" s="389"/>
    </row>
    <row r="85" spans="1:252" ht="15.3" x14ac:dyDescent="0.55000000000000004">
      <c r="A85" s="389"/>
      <c r="B85" s="389"/>
      <c r="C85" s="389"/>
      <c r="D85" s="389"/>
      <c r="E85" s="389"/>
      <c r="F85" s="389"/>
      <c r="G85" s="389"/>
      <c r="H85" s="389"/>
      <c r="I85" s="389"/>
      <c r="J85" s="190"/>
      <c r="K85" s="190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  <c r="AP85" s="389"/>
      <c r="AQ85" s="389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389"/>
      <c r="FZ85" s="389"/>
      <c r="GA85" s="389"/>
      <c r="GB85" s="389"/>
      <c r="GC85" s="389"/>
      <c r="GD85" s="389"/>
      <c r="GE85" s="389"/>
      <c r="GF85" s="389"/>
      <c r="GG85" s="389"/>
      <c r="GH85" s="389"/>
      <c r="GI85" s="389"/>
      <c r="GJ85" s="389"/>
      <c r="GK85" s="389"/>
      <c r="GL85" s="389"/>
      <c r="GM85" s="389"/>
      <c r="GN85" s="389"/>
      <c r="GO85" s="389"/>
      <c r="GP85" s="389"/>
      <c r="GQ85" s="389"/>
      <c r="GR85" s="389"/>
      <c r="GS85" s="389"/>
      <c r="GT85" s="389"/>
      <c r="GU85" s="389"/>
      <c r="GV85" s="389"/>
      <c r="GW85" s="389"/>
      <c r="GX85" s="389"/>
      <c r="GY85" s="389"/>
      <c r="GZ85" s="389"/>
      <c r="HA85" s="389"/>
      <c r="HB85" s="389"/>
      <c r="HC85" s="389"/>
      <c r="HD85" s="389"/>
      <c r="HE85" s="389"/>
      <c r="HF85" s="389"/>
      <c r="HG85" s="389"/>
      <c r="HH85" s="389"/>
      <c r="HI85" s="389"/>
      <c r="HJ85" s="389"/>
      <c r="HK85" s="389"/>
      <c r="HL85" s="389"/>
      <c r="HM85" s="389"/>
      <c r="HN85" s="389"/>
      <c r="HO85" s="389"/>
      <c r="HP85" s="389"/>
      <c r="HQ85" s="389"/>
      <c r="HR85" s="389"/>
      <c r="HS85" s="389"/>
      <c r="HT85" s="389"/>
      <c r="HU85" s="389"/>
      <c r="HV85" s="389"/>
      <c r="HW85" s="389"/>
      <c r="HX85" s="389"/>
      <c r="HY85" s="389"/>
      <c r="HZ85" s="389"/>
      <c r="IA85" s="389"/>
      <c r="IB85" s="389"/>
      <c r="IC85" s="389"/>
      <c r="ID85" s="389"/>
      <c r="IE85" s="389"/>
      <c r="IF85" s="389"/>
      <c r="IG85" s="389"/>
      <c r="IH85" s="389"/>
      <c r="II85" s="389"/>
      <c r="IJ85" s="389"/>
      <c r="IK85" s="389"/>
      <c r="IL85" s="389"/>
      <c r="IM85" s="389"/>
      <c r="IN85" s="389"/>
      <c r="IO85" s="389"/>
      <c r="IP85" s="389"/>
      <c r="IQ85" s="389"/>
      <c r="IR85" s="389"/>
    </row>
    <row r="86" spans="1:252" ht="15.3" x14ac:dyDescent="0.55000000000000004">
      <c r="A86" s="389"/>
      <c r="B86" s="389"/>
      <c r="C86" s="389"/>
      <c r="D86" s="389"/>
      <c r="E86" s="389"/>
      <c r="F86" s="389"/>
      <c r="G86" s="389"/>
      <c r="H86" s="389"/>
      <c r="I86" s="389"/>
      <c r="J86" s="190"/>
      <c r="K86" s="190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  <c r="AP86" s="389"/>
      <c r="AQ86" s="389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389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389"/>
      <c r="FZ86" s="389"/>
      <c r="GA86" s="389"/>
      <c r="GB86" s="389"/>
      <c r="GC86" s="389"/>
      <c r="GD86" s="389"/>
      <c r="GE86" s="389"/>
      <c r="GF86" s="389"/>
      <c r="GG86" s="389"/>
      <c r="GH86" s="389"/>
      <c r="GI86" s="389"/>
      <c r="GJ86" s="389"/>
      <c r="GK86" s="389"/>
      <c r="GL86" s="389"/>
      <c r="GM86" s="389"/>
      <c r="GN86" s="389"/>
      <c r="GO86" s="389"/>
      <c r="GP86" s="389"/>
      <c r="GQ86" s="389"/>
      <c r="GR86" s="389"/>
      <c r="GS86" s="389"/>
      <c r="GT86" s="389"/>
      <c r="GU86" s="389"/>
      <c r="GV86" s="389"/>
      <c r="GW86" s="389"/>
      <c r="GX86" s="389"/>
      <c r="GY86" s="389"/>
      <c r="GZ86" s="389"/>
      <c r="HA86" s="389"/>
      <c r="HB86" s="389"/>
      <c r="HC86" s="389"/>
      <c r="HD86" s="389"/>
      <c r="HE86" s="389"/>
      <c r="HF86" s="389"/>
      <c r="HG86" s="389"/>
      <c r="HH86" s="389"/>
      <c r="HI86" s="389"/>
      <c r="HJ86" s="389"/>
      <c r="HK86" s="389"/>
      <c r="HL86" s="389"/>
      <c r="HM86" s="389"/>
      <c r="HN86" s="389"/>
      <c r="HO86" s="389"/>
      <c r="HP86" s="389"/>
      <c r="HQ86" s="389"/>
      <c r="HR86" s="389"/>
      <c r="HS86" s="389"/>
      <c r="HT86" s="389"/>
      <c r="HU86" s="389"/>
      <c r="HV86" s="389"/>
      <c r="HW86" s="389"/>
      <c r="HX86" s="389"/>
      <c r="HY86" s="389"/>
      <c r="HZ86" s="389"/>
      <c r="IA86" s="389"/>
      <c r="IB86" s="389"/>
      <c r="IC86" s="389"/>
      <c r="ID86" s="389"/>
      <c r="IE86" s="389"/>
      <c r="IF86" s="389"/>
      <c r="IG86" s="389"/>
      <c r="IH86" s="389"/>
      <c r="II86" s="389"/>
      <c r="IJ86" s="389"/>
      <c r="IK86" s="389"/>
      <c r="IL86" s="389"/>
      <c r="IM86" s="389"/>
      <c r="IN86" s="389"/>
      <c r="IO86" s="389"/>
      <c r="IP86" s="389"/>
      <c r="IQ86" s="389"/>
      <c r="IR86" s="389"/>
    </row>
    <row r="87" spans="1:252" ht="15.3" x14ac:dyDescent="0.55000000000000004">
      <c r="A87" s="389"/>
      <c r="B87" s="389"/>
      <c r="C87" s="389"/>
      <c r="D87" s="389"/>
      <c r="E87" s="389"/>
      <c r="F87" s="389"/>
      <c r="G87" s="389"/>
      <c r="H87" s="389"/>
      <c r="I87" s="389"/>
      <c r="J87" s="190"/>
      <c r="K87" s="190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  <c r="AP87" s="389"/>
      <c r="AQ87" s="389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389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389"/>
      <c r="FZ87" s="389"/>
      <c r="GA87" s="389"/>
      <c r="GB87" s="389"/>
      <c r="GC87" s="389"/>
      <c r="GD87" s="389"/>
      <c r="GE87" s="389"/>
      <c r="GF87" s="389"/>
      <c r="GG87" s="389"/>
      <c r="GH87" s="389"/>
      <c r="GI87" s="389"/>
      <c r="GJ87" s="389"/>
      <c r="GK87" s="389"/>
      <c r="GL87" s="389"/>
      <c r="GM87" s="389"/>
      <c r="GN87" s="389"/>
      <c r="GO87" s="389"/>
      <c r="GP87" s="389"/>
      <c r="GQ87" s="389"/>
      <c r="GR87" s="389"/>
      <c r="GS87" s="389"/>
      <c r="GT87" s="389"/>
      <c r="GU87" s="389"/>
      <c r="GV87" s="389"/>
      <c r="GW87" s="389"/>
      <c r="GX87" s="389"/>
      <c r="GY87" s="389"/>
      <c r="GZ87" s="389"/>
      <c r="HA87" s="389"/>
      <c r="HB87" s="389"/>
      <c r="HC87" s="389"/>
      <c r="HD87" s="389"/>
      <c r="HE87" s="389"/>
      <c r="HF87" s="389"/>
      <c r="HG87" s="389"/>
      <c r="HH87" s="389"/>
      <c r="HI87" s="389"/>
      <c r="HJ87" s="389"/>
      <c r="HK87" s="389"/>
      <c r="HL87" s="389"/>
      <c r="HM87" s="389"/>
      <c r="HN87" s="389"/>
      <c r="HO87" s="389"/>
      <c r="HP87" s="389"/>
      <c r="HQ87" s="389"/>
      <c r="HR87" s="389"/>
      <c r="HS87" s="389"/>
      <c r="HT87" s="389"/>
      <c r="HU87" s="389"/>
      <c r="HV87" s="389"/>
      <c r="HW87" s="389"/>
      <c r="HX87" s="389"/>
      <c r="HY87" s="389"/>
      <c r="HZ87" s="389"/>
      <c r="IA87" s="389"/>
      <c r="IB87" s="389"/>
      <c r="IC87" s="389"/>
      <c r="ID87" s="389"/>
      <c r="IE87" s="389"/>
      <c r="IF87" s="389"/>
      <c r="IG87" s="389"/>
      <c r="IH87" s="389"/>
      <c r="II87" s="389"/>
      <c r="IJ87" s="389"/>
      <c r="IK87" s="389"/>
      <c r="IL87" s="389"/>
      <c r="IM87" s="389"/>
      <c r="IN87" s="389"/>
      <c r="IO87" s="389"/>
      <c r="IP87" s="389"/>
      <c r="IQ87" s="389"/>
      <c r="IR87" s="389"/>
    </row>
    <row r="88" spans="1:252" ht="15.3" x14ac:dyDescent="0.55000000000000004">
      <c r="A88" s="389"/>
      <c r="B88" s="389"/>
      <c r="C88" s="389"/>
      <c r="D88" s="389"/>
      <c r="E88" s="389"/>
      <c r="F88" s="389"/>
      <c r="G88" s="389"/>
      <c r="H88" s="389"/>
      <c r="I88" s="389"/>
      <c r="J88" s="190"/>
      <c r="K88" s="190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  <c r="AP88" s="389"/>
      <c r="AQ88" s="389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389"/>
      <c r="FZ88" s="389"/>
      <c r="GA88" s="389"/>
      <c r="GB88" s="389"/>
      <c r="GC88" s="389"/>
      <c r="GD88" s="389"/>
      <c r="GE88" s="389"/>
      <c r="GF88" s="389"/>
      <c r="GG88" s="389"/>
      <c r="GH88" s="389"/>
      <c r="GI88" s="389"/>
      <c r="GJ88" s="389"/>
      <c r="GK88" s="389"/>
      <c r="GL88" s="389"/>
      <c r="GM88" s="389"/>
      <c r="GN88" s="389"/>
      <c r="GO88" s="389"/>
      <c r="GP88" s="389"/>
      <c r="GQ88" s="389"/>
      <c r="GR88" s="389"/>
      <c r="GS88" s="389"/>
      <c r="GT88" s="389"/>
      <c r="GU88" s="389"/>
      <c r="GV88" s="389"/>
      <c r="GW88" s="389"/>
      <c r="GX88" s="389"/>
      <c r="GY88" s="389"/>
      <c r="GZ88" s="389"/>
      <c r="HA88" s="389"/>
      <c r="HB88" s="389"/>
      <c r="HC88" s="389"/>
      <c r="HD88" s="389"/>
      <c r="HE88" s="389"/>
      <c r="HF88" s="389"/>
      <c r="HG88" s="389"/>
      <c r="HH88" s="389"/>
      <c r="HI88" s="389"/>
      <c r="HJ88" s="389"/>
      <c r="HK88" s="389"/>
      <c r="HL88" s="389"/>
      <c r="HM88" s="389"/>
      <c r="HN88" s="389"/>
      <c r="HO88" s="389"/>
      <c r="HP88" s="389"/>
      <c r="HQ88" s="389"/>
      <c r="HR88" s="389"/>
      <c r="HS88" s="389"/>
      <c r="HT88" s="389"/>
      <c r="HU88" s="389"/>
      <c r="HV88" s="389"/>
      <c r="HW88" s="389"/>
      <c r="HX88" s="389"/>
      <c r="HY88" s="389"/>
      <c r="HZ88" s="389"/>
      <c r="IA88" s="389"/>
      <c r="IB88" s="389"/>
      <c r="IC88" s="389"/>
      <c r="ID88" s="389"/>
      <c r="IE88" s="389"/>
      <c r="IF88" s="389"/>
      <c r="IG88" s="389"/>
      <c r="IH88" s="389"/>
      <c r="II88" s="389"/>
      <c r="IJ88" s="389"/>
      <c r="IK88" s="389"/>
      <c r="IL88" s="389"/>
      <c r="IM88" s="389"/>
      <c r="IN88" s="389"/>
      <c r="IO88" s="389"/>
      <c r="IP88" s="389"/>
      <c r="IQ88" s="389"/>
      <c r="IR88" s="389"/>
    </row>
    <row r="89" spans="1:252" ht="15.3" x14ac:dyDescent="0.55000000000000004">
      <c r="A89" s="389"/>
      <c r="B89" s="389"/>
      <c r="C89" s="389"/>
      <c r="D89" s="389"/>
      <c r="E89" s="389"/>
      <c r="F89" s="389"/>
      <c r="G89" s="389"/>
      <c r="H89" s="389"/>
      <c r="I89" s="389"/>
      <c r="J89" s="190"/>
      <c r="K89" s="190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389"/>
      <c r="FZ89" s="389"/>
      <c r="GA89" s="389"/>
      <c r="GB89" s="389"/>
      <c r="GC89" s="389"/>
      <c r="GD89" s="389"/>
      <c r="GE89" s="389"/>
      <c r="GF89" s="389"/>
      <c r="GG89" s="389"/>
      <c r="GH89" s="389"/>
      <c r="GI89" s="389"/>
      <c r="GJ89" s="389"/>
      <c r="GK89" s="389"/>
      <c r="GL89" s="389"/>
      <c r="GM89" s="389"/>
      <c r="GN89" s="389"/>
      <c r="GO89" s="389"/>
      <c r="GP89" s="389"/>
      <c r="GQ89" s="389"/>
      <c r="GR89" s="389"/>
      <c r="GS89" s="389"/>
      <c r="GT89" s="389"/>
      <c r="GU89" s="389"/>
      <c r="GV89" s="389"/>
      <c r="GW89" s="389"/>
      <c r="GX89" s="389"/>
      <c r="GY89" s="389"/>
      <c r="GZ89" s="389"/>
      <c r="HA89" s="389"/>
      <c r="HB89" s="389"/>
      <c r="HC89" s="389"/>
      <c r="HD89" s="389"/>
      <c r="HE89" s="389"/>
      <c r="HF89" s="389"/>
      <c r="HG89" s="389"/>
      <c r="HH89" s="389"/>
      <c r="HI89" s="389"/>
      <c r="HJ89" s="389"/>
      <c r="HK89" s="389"/>
      <c r="HL89" s="389"/>
      <c r="HM89" s="389"/>
      <c r="HN89" s="389"/>
      <c r="HO89" s="389"/>
      <c r="HP89" s="389"/>
      <c r="HQ89" s="389"/>
      <c r="HR89" s="389"/>
      <c r="HS89" s="389"/>
      <c r="HT89" s="389"/>
      <c r="HU89" s="389"/>
      <c r="HV89" s="389"/>
      <c r="HW89" s="389"/>
      <c r="HX89" s="389"/>
      <c r="HY89" s="389"/>
      <c r="HZ89" s="389"/>
      <c r="IA89" s="389"/>
      <c r="IB89" s="389"/>
      <c r="IC89" s="389"/>
      <c r="ID89" s="389"/>
      <c r="IE89" s="389"/>
      <c r="IF89" s="389"/>
      <c r="IG89" s="389"/>
      <c r="IH89" s="389"/>
      <c r="II89" s="389"/>
      <c r="IJ89" s="389"/>
      <c r="IK89" s="389"/>
      <c r="IL89" s="389"/>
      <c r="IM89" s="389"/>
      <c r="IN89" s="389"/>
      <c r="IO89" s="389"/>
      <c r="IP89" s="389"/>
      <c r="IQ89" s="389"/>
      <c r="IR89" s="389"/>
    </row>
    <row r="90" spans="1:252" ht="15.3" x14ac:dyDescent="0.55000000000000004">
      <c r="A90" s="389"/>
      <c r="B90" s="389"/>
      <c r="C90" s="389"/>
      <c r="D90" s="389"/>
      <c r="E90" s="389"/>
      <c r="F90" s="389"/>
      <c r="G90" s="389"/>
      <c r="H90" s="389"/>
      <c r="I90" s="389"/>
      <c r="J90" s="190"/>
      <c r="K90" s="190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  <c r="GM90" s="389"/>
      <c r="GN90" s="389"/>
      <c r="GO90" s="389"/>
      <c r="GP90" s="389"/>
      <c r="GQ90" s="389"/>
      <c r="GR90" s="389"/>
      <c r="GS90" s="389"/>
      <c r="GT90" s="389"/>
      <c r="GU90" s="389"/>
      <c r="GV90" s="389"/>
      <c r="GW90" s="389"/>
      <c r="GX90" s="389"/>
      <c r="GY90" s="389"/>
      <c r="GZ90" s="389"/>
      <c r="HA90" s="389"/>
      <c r="HB90" s="389"/>
      <c r="HC90" s="389"/>
      <c r="HD90" s="389"/>
      <c r="HE90" s="389"/>
      <c r="HF90" s="389"/>
      <c r="HG90" s="389"/>
      <c r="HH90" s="389"/>
      <c r="HI90" s="389"/>
      <c r="HJ90" s="389"/>
      <c r="HK90" s="389"/>
      <c r="HL90" s="389"/>
      <c r="HM90" s="389"/>
      <c r="HN90" s="389"/>
      <c r="HO90" s="389"/>
      <c r="HP90" s="389"/>
      <c r="HQ90" s="389"/>
      <c r="HR90" s="389"/>
      <c r="HS90" s="389"/>
      <c r="HT90" s="389"/>
      <c r="HU90" s="389"/>
      <c r="HV90" s="389"/>
      <c r="HW90" s="389"/>
      <c r="HX90" s="389"/>
      <c r="HY90" s="389"/>
      <c r="HZ90" s="389"/>
      <c r="IA90" s="389"/>
      <c r="IB90" s="389"/>
      <c r="IC90" s="389"/>
      <c r="ID90" s="389"/>
      <c r="IE90" s="389"/>
      <c r="IF90" s="389"/>
      <c r="IG90" s="389"/>
      <c r="IH90" s="389"/>
      <c r="II90" s="389"/>
      <c r="IJ90" s="389"/>
      <c r="IK90" s="389"/>
      <c r="IL90" s="389"/>
      <c r="IM90" s="389"/>
      <c r="IN90" s="389"/>
      <c r="IO90" s="389"/>
      <c r="IP90" s="389"/>
      <c r="IQ90" s="389"/>
      <c r="IR90" s="389"/>
    </row>
    <row r="91" spans="1:252" ht="15.3" x14ac:dyDescent="0.55000000000000004">
      <c r="A91" s="389"/>
      <c r="B91" s="389"/>
      <c r="C91" s="389"/>
      <c r="D91" s="389"/>
      <c r="E91" s="389"/>
      <c r="F91" s="389"/>
      <c r="G91" s="389"/>
      <c r="H91" s="389"/>
      <c r="I91" s="389"/>
      <c r="J91" s="190"/>
      <c r="K91" s="190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89"/>
      <c r="AL91" s="389"/>
      <c r="AM91" s="389"/>
      <c r="AN91" s="389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  <c r="GP91" s="389"/>
      <c r="GQ91" s="389"/>
      <c r="GR91" s="389"/>
      <c r="GS91" s="389"/>
      <c r="GT91" s="389"/>
      <c r="GU91" s="389"/>
      <c r="GV91" s="389"/>
      <c r="GW91" s="389"/>
      <c r="GX91" s="389"/>
      <c r="GY91" s="389"/>
      <c r="GZ91" s="389"/>
      <c r="HA91" s="389"/>
      <c r="HB91" s="389"/>
      <c r="HC91" s="389"/>
      <c r="HD91" s="389"/>
      <c r="HE91" s="389"/>
      <c r="HF91" s="389"/>
      <c r="HG91" s="389"/>
      <c r="HH91" s="389"/>
      <c r="HI91" s="389"/>
      <c r="HJ91" s="389"/>
      <c r="HK91" s="389"/>
      <c r="HL91" s="389"/>
      <c r="HM91" s="389"/>
      <c r="HN91" s="389"/>
      <c r="HO91" s="389"/>
      <c r="HP91" s="389"/>
      <c r="HQ91" s="389"/>
      <c r="HR91" s="389"/>
      <c r="HS91" s="389"/>
      <c r="HT91" s="389"/>
      <c r="HU91" s="389"/>
      <c r="HV91" s="389"/>
      <c r="HW91" s="389"/>
      <c r="HX91" s="389"/>
      <c r="HY91" s="389"/>
      <c r="HZ91" s="389"/>
      <c r="IA91" s="389"/>
      <c r="IB91" s="389"/>
      <c r="IC91" s="389"/>
      <c r="ID91" s="389"/>
      <c r="IE91" s="389"/>
      <c r="IF91" s="389"/>
      <c r="IG91" s="389"/>
      <c r="IH91" s="389"/>
      <c r="II91" s="389"/>
      <c r="IJ91" s="389"/>
      <c r="IK91" s="389"/>
      <c r="IL91" s="389"/>
      <c r="IM91" s="389"/>
      <c r="IN91" s="389"/>
      <c r="IO91" s="389"/>
      <c r="IP91" s="389"/>
      <c r="IQ91" s="389"/>
      <c r="IR91" s="389"/>
    </row>
    <row r="92" spans="1:252" ht="15.3" x14ac:dyDescent="0.55000000000000004">
      <c r="A92" s="389"/>
      <c r="B92" s="389"/>
      <c r="C92" s="389"/>
      <c r="D92" s="389"/>
      <c r="E92" s="389"/>
      <c r="F92" s="389"/>
      <c r="G92" s="389"/>
      <c r="H92" s="389"/>
      <c r="I92" s="389"/>
      <c r="J92" s="190"/>
      <c r="K92" s="190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89"/>
      <c r="AL92" s="389"/>
      <c r="AM92" s="389"/>
      <c r="AN92" s="389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  <c r="GM92" s="389"/>
      <c r="GN92" s="389"/>
      <c r="GO92" s="389"/>
      <c r="GP92" s="389"/>
      <c r="GQ92" s="389"/>
      <c r="GR92" s="389"/>
      <c r="GS92" s="389"/>
      <c r="GT92" s="389"/>
      <c r="GU92" s="389"/>
      <c r="GV92" s="389"/>
      <c r="GW92" s="389"/>
      <c r="GX92" s="389"/>
      <c r="GY92" s="389"/>
      <c r="GZ92" s="389"/>
      <c r="HA92" s="389"/>
      <c r="HB92" s="389"/>
      <c r="HC92" s="389"/>
      <c r="HD92" s="389"/>
      <c r="HE92" s="389"/>
      <c r="HF92" s="389"/>
      <c r="HG92" s="389"/>
      <c r="HH92" s="389"/>
      <c r="HI92" s="389"/>
      <c r="HJ92" s="389"/>
      <c r="HK92" s="389"/>
      <c r="HL92" s="389"/>
      <c r="HM92" s="389"/>
      <c r="HN92" s="389"/>
      <c r="HO92" s="389"/>
      <c r="HP92" s="389"/>
      <c r="HQ92" s="389"/>
      <c r="HR92" s="389"/>
      <c r="HS92" s="389"/>
      <c r="HT92" s="389"/>
      <c r="HU92" s="389"/>
      <c r="HV92" s="389"/>
      <c r="HW92" s="389"/>
      <c r="HX92" s="389"/>
      <c r="HY92" s="389"/>
      <c r="HZ92" s="389"/>
      <c r="IA92" s="389"/>
      <c r="IB92" s="389"/>
      <c r="IC92" s="389"/>
      <c r="ID92" s="389"/>
      <c r="IE92" s="389"/>
      <c r="IF92" s="389"/>
      <c r="IG92" s="389"/>
      <c r="IH92" s="389"/>
      <c r="II92" s="389"/>
      <c r="IJ92" s="389"/>
      <c r="IK92" s="389"/>
      <c r="IL92" s="389"/>
      <c r="IM92" s="389"/>
      <c r="IN92" s="389"/>
      <c r="IO92" s="389"/>
      <c r="IP92" s="389"/>
      <c r="IQ92" s="389"/>
      <c r="IR92" s="389"/>
    </row>
    <row r="93" spans="1:252" ht="15.3" x14ac:dyDescent="0.55000000000000004">
      <c r="A93" s="389"/>
      <c r="B93" s="389"/>
      <c r="C93" s="389"/>
      <c r="D93" s="389"/>
      <c r="E93" s="389"/>
      <c r="F93" s="389"/>
      <c r="G93" s="389"/>
      <c r="H93" s="389"/>
      <c r="I93" s="389"/>
      <c r="J93" s="190"/>
      <c r="K93" s="190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89"/>
      <c r="AB93" s="389"/>
      <c r="AC93" s="389"/>
      <c r="AD93" s="389"/>
      <c r="AE93" s="389"/>
      <c r="AF93" s="389"/>
      <c r="AG93" s="389"/>
      <c r="AH93" s="389"/>
      <c r="AI93" s="389"/>
      <c r="AJ93" s="389"/>
      <c r="AK93" s="389"/>
      <c r="AL93" s="389"/>
      <c r="AM93" s="389"/>
      <c r="AN93" s="389"/>
      <c r="AO93" s="389"/>
      <c r="AP93" s="389"/>
      <c r="AQ93" s="389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  <c r="GM93" s="389"/>
      <c r="GN93" s="389"/>
      <c r="GO93" s="389"/>
      <c r="GP93" s="389"/>
      <c r="GQ93" s="389"/>
      <c r="GR93" s="389"/>
      <c r="GS93" s="389"/>
      <c r="GT93" s="389"/>
      <c r="GU93" s="389"/>
      <c r="GV93" s="389"/>
      <c r="GW93" s="389"/>
      <c r="GX93" s="389"/>
      <c r="GY93" s="389"/>
      <c r="GZ93" s="389"/>
      <c r="HA93" s="389"/>
      <c r="HB93" s="389"/>
      <c r="HC93" s="389"/>
      <c r="HD93" s="389"/>
      <c r="HE93" s="389"/>
      <c r="HF93" s="389"/>
      <c r="HG93" s="389"/>
      <c r="HH93" s="389"/>
      <c r="HI93" s="389"/>
      <c r="HJ93" s="389"/>
      <c r="HK93" s="389"/>
      <c r="HL93" s="389"/>
      <c r="HM93" s="389"/>
      <c r="HN93" s="389"/>
      <c r="HO93" s="389"/>
      <c r="HP93" s="389"/>
      <c r="HQ93" s="389"/>
      <c r="HR93" s="389"/>
      <c r="HS93" s="389"/>
      <c r="HT93" s="389"/>
      <c r="HU93" s="389"/>
      <c r="HV93" s="389"/>
      <c r="HW93" s="389"/>
      <c r="HX93" s="389"/>
      <c r="HY93" s="389"/>
      <c r="HZ93" s="389"/>
      <c r="IA93" s="389"/>
      <c r="IB93" s="389"/>
      <c r="IC93" s="389"/>
      <c r="ID93" s="389"/>
      <c r="IE93" s="389"/>
      <c r="IF93" s="389"/>
      <c r="IG93" s="389"/>
      <c r="IH93" s="389"/>
      <c r="II93" s="389"/>
      <c r="IJ93" s="389"/>
      <c r="IK93" s="389"/>
      <c r="IL93" s="389"/>
      <c r="IM93" s="389"/>
      <c r="IN93" s="389"/>
      <c r="IO93" s="389"/>
      <c r="IP93" s="389"/>
      <c r="IQ93" s="389"/>
      <c r="IR93" s="389"/>
    </row>
    <row r="94" spans="1:252" ht="15.3" x14ac:dyDescent="0.55000000000000004">
      <c r="A94" s="389"/>
      <c r="B94" s="389"/>
      <c r="C94" s="389"/>
      <c r="D94" s="389"/>
      <c r="E94" s="389"/>
      <c r="F94" s="389"/>
      <c r="G94" s="389"/>
      <c r="H94" s="389"/>
      <c r="I94" s="389"/>
      <c r="J94" s="190"/>
      <c r="K94" s="190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  <c r="GM94" s="389"/>
      <c r="GN94" s="389"/>
      <c r="GO94" s="389"/>
      <c r="GP94" s="389"/>
      <c r="GQ94" s="389"/>
      <c r="GR94" s="389"/>
      <c r="GS94" s="389"/>
      <c r="GT94" s="389"/>
      <c r="GU94" s="389"/>
      <c r="GV94" s="389"/>
      <c r="GW94" s="389"/>
      <c r="GX94" s="389"/>
      <c r="GY94" s="389"/>
      <c r="GZ94" s="389"/>
      <c r="HA94" s="389"/>
      <c r="HB94" s="389"/>
      <c r="HC94" s="389"/>
      <c r="HD94" s="389"/>
      <c r="HE94" s="389"/>
      <c r="HF94" s="389"/>
      <c r="HG94" s="389"/>
      <c r="HH94" s="389"/>
      <c r="HI94" s="389"/>
      <c r="HJ94" s="389"/>
      <c r="HK94" s="389"/>
      <c r="HL94" s="389"/>
      <c r="HM94" s="389"/>
      <c r="HN94" s="389"/>
      <c r="HO94" s="389"/>
      <c r="HP94" s="389"/>
      <c r="HQ94" s="389"/>
      <c r="HR94" s="389"/>
      <c r="HS94" s="389"/>
      <c r="HT94" s="389"/>
      <c r="HU94" s="389"/>
      <c r="HV94" s="389"/>
      <c r="HW94" s="389"/>
      <c r="HX94" s="389"/>
      <c r="HY94" s="389"/>
      <c r="HZ94" s="389"/>
      <c r="IA94" s="389"/>
      <c r="IB94" s="389"/>
      <c r="IC94" s="389"/>
      <c r="ID94" s="389"/>
      <c r="IE94" s="389"/>
      <c r="IF94" s="389"/>
      <c r="IG94" s="389"/>
      <c r="IH94" s="389"/>
      <c r="II94" s="389"/>
      <c r="IJ94" s="389"/>
      <c r="IK94" s="389"/>
      <c r="IL94" s="389"/>
      <c r="IM94" s="389"/>
      <c r="IN94" s="389"/>
      <c r="IO94" s="389"/>
      <c r="IP94" s="389"/>
      <c r="IQ94" s="389"/>
      <c r="IR94" s="389"/>
    </row>
    <row r="95" spans="1:252" ht="15.3" x14ac:dyDescent="0.55000000000000004">
      <c r="A95" s="389"/>
      <c r="B95" s="389"/>
      <c r="C95" s="389"/>
      <c r="D95" s="389"/>
      <c r="E95" s="389"/>
      <c r="F95" s="389"/>
      <c r="G95" s="389"/>
      <c r="H95" s="389"/>
      <c r="I95" s="389"/>
      <c r="J95" s="190"/>
      <c r="K95" s="190"/>
      <c r="L95" s="389"/>
      <c r="M95" s="389"/>
      <c r="N95" s="389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89"/>
      <c r="AL95" s="389"/>
      <c r="AM95" s="389"/>
      <c r="AN95" s="389"/>
      <c r="AO95" s="389"/>
      <c r="AP95" s="389"/>
      <c r="AQ95" s="389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HS95" s="389"/>
      <c r="HT95" s="389"/>
      <c r="HU95" s="389"/>
      <c r="HV95" s="389"/>
      <c r="HW95" s="389"/>
      <c r="HX95" s="389"/>
      <c r="HY95" s="389"/>
      <c r="HZ95" s="389"/>
      <c r="IA95" s="389"/>
      <c r="IB95" s="389"/>
      <c r="IC95" s="389"/>
      <c r="ID95" s="389"/>
      <c r="IE95" s="389"/>
      <c r="IF95" s="389"/>
      <c r="IG95" s="389"/>
      <c r="IH95" s="389"/>
      <c r="II95" s="389"/>
      <c r="IJ95" s="389"/>
      <c r="IK95" s="389"/>
      <c r="IL95" s="389"/>
      <c r="IM95" s="389"/>
      <c r="IN95" s="389"/>
      <c r="IO95" s="389"/>
      <c r="IP95" s="389"/>
      <c r="IQ95" s="389"/>
      <c r="IR95" s="389"/>
    </row>
    <row r="96" spans="1:252" ht="15.3" x14ac:dyDescent="0.55000000000000004">
      <c r="A96" s="389"/>
      <c r="B96" s="389"/>
      <c r="C96" s="389"/>
      <c r="D96" s="389"/>
      <c r="E96" s="389"/>
      <c r="F96" s="389"/>
      <c r="G96" s="389"/>
      <c r="H96" s="389"/>
      <c r="I96" s="389"/>
      <c r="J96" s="190"/>
      <c r="K96" s="190"/>
      <c r="L96" s="389"/>
      <c r="M96" s="389"/>
      <c r="N96" s="389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89"/>
      <c r="AL96" s="389"/>
      <c r="AM96" s="389"/>
      <c r="AN96" s="389"/>
      <c r="AO96" s="389"/>
      <c r="AP96" s="389"/>
      <c r="AQ96" s="389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  <c r="GM96" s="389"/>
      <c r="GN96" s="389"/>
      <c r="GO96" s="389"/>
      <c r="GP96" s="389"/>
      <c r="GQ96" s="389"/>
      <c r="GR96" s="389"/>
      <c r="GS96" s="389"/>
      <c r="GT96" s="389"/>
      <c r="GU96" s="389"/>
      <c r="GV96" s="389"/>
      <c r="GW96" s="389"/>
      <c r="GX96" s="389"/>
      <c r="GY96" s="389"/>
      <c r="GZ96" s="389"/>
      <c r="HA96" s="389"/>
      <c r="HB96" s="389"/>
      <c r="HC96" s="389"/>
      <c r="HD96" s="389"/>
      <c r="HE96" s="389"/>
      <c r="HF96" s="389"/>
      <c r="HG96" s="389"/>
      <c r="HH96" s="389"/>
      <c r="HI96" s="389"/>
      <c r="HJ96" s="389"/>
      <c r="HK96" s="389"/>
      <c r="HL96" s="389"/>
      <c r="HM96" s="389"/>
      <c r="HN96" s="389"/>
      <c r="HO96" s="389"/>
      <c r="HP96" s="389"/>
      <c r="HQ96" s="389"/>
      <c r="HR96" s="389"/>
      <c r="HS96" s="389"/>
      <c r="HT96" s="389"/>
      <c r="HU96" s="389"/>
      <c r="HV96" s="389"/>
      <c r="HW96" s="389"/>
      <c r="HX96" s="389"/>
      <c r="HY96" s="389"/>
      <c r="HZ96" s="389"/>
      <c r="IA96" s="389"/>
      <c r="IB96" s="389"/>
      <c r="IC96" s="389"/>
      <c r="ID96" s="389"/>
      <c r="IE96" s="389"/>
      <c r="IF96" s="389"/>
      <c r="IG96" s="389"/>
      <c r="IH96" s="389"/>
      <c r="II96" s="389"/>
      <c r="IJ96" s="389"/>
      <c r="IK96" s="389"/>
      <c r="IL96" s="389"/>
      <c r="IM96" s="389"/>
      <c r="IN96" s="389"/>
      <c r="IO96" s="389"/>
      <c r="IP96" s="389"/>
      <c r="IQ96" s="389"/>
      <c r="IR96" s="389"/>
    </row>
    <row r="97" spans="1:252" ht="15.3" x14ac:dyDescent="0.55000000000000004">
      <c r="A97" s="389"/>
      <c r="B97" s="389"/>
      <c r="C97" s="389"/>
      <c r="D97" s="389"/>
      <c r="E97" s="389"/>
      <c r="F97" s="389"/>
      <c r="G97" s="389"/>
      <c r="H97" s="389"/>
      <c r="I97" s="389"/>
      <c r="J97" s="190"/>
      <c r="K97" s="190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89"/>
      <c r="AL97" s="389"/>
      <c r="AM97" s="389"/>
      <c r="AN97" s="389"/>
      <c r="AO97" s="389"/>
      <c r="AP97" s="389"/>
      <c r="AQ97" s="389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HS97" s="389"/>
      <c r="HT97" s="389"/>
      <c r="HU97" s="389"/>
      <c r="HV97" s="389"/>
      <c r="HW97" s="389"/>
      <c r="HX97" s="389"/>
      <c r="HY97" s="389"/>
      <c r="HZ97" s="389"/>
      <c r="IA97" s="389"/>
      <c r="IB97" s="389"/>
      <c r="IC97" s="389"/>
      <c r="ID97" s="389"/>
      <c r="IE97" s="389"/>
      <c r="IF97" s="389"/>
      <c r="IG97" s="389"/>
      <c r="IH97" s="389"/>
      <c r="II97" s="389"/>
      <c r="IJ97" s="389"/>
      <c r="IK97" s="389"/>
      <c r="IL97" s="389"/>
      <c r="IM97" s="389"/>
      <c r="IN97" s="389"/>
      <c r="IO97" s="389"/>
      <c r="IP97" s="389"/>
      <c r="IQ97" s="389"/>
      <c r="IR97" s="389"/>
    </row>
    <row r="98" spans="1:252" ht="15.3" x14ac:dyDescent="0.55000000000000004">
      <c r="A98" s="389"/>
      <c r="B98" s="389"/>
      <c r="C98" s="389"/>
      <c r="D98" s="389"/>
      <c r="E98" s="389"/>
      <c r="F98" s="389"/>
      <c r="G98" s="389"/>
      <c r="H98" s="389"/>
      <c r="I98" s="389"/>
      <c r="J98" s="190"/>
      <c r="K98" s="190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89"/>
      <c r="AL98" s="389"/>
      <c r="AM98" s="389"/>
      <c r="AN98" s="389"/>
      <c r="AO98" s="389"/>
      <c r="AP98" s="389"/>
      <c r="AQ98" s="389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HS98" s="389"/>
      <c r="HT98" s="389"/>
      <c r="HU98" s="389"/>
      <c r="HV98" s="389"/>
      <c r="HW98" s="389"/>
      <c r="HX98" s="389"/>
      <c r="HY98" s="389"/>
      <c r="HZ98" s="389"/>
      <c r="IA98" s="389"/>
      <c r="IB98" s="389"/>
      <c r="IC98" s="389"/>
      <c r="ID98" s="389"/>
      <c r="IE98" s="389"/>
      <c r="IF98" s="389"/>
      <c r="IG98" s="389"/>
      <c r="IH98" s="389"/>
      <c r="II98" s="389"/>
      <c r="IJ98" s="389"/>
      <c r="IK98" s="389"/>
      <c r="IL98" s="389"/>
      <c r="IM98" s="389"/>
      <c r="IN98" s="389"/>
      <c r="IO98" s="389"/>
      <c r="IP98" s="389"/>
      <c r="IQ98" s="389"/>
      <c r="IR98" s="389"/>
    </row>
    <row r="99" spans="1:252" ht="15.3" x14ac:dyDescent="0.55000000000000004">
      <c r="A99" s="389"/>
      <c r="B99" s="389"/>
      <c r="C99" s="389"/>
      <c r="D99" s="389"/>
      <c r="E99" s="389"/>
      <c r="F99" s="389"/>
      <c r="G99" s="389"/>
      <c r="H99" s="389"/>
      <c r="I99" s="389"/>
      <c r="J99" s="190"/>
      <c r="K99" s="190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  <c r="GP99" s="389"/>
      <c r="GQ99" s="389"/>
      <c r="GR99" s="389"/>
      <c r="GS99" s="389"/>
      <c r="GT99" s="389"/>
      <c r="GU99" s="389"/>
      <c r="GV99" s="389"/>
      <c r="GW99" s="389"/>
      <c r="GX99" s="389"/>
      <c r="GY99" s="389"/>
      <c r="GZ99" s="389"/>
      <c r="HA99" s="389"/>
      <c r="HB99" s="389"/>
      <c r="HC99" s="389"/>
      <c r="HD99" s="389"/>
      <c r="HE99" s="389"/>
      <c r="HF99" s="389"/>
      <c r="HG99" s="389"/>
      <c r="HH99" s="389"/>
      <c r="HI99" s="389"/>
      <c r="HJ99" s="389"/>
      <c r="HK99" s="389"/>
      <c r="HL99" s="389"/>
      <c r="HM99" s="389"/>
      <c r="HN99" s="389"/>
      <c r="HO99" s="389"/>
      <c r="HP99" s="389"/>
      <c r="HQ99" s="389"/>
      <c r="HR99" s="389"/>
      <c r="HS99" s="389"/>
      <c r="HT99" s="389"/>
      <c r="HU99" s="389"/>
      <c r="HV99" s="389"/>
      <c r="HW99" s="389"/>
      <c r="HX99" s="389"/>
      <c r="HY99" s="389"/>
      <c r="HZ99" s="389"/>
      <c r="IA99" s="389"/>
      <c r="IB99" s="389"/>
      <c r="IC99" s="389"/>
      <c r="ID99" s="389"/>
      <c r="IE99" s="389"/>
      <c r="IF99" s="389"/>
      <c r="IG99" s="389"/>
      <c r="IH99" s="389"/>
      <c r="II99" s="389"/>
      <c r="IJ99" s="389"/>
      <c r="IK99" s="389"/>
      <c r="IL99" s="389"/>
      <c r="IM99" s="389"/>
      <c r="IN99" s="389"/>
      <c r="IO99" s="389"/>
      <c r="IP99" s="389"/>
      <c r="IQ99" s="389"/>
      <c r="IR99" s="389"/>
    </row>
    <row r="100" spans="1:252" ht="15.3" x14ac:dyDescent="0.55000000000000004">
      <c r="A100" s="389"/>
      <c r="B100" s="389"/>
      <c r="C100" s="389"/>
      <c r="D100" s="389"/>
      <c r="E100" s="389"/>
      <c r="F100" s="389"/>
      <c r="G100" s="389"/>
      <c r="H100" s="389"/>
      <c r="I100" s="389"/>
      <c r="J100" s="190"/>
      <c r="K100" s="190"/>
      <c r="L100" s="389"/>
      <c r="M100" s="389"/>
      <c r="N100" s="389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389"/>
      <c r="AH100" s="389"/>
      <c r="AI100" s="389"/>
      <c r="AJ100" s="389"/>
      <c r="AK100" s="389"/>
      <c r="AL100" s="389"/>
      <c r="AM100" s="389"/>
      <c r="AN100" s="389"/>
      <c r="AO100" s="389"/>
      <c r="AP100" s="389"/>
      <c r="AQ100" s="389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  <c r="GM100" s="389"/>
      <c r="GN100" s="389"/>
      <c r="GO100" s="389"/>
      <c r="GP100" s="389"/>
      <c r="GQ100" s="389"/>
      <c r="GR100" s="389"/>
      <c r="GS100" s="389"/>
      <c r="GT100" s="389"/>
      <c r="GU100" s="389"/>
      <c r="GV100" s="389"/>
      <c r="GW100" s="389"/>
      <c r="GX100" s="389"/>
      <c r="GY100" s="389"/>
      <c r="GZ100" s="389"/>
      <c r="HA100" s="389"/>
      <c r="HB100" s="389"/>
      <c r="HC100" s="389"/>
      <c r="HD100" s="389"/>
      <c r="HE100" s="389"/>
      <c r="HF100" s="389"/>
      <c r="HG100" s="389"/>
      <c r="HH100" s="389"/>
      <c r="HI100" s="389"/>
      <c r="HJ100" s="389"/>
      <c r="HK100" s="389"/>
      <c r="HL100" s="389"/>
      <c r="HM100" s="389"/>
      <c r="HN100" s="389"/>
      <c r="HO100" s="389"/>
      <c r="HP100" s="389"/>
      <c r="HQ100" s="389"/>
      <c r="HR100" s="389"/>
      <c r="HS100" s="389"/>
      <c r="HT100" s="389"/>
      <c r="HU100" s="389"/>
      <c r="HV100" s="389"/>
      <c r="HW100" s="389"/>
      <c r="HX100" s="389"/>
      <c r="HY100" s="389"/>
      <c r="HZ100" s="389"/>
      <c r="IA100" s="389"/>
      <c r="IB100" s="389"/>
      <c r="IC100" s="389"/>
      <c r="ID100" s="389"/>
      <c r="IE100" s="389"/>
      <c r="IF100" s="389"/>
      <c r="IG100" s="389"/>
      <c r="IH100" s="389"/>
      <c r="II100" s="389"/>
      <c r="IJ100" s="389"/>
      <c r="IK100" s="389"/>
      <c r="IL100" s="389"/>
      <c r="IM100" s="389"/>
      <c r="IN100" s="389"/>
      <c r="IO100" s="389"/>
      <c r="IP100" s="389"/>
      <c r="IQ100" s="389"/>
      <c r="IR100" s="389"/>
    </row>
    <row r="101" spans="1:252" ht="15.3" x14ac:dyDescent="0.55000000000000004">
      <c r="A101" s="389"/>
      <c r="B101" s="389"/>
      <c r="C101" s="389"/>
      <c r="D101" s="389"/>
      <c r="E101" s="389"/>
      <c r="F101" s="389"/>
      <c r="G101" s="389"/>
      <c r="H101" s="389"/>
      <c r="I101" s="389"/>
      <c r="J101" s="190"/>
      <c r="K101" s="190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389"/>
      <c r="AM101" s="389"/>
      <c r="AN101" s="389"/>
      <c r="AO101" s="389"/>
      <c r="AP101" s="389"/>
      <c r="AQ101" s="389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389"/>
      <c r="FZ101" s="389"/>
      <c r="GA101" s="389"/>
      <c r="GB101" s="389"/>
      <c r="GC101" s="389"/>
      <c r="GD101" s="389"/>
      <c r="GE101" s="389"/>
      <c r="GF101" s="389"/>
      <c r="GG101" s="389"/>
      <c r="GH101" s="389"/>
      <c r="GI101" s="389"/>
      <c r="GJ101" s="389"/>
      <c r="GK101" s="389"/>
      <c r="GL101" s="389"/>
      <c r="GM101" s="389"/>
      <c r="GN101" s="389"/>
      <c r="GO101" s="389"/>
      <c r="GP101" s="389"/>
      <c r="GQ101" s="389"/>
      <c r="GR101" s="389"/>
      <c r="GS101" s="389"/>
      <c r="GT101" s="389"/>
      <c r="GU101" s="389"/>
      <c r="GV101" s="389"/>
      <c r="GW101" s="389"/>
      <c r="GX101" s="389"/>
      <c r="GY101" s="389"/>
      <c r="GZ101" s="389"/>
      <c r="HA101" s="389"/>
      <c r="HB101" s="389"/>
      <c r="HC101" s="389"/>
      <c r="HD101" s="389"/>
      <c r="HE101" s="389"/>
      <c r="HF101" s="389"/>
      <c r="HG101" s="389"/>
      <c r="HH101" s="389"/>
      <c r="HI101" s="389"/>
      <c r="HJ101" s="389"/>
      <c r="HK101" s="389"/>
      <c r="HL101" s="389"/>
      <c r="HM101" s="389"/>
      <c r="HN101" s="389"/>
      <c r="HO101" s="389"/>
      <c r="HP101" s="389"/>
      <c r="HQ101" s="389"/>
      <c r="HR101" s="389"/>
      <c r="HS101" s="389"/>
      <c r="HT101" s="389"/>
      <c r="HU101" s="389"/>
      <c r="HV101" s="389"/>
      <c r="HW101" s="389"/>
      <c r="HX101" s="389"/>
      <c r="HY101" s="389"/>
      <c r="HZ101" s="389"/>
      <c r="IA101" s="389"/>
      <c r="IB101" s="389"/>
      <c r="IC101" s="389"/>
      <c r="ID101" s="389"/>
      <c r="IE101" s="389"/>
      <c r="IF101" s="389"/>
      <c r="IG101" s="389"/>
      <c r="IH101" s="389"/>
      <c r="II101" s="389"/>
      <c r="IJ101" s="389"/>
      <c r="IK101" s="389"/>
      <c r="IL101" s="389"/>
      <c r="IM101" s="389"/>
      <c r="IN101" s="389"/>
      <c r="IO101" s="389"/>
      <c r="IP101" s="389"/>
      <c r="IQ101" s="389"/>
      <c r="IR101" s="389"/>
    </row>
    <row r="102" spans="1:252" ht="15.3" x14ac:dyDescent="0.55000000000000004">
      <c r="A102" s="389"/>
      <c r="B102" s="389"/>
      <c r="C102" s="389"/>
      <c r="D102" s="389"/>
      <c r="E102" s="389"/>
      <c r="F102" s="389"/>
      <c r="G102" s="389"/>
      <c r="H102" s="389"/>
      <c r="I102" s="389"/>
      <c r="J102" s="190"/>
      <c r="K102" s="190"/>
      <c r="L102" s="389"/>
      <c r="M102" s="389"/>
      <c r="N102" s="389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389"/>
      <c r="AH102" s="389"/>
      <c r="AI102" s="389"/>
      <c r="AJ102" s="389"/>
      <c r="AK102" s="389"/>
      <c r="AL102" s="389"/>
      <c r="AM102" s="389"/>
      <c r="AN102" s="389"/>
      <c r="AO102" s="389"/>
      <c r="AP102" s="389"/>
      <c r="AQ102" s="389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HS102" s="389"/>
      <c r="HT102" s="389"/>
      <c r="HU102" s="389"/>
      <c r="HV102" s="389"/>
      <c r="HW102" s="389"/>
      <c r="HX102" s="389"/>
      <c r="HY102" s="389"/>
      <c r="HZ102" s="389"/>
      <c r="IA102" s="389"/>
      <c r="IB102" s="389"/>
      <c r="IC102" s="389"/>
      <c r="ID102" s="389"/>
      <c r="IE102" s="389"/>
      <c r="IF102" s="389"/>
      <c r="IG102" s="389"/>
      <c r="IH102" s="389"/>
      <c r="II102" s="389"/>
      <c r="IJ102" s="389"/>
      <c r="IK102" s="389"/>
      <c r="IL102" s="389"/>
      <c r="IM102" s="389"/>
      <c r="IN102" s="389"/>
      <c r="IO102" s="389"/>
      <c r="IP102" s="389"/>
      <c r="IQ102" s="389"/>
      <c r="IR102" s="389"/>
    </row>
    <row r="103" spans="1:252" ht="15.3" x14ac:dyDescent="0.55000000000000004">
      <c r="A103" s="389"/>
      <c r="B103" s="389"/>
      <c r="C103" s="389"/>
      <c r="D103" s="389"/>
      <c r="E103" s="389"/>
      <c r="F103" s="389"/>
      <c r="G103" s="389"/>
      <c r="H103" s="389"/>
      <c r="I103" s="389"/>
      <c r="J103" s="190"/>
      <c r="K103" s="190"/>
      <c r="L103" s="389"/>
      <c r="M103" s="389"/>
      <c r="N103" s="389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389"/>
      <c r="AN103" s="389"/>
      <c r="AO103" s="389"/>
      <c r="AP103" s="389"/>
      <c r="AQ103" s="389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389"/>
      <c r="FZ103" s="389"/>
      <c r="GA103" s="389"/>
      <c r="GB103" s="389"/>
      <c r="GC103" s="389"/>
      <c r="GD103" s="389"/>
      <c r="GE103" s="389"/>
      <c r="GF103" s="389"/>
      <c r="GG103" s="389"/>
      <c r="GH103" s="389"/>
      <c r="GI103" s="389"/>
      <c r="GJ103" s="389"/>
      <c r="GK103" s="389"/>
      <c r="GL103" s="389"/>
      <c r="GM103" s="389"/>
      <c r="GN103" s="389"/>
      <c r="GO103" s="389"/>
      <c r="GP103" s="389"/>
      <c r="GQ103" s="389"/>
      <c r="GR103" s="389"/>
      <c r="GS103" s="389"/>
      <c r="GT103" s="389"/>
      <c r="GU103" s="389"/>
      <c r="GV103" s="389"/>
      <c r="GW103" s="389"/>
      <c r="GX103" s="389"/>
      <c r="GY103" s="389"/>
      <c r="GZ103" s="389"/>
      <c r="HA103" s="389"/>
      <c r="HB103" s="389"/>
      <c r="HC103" s="389"/>
      <c r="HD103" s="389"/>
      <c r="HE103" s="389"/>
      <c r="HF103" s="389"/>
      <c r="HG103" s="389"/>
      <c r="HH103" s="389"/>
      <c r="HI103" s="389"/>
      <c r="HJ103" s="389"/>
      <c r="HK103" s="389"/>
      <c r="HL103" s="389"/>
      <c r="HM103" s="389"/>
      <c r="HN103" s="389"/>
      <c r="HO103" s="389"/>
      <c r="HP103" s="389"/>
      <c r="HQ103" s="389"/>
      <c r="HR103" s="389"/>
      <c r="HS103" s="389"/>
      <c r="HT103" s="389"/>
      <c r="HU103" s="389"/>
      <c r="HV103" s="389"/>
      <c r="HW103" s="389"/>
      <c r="HX103" s="389"/>
      <c r="HY103" s="389"/>
      <c r="HZ103" s="389"/>
      <c r="IA103" s="389"/>
      <c r="IB103" s="389"/>
      <c r="IC103" s="389"/>
      <c r="ID103" s="389"/>
      <c r="IE103" s="389"/>
      <c r="IF103" s="389"/>
      <c r="IG103" s="389"/>
      <c r="IH103" s="389"/>
      <c r="II103" s="389"/>
      <c r="IJ103" s="389"/>
      <c r="IK103" s="389"/>
      <c r="IL103" s="389"/>
      <c r="IM103" s="389"/>
      <c r="IN103" s="389"/>
      <c r="IO103" s="389"/>
      <c r="IP103" s="389"/>
      <c r="IQ103" s="389"/>
      <c r="IR103" s="389"/>
    </row>
    <row r="104" spans="1:252" ht="15.3" x14ac:dyDescent="0.55000000000000004">
      <c r="A104" s="389"/>
      <c r="B104" s="389"/>
      <c r="C104" s="389"/>
      <c r="D104" s="389"/>
      <c r="E104" s="389"/>
      <c r="F104" s="389"/>
      <c r="G104" s="389"/>
      <c r="H104" s="389"/>
      <c r="I104" s="389"/>
      <c r="J104" s="190"/>
      <c r="K104" s="190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HS104" s="389"/>
      <c r="HT104" s="389"/>
      <c r="HU104" s="389"/>
      <c r="HV104" s="389"/>
      <c r="HW104" s="389"/>
      <c r="HX104" s="389"/>
      <c r="HY104" s="389"/>
      <c r="HZ104" s="389"/>
      <c r="IA104" s="389"/>
      <c r="IB104" s="389"/>
      <c r="IC104" s="389"/>
      <c r="ID104" s="389"/>
      <c r="IE104" s="389"/>
      <c r="IF104" s="389"/>
      <c r="IG104" s="389"/>
      <c r="IH104" s="389"/>
      <c r="II104" s="389"/>
      <c r="IJ104" s="389"/>
      <c r="IK104" s="389"/>
      <c r="IL104" s="389"/>
      <c r="IM104" s="389"/>
      <c r="IN104" s="389"/>
      <c r="IO104" s="389"/>
      <c r="IP104" s="389"/>
      <c r="IQ104" s="389"/>
      <c r="IR104" s="389"/>
    </row>
    <row r="105" spans="1:252" ht="15.3" x14ac:dyDescent="0.55000000000000004">
      <c r="A105" s="389"/>
      <c r="B105" s="389"/>
      <c r="C105" s="389"/>
      <c r="D105" s="389"/>
      <c r="E105" s="389"/>
      <c r="F105" s="389"/>
      <c r="G105" s="389"/>
      <c r="H105" s="389"/>
      <c r="I105" s="389"/>
      <c r="J105" s="190"/>
      <c r="K105" s="190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389"/>
      <c r="AH105" s="389"/>
      <c r="AI105" s="389"/>
      <c r="AJ105" s="389"/>
      <c r="AK105" s="389"/>
      <c r="AL105" s="389"/>
      <c r="AM105" s="389"/>
      <c r="AN105" s="389"/>
      <c r="AO105" s="389"/>
      <c r="AP105" s="389"/>
      <c r="AQ105" s="389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389"/>
      <c r="FZ105" s="389"/>
      <c r="GA105" s="389"/>
      <c r="GB105" s="389"/>
      <c r="GC105" s="389"/>
      <c r="GD105" s="389"/>
      <c r="GE105" s="389"/>
      <c r="GF105" s="389"/>
      <c r="GG105" s="389"/>
      <c r="GH105" s="389"/>
      <c r="GI105" s="389"/>
      <c r="GJ105" s="389"/>
      <c r="GK105" s="389"/>
      <c r="GL105" s="389"/>
      <c r="GM105" s="389"/>
      <c r="GN105" s="389"/>
      <c r="GO105" s="389"/>
      <c r="GP105" s="389"/>
      <c r="GQ105" s="389"/>
      <c r="GR105" s="389"/>
      <c r="GS105" s="389"/>
      <c r="GT105" s="389"/>
      <c r="GU105" s="389"/>
      <c r="GV105" s="389"/>
      <c r="GW105" s="389"/>
      <c r="GX105" s="389"/>
      <c r="GY105" s="389"/>
      <c r="GZ105" s="389"/>
      <c r="HA105" s="389"/>
      <c r="HB105" s="389"/>
      <c r="HC105" s="389"/>
      <c r="HD105" s="389"/>
      <c r="HE105" s="389"/>
      <c r="HF105" s="389"/>
      <c r="HG105" s="389"/>
      <c r="HH105" s="389"/>
      <c r="HI105" s="389"/>
      <c r="HJ105" s="389"/>
      <c r="HK105" s="389"/>
      <c r="HL105" s="389"/>
      <c r="HM105" s="389"/>
      <c r="HN105" s="389"/>
      <c r="HO105" s="389"/>
      <c r="HP105" s="389"/>
      <c r="HQ105" s="389"/>
      <c r="HR105" s="389"/>
      <c r="HS105" s="389"/>
      <c r="HT105" s="389"/>
      <c r="HU105" s="389"/>
      <c r="HV105" s="389"/>
      <c r="HW105" s="389"/>
      <c r="HX105" s="389"/>
      <c r="HY105" s="389"/>
      <c r="HZ105" s="389"/>
      <c r="IA105" s="389"/>
      <c r="IB105" s="389"/>
      <c r="IC105" s="389"/>
      <c r="ID105" s="389"/>
      <c r="IE105" s="389"/>
      <c r="IF105" s="389"/>
      <c r="IG105" s="389"/>
      <c r="IH105" s="389"/>
      <c r="II105" s="389"/>
      <c r="IJ105" s="389"/>
      <c r="IK105" s="389"/>
      <c r="IL105" s="389"/>
      <c r="IM105" s="389"/>
      <c r="IN105" s="389"/>
      <c r="IO105" s="389"/>
      <c r="IP105" s="389"/>
      <c r="IQ105" s="389"/>
      <c r="IR105" s="389"/>
    </row>
  </sheetData>
  <sheetCalcPr fullCalcOnLoad="1"/>
  <autoFilter ref="A2:IV50">
    <sortState xmlns:xlrd2="http://schemas.microsoft.com/office/spreadsheetml/2017/richdata2" ref="A3:IV50">
      <sortCondition ref="A2:A50"/>
    </sortState>
  </autoFilter>
  <printOptions horizontalCentered="1"/>
  <pageMargins left="0.25" right="0.25" top="0.55000000000000004" bottom="0.2" header="0" footer="0"/>
  <pageSetup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98"/>
  <sheetViews>
    <sheetView topLeftCell="AR5" zoomScale="107" zoomScaleNormal="107" workbookViewId="0">
      <selection activeCell="BB15" sqref="BB15"/>
    </sheetView>
  </sheetViews>
  <sheetFormatPr defaultColWidth="12.15625" defaultRowHeight="15.3" x14ac:dyDescent="0.55000000000000004"/>
  <cols>
    <col min="1" max="1" width="12.15625" style="107"/>
    <col min="2" max="2" width="22.68359375" style="107" customWidth="1"/>
    <col min="3" max="3" width="7.578125" style="92" customWidth="1"/>
    <col min="4" max="4" width="7" style="92" customWidth="1"/>
    <col min="5" max="5" width="11" style="92" bestFit="1" customWidth="1"/>
    <col min="6" max="6" width="11" style="92" customWidth="1"/>
    <col min="7" max="7" width="12.15625" style="92" bestFit="1" customWidth="1"/>
    <col min="8" max="8" width="25.41796875" style="92" customWidth="1"/>
    <col min="9" max="9" width="25.26171875" style="92" customWidth="1"/>
    <col min="10" max="10" width="9.83984375" style="92" customWidth="1"/>
    <col min="11" max="11" width="10.26171875" style="92" bestFit="1" customWidth="1"/>
    <col min="12" max="12" width="10.26171875" style="194" customWidth="1"/>
    <col min="13" max="13" width="16.83984375" style="92" bestFit="1" customWidth="1"/>
    <col min="14" max="14" width="21.68359375" bestFit="1" customWidth="1"/>
    <col min="15" max="16" width="20" bestFit="1" customWidth="1"/>
    <col min="17" max="17" width="10.26171875" style="92" bestFit="1" customWidth="1"/>
    <col min="18" max="18" width="11.26171875" style="92" customWidth="1"/>
    <col min="19" max="19" width="12.15625" style="107"/>
    <col min="20" max="20" width="22.68359375" style="107" customWidth="1"/>
    <col min="21" max="21" width="7.578125" style="92" customWidth="1"/>
    <col min="22" max="22" width="7" style="92" customWidth="1"/>
    <col min="23" max="23" width="12.83984375" style="92" bestFit="1" customWidth="1"/>
    <col min="24" max="25" width="12.15625" style="107"/>
    <col min="26" max="26" width="22.68359375" style="107" customWidth="1"/>
    <col min="27" max="27" width="7.578125" style="92" customWidth="1"/>
    <col min="28" max="28" width="7" style="92" customWidth="1"/>
    <col min="29" max="29" width="10.26171875" style="92" bestFit="1" customWidth="1"/>
    <col min="30" max="30" width="10.26171875" style="92" customWidth="1"/>
    <col min="31" max="31" width="12.15625" style="107"/>
    <col min="32" max="32" width="22.68359375" style="107" customWidth="1"/>
    <col min="33" max="33" width="7.578125" style="92" customWidth="1"/>
    <col min="34" max="34" width="7" style="92" customWidth="1"/>
    <col min="35" max="35" width="10.26171875" style="92" bestFit="1" customWidth="1"/>
    <col min="36" max="36" width="9.68359375" style="92" customWidth="1"/>
    <col min="37" max="37" width="26.15625" style="371" bestFit="1" customWidth="1"/>
    <col min="38" max="38" width="19" style="92" bestFit="1" customWidth="1"/>
    <col min="39" max="39" width="11.26171875" style="92" bestFit="1" customWidth="1"/>
    <col min="40" max="42" width="9.68359375" style="92" customWidth="1"/>
    <col min="43" max="43" width="9.578125" style="92" bestFit="1" customWidth="1"/>
    <col min="44" max="44" width="19" style="92" bestFit="1" customWidth="1"/>
    <col min="45" max="49" width="9.68359375" style="92" customWidth="1"/>
    <col min="50" max="50" width="9.68359375" style="299" customWidth="1"/>
    <col min="51" max="51" width="31.15625" style="195" bestFit="1" customWidth="1"/>
    <col min="52" max="52" width="28.26171875" style="299" bestFit="1" customWidth="1"/>
    <col min="53" max="53" width="12.15625" style="107"/>
    <col min="54" max="54" width="25.41796875" style="92" customWidth="1"/>
    <col min="55" max="55" width="22.68359375" style="92" customWidth="1"/>
    <col min="56" max="56" width="14.26171875" style="92" customWidth="1"/>
    <col min="57" max="57" width="8.41796875" style="92" customWidth="1"/>
    <col min="58" max="58" width="9" style="107" customWidth="1"/>
    <col min="59" max="16384" width="12.15625" style="107"/>
  </cols>
  <sheetData>
    <row r="1" spans="1:57" x14ac:dyDescent="0.55000000000000004">
      <c r="H1"/>
      <c r="I1"/>
      <c r="BB1"/>
      <c r="BC1" s="318"/>
    </row>
    <row r="2" spans="1:57" x14ac:dyDescent="0.55000000000000004">
      <c r="A2" s="1" t="s">
        <v>484</v>
      </c>
      <c r="B2" s="318">
        <v>9</v>
      </c>
      <c r="H2"/>
      <c r="I2"/>
      <c r="S2" s="1" t="s">
        <v>484</v>
      </c>
      <c r="T2" s="318">
        <v>0</v>
      </c>
      <c r="Y2" s="1" t="s">
        <v>484</v>
      </c>
      <c r="Z2" s="318">
        <v>0</v>
      </c>
      <c r="AE2" s="1" t="s">
        <v>484</v>
      </c>
      <c r="AF2" s="318">
        <v>0</v>
      </c>
      <c r="AK2" s="371" t="s">
        <v>484</v>
      </c>
      <c r="AL2" s="92">
        <v>0</v>
      </c>
      <c r="BB2"/>
      <c r="BC2"/>
    </row>
    <row r="3" spans="1:57" x14ac:dyDescent="0.55000000000000004">
      <c r="A3"/>
      <c r="B3" s="92"/>
      <c r="E3" s="93"/>
      <c r="F3" s="93"/>
      <c r="L3" s="94"/>
      <c r="O3" s="318"/>
      <c r="S3"/>
      <c r="T3" s="92"/>
      <c r="W3" s="93"/>
      <c r="Y3"/>
      <c r="Z3" s="92"/>
      <c r="AC3" s="93"/>
      <c r="AD3" s="93"/>
      <c r="AE3"/>
      <c r="AF3" s="92"/>
      <c r="AI3" s="93"/>
      <c r="AJ3" s="93"/>
      <c r="AK3" s="333"/>
      <c r="AL3" s="93"/>
      <c r="AO3" s="93"/>
      <c r="AP3" s="93"/>
      <c r="AQ3" s="93"/>
      <c r="AR3" s="93"/>
      <c r="AS3" s="93"/>
      <c r="AT3" s="93"/>
      <c r="AU3" s="93"/>
      <c r="AV3" s="93"/>
      <c r="AW3" s="93"/>
      <c r="AX3" s="300"/>
      <c r="BB3"/>
      <c r="BC3"/>
    </row>
    <row r="4" spans="1:57" x14ac:dyDescent="0.55000000000000004">
      <c r="A4" s="1" t="s">
        <v>284</v>
      </c>
      <c r="B4"/>
      <c r="C4" s="1" t="s">
        <v>485</v>
      </c>
      <c r="D4"/>
      <c r="E4" s="107"/>
      <c r="F4" s="107"/>
      <c r="G4"/>
      <c r="H4"/>
      <c r="I4"/>
      <c r="J4"/>
      <c r="K4"/>
      <c r="L4" s="107"/>
      <c r="M4"/>
      <c r="Q4"/>
      <c r="R4" s="107"/>
      <c r="S4" s="1" t="s">
        <v>284</v>
      </c>
      <c r="T4"/>
      <c r="U4" s="1" t="s">
        <v>485</v>
      </c>
      <c r="V4"/>
      <c r="W4" s="107"/>
      <c r="Y4" s="1" t="s">
        <v>284</v>
      </c>
      <c r="Z4"/>
      <c r="AA4" s="1" t="s">
        <v>485</v>
      </c>
      <c r="AB4"/>
      <c r="AC4" s="107"/>
      <c r="AD4" s="107"/>
      <c r="AE4" s="1" t="s">
        <v>284</v>
      </c>
      <c r="AF4"/>
      <c r="AG4" s="1" t="s">
        <v>485</v>
      </c>
      <c r="AH4"/>
      <c r="AI4" s="107"/>
      <c r="AJ4" s="107"/>
      <c r="AK4" s="107" t="s">
        <v>284</v>
      </c>
      <c r="AL4" s="107"/>
      <c r="AM4" s="372" t="s">
        <v>485</v>
      </c>
      <c r="AN4" s="372"/>
      <c r="AO4" s="107"/>
      <c r="AP4" s="107"/>
      <c r="AQ4" s="107"/>
      <c r="AR4" s="107"/>
      <c r="AS4" s="107"/>
      <c r="AT4" s="107"/>
      <c r="AU4" s="107"/>
      <c r="AV4" s="107"/>
      <c r="AW4" s="107"/>
      <c r="AX4" s="195"/>
      <c r="BB4"/>
      <c r="BC4"/>
      <c r="BE4" s="107"/>
    </row>
    <row r="5" spans="1:57" ht="57.6" x14ac:dyDescent="0.55000000000000004">
      <c r="A5" s="1" t="s">
        <v>283</v>
      </c>
      <c r="B5" s="1" t="s">
        <v>265</v>
      </c>
      <c r="C5">
        <v>2013</v>
      </c>
      <c r="D5">
        <v>2014</v>
      </c>
      <c r="E5" s="199" t="s">
        <v>278</v>
      </c>
      <c r="F5" s="199"/>
      <c r="G5" t="s">
        <v>283</v>
      </c>
      <c r="H5" s="328" t="s">
        <v>486</v>
      </c>
      <c r="I5" s="328" t="s">
        <v>487</v>
      </c>
      <c r="J5" s="328" t="s">
        <v>488</v>
      </c>
      <c r="K5" s="329" t="s">
        <v>278</v>
      </c>
      <c r="L5" s="199"/>
      <c r="M5" t="s">
        <v>283</v>
      </c>
      <c r="N5" s="328" t="s">
        <v>486</v>
      </c>
      <c r="O5" s="328" t="s">
        <v>488</v>
      </c>
      <c r="P5" s="328" t="s">
        <v>489</v>
      </c>
      <c r="Q5" s="329" t="s">
        <v>278</v>
      </c>
      <c r="R5" s="107"/>
      <c r="S5" s="1" t="s">
        <v>283</v>
      </c>
      <c r="T5" s="1" t="s">
        <v>265</v>
      </c>
      <c r="U5">
        <v>2016</v>
      </c>
      <c r="V5">
        <v>2017</v>
      </c>
      <c r="W5" s="199" t="s">
        <v>278</v>
      </c>
      <c r="Y5" s="1" t="s">
        <v>283</v>
      </c>
      <c r="Z5" s="1" t="s">
        <v>265</v>
      </c>
      <c r="AA5">
        <v>2017</v>
      </c>
      <c r="AB5">
        <v>2018</v>
      </c>
      <c r="AC5" s="199" t="s">
        <v>278</v>
      </c>
      <c r="AD5" s="199"/>
      <c r="AE5" s="1" t="s">
        <v>283</v>
      </c>
      <c r="AF5" s="1" t="s">
        <v>265</v>
      </c>
      <c r="AG5">
        <v>2018</v>
      </c>
      <c r="AH5">
        <v>2019</v>
      </c>
      <c r="AI5" s="199" t="s">
        <v>278</v>
      </c>
      <c r="AJ5" s="199"/>
      <c r="AK5" s="199" t="s">
        <v>283</v>
      </c>
      <c r="AL5" s="199" t="s">
        <v>265</v>
      </c>
      <c r="AM5" s="416">
        <v>2019</v>
      </c>
      <c r="AN5" s="416">
        <v>2021</v>
      </c>
      <c r="AO5" s="199" t="s">
        <v>278</v>
      </c>
      <c r="AP5" s="199"/>
      <c r="AQ5" s="199" t="s">
        <v>283</v>
      </c>
      <c r="AR5" s="199" t="s">
        <v>265</v>
      </c>
      <c r="AS5" s="416">
        <v>2021</v>
      </c>
      <c r="AT5" s="416">
        <v>2022</v>
      </c>
      <c r="AU5" s="199" t="s">
        <v>278</v>
      </c>
      <c r="AV5" s="199"/>
      <c r="AW5" s="199"/>
      <c r="AX5" s="301"/>
      <c r="AY5" s="301" t="s">
        <v>282</v>
      </c>
      <c r="AZ5" s="302" t="s">
        <v>440</v>
      </c>
      <c r="BB5"/>
      <c r="BC5"/>
      <c r="BE5" s="107"/>
    </row>
    <row r="6" spans="1:57" x14ac:dyDescent="0.55000000000000004">
      <c r="A6">
        <v>210001</v>
      </c>
      <c r="B6" t="s">
        <v>28</v>
      </c>
      <c r="C6" s="281">
        <v>3652.3583479999993</v>
      </c>
      <c r="D6" s="281">
        <v>3498.3112319999982</v>
      </c>
      <c r="E6" s="93">
        <f>D6/C6-1</f>
        <v>-4.2177437513587934E-2</v>
      </c>
      <c r="F6" s="93"/>
      <c r="G6">
        <v>210001</v>
      </c>
      <c r="H6" s="318" t="s">
        <v>28</v>
      </c>
      <c r="I6" s="330">
        <v>3362.0981749999996</v>
      </c>
      <c r="J6" s="330">
        <v>3368.7680340000006</v>
      </c>
      <c r="K6" s="93">
        <f t="shared" ref="K6:K52" si="0">IFERROR(SUMIF(G:G,G6,J:J)/SUMIF(G:G,G6,I:I)-1,0)</f>
        <v>1.983838261951032E-3</v>
      </c>
      <c r="L6" s="94"/>
      <c r="M6" s="333">
        <v>210001</v>
      </c>
      <c r="N6" s="318" t="s">
        <v>28</v>
      </c>
      <c r="O6" s="330">
        <v>3089.073965999999</v>
      </c>
      <c r="P6" s="330">
        <v>3097.3050979999994</v>
      </c>
      <c r="Q6" s="93">
        <f t="shared" ref="Q6:Q52" si="1">IFERROR(SUMIF(M:M,M6,P:P)/SUMIF(M:M,M6,O:O)-1,0)</f>
        <v>2.6645953093376029E-3</v>
      </c>
      <c r="R6" s="107"/>
      <c r="S6">
        <v>210001</v>
      </c>
      <c r="T6" t="s">
        <v>28</v>
      </c>
      <c r="U6" s="281">
        <v>3244.5094576392767</v>
      </c>
      <c r="V6" s="281">
        <v>3521.2068251119626</v>
      </c>
      <c r="W6" s="93">
        <f>V6/U6-1</f>
        <v>8.5281726277972592E-2</v>
      </c>
      <c r="Y6">
        <v>210001</v>
      </c>
      <c r="Z6" t="s">
        <v>28</v>
      </c>
      <c r="AA6" s="281">
        <v>3521.2068251119626</v>
      </c>
      <c r="AB6" s="281">
        <v>3478.9949896500757</v>
      </c>
      <c r="AC6" s="93">
        <f>AB6/AA6-1</f>
        <v>-1.1987888686585402E-2</v>
      </c>
      <c r="AD6" s="93"/>
      <c r="AE6">
        <v>210001</v>
      </c>
      <c r="AF6" t="s">
        <v>28</v>
      </c>
      <c r="AG6" s="281">
        <v>3478.9949896500757</v>
      </c>
      <c r="AH6" s="281">
        <v>3517.3095621616458</v>
      </c>
      <c r="AI6" s="93">
        <f>AH6/AG6-1</f>
        <v>1.1013115174225652E-2</v>
      </c>
      <c r="AJ6" s="93"/>
      <c r="AK6" s="333">
        <v>210001</v>
      </c>
      <c r="AL6" s="93" t="s">
        <v>28</v>
      </c>
      <c r="AM6" s="92">
        <f>VLOOKUP($AK6,[13]PAU!$A:$IV,2,FALSE)</f>
        <v>3337.638794395697</v>
      </c>
      <c r="AN6" s="92">
        <f>VLOOKUP($AK6,[13]PAU!$A:$IV,3,FALSE)</f>
        <v>3236.8329028088961</v>
      </c>
      <c r="AO6" s="93">
        <f>AN6/AM6-1</f>
        <v>-3.0202756438493683E-2</v>
      </c>
      <c r="AP6" s="93"/>
      <c r="AQ6" s="333">
        <v>210001</v>
      </c>
      <c r="AR6" s="93" t="s">
        <v>28</v>
      </c>
      <c r="AS6" s="92">
        <f>IFERROR(VLOOKUP($AQ6,[14]PAU!$A:$IV,3,FALSE),0)</f>
        <v>3258.0123669999994</v>
      </c>
      <c r="AT6" s="92">
        <f>IFERROR(VLOOKUP($AQ6,[14]PAU!$A:$IV,4,FALSE),0)</f>
        <v>3168.3302400000039</v>
      </c>
      <c r="AU6" s="93">
        <f>IFERROR(AT6/AS6-1,0)</f>
        <v>-2.7526637992039138E-2</v>
      </c>
      <c r="AV6" s="93"/>
      <c r="AW6" s="93"/>
      <c r="AX6" s="198">
        <v>210001</v>
      </c>
      <c r="AY6" s="300">
        <f>(VLOOKUP(AX6,$A$6:$E$52,5,FALSE)+1)*(VLOOKUP(AX6,$G$6:$K$52,5,FALSE)+1)*(VLOOKUP(AX6,$M$6:$Q$52,5,FALSE)+1)*(VLOOKUP(AX6,$S$6:$W$52,5,FALSE)+1)*(VLOOKUP(AX6,$Y$6:$AC$52,5,FALSE)+1)*(VLOOKUP(AX6,$AE:$AI,5,FALSE)+1)*(VLOOKUP(AX6,AK:AO,5,FALSE)+1)*(VLOOKUP(AX6,AQ:AU,5,FALSE)+1)-1</f>
        <v>-1.6166362181931349E-2</v>
      </c>
      <c r="AZ6" s="299">
        <f>AY6*VLOOKUP(AX6,AK:AO,4,FALSE)*-1</f>
        <v>52.327813029200804</v>
      </c>
      <c r="BA6" s="107">
        <f>RANK(AY6,$AY$6:$AY$52,1)</f>
        <v>39</v>
      </c>
      <c r="BB6"/>
      <c r="BC6"/>
      <c r="BE6" s="107"/>
    </row>
    <row r="7" spans="1:57" x14ac:dyDescent="0.55000000000000004">
      <c r="A7">
        <v>210002</v>
      </c>
      <c r="B7" t="s">
        <v>42</v>
      </c>
      <c r="C7" s="281">
        <v>6628.252078999999</v>
      </c>
      <c r="D7" s="281">
        <v>6414.7932739999978</v>
      </c>
      <c r="E7" s="93">
        <f t="shared" ref="E7:E51" si="2">D7/C7-1</f>
        <v>-3.2204388495768455E-2</v>
      </c>
      <c r="F7" s="93"/>
      <c r="G7">
        <v>210002</v>
      </c>
      <c r="H7" s="318" t="s">
        <v>42</v>
      </c>
      <c r="I7" s="330">
        <v>6108.5096950000025</v>
      </c>
      <c r="J7" s="330">
        <v>6154.9626230000031</v>
      </c>
      <c r="K7" s="93">
        <f t="shared" si="0"/>
        <v>7.6046254028250271E-3</v>
      </c>
      <c r="L7" s="94"/>
      <c r="M7" s="333">
        <v>210002</v>
      </c>
      <c r="N7" s="318" t="s">
        <v>42</v>
      </c>
      <c r="O7" s="330">
        <v>1927.206717999999</v>
      </c>
      <c r="P7" s="330">
        <v>1684.3611490000008</v>
      </c>
      <c r="Q7" s="93">
        <f t="shared" si="1"/>
        <v>-0.12600909219121892</v>
      </c>
      <c r="R7" s="107"/>
      <c r="S7">
        <v>210002</v>
      </c>
      <c r="T7" t="s">
        <v>42</v>
      </c>
      <c r="U7" s="281">
        <v>5580.4382268610607</v>
      </c>
      <c r="V7" s="281">
        <v>6676.3019098910827</v>
      </c>
      <c r="W7" s="93">
        <f t="shared" ref="W7:W52" si="3">V7/U7-1</f>
        <v>0.1963759186071008</v>
      </c>
      <c r="Y7">
        <v>210002</v>
      </c>
      <c r="Z7" t="s">
        <v>42</v>
      </c>
      <c r="AA7" s="281">
        <v>6676.3019098910827</v>
      </c>
      <c r="AB7" s="281">
        <v>6317.8742304602893</v>
      </c>
      <c r="AC7" s="93">
        <f t="shared" ref="AC7:AC52" si="4">AB7/AA7-1</f>
        <v>-5.3686559455883076E-2</v>
      </c>
      <c r="AD7" s="93"/>
      <c r="AE7">
        <v>210002</v>
      </c>
      <c r="AF7" t="s">
        <v>42</v>
      </c>
      <c r="AG7" s="281">
        <v>6317.8742304602893</v>
      </c>
      <c r="AH7" s="281">
        <v>5740.1910528245444</v>
      </c>
      <c r="AI7" s="93">
        <f t="shared" ref="AI7:AI52" si="5">AH7/AG7-1</f>
        <v>-9.1436321231367357E-2</v>
      </c>
      <c r="AJ7" s="93"/>
      <c r="AK7" s="333">
        <v>210002</v>
      </c>
      <c r="AL7" s="93" t="s">
        <v>42</v>
      </c>
      <c r="AM7" s="92">
        <f>VLOOKUP($AK7,[13]PAU!$A:$IV,2,FALSE)</f>
        <v>4429.9665557484095</v>
      </c>
      <c r="AN7" s="92">
        <f>VLOOKUP($AK7,[13]PAU!$A:$IV,3,FALSE)</f>
        <v>3744.3170577568999</v>
      </c>
      <c r="AO7" s="93">
        <f t="shared" ref="AO7:AO52" si="6">AN7/AM7-1</f>
        <v>-0.15477532152061002</v>
      </c>
      <c r="AP7" s="93"/>
      <c r="AQ7" s="333">
        <v>210002</v>
      </c>
      <c r="AR7" s="93" t="s">
        <v>42</v>
      </c>
      <c r="AS7" s="92">
        <f>IFERROR(VLOOKUP($AQ7,[14]PAU!$A:$IV,3,FALSE),0)</f>
        <v>4568.5452600000026</v>
      </c>
      <c r="AT7" s="92">
        <f>IFERROR(VLOOKUP($AQ7,[14]PAU!$A:$IV,4,FALSE),0)</f>
        <v>3699.0203809999994</v>
      </c>
      <c r="AU7" s="93">
        <f t="shared" ref="AU7:AU52" si="7">IFERROR(AT7/AS7-1,0)</f>
        <v>-0.19032861217621011</v>
      </c>
      <c r="AV7" s="93"/>
      <c r="AW7" s="93"/>
      <c r="AX7" s="198">
        <v>210002</v>
      </c>
      <c r="AY7" s="300">
        <f t="shared" ref="AY7:AY51" si="8">(VLOOKUP(AX7,$A$6:$E$52,5,FALSE)+1)*(VLOOKUP(AX7,$G$6:$K$52,5,FALSE)+1)*(VLOOKUP(AX7,$M$6:$Q$52,5,FALSE)+1)*(VLOOKUP(AX7,$S$6:$W$52,5,FALSE)+1)*(VLOOKUP(AX7,$Y$6:$AC$52,5,FALSE)+1)*(VLOOKUP(AX7,$AE:$AI,5,FALSE)+1)*(VLOOKUP(AX7,AK:AO,5,FALSE)+1)*(VLOOKUP(AX7,AQ:AU,5,FALSE)+1)-1</f>
        <v>-0.40004356023016185</v>
      </c>
      <c r="AZ7" s="299">
        <f t="shared" ref="AZ7:AZ52" si="9">AY7*VLOOKUP(AX7,AK:AO,4,FALSE)*-1</f>
        <v>1497.8899264155948</v>
      </c>
      <c r="BA7" s="107">
        <f t="shared" ref="BA7:BA52" si="10">RANK(AY7,$AY$6:$AY$52,1)</f>
        <v>8</v>
      </c>
      <c r="BB7"/>
      <c r="BC7"/>
      <c r="BE7" s="107"/>
    </row>
    <row r="8" spans="1:57" x14ac:dyDescent="0.55000000000000004">
      <c r="A8">
        <v>210003</v>
      </c>
      <c r="B8" t="s">
        <v>44</v>
      </c>
      <c r="C8" s="281">
        <v>2369.7932389999996</v>
      </c>
      <c r="D8" s="281">
        <v>2341.3337069999989</v>
      </c>
      <c r="E8" s="93">
        <f t="shared" si="2"/>
        <v>-1.2009289051736038E-2</v>
      </c>
      <c r="F8" s="93"/>
      <c r="G8">
        <v>210003</v>
      </c>
      <c r="H8" s="331" t="s">
        <v>44</v>
      </c>
      <c r="I8" s="332">
        <v>2117</v>
      </c>
      <c r="J8" s="332">
        <v>2284</v>
      </c>
      <c r="K8" s="93">
        <f t="shared" si="0"/>
        <v>7.8885214926783132E-2</v>
      </c>
      <c r="L8" s="94"/>
      <c r="M8" s="333">
        <v>210003</v>
      </c>
      <c r="N8" s="331" t="s">
        <v>44</v>
      </c>
      <c r="O8" s="332">
        <v>4593.207972999995</v>
      </c>
      <c r="P8" s="332">
        <v>4515.1880740000006</v>
      </c>
      <c r="Q8" s="93">
        <f t="shared" si="1"/>
        <v>-1.6985927800050593E-2</v>
      </c>
      <c r="R8" s="107"/>
      <c r="S8">
        <v>210003</v>
      </c>
      <c r="T8" t="s">
        <v>44</v>
      </c>
      <c r="U8" s="281">
        <v>2364.4335058584074</v>
      </c>
      <c r="V8" s="281">
        <v>2509.9584410032689</v>
      </c>
      <c r="W8" s="93">
        <f t="shared" si="3"/>
        <v>6.1547484750275716E-2</v>
      </c>
      <c r="Y8">
        <v>210003</v>
      </c>
      <c r="Z8" t="s">
        <v>44</v>
      </c>
      <c r="AA8" s="281">
        <v>2509.9584410032689</v>
      </c>
      <c r="AB8" s="281">
        <v>2705.7453025073951</v>
      </c>
      <c r="AC8" s="93">
        <f t="shared" si="4"/>
        <v>7.8004025208428196E-2</v>
      </c>
      <c r="AD8" s="93"/>
      <c r="AE8">
        <v>210003</v>
      </c>
      <c r="AF8" t="s">
        <v>44</v>
      </c>
      <c r="AG8" s="281">
        <v>2705.7453025073951</v>
      </c>
      <c r="AH8" s="281">
        <v>2575.1731651719165</v>
      </c>
      <c r="AI8" s="93">
        <f t="shared" si="5"/>
        <v>-4.8257364510428391E-2</v>
      </c>
      <c r="AJ8" s="93"/>
      <c r="AK8" s="333">
        <v>210003</v>
      </c>
      <c r="AL8" s="93" t="s">
        <v>44</v>
      </c>
      <c r="AM8" s="92">
        <f>VLOOKUP($AK8,[13]PAU!$A:$IV,2,FALSE)</f>
        <v>2537.5674447445926</v>
      </c>
      <c r="AN8" s="92">
        <f>VLOOKUP($AK8,[13]PAU!$A:$IV,3,FALSE)</f>
        <v>2081.8664110967979</v>
      </c>
      <c r="AO8" s="93">
        <f t="shared" si="6"/>
        <v>-0.17958184110202491</v>
      </c>
      <c r="AP8" s="93"/>
      <c r="AQ8" s="333">
        <v>210003</v>
      </c>
      <c r="AR8" s="93" t="s">
        <v>44</v>
      </c>
      <c r="AS8" s="92">
        <f>IFERROR(VLOOKUP($AQ8,[14]PAU!$A:$IV,3,FALSE),0)</f>
        <v>2490.1305500000026</v>
      </c>
      <c r="AT8" s="92">
        <f>IFERROR(VLOOKUP($AQ8,[14]PAU!$A:$IV,4,FALSE),0)</f>
        <v>2052.2763910000003</v>
      </c>
      <c r="AU8" s="93">
        <f t="shared" si="7"/>
        <v>-0.17583582475224113</v>
      </c>
      <c r="AV8" s="93"/>
      <c r="AW8" s="93"/>
      <c r="AX8" s="198">
        <v>210003</v>
      </c>
      <c r="AY8" s="300">
        <f t="shared" si="8"/>
        <v>-0.22835744914185618</v>
      </c>
      <c r="AZ8" s="299">
        <f t="shared" si="9"/>
        <v>475.40970309217568</v>
      </c>
      <c r="BA8" s="107">
        <f t="shared" si="10"/>
        <v>19</v>
      </c>
      <c r="BB8"/>
      <c r="BC8"/>
      <c r="BE8" s="107"/>
    </row>
    <row r="9" spans="1:57" x14ac:dyDescent="0.55000000000000004">
      <c r="A9">
        <v>210004</v>
      </c>
      <c r="B9" t="s">
        <v>15</v>
      </c>
      <c r="C9" s="281">
        <v>4164.8528189999979</v>
      </c>
      <c r="D9" s="281">
        <v>4534.6927799999985</v>
      </c>
      <c r="E9" s="93">
        <f t="shared" si="2"/>
        <v>8.8800247469201343E-2</v>
      </c>
      <c r="F9" s="93"/>
      <c r="G9">
        <v>210004</v>
      </c>
      <c r="H9" s="318" t="s">
        <v>15</v>
      </c>
      <c r="I9" s="330">
        <v>4288.4121960000002</v>
      </c>
      <c r="J9" s="330">
        <v>4237.1644090000036</v>
      </c>
      <c r="K9" s="93">
        <f t="shared" si="0"/>
        <v>-1.1950294108341031E-2</v>
      </c>
      <c r="L9" s="94"/>
      <c r="M9" s="333">
        <v>210004</v>
      </c>
      <c r="N9" s="318" t="s">
        <v>15</v>
      </c>
      <c r="O9" s="330">
        <v>4237.1644089999991</v>
      </c>
      <c r="P9" s="330">
        <v>4216.5529470000001</v>
      </c>
      <c r="Q9" s="93">
        <f t="shared" si="1"/>
        <v>-4.864447071305289E-3</v>
      </c>
      <c r="R9" s="107"/>
      <c r="S9">
        <v>210004</v>
      </c>
      <c r="T9" t="s">
        <v>15</v>
      </c>
      <c r="U9" s="281">
        <v>3975.5080793205698</v>
      </c>
      <c r="V9" s="281">
        <v>3865.4324697238044</v>
      </c>
      <c r="W9" s="93">
        <f t="shared" si="3"/>
        <v>-2.768843815696076E-2</v>
      </c>
      <c r="Y9">
        <v>210004</v>
      </c>
      <c r="Z9" t="s">
        <v>15</v>
      </c>
      <c r="AA9" s="281">
        <v>3865.4324697238044</v>
      </c>
      <c r="AB9" s="281">
        <v>3942.4232727423323</v>
      </c>
      <c r="AC9" s="93">
        <f t="shared" si="4"/>
        <v>1.9917772104819376E-2</v>
      </c>
      <c r="AD9" s="93"/>
      <c r="AE9">
        <v>210004</v>
      </c>
      <c r="AF9" t="s">
        <v>15</v>
      </c>
      <c r="AG9" s="281">
        <v>3942.4232727423323</v>
      </c>
      <c r="AH9" s="281">
        <v>4145.0373141594255</v>
      </c>
      <c r="AI9" s="93">
        <f t="shared" si="5"/>
        <v>5.1393274491339902E-2</v>
      </c>
      <c r="AJ9" s="93"/>
      <c r="AK9" s="333">
        <v>210004</v>
      </c>
      <c r="AL9" s="93" t="s">
        <v>15</v>
      </c>
      <c r="AM9" s="92">
        <f>VLOOKUP($AK9,[13]PAU!$A:$IV,2,FALSE)</f>
        <v>3890.2998056147007</v>
      </c>
      <c r="AN9" s="92">
        <f>VLOOKUP($AK9,[13]PAU!$A:$IV,3,FALSE)</f>
        <v>3526.6536874968006</v>
      </c>
      <c r="AO9" s="93">
        <f t="shared" si="6"/>
        <v>-9.3475088370584047E-2</v>
      </c>
      <c r="AP9" s="93"/>
      <c r="AQ9" s="333">
        <v>210004</v>
      </c>
      <c r="AR9" s="93" t="s">
        <v>15</v>
      </c>
      <c r="AS9" s="92">
        <f>IFERROR(VLOOKUP($AQ9,[14]PAU!$A:$IV,3,FALSE),0)</f>
        <v>3823.7533759999992</v>
      </c>
      <c r="AT9" s="92">
        <f>IFERROR(VLOOKUP($AQ9,[14]PAU!$A:$IV,4,FALSE),0)</f>
        <v>3474.4849050000016</v>
      </c>
      <c r="AU9" s="93">
        <f t="shared" si="7"/>
        <v>-9.1341788200096974E-2</v>
      </c>
      <c r="AV9" s="93"/>
      <c r="AW9" s="93"/>
      <c r="AX9" s="198">
        <v>210004</v>
      </c>
      <c r="AY9" s="300">
        <f t="shared" si="8"/>
        <v>-8.0555859196968393E-2</v>
      </c>
      <c r="AZ9" s="299">
        <f t="shared" si="9"/>
        <v>284.09261788646165</v>
      </c>
      <c r="BA9" s="107">
        <f t="shared" si="10"/>
        <v>38</v>
      </c>
      <c r="BB9"/>
      <c r="BC9"/>
      <c r="BE9" s="107"/>
    </row>
    <row r="10" spans="1:57" x14ac:dyDescent="0.55000000000000004">
      <c r="A10">
        <v>210005</v>
      </c>
      <c r="B10" t="s">
        <v>10</v>
      </c>
      <c r="C10" s="281">
        <v>3356.6146839999983</v>
      </c>
      <c r="D10" s="281">
        <v>3579.9095579999971</v>
      </c>
      <c r="E10" s="93">
        <f t="shared" si="2"/>
        <v>6.652383279629337E-2</v>
      </c>
      <c r="F10" s="93"/>
      <c r="G10">
        <v>210005</v>
      </c>
      <c r="H10" s="331" t="s">
        <v>10</v>
      </c>
      <c r="I10" s="332">
        <v>3562.1166700000008</v>
      </c>
      <c r="J10" s="332">
        <v>3450.5789780000009</v>
      </c>
      <c r="K10" s="93">
        <f t="shared" si="0"/>
        <v>-3.1312195060696824E-2</v>
      </c>
      <c r="L10" s="94"/>
      <c r="M10" s="333">
        <v>210005</v>
      </c>
      <c r="N10" s="331" t="s">
        <v>10</v>
      </c>
      <c r="O10" s="332">
        <v>3450.5789780000009</v>
      </c>
      <c r="P10" s="332">
        <v>3365.6305329999996</v>
      </c>
      <c r="Q10" s="93">
        <f t="shared" si="1"/>
        <v>-2.4618606193804182E-2</v>
      </c>
      <c r="R10" s="107"/>
      <c r="S10">
        <v>210005</v>
      </c>
      <c r="T10" t="s">
        <v>10</v>
      </c>
      <c r="U10" s="281">
        <v>3010.6762096201619</v>
      </c>
      <c r="V10" s="281">
        <v>3406.7469945710877</v>
      </c>
      <c r="W10" s="93">
        <f t="shared" si="3"/>
        <v>0.13155542388960373</v>
      </c>
      <c r="Y10">
        <v>210005</v>
      </c>
      <c r="Z10" t="s">
        <v>10</v>
      </c>
      <c r="AA10" s="281">
        <v>3406.7469945710877</v>
      </c>
      <c r="AB10" s="281">
        <v>3310.2377768013794</v>
      </c>
      <c r="AC10" s="93">
        <f t="shared" si="4"/>
        <v>-2.8328847995904405E-2</v>
      </c>
      <c r="AD10" s="93"/>
      <c r="AE10">
        <v>210005</v>
      </c>
      <c r="AF10" t="s">
        <v>10</v>
      </c>
      <c r="AG10" s="281">
        <v>3310.2377768013794</v>
      </c>
      <c r="AH10" s="281">
        <v>3154.21221179038</v>
      </c>
      <c r="AI10" s="93">
        <f t="shared" si="5"/>
        <v>-4.71342470031757E-2</v>
      </c>
      <c r="AJ10" s="93"/>
      <c r="AK10" s="333">
        <v>210005</v>
      </c>
      <c r="AL10" s="93" t="s">
        <v>10</v>
      </c>
      <c r="AM10" s="92">
        <f>VLOOKUP($AK10,[13]PAU!$A:$IV,2,FALSE)</f>
        <v>2985.9903513533914</v>
      </c>
      <c r="AN10" s="92">
        <f>VLOOKUP($AK10,[13]PAU!$A:$IV,3,FALSE)</f>
        <v>2764.7861490705964</v>
      </c>
      <c r="AO10" s="93">
        <f t="shared" si="6"/>
        <v>-7.4080682203991333E-2</v>
      </c>
      <c r="AP10" s="93"/>
      <c r="AQ10" s="333">
        <v>210005</v>
      </c>
      <c r="AR10" s="93" t="s">
        <v>10</v>
      </c>
      <c r="AS10" s="92">
        <f>IFERROR(VLOOKUP($AQ10,[14]PAU!$A:$IV,3,FALSE),0)</f>
        <v>2933.3105329999989</v>
      </c>
      <c r="AT10" s="92">
        <f>IFERROR(VLOOKUP($AQ10,[14]PAU!$A:$IV,4,FALSE),0)</f>
        <v>2720.1184050000047</v>
      </c>
      <c r="AU10" s="93">
        <f t="shared" si="7"/>
        <v>-7.2679699473193971E-2</v>
      </c>
      <c r="AV10" s="93"/>
      <c r="AW10" s="93"/>
      <c r="AX10" s="198">
        <v>210005</v>
      </c>
      <c r="AY10" s="300">
        <f t="shared" si="8"/>
        <v>-9.3519149035523719E-2</v>
      </c>
      <c r="AZ10" s="299">
        <f t="shared" si="9"/>
        <v>258.56044792628478</v>
      </c>
      <c r="BA10" s="107">
        <f t="shared" si="10"/>
        <v>34</v>
      </c>
      <c r="BB10"/>
      <c r="BC10"/>
      <c r="BE10" s="107"/>
    </row>
    <row r="11" spans="1:57" x14ac:dyDescent="0.55000000000000004">
      <c r="A11">
        <v>210006</v>
      </c>
      <c r="B11" t="s">
        <v>40</v>
      </c>
      <c r="C11" s="281">
        <v>1343.8683190000002</v>
      </c>
      <c r="D11" s="281">
        <v>1353.8873669999998</v>
      </c>
      <c r="E11" s="93">
        <f t="shared" si="2"/>
        <v>7.4553792647296113E-3</v>
      </c>
      <c r="F11" s="93"/>
      <c r="G11">
        <v>210006</v>
      </c>
      <c r="H11" s="331" t="s">
        <v>40</v>
      </c>
      <c r="I11" s="332">
        <v>1369.830338</v>
      </c>
      <c r="J11" s="332">
        <v>1432.6874600000003</v>
      </c>
      <c r="K11" s="93">
        <f t="shared" si="0"/>
        <v>4.5886793609618781E-2</v>
      </c>
      <c r="L11" s="94"/>
      <c r="M11" s="333">
        <v>210006</v>
      </c>
      <c r="N11" s="331" t="s">
        <v>40</v>
      </c>
      <c r="O11" s="332">
        <v>6154.962623000004</v>
      </c>
      <c r="P11" s="332">
        <v>5921.9106979999997</v>
      </c>
      <c r="Q11" s="93">
        <f t="shared" si="1"/>
        <v>-3.7864068277056684E-2</v>
      </c>
      <c r="R11" s="107"/>
      <c r="S11">
        <v>210006</v>
      </c>
      <c r="T11" t="s">
        <v>40</v>
      </c>
      <c r="U11" s="281">
        <v>1327.9377190715647</v>
      </c>
      <c r="V11" s="281">
        <v>1234.1198272675474</v>
      </c>
      <c r="W11" s="93">
        <f t="shared" si="3"/>
        <v>-7.0649316196553791E-2</v>
      </c>
      <c r="Y11">
        <v>210006</v>
      </c>
      <c r="Z11" t="s">
        <v>40</v>
      </c>
      <c r="AA11" s="281">
        <v>1234.1198272675474</v>
      </c>
      <c r="AB11" s="281">
        <v>1342.387135887365</v>
      </c>
      <c r="AC11" s="93">
        <f t="shared" si="4"/>
        <v>8.77283601054617E-2</v>
      </c>
      <c r="AD11" s="93"/>
      <c r="AE11">
        <v>210006</v>
      </c>
      <c r="AF11" t="s">
        <v>40</v>
      </c>
      <c r="AG11" s="281">
        <v>1342.387135887365</v>
      </c>
      <c r="AH11" s="281">
        <v>1259.3443629459869</v>
      </c>
      <c r="AI11" s="93">
        <f t="shared" si="5"/>
        <v>-6.1862014854965119E-2</v>
      </c>
      <c r="AJ11" s="93"/>
      <c r="AK11" s="333">
        <v>210006</v>
      </c>
      <c r="AL11" s="93" t="s">
        <v>40</v>
      </c>
      <c r="AM11" s="92">
        <f>VLOOKUP($AK11,[13]PAU!$A:$IV,2,FALSE)</f>
        <v>1273.1955764029976</v>
      </c>
      <c r="AN11" s="92">
        <f>VLOOKUP($AK11,[13]PAU!$A:$IV,3,FALSE)</f>
        <v>1085.7425353108997</v>
      </c>
      <c r="AO11" s="93">
        <f t="shared" si="6"/>
        <v>-0.14723035845104482</v>
      </c>
      <c r="AP11" s="93"/>
      <c r="AQ11" s="333">
        <v>210006</v>
      </c>
      <c r="AR11" s="93" t="s">
        <v>40</v>
      </c>
      <c r="AS11" s="92">
        <f>IFERROR(VLOOKUP($AQ11,[14]PAU!$A:$IV,3,FALSE),0)</f>
        <v>1237.9350059999983</v>
      </c>
      <c r="AT11" s="92">
        <f>IFERROR(VLOOKUP($AQ11,[14]PAU!$A:$IV,4,FALSE),0)</f>
        <v>1056.0241119999996</v>
      </c>
      <c r="AU11" s="93">
        <f t="shared" si="7"/>
        <v>-0.14694704739612074</v>
      </c>
      <c r="AV11" s="93"/>
      <c r="AW11" s="93"/>
      <c r="AX11" s="198">
        <v>210006</v>
      </c>
      <c r="AY11" s="300">
        <f t="shared" si="8"/>
        <v>-0.3006067272920957</v>
      </c>
      <c r="AZ11" s="299">
        <f t="shared" si="9"/>
        <v>326.3815102216322</v>
      </c>
      <c r="BA11" s="107">
        <f t="shared" si="10"/>
        <v>14</v>
      </c>
      <c r="BB11"/>
      <c r="BC11"/>
      <c r="BE11" s="107"/>
    </row>
    <row r="12" spans="1:57" x14ac:dyDescent="0.55000000000000004">
      <c r="A12">
        <v>210008</v>
      </c>
      <c r="B12" t="s">
        <v>27</v>
      </c>
      <c r="C12" s="281">
        <v>2552.1901930000008</v>
      </c>
      <c r="D12" s="281">
        <v>2143.3455240000003</v>
      </c>
      <c r="E12" s="93">
        <f t="shared" si="2"/>
        <v>-0.16019365254257145</v>
      </c>
      <c r="F12" s="93"/>
      <c r="G12">
        <v>210008</v>
      </c>
      <c r="H12" s="331" t="s">
        <v>27</v>
      </c>
      <c r="I12" s="332">
        <v>2112.3871470000004</v>
      </c>
      <c r="J12" s="332">
        <v>2107.4329820000007</v>
      </c>
      <c r="K12" s="93">
        <f t="shared" si="0"/>
        <v>-2.3452921530201509E-3</v>
      </c>
      <c r="L12" s="94"/>
      <c r="M12" s="333">
        <v>210008</v>
      </c>
      <c r="N12" s="331" t="s">
        <v>27</v>
      </c>
      <c r="O12" s="332">
        <v>3368.7680340000015</v>
      </c>
      <c r="P12" s="332">
        <v>3440.6937779999998</v>
      </c>
      <c r="Q12" s="93">
        <f t="shared" si="1"/>
        <v>2.1350755906631935E-2</v>
      </c>
      <c r="R12" s="107"/>
      <c r="S12">
        <v>210008</v>
      </c>
      <c r="T12" t="s">
        <v>27</v>
      </c>
      <c r="U12" s="281">
        <v>1745.097260753651</v>
      </c>
      <c r="V12" s="281">
        <v>1854.5826243579411</v>
      </c>
      <c r="W12" s="93">
        <f t="shared" si="3"/>
        <v>6.2738831849983523E-2</v>
      </c>
      <c r="Y12">
        <v>210008</v>
      </c>
      <c r="Z12" t="s">
        <v>27</v>
      </c>
      <c r="AA12" s="281">
        <v>1854.5826243579411</v>
      </c>
      <c r="AB12" s="281">
        <v>2125.8398578999786</v>
      </c>
      <c r="AC12" s="93">
        <f t="shared" si="4"/>
        <v>0.14626322385391011</v>
      </c>
      <c r="AD12" s="93"/>
      <c r="AE12">
        <v>210008</v>
      </c>
      <c r="AF12" t="s">
        <v>27</v>
      </c>
      <c r="AG12" s="281">
        <v>2125.8398578999786</v>
      </c>
      <c r="AH12" s="281">
        <v>1952.191920113627</v>
      </c>
      <c r="AI12" s="93">
        <f t="shared" si="5"/>
        <v>-8.1684392707685238E-2</v>
      </c>
      <c r="AJ12" s="93"/>
      <c r="AK12" s="333">
        <v>210008</v>
      </c>
      <c r="AL12" s="93" t="s">
        <v>27</v>
      </c>
      <c r="AM12" s="92">
        <f>VLOOKUP($AK12,[13]PAU!$A:$IV,2,FALSE)</f>
        <v>2061.0738909819956</v>
      </c>
      <c r="AN12" s="92">
        <f>VLOOKUP($AK12,[13]PAU!$A:$IV,3,FALSE)</f>
        <v>1893.0471410044947</v>
      </c>
      <c r="AO12" s="93">
        <f t="shared" si="6"/>
        <v>-8.1523884569439042E-2</v>
      </c>
      <c r="AP12" s="93"/>
      <c r="AQ12" s="333">
        <v>210008</v>
      </c>
      <c r="AR12" s="93" t="s">
        <v>27</v>
      </c>
      <c r="AS12" s="92">
        <f>IFERROR(VLOOKUP($AQ12,[14]PAU!$A:$IV,3,FALSE),0)</f>
        <v>2034.156656000001</v>
      </c>
      <c r="AT12" s="92">
        <f>IFERROR(VLOOKUP($AQ12,[14]PAU!$A:$IV,4,FALSE),0)</f>
        <v>1871.5250839999983</v>
      </c>
      <c r="AU12" s="93">
        <f t="shared" si="7"/>
        <v>-7.9950367401792954E-2</v>
      </c>
      <c r="AV12" s="93"/>
      <c r="AW12" s="93"/>
      <c r="AX12" s="198">
        <v>210008</v>
      </c>
      <c r="AY12" s="300">
        <f t="shared" si="8"/>
        <v>-0.19105998025807192</v>
      </c>
      <c r="AZ12" s="299">
        <f t="shared" si="9"/>
        <v>361.68554938791823</v>
      </c>
      <c r="BA12" s="107">
        <f t="shared" si="10"/>
        <v>25</v>
      </c>
      <c r="BB12"/>
      <c r="BC12"/>
      <c r="BE12" s="107"/>
    </row>
    <row r="13" spans="1:57" x14ac:dyDescent="0.55000000000000004">
      <c r="A13">
        <v>210009</v>
      </c>
      <c r="B13" t="s">
        <v>18</v>
      </c>
      <c r="C13" s="281">
        <v>9443.4039790000097</v>
      </c>
      <c r="D13" s="281">
        <v>9744.1245410000101</v>
      </c>
      <c r="E13" s="93">
        <f t="shared" si="2"/>
        <v>3.1844508894116386E-2</v>
      </c>
      <c r="F13" s="93"/>
      <c r="G13">
        <v>210009</v>
      </c>
      <c r="H13" s="331" t="s">
        <v>18</v>
      </c>
      <c r="I13" s="332">
        <v>8348.4607509999914</v>
      </c>
      <c r="J13" s="332">
        <v>8401.5015709999971</v>
      </c>
      <c r="K13" s="93">
        <f t="shared" si="0"/>
        <v>6.3533651989262641E-3</v>
      </c>
      <c r="L13" s="94"/>
      <c r="M13" s="333">
        <v>210009</v>
      </c>
      <c r="N13" s="331" t="s">
        <v>18</v>
      </c>
      <c r="O13" s="332">
        <v>8401.5015709999934</v>
      </c>
      <c r="P13" s="332">
        <v>8685.9376010000015</v>
      </c>
      <c r="Q13" s="93">
        <f t="shared" si="1"/>
        <v>3.3855380207487462E-2</v>
      </c>
      <c r="R13" s="107"/>
      <c r="S13">
        <v>210009</v>
      </c>
      <c r="T13" t="s">
        <v>18</v>
      </c>
      <c r="U13" s="281">
        <v>8799.6457098228766</v>
      </c>
      <c r="V13" s="281">
        <v>9119.9589977395553</v>
      </c>
      <c r="W13" s="93">
        <f t="shared" si="3"/>
        <v>3.6400702764557868E-2</v>
      </c>
      <c r="Y13">
        <v>210009</v>
      </c>
      <c r="Z13" t="s">
        <v>18</v>
      </c>
      <c r="AA13" s="281">
        <v>9119.9589977395553</v>
      </c>
      <c r="AB13" s="281">
        <v>9021.4820369949302</v>
      </c>
      <c r="AC13" s="93">
        <f t="shared" si="4"/>
        <v>-1.0797960908490167E-2</v>
      </c>
      <c r="AD13" s="93"/>
      <c r="AE13">
        <v>210009</v>
      </c>
      <c r="AF13" t="s">
        <v>18</v>
      </c>
      <c r="AG13" s="281">
        <v>9021.4820369949302</v>
      </c>
      <c r="AH13" s="281">
        <v>9195.2319287799783</v>
      </c>
      <c r="AI13" s="93">
        <f t="shared" si="5"/>
        <v>1.9259572991725982E-2</v>
      </c>
      <c r="AJ13" s="93"/>
      <c r="AK13" s="333">
        <v>210009</v>
      </c>
      <c r="AL13" s="93" t="s">
        <v>18</v>
      </c>
      <c r="AM13" s="92">
        <f>VLOOKUP($AK13,[13]PAU!$A:$IV,2,FALSE)</f>
        <v>7724.0778938834101</v>
      </c>
      <c r="AN13" s="92">
        <f>VLOOKUP($AK13,[13]PAU!$A:$IV,3,FALSE)</f>
        <v>7005.7600957037084</v>
      </c>
      <c r="AO13" s="93">
        <f t="shared" si="6"/>
        <v>-9.2997223493632486E-2</v>
      </c>
      <c r="AP13" s="93"/>
      <c r="AQ13" s="333">
        <v>210009</v>
      </c>
      <c r="AR13" s="93" t="s">
        <v>18</v>
      </c>
      <c r="AS13" s="92">
        <f>IFERROR(VLOOKUP($AQ13,[14]PAU!$A:$IV,3,FALSE),0)</f>
        <v>7665.3715620000221</v>
      </c>
      <c r="AT13" s="92">
        <f>IFERROR(VLOOKUP($AQ13,[14]PAU!$A:$IV,4,FALSE),0)</f>
        <v>6914.8797820000091</v>
      </c>
      <c r="AU13" s="93">
        <f t="shared" si="7"/>
        <v>-9.7906771241262236E-2</v>
      </c>
      <c r="AV13" s="93"/>
      <c r="AW13" s="93"/>
      <c r="AX13" s="198">
        <v>210009</v>
      </c>
      <c r="AY13" s="300">
        <f t="shared" si="8"/>
        <v>-8.2128060778894008E-2</v>
      </c>
      <c r="AZ13" s="299">
        <f t="shared" si="9"/>
        <v>575.36949094230442</v>
      </c>
      <c r="BA13" s="107">
        <f t="shared" si="10"/>
        <v>36</v>
      </c>
      <c r="BB13"/>
      <c r="BC13"/>
      <c r="BE13" s="107"/>
    </row>
    <row r="14" spans="1:57" x14ac:dyDescent="0.55000000000000004">
      <c r="A14">
        <v>210010</v>
      </c>
      <c r="B14" t="s">
        <v>38</v>
      </c>
      <c r="C14" s="281">
        <v>627.58822200000009</v>
      </c>
      <c r="D14" s="281">
        <v>631.21796900000004</v>
      </c>
      <c r="E14" s="93">
        <f t="shared" si="2"/>
        <v>5.7836442316152592E-3</v>
      </c>
      <c r="F14" s="93"/>
      <c r="G14">
        <v>210010</v>
      </c>
      <c r="H14" s="331" t="s">
        <v>38</v>
      </c>
      <c r="I14" s="332">
        <v>657.14403400000003</v>
      </c>
      <c r="J14" s="332">
        <v>727.53382899999986</v>
      </c>
      <c r="K14" s="93">
        <f t="shared" si="0"/>
        <v>0.10711471360630176</v>
      </c>
      <c r="L14" s="94"/>
      <c r="M14" s="333">
        <v>210010</v>
      </c>
      <c r="N14" s="331" t="s">
        <v>38</v>
      </c>
      <c r="O14" s="332">
        <v>1667.1247479999997</v>
      </c>
      <c r="P14" s="332">
        <v>1702.5593960000001</v>
      </c>
      <c r="Q14" s="93">
        <f t="shared" si="1"/>
        <v>2.1254946903349836E-2</v>
      </c>
      <c r="R14" s="107"/>
      <c r="S14">
        <v>210010</v>
      </c>
      <c r="T14" t="s">
        <v>38</v>
      </c>
      <c r="U14" s="281">
        <v>599.57439235667755</v>
      </c>
      <c r="V14" s="281">
        <v>486.56962579725246</v>
      </c>
      <c r="W14" s="93">
        <f t="shared" si="3"/>
        <v>-0.18847497157984072</v>
      </c>
      <c r="Y14">
        <v>210010</v>
      </c>
      <c r="Z14" t="s">
        <v>38</v>
      </c>
      <c r="AA14" s="281">
        <v>486.56962579725246</v>
      </c>
      <c r="AB14" s="281">
        <v>365.80411233676085</v>
      </c>
      <c r="AC14" s="93">
        <f t="shared" si="4"/>
        <v>-0.24819780573564432</v>
      </c>
      <c r="AD14" s="93"/>
      <c r="AE14">
        <v>210010</v>
      </c>
      <c r="AF14" t="s">
        <v>38</v>
      </c>
      <c r="AG14" s="281">
        <v>365.80411233676085</v>
      </c>
      <c r="AH14" s="281">
        <v>357.36936844428629</v>
      </c>
      <c r="AI14" s="93">
        <f t="shared" si="5"/>
        <v>-2.3058089310678653E-2</v>
      </c>
      <c r="AJ14" s="93"/>
      <c r="AK14" s="333">
        <v>210010</v>
      </c>
      <c r="AL14" s="93" t="s">
        <v>38</v>
      </c>
      <c r="AM14" s="92">
        <f>VLOOKUP($AK14,[13]PAU!$A:$IV,2,FALSE)</f>
        <v>364.21371112020012</v>
      </c>
      <c r="AN14" s="92">
        <f>VLOOKUP($AK14,[13]PAU!$A:$IV,3,FALSE)</f>
        <v>182.06032905879994</v>
      </c>
      <c r="AO14" s="93">
        <f t="shared" si="6"/>
        <v>-0.50012774505703539</v>
      </c>
      <c r="AP14" s="93"/>
      <c r="AQ14" s="333">
        <v>210010</v>
      </c>
      <c r="AR14" s="93" t="s">
        <v>38</v>
      </c>
      <c r="AS14" s="92">
        <f>IFERROR(VLOOKUP($AQ14,[14]PAU!$A:$IV,3,FALSE),0)</f>
        <v>349.47779800000006</v>
      </c>
      <c r="AT14" s="92">
        <f>IFERROR(VLOOKUP($AQ14,[14]PAU!$A:$IV,4,FALSE),0)</f>
        <v>176.23229500000005</v>
      </c>
      <c r="AU14" s="93">
        <f t="shared" si="7"/>
        <v>-0.49572677861498937</v>
      </c>
      <c r="AV14" s="93"/>
      <c r="AW14" s="93"/>
      <c r="AX14" s="198">
        <v>210010</v>
      </c>
      <c r="AY14" s="300">
        <f t="shared" si="8"/>
        <v>-0.82914387516808863</v>
      </c>
      <c r="AZ14" s="299">
        <f t="shared" si="9"/>
        <v>150.95420675019076</v>
      </c>
      <c r="BA14" s="107">
        <f t="shared" si="10"/>
        <v>5</v>
      </c>
      <c r="BB14"/>
      <c r="BC14"/>
      <c r="BE14" s="107"/>
    </row>
    <row r="15" spans="1:57" x14ac:dyDescent="0.55000000000000004">
      <c r="A15">
        <v>210011</v>
      </c>
      <c r="B15" t="s">
        <v>33</v>
      </c>
      <c r="C15" s="281">
        <v>4975.2280249999985</v>
      </c>
      <c r="D15" s="281">
        <v>4879.7520069999982</v>
      </c>
      <c r="E15" s="93">
        <f t="shared" si="2"/>
        <v>-1.9190279826420631E-2</v>
      </c>
      <c r="F15" s="93"/>
      <c r="G15">
        <v>210011</v>
      </c>
      <c r="H15" s="318" t="s">
        <v>33</v>
      </c>
      <c r="I15" s="330">
        <v>4925.5544449999998</v>
      </c>
      <c r="J15" s="330">
        <v>4618.8189140000013</v>
      </c>
      <c r="K15" s="93">
        <f t="shared" si="0"/>
        <v>-6.227431539435524E-2</v>
      </c>
      <c r="L15" s="94"/>
      <c r="M15" s="333">
        <v>210011</v>
      </c>
      <c r="N15" s="318" t="s">
        <v>33</v>
      </c>
      <c r="O15" s="330">
        <v>1142.0366530000008</v>
      </c>
      <c r="P15" s="330">
        <v>988.05646800000034</v>
      </c>
      <c r="Q15" s="93">
        <f t="shared" si="1"/>
        <v>-0.13482945980368666</v>
      </c>
      <c r="R15" s="107"/>
      <c r="S15">
        <v>210011</v>
      </c>
      <c r="T15" t="s">
        <v>33</v>
      </c>
      <c r="U15" s="281">
        <v>4228.4479860961146</v>
      </c>
      <c r="V15" s="281">
        <v>3997.399109041507</v>
      </c>
      <c r="W15" s="93">
        <f t="shared" si="3"/>
        <v>-5.4641532262980963E-2</v>
      </c>
      <c r="Y15">
        <v>210011</v>
      </c>
      <c r="Z15" t="s">
        <v>33</v>
      </c>
      <c r="AA15" s="281">
        <v>3997.399109041507</v>
      </c>
      <c r="AB15" s="281">
        <v>4123.4636904344461</v>
      </c>
      <c r="AC15" s="93">
        <f t="shared" si="4"/>
        <v>3.1536651195974041E-2</v>
      </c>
      <c r="AD15" s="93"/>
      <c r="AE15">
        <v>210011</v>
      </c>
      <c r="AF15" t="s">
        <v>33</v>
      </c>
      <c r="AG15" s="281">
        <v>4123.4636904344461</v>
      </c>
      <c r="AH15" s="281">
        <v>3914.3255621005205</v>
      </c>
      <c r="AI15" s="93">
        <f t="shared" si="5"/>
        <v>-5.0719042056580066E-2</v>
      </c>
      <c r="AJ15" s="93"/>
      <c r="AK15" s="333">
        <v>210011</v>
      </c>
      <c r="AL15" s="93" t="s">
        <v>33</v>
      </c>
      <c r="AM15" s="92">
        <f>VLOOKUP($AK15,[13]PAU!$A:$IV,2,FALSE)</f>
        <v>3889.5430205993998</v>
      </c>
      <c r="AN15" s="92">
        <f>VLOOKUP($AK15,[13]PAU!$A:$IV,3,FALSE)</f>
        <v>3080.2488669017966</v>
      </c>
      <c r="AO15" s="93">
        <f t="shared" si="6"/>
        <v>-0.20806921260711153</v>
      </c>
      <c r="AP15" s="93"/>
      <c r="AQ15" s="333">
        <v>210011</v>
      </c>
      <c r="AR15" s="93" t="s">
        <v>33</v>
      </c>
      <c r="AS15" s="92">
        <f>IFERROR(VLOOKUP($AQ15,[14]PAU!$A:$IV,3,FALSE),0)</f>
        <v>3799.5901030000186</v>
      </c>
      <c r="AT15" s="92">
        <f>IFERROR(VLOOKUP($AQ15,[14]PAU!$A:$IV,4,FALSE),0)</f>
        <v>3014.527366000008</v>
      </c>
      <c r="AU15" s="93">
        <f t="shared" si="7"/>
        <v>-0.20661774447200332</v>
      </c>
      <c r="AV15" s="93"/>
      <c r="AW15" s="93"/>
      <c r="AX15" s="198">
        <v>210011</v>
      </c>
      <c r="AY15" s="300">
        <f t="shared" si="8"/>
        <v>-0.53718443422997164</v>
      </c>
      <c r="AZ15" s="299">
        <f t="shared" si="9"/>
        <v>1654.6617448541529</v>
      </c>
      <c r="BA15" s="107">
        <f t="shared" si="10"/>
        <v>7</v>
      </c>
      <c r="BB15"/>
      <c r="BC15"/>
      <c r="BE15" s="107"/>
    </row>
    <row r="16" spans="1:57" x14ac:dyDescent="0.55000000000000004">
      <c r="A16">
        <v>210012</v>
      </c>
      <c r="B16" t="s">
        <v>32</v>
      </c>
      <c r="C16" s="281">
        <v>5236.7284549999977</v>
      </c>
      <c r="D16" s="281">
        <v>4814.3585389999962</v>
      </c>
      <c r="E16" s="93">
        <f t="shared" si="2"/>
        <v>-8.0655302185226985E-2</v>
      </c>
      <c r="F16" s="93"/>
      <c r="G16">
        <v>210012</v>
      </c>
      <c r="H16" s="331" t="s">
        <v>32</v>
      </c>
      <c r="I16" s="332">
        <v>4739.1608770000021</v>
      </c>
      <c r="J16" s="332">
        <v>4593.2079730000014</v>
      </c>
      <c r="K16" s="93">
        <f t="shared" si="0"/>
        <v>-3.0797203932944384E-2</v>
      </c>
      <c r="L16" s="94"/>
      <c r="M16" s="333">
        <v>210012</v>
      </c>
      <c r="N16" s="331" t="s">
        <v>32</v>
      </c>
      <c r="O16" s="332">
        <v>2651.9173520000018</v>
      </c>
      <c r="P16" s="332">
        <v>2991.8426529999997</v>
      </c>
      <c r="Q16" s="93">
        <f t="shared" si="1"/>
        <v>0.12818095584450839</v>
      </c>
      <c r="R16" s="107"/>
      <c r="S16">
        <v>210012</v>
      </c>
      <c r="T16" t="s">
        <v>32</v>
      </c>
      <c r="U16" s="281">
        <v>4076.1448960376601</v>
      </c>
      <c r="V16" s="281">
        <v>3666.2947632623955</v>
      </c>
      <c r="W16" s="93">
        <f t="shared" si="3"/>
        <v>-0.10054846999518385</v>
      </c>
      <c r="Y16">
        <v>210012</v>
      </c>
      <c r="Z16" t="s">
        <v>32</v>
      </c>
      <c r="AA16" s="281">
        <v>3666.2947632623955</v>
      </c>
      <c r="AB16" s="281">
        <v>3791.0962766714351</v>
      </c>
      <c r="AC16" s="93">
        <f t="shared" si="4"/>
        <v>3.4040229023480695E-2</v>
      </c>
      <c r="AD16" s="93"/>
      <c r="AE16">
        <v>210012</v>
      </c>
      <c r="AF16" t="s">
        <v>32</v>
      </c>
      <c r="AG16" s="281">
        <v>3791.0962766714351</v>
      </c>
      <c r="AH16" s="281">
        <v>3421.6232683814455</v>
      </c>
      <c r="AI16" s="93">
        <f t="shared" si="5"/>
        <v>-9.7458091624722631E-2</v>
      </c>
      <c r="AJ16" s="93"/>
      <c r="AK16" s="333">
        <v>210012</v>
      </c>
      <c r="AL16" s="93" t="s">
        <v>32</v>
      </c>
      <c r="AM16" s="92">
        <f>VLOOKUP($AK16,[13]PAU!$A:$IV,2,FALSE)</f>
        <v>3529.4675825142972</v>
      </c>
      <c r="AN16" s="92">
        <f>VLOOKUP($AK16,[13]PAU!$A:$IV,3,FALSE)</f>
        <v>3368.1014825725961</v>
      </c>
      <c r="AO16" s="93">
        <f t="shared" si="6"/>
        <v>-4.5719671924780325E-2</v>
      </c>
      <c r="AP16" s="93"/>
      <c r="AQ16" s="333">
        <v>210012</v>
      </c>
      <c r="AR16" s="93" t="s">
        <v>32</v>
      </c>
      <c r="AS16" s="92">
        <f>IFERROR(VLOOKUP($AQ16,[14]PAU!$A:$IV,3,FALSE),0)</f>
        <v>3473.5892650000142</v>
      </c>
      <c r="AT16" s="92">
        <f>IFERROR(VLOOKUP($AQ16,[14]PAU!$A:$IV,4,FALSE),0)</f>
        <v>3316.5388000000025</v>
      </c>
      <c r="AU16" s="93">
        <f t="shared" si="7"/>
        <v>-4.5212733290736606E-2</v>
      </c>
      <c r="AV16" s="93"/>
      <c r="AW16" s="93"/>
      <c r="AX16" s="198">
        <v>210012</v>
      </c>
      <c r="AY16" s="300">
        <f t="shared" si="8"/>
        <v>-0.23115823831706894</v>
      </c>
      <c r="AZ16" s="299">
        <f t="shared" si="9"/>
        <v>778.56440518458942</v>
      </c>
      <c r="BA16" s="107">
        <f t="shared" si="10"/>
        <v>18</v>
      </c>
      <c r="BB16"/>
      <c r="BC16"/>
      <c r="BE16" s="107"/>
    </row>
    <row r="17" spans="1:57" x14ac:dyDescent="0.55000000000000004">
      <c r="A17">
        <v>210013</v>
      </c>
      <c r="B17" t="s">
        <v>6</v>
      </c>
      <c r="C17" s="281">
        <v>2035.9853900000001</v>
      </c>
      <c r="D17" s="281">
        <v>1710.7445560000003</v>
      </c>
      <c r="E17" s="93">
        <f t="shared" si="2"/>
        <v>-0.15974615318826024</v>
      </c>
      <c r="F17" s="93"/>
      <c r="G17">
        <v>210013</v>
      </c>
      <c r="H17" s="331" t="s">
        <v>6</v>
      </c>
      <c r="I17" s="332">
        <v>1733.3033170000008</v>
      </c>
      <c r="J17" s="332">
        <v>1354.9703250000002</v>
      </c>
      <c r="K17" s="93">
        <f t="shared" si="0"/>
        <v>-0.2182728137016543</v>
      </c>
      <c r="L17" s="94"/>
      <c r="M17" s="333">
        <v>210013</v>
      </c>
      <c r="N17" s="331" t="s">
        <v>6</v>
      </c>
      <c r="O17" s="332">
        <v>1354.9703250000007</v>
      </c>
      <c r="P17" s="332">
        <v>1201.0125940000003</v>
      </c>
      <c r="Q17" s="93">
        <f t="shared" si="1"/>
        <v>-0.11362443011436452</v>
      </c>
      <c r="R17" s="107"/>
      <c r="S17">
        <v>210013</v>
      </c>
      <c r="T17" t="s">
        <v>6</v>
      </c>
      <c r="U17" s="281">
        <v>1105.6753489049461</v>
      </c>
      <c r="V17" s="281">
        <v>1105.3993939084639</v>
      </c>
      <c r="W17" s="93">
        <f t="shared" si="3"/>
        <v>-2.4958049101431179E-4</v>
      </c>
      <c r="Y17">
        <v>210013</v>
      </c>
      <c r="Z17" t="s">
        <v>6</v>
      </c>
      <c r="AA17" s="281">
        <v>1105.3993939084639</v>
      </c>
      <c r="AB17" s="281">
        <v>888.70200867090352</v>
      </c>
      <c r="AC17" s="93">
        <f t="shared" si="4"/>
        <v>-0.19603537547760286</v>
      </c>
      <c r="AD17" s="93"/>
      <c r="AE17">
        <v>210013</v>
      </c>
      <c r="AF17" t="s">
        <v>6</v>
      </c>
      <c r="AG17" s="281">
        <v>888.70200867090352</v>
      </c>
      <c r="AH17" s="281">
        <v>819.19296755699884</v>
      </c>
      <c r="AI17" s="93">
        <f t="shared" si="5"/>
        <v>-7.8214115007862794E-2</v>
      </c>
      <c r="AJ17" s="93"/>
      <c r="AK17" s="333">
        <v>210013</v>
      </c>
      <c r="AL17" s="93" t="s">
        <v>6</v>
      </c>
      <c r="AM17" s="92">
        <f>VLOOKUP($AK17,[13]PAU!$A:$IV,2,FALSE)</f>
        <v>820.23767476699913</v>
      </c>
      <c r="AN17" s="92">
        <f>VLOOKUP($AK17,[13]PAU!$A:$IV,3,FALSE)</f>
        <v>154.38293589850005</v>
      </c>
      <c r="AO17" s="93">
        <f t="shared" si="6"/>
        <v>-0.81178268123034603</v>
      </c>
      <c r="AP17" s="93"/>
      <c r="AQ17" s="333">
        <v>210013</v>
      </c>
      <c r="AR17" s="93" t="s">
        <v>6</v>
      </c>
      <c r="AS17" s="92">
        <f>IFERROR(VLOOKUP($AQ17,[14]PAU!$A:$IV,3,FALSE),0)</f>
        <v>801.60296800000015</v>
      </c>
      <c r="AT17" s="92">
        <f>IFERROR(VLOOKUP($AQ17,[14]PAU!$A:$IV,4,FALSE),0)</f>
        <v>148.69145999999998</v>
      </c>
      <c r="AU17" s="93">
        <f t="shared" si="7"/>
        <v>-0.81450734848077566</v>
      </c>
      <c r="AV17" s="93"/>
      <c r="AW17" s="93"/>
      <c r="AX17" s="198">
        <v>210013</v>
      </c>
      <c r="AY17" s="300">
        <f t="shared" si="8"/>
        <v>-0.98493988171807667</v>
      </c>
      <c r="AZ17" s="299">
        <f t="shared" si="9"/>
        <v>152.05791062315805</v>
      </c>
      <c r="BA17" s="107">
        <f t="shared" si="10"/>
        <v>2</v>
      </c>
      <c r="BB17"/>
      <c r="BC17"/>
      <c r="BE17" s="107"/>
    </row>
    <row r="18" spans="1:57" x14ac:dyDescent="0.55000000000000004">
      <c r="A18">
        <v>210015</v>
      </c>
      <c r="B18" t="s">
        <v>20</v>
      </c>
      <c r="C18" s="281">
        <v>6044.0500279999978</v>
      </c>
      <c r="D18" s="281">
        <v>5931.3938949999947</v>
      </c>
      <c r="E18" s="93">
        <f t="shared" si="2"/>
        <v>-1.8639179437315412E-2</v>
      </c>
      <c r="F18" s="93"/>
      <c r="G18">
        <v>210015</v>
      </c>
      <c r="H18" s="318" t="s">
        <v>20</v>
      </c>
      <c r="I18" s="330">
        <v>6052.4008259999982</v>
      </c>
      <c r="J18" s="330">
        <v>6187.0962549999986</v>
      </c>
      <c r="K18" s="93">
        <f t="shared" si="0"/>
        <v>2.2254875853789047E-2</v>
      </c>
      <c r="L18" s="94"/>
      <c r="M18" s="333">
        <v>210015</v>
      </c>
      <c r="N18" s="318" t="s">
        <v>20</v>
      </c>
      <c r="O18" s="330">
        <v>3744.9719830000013</v>
      </c>
      <c r="P18" s="330">
        <v>3375.2085740000016</v>
      </c>
      <c r="Q18" s="93">
        <f t="shared" si="1"/>
        <v>-9.8735961357924951E-2</v>
      </c>
      <c r="R18" s="107"/>
      <c r="S18">
        <v>210015</v>
      </c>
      <c r="T18" t="s">
        <v>20</v>
      </c>
      <c r="U18" s="281">
        <v>5445.6221795796791</v>
      </c>
      <c r="V18" s="281">
        <v>5392.0683952623804</v>
      </c>
      <c r="W18" s="93">
        <f t="shared" si="3"/>
        <v>-9.8342820253153329E-3</v>
      </c>
      <c r="Y18">
        <v>210015</v>
      </c>
      <c r="Z18" t="s">
        <v>20</v>
      </c>
      <c r="AA18" s="281">
        <v>5392.0683952623804</v>
      </c>
      <c r="AB18" s="281">
        <v>5700.5038623304717</v>
      </c>
      <c r="AC18" s="93">
        <f t="shared" si="4"/>
        <v>5.7201697838085819E-2</v>
      </c>
      <c r="AD18" s="93"/>
      <c r="AE18">
        <v>210015</v>
      </c>
      <c r="AF18" t="s">
        <v>20</v>
      </c>
      <c r="AG18" s="281">
        <v>5700.5038623304717</v>
      </c>
      <c r="AH18" s="281">
        <v>5537.8121684044527</v>
      </c>
      <c r="AI18" s="93">
        <f t="shared" si="5"/>
        <v>-2.8539879606275353E-2</v>
      </c>
      <c r="AJ18" s="93"/>
      <c r="AK18" s="333">
        <v>210015</v>
      </c>
      <c r="AL18" s="93" t="s">
        <v>20</v>
      </c>
      <c r="AM18" s="92">
        <f>VLOOKUP($AK18,[13]PAU!$A:$IV,2,FALSE)</f>
        <v>5517.9121300677061</v>
      </c>
      <c r="AN18" s="92">
        <f>VLOOKUP($AK18,[13]PAU!$A:$IV,3,FALSE)</f>
        <v>5054.624294376903</v>
      </c>
      <c r="AO18" s="93">
        <f t="shared" si="6"/>
        <v>-8.3960712814960758E-2</v>
      </c>
      <c r="AP18" s="93"/>
      <c r="AQ18" s="333">
        <v>210015</v>
      </c>
      <c r="AR18" s="93" t="s">
        <v>20</v>
      </c>
      <c r="AS18" s="92">
        <f>IFERROR(VLOOKUP($AQ18,[14]PAU!$A:$IV,3,FALSE),0)</f>
        <v>5395.4857790000069</v>
      </c>
      <c r="AT18" s="92">
        <f>IFERROR(VLOOKUP($AQ18,[14]PAU!$A:$IV,4,FALSE),0)</f>
        <v>4953.8771650000208</v>
      </c>
      <c r="AU18" s="93">
        <f t="shared" si="7"/>
        <v>-8.1847795006482871E-2</v>
      </c>
      <c r="AV18" s="93"/>
      <c r="AW18" s="93"/>
      <c r="AX18" s="198">
        <v>210015</v>
      </c>
      <c r="AY18" s="300">
        <f t="shared" si="8"/>
        <v>-0.22667963868708596</v>
      </c>
      <c r="AZ18" s="299">
        <f t="shared" si="9"/>
        <v>1145.7804087483232</v>
      </c>
      <c r="BA18" s="107">
        <f t="shared" si="10"/>
        <v>21</v>
      </c>
      <c r="BB18"/>
      <c r="BC18"/>
      <c r="BE18" s="107"/>
    </row>
    <row r="19" spans="1:57" x14ac:dyDescent="0.55000000000000004">
      <c r="A19">
        <v>210016</v>
      </c>
      <c r="B19" t="s">
        <v>49</v>
      </c>
      <c r="C19" s="281">
        <v>2581.8743810000001</v>
      </c>
      <c r="D19" s="281">
        <v>2492.6838149999999</v>
      </c>
      <c r="E19" s="93">
        <f t="shared" si="2"/>
        <v>-3.4544889811972679E-2</v>
      </c>
      <c r="F19" s="93"/>
      <c r="G19">
        <v>210016</v>
      </c>
      <c r="H19" s="318" t="s">
        <v>49</v>
      </c>
      <c r="I19" s="330">
        <v>2276.3297339999986</v>
      </c>
      <c r="J19" s="330">
        <v>2325.5930420000009</v>
      </c>
      <c r="K19" s="93">
        <f t="shared" si="0"/>
        <v>2.1641551864912012E-2</v>
      </c>
      <c r="L19" s="94"/>
      <c r="M19" s="333">
        <v>210016</v>
      </c>
      <c r="N19" s="318" t="s">
        <v>49</v>
      </c>
      <c r="O19" s="330">
        <v>2325.5930420000009</v>
      </c>
      <c r="P19" s="330">
        <v>2205.5190399999997</v>
      </c>
      <c r="Q19" s="93">
        <f t="shared" si="1"/>
        <v>-5.1631562286038712E-2</v>
      </c>
      <c r="R19" s="107"/>
      <c r="S19">
        <v>210016</v>
      </c>
      <c r="T19" t="s">
        <v>49</v>
      </c>
      <c r="U19" s="281">
        <v>2247.9970393427288</v>
      </c>
      <c r="V19" s="281">
        <v>2411.5060992583299</v>
      </c>
      <c r="W19" s="93">
        <f t="shared" si="3"/>
        <v>7.2735442731458377E-2</v>
      </c>
      <c r="Y19">
        <v>210016</v>
      </c>
      <c r="Z19" t="s">
        <v>49</v>
      </c>
      <c r="AA19" s="281">
        <v>2411.5060992583299</v>
      </c>
      <c r="AB19" s="281">
        <v>2286.2864458546192</v>
      </c>
      <c r="AC19" s="93">
        <f t="shared" si="4"/>
        <v>-5.1925911961086313E-2</v>
      </c>
      <c r="AD19" s="93"/>
      <c r="AE19">
        <v>210016</v>
      </c>
      <c r="AF19" t="s">
        <v>49</v>
      </c>
      <c r="AG19" s="281">
        <v>2286.2864458546192</v>
      </c>
      <c r="AH19" s="281">
        <v>2445.2053058287352</v>
      </c>
      <c r="AI19" s="93">
        <f t="shared" si="5"/>
        <v>6.9509601590937997E-2</v>
      </c>
      <c r="AJ19" s="93"/>
      <c r="AK19" s="333">
        <v>210016</v>
      </c>
      <c r="AL19" s="93" t="s">
        <v>49</v>
      </c>
      <c r="AM19" s="92">
        <f>VLOOKUP($AK19,[13]PAU!$A:$IV,2,FALSE)</f>
        <v>2240.7369830268949</v>
      </c>
      <c r="AN19" s="92">
        <f>VLOOKUP($AK19,[13]PAU!$A:$IV,3,FALSE)</f>
        <v>2460.2300322997999</v>
      </c>
      <c r="AO19" s="93">
        <f t="shared" si="6"/>
        <v>9.7955739979978862E-2</v>
      </c>
      <c r="AP19" s="93"/>
      <c r="AQ19" s="333">
        <v>210016</v>
      </c>
      <c r="AR19" s="93" t="s">
        <v>49</v>
      </c>
      <c r="AS19" s="92">
        <f>IFERROR(VLOOKUP($AQ19,[14]PAU!$A:$IV,3,FALSE),0)</f>
        <v>2210.3500410000033</v>
      </c>
      <c r="AT19" s="92">
        <f>IFERROR(VLOOKUP($AQ19,[14]PAU!$A:$IV,4,FALSE),0)</f>
        <v>2431.8639140000009</v>
      </c>
      <c r="AU19" s="93">
        <f t="shared" si="7"/>
        <v>0.10021664844532063</v>
      </c>
      <c r="AV19" s="93"/>
      <c r="AW19" s="93"/>
      <c r="AX19" s="198">
        <v>210016</v>
      </c>
      <c r="AY19" s="300">
        <f t="shared" si="8"/>
        <v>0.22910890768104286</v>
      </c>
      <c r="AZ19" s="299">
        <f t="shared" si="9"/>
        <v>-563.66061534430389</v>
      </c>
      <c r="BA19" s="107">
        <f t="shared" si="10"/>
        <v>43</v>
      </c>
      <c r="BB19"/>
      <c r="BC19"/>
      <c r="BE19" s="107"/>
    </row>
    <row r="20" spans="1:57" x14ac:dyDescent="0.55000000000000004">
      <c r="A20">
        <v>210017</v>
      </c>
      <c r="B20" t="s">
        <v>12</v>
      </c>
      <c r="C20" s="281">
        <v>304.64913700000005</v>
      </c>
      <c r="D20" s="281">
        <v>347.84159299999999</v>
      </c>
      <c r="E20" s="93">
        <f t="shared" si="2"/>
        <v>0.14177770672627887</v>
      </c>
      <c r="F20" s="93"/>
      <c r="G20">
        <v>210017</v>
      </c>
      <c r="H20" s="331" t="s">
        <v>12</v>
      </c>
      <c r="I20" s="332">
        <v>257.99056999999999</v>
      </c>
      <c r="J20" s="332">
        <v>263.01834100000002</v>
      </c>
      <c r="K20" s="93">
        <f t="shared" si="0"/>
        <v>1.9488196797270652E-2</v>
      </c>
      <c r="L20" s="94"/>
      <c r="M20" s="333">
        <v>210017</v>
      </c>
      <c r="N20" s="331" t="s">
        <v>12</v>
      </c>
      <c r="O20" s="332">
        <v>263.01834100000002</v>
      </c>
      <c r="P20" s="332">
        <v>299.18593099999998</v>
      </c>
      <c r="Q20" s="93">
        <f t="shared" si="1"/>
        <v>0.13750976400539283</v>
      </c>
      <c r="R20" s="107"/>
      <c r="S20">
        <v>210017</v>
      </c>
      <c r="T20" t="s">
        <v>12</v>
      </c>
      <c r="U20" s="281">
        <v>353.83196548938071</v>
      </c>
      <c r="V20" s="281">
        <v>390.64828602004962</v>
      </c>
      <c r="W20" s="93">
        <f t="shared" si="3"/>
        <v>0.10405029539868926</v>
      </c>
      <c r="Y20">
        <v>210017</v>
      </c>
      <c r="Z20" t="s">
        <v>12</v>
      </c>
      <c r="AA20" s="281">
        <v>390.64828602004962</v>
      </c>
      <c r="AB20" s="281">
        <v>423.97245159523595</v>
      </c>
      <c r="AC20" s="93">
        <f t="shared" si="4"/>
        <v>8.530477866598396E-2</v>
      </c>
      <c r="AD20" s="93"/>
      <c r="AE20">
        <v>210017</v>
      </c>
      <c r="AF20" t="s">
        <v>12</v>
      </c>
      <c r="AG20" s="281">
        <v>423.97245159523595</v>
      </c>
      <c r="AH20" s="281">
        <v>372.81953224732894</v>
      </c>
      <c r="AI20" s="93">
        <f t="shared" si="5"/>
        <v>-0.12065151675642927</v>
      </c>
      <c r="AJ20" s="93"/>
      <c r="AK20" s="333">
        <v>210017</v>
      </c>
      <c r="AL20" s="93" t="s">
        <v>12</v>
      </c>
      <c r="AM20" s="92">
        <f>VLOOKUP($AK20,[13]PAU!$A:$IV,2,FALSE)</f>
        <v>418.12148442959989</v>
      </c>
      <c r="AN20" s="92">
        <f>VLOOKUP($AK20,[13]PAU!$A:$IV,3,FALSE)</f>
        <v>313.07621881920011</v>
      </c>
      <c r="AO20" s="93">
        <f t="shared" si="6"/>
        <v>-0.25123144713240997</v>
      </c>
      <c r="AP20" s="93"/>
      <c r="AQ20" s="333">
        <v>210017</v>
      </c>
      <c r="AR20" s="93" t="s">
        <v>12</v>
      </c>
      <c r="AS20" s="92">
        <f>IFERROR(VLOOKUP($AQ20,[14]PAU!$A:$IV,3,FALSE),0)</f>
        <v>404.1551589999998</v>
      </c>
      <c r="AT20" s="92">
        <f>IFERROR(VLOOKUP($AQ20,[14]PAU!$A:$IV,4,FALSE),0)</f>
        <v>303.08807999999999</v>
      </c>
      <c r="AU20" s="93">
        <f t="shared" si="7"/>
        <v>-0.25006999601358515</v>
      </c>
      <c r="AV20" s="93"/>
      <c r="AW20" s="93"/>
      <c r="AX20" s="198">
        <v>210017</v>
      </c>
      <c r="AY20" s="300">
        <f t="shared" si="8"/>
        <v>-0.21659053772669101</v>
      </c>
      <c r="AZ20" s="299">
        <f t="shared" si="9"/>
        <v>67.809346583489727</v>
      </c>
      <c r="BA20" s="107">
        <f t="shared" si="10"/>
        <v>22</v>
      </c>
      <c r="BB20"/>
      <c r="BC20"/>
      <c r="BE20" s="107"/>
    </row>
    <row r="21" spans="1:57" x14ac:dyDescent="0.55000000000000004">
      <c r="A21">
        <v>210018</v>
      </c>
      <c r="B21" t="s">
        <v>23</v>
      </c>
      <c r="C21" s="281">
        <v>1720.8457329999999</v>
      </c>
      <c r="D21" s="281">
        <v>1691.630193</v>
      </c>
      <c r="E21" s="93">
        <f t="shared" si="2"/>
        <v>-1.6977431178021751E-2</v>
      </c>
      <c r="F21" s="93"/>
      <c r="G21">
        <v>210018</v>
      </c>
      <c r="H21" s="331" t="s">
        <v>23</v>
      </c>
      <c r="I21" s="332">
        <v>1743.0867809999997</v>
      </c>
      <c r="J21" s="332">
        <v>1778.5712500000006</v>
      </c>
      <c r="K21" s="93">
        <f t="shared" si="0"/>
        <v>2.035725896541063E-2</v>
      </c>
      <c r="L21" s="94"/>
      <c r="M21" s="333">
        <v>210018</v>
      </c>
      <c r="N21" s="331" t="s">
        <v>23</v>
      </c>
      <c r="O21" s="332">
        <v>3375.8626360000026</v>
      </c>
      <c r="P21" s="332">
        <v>3074.9180060000012</v>
      </c>
      <c r="Q21" s="93">
        <f t="shared" si="1"/>
        <v>-8.9145993913006261E-2</v>
      </c>
      <c r="R21" s="107"/>
      <c r="S21">
        <v>210018</v>
      </c>
      <c r="T21" t="s">
        <v>23</v>
      </c>
      <c r="U21" s="281">
        <v>1616.8636473883623</v>
      </c>
      <c r="V21" s="281">
        <v>1667.7976637390598</v>
      </c>
      <c r="W21" s="93">
        <f t="shared" si="3"/>
        <v>3.1501738834297299E-2</v>
      </c>
      <c r="Y21">
        <v>210018</v>
      </c>
      <c r="Z21" t="s">
        <v>23</v>
      </c>
      <c r="AA21" s="281">
        <v>1667.7976637390598</v>
      </c>
      <c r="AB21" s="281">
        <v>1567.3836090191294</v>
      </c>
      <c r="AC21" s="93">
        <f t="shared" si="4"/>
        <v>-6.0207576076591107E-2</v>
      </c>
      <c r="AD21" s="93"/>
      <c r="AE21">
        <v>210018</v>
      </c>
      <c r="AF21" t="s">
        <v>23</v>
      </c>
      <c r="AG21" s="281">
        <v>1567.3836090191294</v>
      </c>
      <c r="AH21" s="281">
        <v>1524.738383562767</v>
      </c>
      <c r="AI21" s="93">
        <f t="shared" si="5"/>
        <v>-2.7207905716871594E-2</v>
      </c>
      <c r="AJ21" s="93"/>
      <c r="AK21" s="333">
        <v>210018</v>
      </c>
      <c r="AL21" s="93" t="s">
        <v>23</v>
      </c>
      <c r="AM21" s="92">
        <f>VLOOKUP($AK21,[13]PAU!$A:$IV,2,FALSE)</f>
        <v>1538.0851829404987</v>
      </c>
      <c r="AN21" s="92">
        <f>VLOOKUP($AK21,[13]PAU!$A:$IV,3,FALSE)</f>
        <v>1409.3284041938989</v>
      </c>
      <c r="AO21" s="93">
        <f t="shared" si="6"/>
        <v>-8.3712384837128284E-2</v>
      </c>
      <c r="AP21" s="93"/>
      <c r="AQ21" s="333">
        <v>210018</v>
      </c>
      <c r="AR21" s="93" t="s">
        <v>23</v>
      </c>
      <c r="AS21" s="92">
        <f>IFERROR(VLOOKUP($AQ21,[14]PAU!$A:$IV,3,FALSE),0)</f>
        <v>1501.108751</v>
      </c>
      <c r="AT21" s="92">
        <f>IFERROR(VLOOKUP($AQ21,[14]PAU!$A:$IV,4,FALSE),0)</f>
        <v>1375.7841670000014</v>
      </c>
      <c r="AU21" s="93">
        <f t="shared" si="7"/>
        <v>-8.3488011056167988E-2</v>
      </c>
      <c r="AV21" s="93"/>
      <c r="AW21" s="93"/>
      <c r="AX21" s="198">
        <v>210018</v>
      </c>
      <c r="AY21" s="300">
        <f t="shared" si="8"/>
        <v>-0.27647019940302286</v>
      </c>
      <c r="AZ21" s="299">
        <f t="shared" si="9"/>
        <v>389.63730493183124</v>
      </c>
      <c r="BA21" s="107">
        <f t="shared" si="10"/>
        <v>16</v>
      </c>
      <c r="BB21"/>
      <c r="BC21"/>
      <c r="BE21" s="107"/>
    </row>
    <row r="22" spans="1:57" x14ac:dyDescent="0.55000000000000004">
      <c r="A22">
        <v>210019</v>
      </c>
      <c r="B22" t="s">
        <v>30</v>
      </c>
      <c r="C22" s="281">
        <v>4082.6489659999993</v>
      </c>
      <c r="D22" s="281">
        <v>3993.7387429999985</v>
      </c>
      <c r="E22" s="93">
        <f t="shared" si="2"/>
        <v>-2.177758208957925E-2</v>
      </c>
      <c r="F22" s="93"/>
      <c r="G22">
        <v>210019</v>
      </c>
      <c r="H22" s="318" t="s">
        <v>30</v>
      </c>
      <c r="I22" s="330">
        <v>3313.4033720000002</v>
      </c>
      <c r="J22" s="330">
        <v>3248.3924229999998</v>
      </c>
      <c r="K22" s="93">
        <f t="shared" si="0"/>
        <v>-1.9620596015980762E-2</v>
      </c>
      <c r="L22" s="94"/>
      <c r="M22" s="333">
        <v>210019</v>
      </c>
      <c r="N22" s="318" t="s">
        <v>30</v>
      </c>
      <c r="O22" s="330">
        <v>3069.0887179999986</v>
      </c>
      <c r="P22" s="330">
        <v>3078.612400999999</v>
      </c>
      <c r="Q22" s="93">
        <f t="shared" si="1"/>
        <v>3.1030979795874103E-3</v>
      </c>
      <c r="R22" s="107"/>
      <c r="S22">
        <v>210019</v>
      </c>
      <c r="T22" t="s">
        <v>30</v>
      </c>
      <c r="U22" s="281">
        <v>3689.1574969709436</v>
      </c>
      <c r="V22" s="281">
        <v>3582.1755183347386</v>
      </c>
      <c r="W22" s="93">
        <f t="shared" si="3"/>
        <v>-2.8999027209883232E-2</v>
      </c>
      <c r="Y22">
        <v>210019</v>
      </c>
      <c r="Z22" t="s">
        <v>30</v>
      </c>
      <c r="AA22" s="281">
        <v>3582.1755183347386</v>
      </c>
      <c r="AB22" s="281">
        <v>3834.5237281178265</v>
      </c>
      <c r="AC22" s="93">
        <f t="shared" si="4"/>
        <v>7.0445517951727377E-2</v>
      </c>
      <c r="AD22" s="93"/>
      <c r="AE22">
        <v>210019</v>
      </c>
      <c r="AF22" t="s">
        <v>30</v>
      </c>
      <c r="AG22" s="281">
        <v>3834.5237281178265</v>
      </c>
      <c r="AH22" s="281">
        <v>3721.1423265632038</v>
      </c>
      <c r="AI22" s="93">
        <f t="shared" si="5"/>
        <v>-2.9568574768026212E-2</v>
      </c>
      <c r="AJ22" s="93"/>
      <c r="AK22" s="333">
        <v>210019</v>
      </c>
      <c r="AL22" s="93" t="s">
        <v>30</v>
      </c>
      <c r="AM22" s="92">
        <f>VLOOKUP($AK22,[13]PAU!$A:$IV,2,FALSE)</f>
        <v>3466.0935721428959</v>
      </c>
      <c r="AN22" s="92">
        <f>VLOOKUP($AK22,[13]PAU!$A:$IV,3,FALSE)</f>
        <v>2930.7662320300951</v>
      </c>
      <c r="AO22" s="93">
        <f t="shared" si="6"/>
        <v>-0.15444688060796852</v>
      </c>
      <c r="AP22" s="93"/>
      <c r="AQ22" s="333">
        <v>210019</v>
      </c>
      <c r="AR22" s="93" t="s">
        <v>30</v>
      </c>
      <c r="AS22" s="92">
        <f>IFERROR(VLOOKUP($AQ22,[14]PAU!$A:$IV,3,FALSE),0)</f>
        <v>3392.2883690000117</v>
      </c>
      <c r="AT22" s="92">
        <f>IFERROR(VLOOKUP($AQ22,[14]PAU!$A:$IV,4,FALSE),0)</f>
        <v>2870.9469260000028</v>
      </c>
      <c r="AU22" s="93">
        <f t="shared" si="7"/>
        <v>-0.15368429398992733</v>
      </c>
      <c r="AV22" s="93"/>
      <c r="AW22" s="93"/>
      <c r="AX22" s="198">
        <v>210019</v>
      </c>
      <c r="AY22" s="300">
        <f t="shared" si="8"/>
        <v>-0.30561593896477413</v>
      </c>
      <c r="AZ22" s="299">
        <f t="shared" si="9"/>
        <v>895.68887388813062</v>
      </c>
      <c r="BA22" s="107">
        <f t="shared" si="10"/>
        <v>13</v>
      </c>
      <c r="BB22"/>
      <c r="BC22"/>
      <c r="BE22" s="107"/>
    </row>
    <row r="23" spans="1:57" x14ac:dyDescent="0.55000000000000004">
      <c r="A23">
        <v>210022</v>
      </c>
      <c r="B23" t="s">
        <v>34</v>
      </c>
      <c r="C23" s="281">
        <v>2648.4236979999991</v>
      </c>
      <c r="D23" s="281">
        <v>2694.5676779999985</v>
      </c>
      <c r="E23" s="93">
        <f t="shared" si="2"/>
        <v>1.7423186491967169E-2</v>
      </c>
      <c r="F23" s="93"/>
      <c r="G23">
        <v>210022</v>
      </c>
      <c r="H23" s="331" t="s">
        <v>34</v>
      </c>
      <c r="I23" s="332">
        <v>2660.403266000003</v>
      </c>
      <c r="J23" s="332">
        <v>2651.9173520000004</v>
      </c>
      <c r="K23" s="93">
        <f t="shared" si="0"/>
        <v>-3.1897096611076536E-3</v>
      </c>
      <c r="L23" s="94"/>
      <c r="M23" s="333">
        <v>210022</v>
      </c>
      <c r="N23" s="331" t="s">
        <v>34</v>
      </c>
      <c r="O23" s="332">
        <v>5403.7888030000004</v>
      </c>
      <c r="P23" s="332">
        <v>5145.0387769999988</v>
      </c>
      <c r="Q23" s="93">
        <f t="shared" si="1"/>
        <v>-4.7883075270512498E-2</v>
      </c>
      <c r="R23" s="107"/>
      <c r="S23">
        <v>210022</v>
      </c>
      <c r="T23" t="s">
        <v>34</v>
      </c>
      <c r="U23" s="281">
        <v>2841.6514807748749</v>
      </c>
      <c r="V23" s="281">
        <v>2767.4069247213374</v>
      </c>
      <c r="W23" s="93">
        <f t="shared" si="3"/>
        <v>-2.61272561240663E-2</v>
      </c>
      <c r="Y23">
        <v>210022</v>
      </c>
      <c r="Z23" t="s">
        <v>34</v>
      </c>
      <c r="AA23" s="281">
        <v>2767.4069247213374</v>
      </c>
      <c r="AB23" s="281">
        <v>2630.117412471493</v>
      </c>
      <c r="AC23" s="93">
        <f t="shared" si="4"/>
        <v>-4.9609441612446847E-2</v>
      </c>
      <c r="AD23" s="93"/>
      <c r="AE23">
        <v>210022</v>
      </c>
      <c r="AF23" t="s">
        <v>34</v>
      </c>
      <c r="AG23" s="281">
        <v>2630.117412471493</v>
      </c>
      <c r="AH23" s="281">
        <v>2577.7134111395335</v>
      </c>
      <c r="AI23" s="93">
        <f t="shared" si="5"/>
        <v>-1.9924586287847879E-2</v>
      </c>
      <c r="AJ23" s="93"/>
      <c r="AK23" s="333">
        <v>210022</v>
      </c>
      <c r="AL23" s="93" t="s">
        <v>34</v>
      </c>
      <c r="AM23" s="92">
        <f>VLOOKUP($AK23,[13]PAU!$A:$IV,2,FALSE)</f>
        <v>2652.1168184138942</v>
      </c>
      <c r="AN23" s="92">
        <f>VLOOKUP($AK23,[13]PAU!$A:$IV,3,FALSE)</f>
        <v>2519.4446416436972</v>
      </c>
      <c r="AO23" s="93">
        <f t="shared" si="6"/>
        <v>-5.002501241613555E-2</v>
      </c>
      <c r="AP23" s="93"/>
      <c r="AQ23" s="333">
        <v>210022</v>
      </c>
      <c r="AR23" s="93" t="s">
        <v>34</v>
      </c>
      <c r="AS23" s="92">
        <f>IFERROR(VLOOKUP($AQ23,[14]PAU!$A:$IV,3,FALSE),0)</f>
        <v>2629.9746930000024</v>
      </c>
      <c r="AT23" s="92">
        <f>IFERROR(VLOOKUP($AQ23,[14]PAU!$A:$IV,4,FALSE),0)</f>
        <v>2497.4334450000042</v>
      </c>
      <c r="AU23" s="93">
        <f t="shared" si="7"/>
        <v>-5.0396396723045633E-2</v>
      </c>
      <c r="AV23" s="93"/>
      <c r="AW23" s="93"/>
      <c r="AX23" s="198">
        <v>210022</v>
      </c>
      <c r="AY23" s="300">
        <f t="shared" si="8"/>
        <v>-0.20982593331059063</v>
      </c>
      <c r="AZ23" s="299">
        <f t="shared" si="9"/>
        <v>528.64482335725529</v>
      </c>
      <c r="BA23" s="107">
        <f t="shared" si="10"/>
        <v>24</v>
      </c>
      <c r="BB23"/>
      <c r="BC23"/>
      <c r="BE23" s="107"/>
    </row>
    <row r="24" spans="1:57" x14ac:dyDescent="0.55000000000000004">
      <c r="A24">
        <v>210023</v>
      </c>
      <c r="B24" t="s">
        <v>4</v>
      </c>
      <c r="C24" s="281">
        <v>4258.0030409999981</v>
      </c>
      <c r="D24" s="281">
        <v>4197.6510179999996</v>
      </c>
      <c r="E24" s="93">
        <f t="shared" si="2"/>
        <v>-1.4173785790868032E-2</v>
      </c>
      <c r="F24" s="93"/>
      <c r="G24">
        <v>210023</v>
      </c>
      <c r="H24" s="331" t="s">
        <v>4</v>
      </c>
      <c r="I24" s="332">
        <v>4269.6543700000011</v>
      </c>
      <c r="J24" s="332">
        <v>4696.0466959999976</v>
      </c>
      <c r="K24" s="93">
        <f t="shared" si="0"/>
        <v>9.986577110221595E-2</v>
      </c>
      <c r="L24" s="94"/>
      <c r="M24" s="333">
        <v>210023</v>
      </c>
      <c r="N24" s="331" t="s">
        <v>4</v>
      </c>
      <c r="O24" s="332">
        <v>4696.0466960000012</v>
      </c>
      <c r="P24" s="332">
        <v>4653.2809479999987</v>
      </c>
      <c r="Q24" s="93">
        <f t="shared" si="1"/>
        <v>-9.1067552706469712E-3</v>
      </c>
      <c r="R24" s="107"/>
      <c r="S24">
        <v>210023</v>
      </c>
      <c r="T24" t="s">
        <v>4</v>
      </c>
      <c r="U24" s="281">
        <v>4174.5272987834887</v>
      </c>
      <c r="V24" s="281">
        <v>4413.6015817357902</v>
      </c>
      <c r="W24" s="93">
        <f t="shared" si="3"/>
        <v>5.7269785496904202E-2</v>
      </c>
      <c r="Y24">
        <v>210023</v>
      </c>
      <c r="Z24" t="s">
        <v>4</v>
      </c>
      <c r="AA24" s="281">
        <v>4413.6015817357902</v>
      </c>
      <c r="AB24" s="281">
        <v>4550.1708109948186</v>
      </c>
      <c r="AC24" s="93">
        <f t="shared" si="4"/>
        <v>3.0942808663150467E-2</v>
      </c>
      <c r="AD24" s="93"/>
      <c r="AE24">
        <v>210023</v>
      </c>
      <c r="AF24" t="s">
        <v>4</v>
      </c>
      <c r="AG24" s="281">
        <v>4550.1708109948186</v>
      </c>
      <c r="AH24" s="281">
        <v>5105.672408913334</v>
      </c>
      <c r="AI24" s="93">
        <f t="shared" si="5"/>
        <v>0.1220836801502545</v>
      </c>
      <c r="AJ24" s="93"/>
      <c r="AK24" s="333">
        <v>210023</v>
      </c>
      <c r="AL24" s="93" t="s">
        <v>4</v>
      </c>
      <c r="AM24" s="92">
        <f>VLOOKUP($AK24,[13]PAU!$A:$IV,2,FALSE)</f>
        <v>4977.3817529281023</v>
      </c>
      <c r="AN24" s="92">
        <f>VLOOKUP($AK24,[13]PAU!$A:$IV,3,FALSE)</f>
        <v>4885.8152434043941</v>
      </c>
      <c r="AO24" s="93">
        <f t="shared" si="6"/>
        <v>-1.8396521317626702E-2</v>
      </c>
      <c r="AP24" s="93"/>
      <c r="AQ24" s="333">
        <v>210023</v>
      </c>
      <c r="AR24" s="93" t="s">
        <v>4</v>
      </c>
      <c r="AS24" s="92">
        <f>IFERROR(VLOOKUP($AQ24,[14]PAU!$A:$IV,3,FALSE),0)</f>
        <v>4873.1690240000071</v>
      </c>
      <c r="AT24" s="92">
        <f>IFERROR(VLOOKUP($AQ24,[14]PAU!$A:$IV,4,FALSE),0)</f>
        <v>4792.2949940000099</v>
      </c>
      <c r="AU24" s="93">
        <f t="shared" si="7"/>
        <v>-1.6595777737586914E-2</v>
      </c>
      <c r="AV24" s="93"/>
      <c r="AW24" s="93"/>
      <c r="AX24" s="198">
        <v>210023</v>
      </c>
      <c r="AY24" s="300">
        <f t="shared" si="8"/>
        <v>0.26847150219971971</v>
      </c>
      <c r="AZ24" s="299">
        <f t="shared" si="9"/>
        <v>-1311.7021578670669</v>
      </c>
      <c r="BA24" s="107">
        <f t="shared" si="10"/>
        <v>45</v>
      </c>
      <c r="BB24"/>
      <c r="BC24"/>
      <c r="BE24" s="107"/>
    </row>
    <row r="25" spans="1:57" x14ac:dyDescent="0.55000000000000004">
      <c r="A25">
        <v>210024</v>
      </c>
      <c r="B25" t="s">
        <v>26</v>
      </c>
      <c r="C25" s="281">
        <v>3577.8949619999994</v>
      </c>
      <c r="D25" s="281">
        <v>3278.3034719999978</v>
      </c>
      <c r="E25" s="93">
        <f t="shared" si="2"/>
        <v>-8.3734009293703116E-2</v>
      </c>
      <c r="F25" s="93"/>
      <c r="G25">
        <v>210024</v>
      </c>
      <c r="H25" s="318" t="s">
        <v>26</v>
      </c>
      <c r="I25" s="330">
        <v>3300.2929580000009</v>
      </c>
      <c r="J25" s="330">
        <v>3178.819659000002</v>
      </c>
      <c r="K25" s="93">
        <f t="shared" si="0"/>
        <v>-3.6806823074765016E-2</v>
      </c>
      <c r="L25" s="94"/>
      <c r="M25" s="333">
        <v>210024</v>
      </c>
      <c r="N25" s="318" t="s">
        <v>26</v>
      </c>
      <c r="O25" s="330">
        <v>2107.4329820000003</v>
      </c>
      <c r="P25" s="330">
        <v>1909.488644</v>
      </c>
      <c r="Q25" s="93">
        <f t="shared" si="1"/>
        <v>-9.3926753396516904E-2</v>
      </c>
      <c r="R25" s="107"/>
      <c r="S25">
        <v>210024</v>
      </c>
      <c r="T25" t="s">
        <v>26</v>
      </c>
      <c r="U25" s="281">
        <v>2636.4330353909818</v>
      </c>
      <c r="V25" s="281">
        <v>2933.489072604139</v>
      </c>
      <c r="W25" s="93">
        <f t="shared" si="3"/>
        <v>0.11267346191825567</v>
      </c>
      <c r="Y25">
        <v>210024</v>
      </c>
      <c r="Z25" t="s">
        <v>26</v>
      </c>
      <c r="AA25" s="281">
        <v>2933.489072604139</v>
      </c>
      <c r="AB25" s="281">
        <v>2919.6233507808975</v>
      </c>
      <c r="AC25" s="93">
        <f t="shared" si="4"/>
        <v>-4.7266996672097328E-3</v>
      </c>
      <c r="AD25" s="93"/>
      <c r="AE25">
        <v>210024</v>
      </c>
      <c r="AF25" t="s">
        <v>26</v>
      </c>
      <c r="AG25" s="281">
        <v>2919.6233507808975</v>
      </c>
      <c r="AH25" s="281">
        <v>2973.8107900901214</v>
      </c>
      <c r="AI25" s="93">
        <f t="shared" si="5"/>
        <v>1.8559736239515567E-2</v>
      </c>
      <c r="AJ25" s="93"/>
      <c r="AK25" s="333">
        <v>210024</v>
      </c>
      <c r="AL25" s="93" t="s">
        <v>26</v>
      </c>
      <c r="AM25" s="92">
        <f>VLOOKUP($AK25,[13]PAU!$A:$IV,2,FALSE)</f>
        <v>2982.6370273315997</v>
      </c>
      <c r="AN25" s="92">
        <f>VLOOKUP($AK25,[13]PAU!$A:$IV,3,FALSE)</f>
        <v>2841.8164395080894</v>
      </c>
      <c r="AO25" s="93">
        <f t="shared" si="6"/>
        <v>-4.7213451228926395E-2</v>
      </c>
      <c r="AP25" s="93"/>
      <c r="AQ25" s="333">
        <v>210024</v>
      </c>
      <c r="AR25" s="93" t="s">
        <v>26</v>
      </c>
      <c r="AS25" s="92">
        <f>IFERROR(VLOOKUP($AQ25,[14]PAU!$A:$IV,3,FALSE),0)</f>
        <v>2952.4637070000031</v>
      </c>
      <c r="AT25" s="92">
        <f>IFERROR(VLOOKUP($AQ25,[14]PAU!$A:$IV,4,FALSE),0)</f>
        <v>2806.9778780000015</v>
      </c>
      <c r="AU25" s="93">
        <f t="shared" si="7"/>
        <v>-4.9276077011571329E-2</v>
      </c>
      <c r="AV25" s="93"/>
      <c r="AW25" s="93"/>
      <c r="AX25" s="198">
        <v>210024</v>
      </c>
      <c r="AY25" s="300">
        <f t="shared" si="8"/>
        <v>-0.18295702687650595</v>
      </c>
      <c r="AZ25" s="299">
        <f t="shared" si="9"/>
        <v>519.93028670117792</v>
      </c>
      <c r="BA25" s="107">
        <f t="shared" si="10"/>
        <v>26</v>
      </c>
      <c r="BB25"/>
      <c r="BC25"/>
      <c r="BE25" s="107"/>
    </row>
    <row r="26" spans="1:57" x14ac:dyDescent="0.55000000000000004">
      <c r="A26">
        <v>210027</v>
      </c>
      <c r="B26" t="s">
        <v>50</v>
      </c>
      <c r="C26" s="281">
        <v>2575.575996999999</v>
      </c>
      <c r="D26" s="281">
        <v>2401.2036049999992</v>
      </c>
      <c r="E26" s="93">
        <f t="shared" si="2"/>
        <v>-6.7702289586137887E-2</v>
      </c>
      <c r="F26" s="93"/>
      <c r="G26">
        <v>210027</v>
      </c>
      <c r="H26" s="331" t="s">
        <v>50</v>
      </c>
      <c r="I26" s="332">
        <v>1937.1836760000001</v>
      </c>
      <c r="J26" s="332">
        <v>2215.4577870000003</v>
      </c>
      <c r="K26" s="93">
        <f t="shared" si="0"/>
        <v>0.14364880029063398</v>
      </c>
      <c r="L26" s="94"/>
      <c r="M26" s="333">
        <v>210027</v>
      </c>
      <c r="N26" s="331" t="s">
        <v>50</v>
      </c>
      <c r="O26" s="332">
        <v>2215.4577869999998</v>
      </c>
      <c r="P26" s="332">
        <v>2220.7896529999998</v>
      </c>
      <c r="Q26" s="93">
        <f t="shared" si="1"/>
        <v>2.4066655800378811E-3</v>
      </c>
      <c r="R26" s="107"/>
      <c r="S26">
        <v>210027</v>
      </c>
      <c r="T26" t="s">
        <v>50</v>
      </c>
      <c r="U26" s="281">
        <v>2428.7187380389059</v>
      </c>
      <c r="V26" s="281">
        <v>2594.0423819313737</v>
      </c>
      <c r="W26" s="93">
        <f t="shared" si="3"/>
        <v>6.807031267274688E-2</v>
      </c>
      <c r="Y26">
        <v>210027</v>
      </c>
      <c r="Z26" t="s">
        <v>50</v>
      </c>
      <c r="AA26" s="281">
        <v>2594.0423819313737</v>
      </c>
      <c r="AB26" s="281">
        <v>2533.5243337028537</v>
      </c>
      <c r="AC26" s="93">
        <f t="shared" si="4"/>
        <v>-2.3329629712318667E-2</v>
      </c>
      <c r="AD26" s="93"/>
      <c r="AE26">
        <v>210027</v>
      </c>
      <c r="AF26" t="s">
        <v>50</v>
      </c>
      <c r="AG26" s="281">
        <v>2533.5243337028537</v>
      </c>
      <c r="AH26" s="281">
        <v>2592.3304599531984</v>
      </c>
      <c r="AI26" s="93">
        <f t="shared" si="5"/>
        <v>2.3211194567212656E-2</v>
      </c>
      <c r="AJ26" s="93"/>
      <c r="AK26" s="333">
        <v>210027</v>
      </c>
      <c r="AL26" s="93" t="s">
        <v>50</v>
      </c>
      <c r="AM26" s="92">
        <f>VLOOKUP($AK26,[13]PAU!$A:$IV,2,FALSE)</f>
        <v>2487.0340204510985</v>
      </c>
      <c r="AN26" s="92">
        <f>VLOOKUP($AK26,[13]PAU!$A:$IV,3,FALSE)</f>
        <v>2231.8749329709945</v>
      </c>
      <c r="AO26" s="93">
        <f t="shared" si="6"/>
        <v>-0.10259573668148825</v>
      </c>
      <c r="AP26" s="93"/>
      <c r="AQ26" s="333">
        <v>210027</v>
      </c>
      <c r="AR26" s="93" t="s">
        <v>50</v>
      </c>
      <c r="AS26" s="92">
        <f>IFERROR(VLOOKUP($AQ26,[14]PAU!$A:$IV,3,FALSE),0)</f>
        <v>2434.9735990000017</v>
      </c>
      <c r="AT26" s="92">
        <f>IFERROR(VLOOKUP($AQ26,[14]PAU!$A:$IV,4,FALSE),0)</f>
        <v>2184.6298020000036</v>
      </c>
      <c r="AU26" s="93">
        <f t="shared" si="7"/>
        <v>-0.10281170896588354</v>
      </c>
      <c r="AV26" s="93"/>
      <c r="AW26" s="93"/>
      <c r="AX26" s="198">
        <v>210027</v>
      </c>
      <c r="AY26" s="300">
        <f t="shared" si="8"/>
        <v>-8.1506457945594302E-2</v>
      </c>
      <c r="AZ26" s="299">
        <f t="shared" si="9"/>
        <v>181.91222036402647</v>
      </c>
      <c r="BA26" s="107">
        <f t="shared" si="10"/>
        <v>37</v>
      </c>
      <c r="BB26"/>
      <c r="BC26"/>
      <c r="BE26" s="107"/>
    </row>
    <row r="27" spans="1:57" x14ac:dyDescent="0.55000000000000004">
      <c r="A27">
        <v>210028</v>
      </c>
      <c r="B27" t="s">
        <v>25</v>
      </c>
      <c r="C27" s="281">
        <v>1637.9791949999999</v>
      </c>
      <c r="D27" s="281">
        <v>1631.7798339999995</v>
      </c>
      <c r="E27" s="93">
        <f t="shared" si="2"/>
        <v>-3.7847617472335227E-3</v>
      </c>
      <c r="F27" s="93"/>
      <c r="G27">
        <v>210028</v>
      </c>
      <c r="H27" s="331" t="s">
        <v>25</v>
      </c>
      <c r="I27" s="332">
        <v>1684.7464970000001</v>
      </c>
      <c r="J27" s="332">
        <v>1724.8870240000001</v>
      </c>
      <c r="K27" s="93">
        <f t="shared" si="0"/>
        <v>2.3825855742378721E-2</v>
      </c>
      <c r="L27" s="94"/>
      <c r="M27" s="333">
        <v>210028</v>
      </c>
      <c r="N27" s="331" t="s">
        <v>25</v>
      </c>
      <c r="O27" s="332">
        <v>3178.0788480000001</v>
      </c>
      <c r="P27" s="332">
        <v>2837.2146490000014</v>
      </c>
      <c r="Q27" s="93">
        <f t="shared" si="1"/>
        <v>-0.10725479615287337</v>
      </c>
      <c r="R27" s="107"/>
      <c r="S27">
        <v>210028</v>
      </c>
      <c r="T27" t="s">
        <v>25</v>
      </c>
      <c r="U27" s="281">
        <v>1600.0942456021371</v>
      </c>
      <c r="V27" s="281">
        <v>1605.3914875346084</v>
      </c>
      <c r="W27" s="93">
        <f t="shared" si="3"/>
        <v>3.3105812029701198E-3</v>
      </c>
      <c r="Y27">
        <v>210028</v>
      </c>
      <c r="Z27" t="s">
        <v>25</v>
      </c>
      <c r="AA27" s="281">
        <v>1605.3914875346084</v>
      </c>
      <c r="AB27" s="281">
        <v>1593.7164996834401</v>
      </c>
      <c r="AC27" s="93">
        <f t="shared" si="4"/>
        <v>-7.2723618767266407E-3</v>
      </c>
      <c r="AD27" s="93"/>
      <c r="AE27">
        <v>210028</v>
      </c>
      <c r="AF27" t="s">
        <v>25</v>
      </c>
      <c r="AG27" s="281">
        <v>1593.7164996834401</v>
      </c>
      <c r="AH27" s="281">
        <v>1641.6660740721829</v>
      </c>
      <c r="AI27" s="93">
        <f t="shared" si="5"/>
        <v>3.008663987495086E-2</v>
      </c>
      <c r="AJ27" s="93"/>
      <c r="AK27" s="333">
        <v>210028</v>
      </c>
      <c r="AL27" s="93" t="s">
        <v>25</v>
      </c>
      <c r="AM27" s="92">
        <f>VLOOKUP($AK27,[13]PAU!$A:$IV,2,FALSE)</f>
        <v>1600.7681703038988</v>
      </c>
      <c r="AN27" s="92">
        <f>VLOOKUP($AK27,[13]PAU!$A:$IV,3,FALSE)</f>
        <v>1361.4209779150979</v>
      </c>
      <c r="AO27" s="93">
        <f t="shared" si="6"/>
        <v>-0.14952020962745782</v>
      </c>
      <c r="AP27" s="93"/>
      <c r="AQ27" s="333">
        <v>210028</v>
      </c>
      <c r="AR27" s="93" t="s">
        <v>25</v>
      </c>
      <c r="AS27" s="92">
        <f>IFERROR(VLOOKUP($AQ27,[14]PAU!$A:$IV,3,FALSE),0)</f>
        <v>1552.627015</v>
      </c>
      <c r="AT27" s="92">
        <f>IFERROR(VLOOKUP($AQ27,[14]PAU!$A:$IV,4,FALSE),0)</f>
        <v>1326.0642049999997</v>
      </c>
      <c r="AU27" s="93">
        <f t="shared" si="7"/>
        <v>-0.14592223876769295</v>
      </c>
      <c r="AV27" s="93"/>
      <c r="AW27" s="93"/>
      <c r="AX27" s="198">
        <v>210028</v>
      </c>
      <c r="AY27" s="300">
        <f t="shared" si="8"/>
        <v>-0.32140997564932505</v>
      </c>
      <c r="AZ27" s="299">
        <f t="shared" si="9"/>
        <v>437.57428336017193</v>
      </c>
      <c r="BA27" s="107">
        <f t="shared" si="10"/>
        <v>12</v>
      </c>
      <c r="BB27"/>
      <c r="BC27"/>
      <c r="BE27" s="107"/>
    </row>
    <row r="28" spans="1:57" x14ac:dyDescent="0.55000000000000004">
      <c r="A28">
        <v>210029</v>
      </c>
      <c r="B28" t="s">
        <v>17</v>
      </c>
      <c r="C28" s="281">
        <v>4778.4214759999977</v>
      </c>
      <c r="D28" s="281">
        <v>4666.4181999999983</v>
      </c>
      <c r="E28" s="93">
        <f t="shared" si="2"/>
        <v>-2.34393882085423E-2</v>
      </c>
      <c r="F28" s="93"/>
      <c r="G28">
        <v>210029</v>
      </c>
      <c r="H28" s="318" t="s">
        <v>17</v>
      </c>
      <c r="I28" s="330">
        <v>4752.4397300000055</v>
      </c>
      <c r="J28" s="330">
        <v>4565.3576239999975</v>
      </c>
      <c r="K28" s="93">
        <f t="shared" si="0"/>
        <v>-3.9365487334651172E-2</v>
      </c>
      <c r="L28" s="94"/>
      <c r="M28" s="333">
        <v>210029</v>
      </c>
      <c r="N28" s="318" t="s">
        <v>17</v>
      </c>
      <c r="O28" s="330">
        <v>4565.3576239999948</v>
      </c>
      <c r="P28" s="330">
        <v>4893.8686010000038</v>
      </c>
      <c r="Q28" s="93">
        <f t="shared" si="1"/>
        <v>7.1957336983423437E-2</v>
      </c>
      <c r="R28" s="107"/>
      <c r="S28">
        <v>210029</v>
      </c>
      <c r="T28" t="s">
        <v>17</v>
      </c>
      <c r="U28" s="281">
        <v>4401.3690498917304</v>
      </c>
      <c r="V28" s="281">
        <v>4704.2066330311836</v>
      </c>
      <c r="W28" s="93">
        <f t="shared" si="3"/>
        <v>6.8805314825145736E-2</v>
      </c>
      <c r="Y28">
        <v>210029</v>
      </c>
      <c r="Z28" t="s">
        <v>17</v>
      </c>
      <c r="AA28" s="281">
        <v>4704.2066330311836</v>
      </c>
      <c r="AB28" s="281">
        <v>4642.1503538222714</v>
      </c>
      <c r="AC28" s="93">
        <f t="shared" si="4"/>
        <v>-1.3191656755291326E-2</v>
      </c>
      <c r="AD28" s="93"/>
      <c r="AE28">
        <v>210029</v>
      </c>
      <c r="AF28" t="s">
        <v>17</v>
      </c>
      <c r="AG28" s="281">
        <v>4642.1503538222714</v>
      </c>
      <c r="AH28" s="281">
        <v>4402.7208888744972</v>
      </c>
      <c r="AI28" s="93">
        <f t="shared" si="5"/>
        <v>-5.1577274904642367E-2</v>
      </c>
      <c r="AJ28" s="93"/>
      <c r="AK28" s="333">
        <v>210029</v>
      </c>
      <c r="AL28" s="93" t="s">
        <v>17</v>
      </c>
      <c r="AM28" s="92">
        <f>VLOOKUP($AK28,[13]PAU!$A:$IV,2,FALSE)</f>
        <v>4190.0563593481011</v>
      </c>
      <c r="AN28" s="92">
        <f>VLOOKUP($AK28,[13]PAU!$A:$IV,3,FALSE)</f>
        <v>3773.4541299248003</v>
      </c>
      <c r="AO28" s="93">
        <f t="shared" si="6"/>
        <v>-9.9426402342740028E-2</v>
      </c>
      <c r="AP28" s="93"/>
      <c r="AQ28" s="333">
        <v>210029</v>
      </c>
      <c r="AR28" s="93" t="s">
        <v>17</v>
      </c>
      <c r="AS28" s="92">
        <f>IFERROR(VLOOKUP($AQ28,[14]PAU!$A:$IV,3,FALSE),0)</f>
        <v>4123.0490440000176</v>
      </c>
      <c r="AT28" s="92">
        <f>IFERROR(VLOOKUP($AQ28,[14]PAU!$A:$IV,4,FALSE),0)</f>
        <v>3721.9681830000145</v>
      </c>
      <c r="AU28" s="93">
        <f t="shared" si="7"/>
        <v>-9.7277732260708349E-2</v>
      </c>
      <c r="AV28" s="93"/>
      <c r="AW28" s="93"/>
      <c r="AX28" s="198">
        <v>210029</v>
      </c>
      <c r="AY28" s="300">
        <f t="shared" si="8"/>
        <v>-0.18221032103467083</v>
      </c>
      <c r="AZ28" s="299">
        <f t="shared" si="9"/>
        <v>687.5622884232024</v>
      </c>
      <c r="BA28" s="107">
        <f t="shared" si="10"/>
        <v>27</v>
      </c>
      <c r="BB28"/>
      <c r="BC28"/>
      <c r="BE28" s="107"/>
    </row>
    <row r="29" spans="1:57" x14ac:dyDescent="0.55000000000000004">
      <c r="A29">
        <v>210030</v>
      </c>
      <c r="B29" t="s">
        <v>37</v>
      </c>
      <c r="C29" s="281">
        <v>594.85491399999989</v>
      </c>
      <c r="D29" s="281">
        <v>566.72491300000013</v>
      </c>
      <c r="E29" s="93">
        <f t="shared" si="2"/>
        <v>-4.7288843612040443E-2</v>
      </c>
      <c r="F29" s="93"/>
      <c r="G29">
        <v>210030</v>
      </c>
      <c r="H29" s="318" t="s">
        <v>37</v>
      </c>
      <c r="I29" s="330">
        <v>584.2110879999999</v>
      </c>
      <c r="J29" s="330">
        <v>536.51805100000001</v>
      </c>
      <c r="K29" s="93">
        <f t="shared" si="0"/>
        <v>-8.1636651511139968E-2</v>
      </c>
      <c r="L29" s="94"/>
      <c r="M29" s="333">
        <v>210030</v>
      </c>
      <c r="N29" s="318" t="s">
        <v>37</v>
      </c>
      <c r="O29" s="330">
        <v>727.53382899999986</v>
      </c>
      <c r="P29" s="330">
        <v>669.96649100000013</v>
      </c>
      <c r="Q29" s="93">
        <f t="shared" si="1"/>
        <v>-7.9126682094118439E-2</v>
      </c>
      <c r="R29" s="107"/>
      <c r="S29">
        <v>210030</v>
      </c>
      <c r="T29" t="s">
        <v>37</v>
      </c>
      <c r="U29" s="281">
        <v>487.79247378166377</v>
      </c>
      <c r="V29" s="281">
        <v>376.04593920619897</v>
      </c>
      <c r="W29" s="93">
        <f t="shared" si="3"/>
        <v>-0.22908622125539935</v>
      </c>
      <c r="Y29">
        <v>210030</v>
      </c>
      <c r="Z29" t="s">
        <v>37</v>
      </c>
      <c r="AA29" s="281">
        <v>376.04593920619897</v>
      </c>
      <c r="AB29" s="281">
        <v>187.40852961093231</v>
      </c>
      <c r="AC29" s="93">
        <f t="shared" si="4"/>
        <v>-0.50163394928147398</v>
      </c>
      <c r="AD29" s="93"/>
      <c r="AE29">
        <v>210030</v>
      </c>
      <c r="AF29" t="s">
        <v>37</v>
      </c>
      <c r="AG29" s="281">
        <v>187.40852961093231</v>
      </c>
      <c r="AH29" s="281">
        <v>208.27893534487819</v>
      </c>
      <c r="AI29" s="93">
        <f t="shared" si="5"/>
        <v>0.11136315821523013</v>
      </c>
      <c r="AJ29" s="93"/>
      <c r="AK29" s="333">
        <v>210030</v>
      </c>
      <c r="AL29" s="93" t="s">
        <v>37</v>
      </c>
      <c r="AM29" s="92">
        <f>VLOOKUP($AK29,[13]PAU!$A:$IV,2,FALSE)</f>
        <v>157.62222291640001</v>
      </c>
      <c r="AN29" s="92">
        <f>VLOOKUP($AK29,[13]PAU!$A:$IV,3,FALSE)</f>
        <v>171.25589799469995</v>
      </c>
      <c r="AO29" s="93">
        <f t="shared" si="6"/>
        <v>8.6495893954820158E-2</v>
      </c>
      <c r="AP29" s="93"/>
      <c r="AQ29" s="333">
        <v>210030</v>
      </c>
      <c r="AR29" s="93" t="s">
        <v>37</v>
      </c>
      <c r="AS29" s="92">
        <f>IFERROR(VLOOKUP($AQ29,[14]PAU!$A:$IV,3,FALSE),0)</f>
        <v>153.33954199999994</v>
      </c>
      <c r="AT29" s="92">
        <f>IFERROR(VLOOKUP($AQ29,[14]PAU!$A:$IV,4,FALSE),0)</f>
        <v>167.48033899999987</v>
      </c>
      <c r="AU29" s="93">
        <f t="shared" si="7"/>
        <v>9.2218855068707306E-2</v>
      </c>
      <c r="AV29" s="93"/>
      <c r="AW29" s="93"/>
      <c r="AX29" s="198">
        <v>210030</v>
      </c>
      <c r="AY29" s="300">
        <f t="shared" si="8"/>
        <v>-0.59175234757310125</v>
      </c>
      <c r="AZ29" s="299">
        <f t="shared" si="9"/>
        <v>101.34107967410326</v>
      </c>
      <c r="BA29" s="107">
        <f t="shared" si="10"/>
        <v>6</v>
      </c>
      <c r="BB29"/>
      <c r="BC29"/>
      <c r="BE29" s="107"/>
    </row>
    <row r="30" spans="1:57" x14ac:dyDescent="0.55000000000000004">
      <c r="A30">
        <v>210032</v>
      </c>
      <c r="B30" t="s">
        <v>48</v>
      </c>
      <c r="C30" s="281">
        <v>1143.6884239999997</v>
      </c>
      <c r="D30" s="281">
        <v>1243.4009029999997</v>
      </c>
      <c r="E30" s="93">
        <f t="shared" si="2"/>
        <v>8.7185003281977869E-2</v>
      </c>
      <c r="F30" s="93"/>
      <c r="G30">
        <v>210032</v>
      </c>
      <c r="H30" s="331" t="s">
        <v>48</v>
      </c>
      <c r="I30" s="332">
        <v>1227.689069</v>
      </c>
      <c r="J30" s="332">
        <v>1504.0251920000001</v>
      </c>
      <c r="K30" s="93">
        <f t="shared" si="0"/>
        <v>0.22508640825896298</v>
      </c>
      <c r="L30" s="94"/>
      <c r="M30" s="333">
        <v>210032</v>
      </c>
      <c r="N30" s="331" t="s">
        <v>48</v>
      </c>
      <c r="O30" s="332">
        <v>1504.0251920000001</v>
      </c>
      <c r="P30" s="332">
        <v>1450.031146</v>
      </c>
      <c r="Q30" s="93">
        <f t="shared" si="1"/>
        <v>-3.5899695222658234E-2</v>
      </c>
      <c r="R30" s="107"/>
      <c r="S30">
        <v>210032</v>
      </c>
      <c r="T30" t="s">
        <v>48</v>
      </c>
      <c r="U30" s="281">
        <v>1358.9334396764343</v>
      </c>
      <c r="V30" s="281">
        <v>1219.6978524513972</v>
      </c>
      <c r="W30" s="93">
        <f t="shared" si="3"/>
        <v>-0.1024594606033018</v>
      </c>
      <c r="Y30">
        <v>210032</v>
      </c>
      <c r="Z30" t="s">
        <v>48</v>
      </c>
      <c r="AA30" s="281">
        <v>1219.6978524513972</v>
      </c>
      <c r="AB30" s="281">
        <v>1220.0114554473996</v>
      </c>
      <c r="AC30" s="93">
        <f t="shared" si="4"/>
        <v>2.5711531374117413E-4</v>
      </c>
      <c r="AD30" s="93"/>
      <c r="AE30">
        <v>210032</v>
      </c>
      <c r="AF30" t="s">
        <v>48</v>
      </c>
      <c r="AG30" s="281">
        <v>1220.0114554473996</v>
      </c>
      <c r="AH30" s="281">
        <v>1170.2883710812653</v>
      </c>
      <c r="AI30" s="93">
        <f t="shared" si="5"/>
        <v>-4.0756243840267881E-2</v>
      </c>
      <c r="AJ30" s="93"/>
      <c r="AK30" s="333">
        <v>210032</v>
      </c>
      <c r="AL30" s="93" t="s">
        <v>48</v>
      </c>
      <c r="AM30" s="92">
        <f>VLOOKUP($AK30,[13]PAU!$A:$IV,2,FALSE)</f>
        <v>1133.6744385886989</v>
      </c>
      <c r="AN30" s="92">
        <f>VLOOKUP($AK30,[13]PAU!$A:$IV,3,FALSE)</f>
        <v>1272.030588394698</v>
      </c>
      <c r="AO30" s="93">
        <f t="shared" si="6"/>
        <v>0.12204222402530096</v>
      </c>
      <c r="AP30" s="93"/>
      <c r="AQ30" s="333">
        <v>210032</v>
      </c>
      <c r="AR30" s="93" t="s">
        <v>48</v>
      </c>
      <c r="AS30" s="92">
        <f>IFERROR(VLOOKUP($AQ30,[14]PAU!$A:$IV,3,FALSE),0)</f>
        <v>1106.2582869999983</v>
      </c>
      <c r="AT30" s="92">
        <f>IFERROR(VLOOKUP($AQ30,[14]PAU!$A:$IV,4,FALSE),0)</f>
        <v>1244.2819700000009</v>
      </c>
      <c r="AU30" s="93">
        <f t="shared" si="7"/>
        <v>0.12476623644040807</v>
      </c>
      <c r="AV30" s="93"/>
      <c r="AW30" s="93"/>
      <c r="AX30" s="198">
        <v>210032</v>
      </c>
      <c r="AY30" s="300">
        <f t="shared" si="8"/>
        <v>0.3955923180413643</v>
      </c>
      <c r="AZ30" s="299">
        <f t="shared" si="9"/>
        <v>-503.20552908257918</v>
      </c>
      <c r="BA30" s="107">
        <f t="shared" si="10"/>
        <v>46</v>
      </c>
      <c r="BB30"/>
      <c r="BC30"/>
      <c r="BE30" s="107"/>
    </row>
    <row r="31" spans="1:57" x14ac:dyDescent="0.55000000000000004">
      <c r="A31">
        <v>210033</v>
      </c>
      <c r="B31" t="s">
        <v>8</v>
      </c>
      <c r="C31" s="281">
        <v>2465.1325089999991</v>
      </c>
      <c r="D31" s="281">
        <v>2535.0203869999987</v>
      </c>
      <c r="E31" s="93">
        <f t="shared" si="2"/>
        <v>2.8350556306748098E-2</v>
      </c>
      <c r="F31" s="93"/>
      <c r="G31">
        <v>210033</v>
      </c>
      <c r="H31" s="331" t="s">
        <v>8</v>
      </c>
      <c r="I31" s="332">
        <v>2552.1497180000001</v>
      </c>
      <c r="J31" s="332">
        <v>2670.4407759999999</v>
      </c>
      <c r="K31" s="93">
        <f t="shared" si="0"/>
        <v>4.63495762672963E-2</v>
      </c>
      <c r="L31" s="94"/>
      <c r="M31" s="333">
        <v>210033</v>
      </c>
      <c r="N31" s="331" t="s">
        <v>8</v>
      </c>
      <c r="O31" s="332">
        <v>2670.4407759999995</v>
      </c>
      <c r="P31" s="332">
        <v>2511.8086439999993</v>
      </c>
      <c r="Q31" s="93">
        <f t="shared" si="1"/>
        <v>-5.9402977001276946E-2</v>
      </c>
      <c r="R31" s="107"/>
      <c r="S31">
        <v>210033</v>
      </c>
      <c r="T31" t="s">
        <v>8</v>
      </c>
      <c r="U31" s="281">
        <v>2234.6077215134151</v>
      </c>
      <c r="V31" s="281">
        <v>2415.8018002035697</v>
      </c>
      <c r="W31" s="93">
        <f t="shared" si="3"/>
        <v>8.1085407942401044E-2</v>
      </c>
      <c r="Y31">
        <v>210033</v>
      </c>
      <c r="Z31" t="s">
        <v>8</v>
      </c>
      <c r="AA31" s="281">
        <v>2415.8018002035697</v>
      </c>
      <c r="AB31" s="281">
        <v>2549.0254495052459</v>
      </c>
      <c r="AC31" s="93">
        <f t="shared" si="4"/>
        <v>5.5146762987944742E-2</v>
      </c>
      <c r="AD31" s="93"/>
      <c r="AE31">
        <v>210033</v>
      </c>
      <c r="AF31" t="s">
        <v>8</v>
      </c>
      <c r="AG31" s="281">
        <v>2549.0254495052459</v>
      </c>
      <c r="AH31" s="281">
        <v>2512.0625719764457</v>
      </c>
      <c r="AI31" s="93">
        <f t="shared" si="5"/>
        <v>-1.4500787952499428E-2</v>
      </c>
      <c r="AJ31" s="93"/>
      <c r="AK31" s="333">
        <v>210033</v>
      </c>
      <c r="AL31" s="93" t="s">
        <v>8</v>
      </c>
      <c r="AM31" s="92">
        <f>VLOOKUP($AK31,[13]PAU!$A:$IV,2,FALSE)</f>
        <v>2458.944788290898</v>
      </c>
      <c r="AN31" s="92">
        <f>VLOOKUP($AK31,[13]PAU!$A:$IV,3,FALSE)</f>
        <v>2166.6578135933933</v>
      </c>
      <c r="AO31" s="93">
        <f t="shared" si="6"/>
        <v>-0.11886683104449058</v>
      </c>
      <c r="AP31" s="93"/>
      <c r="AQ31" s="333">
        <v>210033</v>
      </c>
      <c r="AR31" s="93" t="s">
        <v>8</v>
      </c>
      <c r="AS31" s="92">
        <f>IFERROR(VLOOKUP($AQ31,[14]PAU!$A:$IV,3,FALSE),0)</f>
        <v>2392.3413210000022</v>
      </c>
      <c r="AT31" s="92">
        <f>IFERROR(VLOOKUP($AQ31,[14]PAU!$A:$IV,4,FALSE),0)</f>
        <v>2117.4205160000047</v>
      </c>
      <c r="AU31" s="93">
        <f t="shared" si="7"/>
        <v>-0.11491704907938483</v>
      </c>
      <c r="AV31" s="93"/>
      <c r="AW31" s="93"/>
      <c r="AX31" s="198">
        <v>210033</v>
      </c>
      <c r="AY31" s="300">
        <f t="shared" si="8"/>
        <v>-0.11268816781288471</v>
      </c>
      <c r="AZ31" s="299">
        <f t="shared" si="9"/>
        <v>244.15669929131019</v>
      </c>
      <c r="BA31" s="107">
        <f t="shared" si="10"/>
        <v>32</v>
      </c>
      <c r="BB31"/>
      <c r="BC31"/>
      <c r="BE31" s="107"/>
    </row>
    <row r="32" spans="1:57" x14ac:dyDescent="0.55000000000000004">
      <c r="A32">
        <v>210034</v>
      </c>
      <c r="B32" t="s">
        <v>22</v>
      </c>
      <c r="C32" s="281">
        <v>2179.442622999999</v>
      </c>
      <c r="D32" s="281">
        <v>2005.5286979999998</v>
      </c>
      <c r="E32" s="93">
        <f t="shared" si="2"/>
        <v>-7.979743222632163E-2</v>
      </c>
      <c r="F32" s="93"/>
      <c r="G32">
        <v>210034</v>
      </c>
      <c r="H32" s="318" t="s">
        <v>22</v>
      </c>
      <c r="I32" s="330">
        <v>2014.1841470000002</v>
      </c>
      <c r="J32" s="330">
        <v>2012.4039640000008</v>
      </c>
      <c r="K32" s="93">
        <f t="shared" si="0"/>
        <v>-8.8382335977121862E-4</v>
      </c>
      <c r="L32" s="94"/>
      <c r="M32" s="333">
        <v>210034</v>
      </c>
      <c r="N32" s="318" t="s">
        <v>22</v>
      </c>
      <c r="O32" s="330">
        <v>1778.5712500000004</v>
      </c>
      <c r="P32" s="330">
        <v>1749.513278000001</v>
      </c>
      <c r="Q32" s="93">
        <f t="shared" si="1"/>
        <v>-1.6337817222672024E-2</v>
      </c>
      <c r="R32" s="107"/>
      <c r="S32">
        <v>210034</v>
      </c>
      <c r="T32" t="s">
        <v>22</v>
      </c>
      <c r="U32" s="281">
        <v>1757.7277905926385</v>
      </c>
      <c r="V32" s="281">
        <v>1769.276139445421</v>
      </c>
      <c r="W32" s="93">
        <f t="shared" si="3"/>
        <v>6.5700439593601168E-3</v>
      </c>
      <c r="Y32">
        <v>210034</v>
      </c>
      <c r="Z32" t="s">
        <v>22</v>
      </c>
      <c r="AA32" s="281">
        <v>1769.276139445421</v>
      </c>
      <c r="AB32" s="281">
        <v>1754.2786166366086</v>
      </c>
      <c r="AC32" s="93">
        <f t="shared" si="4"/>
        <v>-8.4766433426911592E-3</v>
      </c>
      <c r="AD32" s="93"/>
      <c r="AE32">
        <v>210034</v>
      </c>
      <c r="AF32" t="s">
        <v>22</v>
      </c>
      <c r="AG32" s="281">
        <v>1754.2786166366086</v>
      </c>
      <c r="AH32" s="281">
        <v>1862.8929112520032</v>
      </c>
      <c r="AI32" s="93">
        <f t="shared" si="5"/>
        <v>6.1913936352730126E-2</v>
      </c>
      <c r="AJ32" s="93"/>
      <c r="AK32" s="333">
        <v>210034</v>
      </c>
      <c r="AL32" s="93" t="s">
        <v>22</v>
      </c>
      <c r="AM32" s="92">
        <f>VLOOKUP($AK32,[13]PAU!$A:$IV,2,FALSE)</f>
        <v>1801.6418444699962</v>
      </c>
      <c r="AN32" s="92">
        <f>VLOOKUP($AK32,[13]PAU!$A:$IV,3,FALSE)</f>
        <v>1555.3924880379959</v>
      </c>
      <c r="AO32" s="93">
        <f t="shared" si="6"/>
        <v>-0.13668052681383047</v>
      </c>
      <c r="AP32" s="93"/>
      <c r="AQ32" s="333">
        <v>210034</v>
      </c>
      <c r="AR32" s="93" t="s">
        <v>22</v>
      </c>
      <c r="AS32" s="92">
        <f>IFERROR(VLOOKUP($AQ32,[14]PAU!$A:$IV,3,FALSE),0)</f>
        <v>1751.7675430000013</v>
      </c>
      <c r="AT32" s="92">
        <f>IFERROR(VLOOKUP($AQ32,[14]PAU!$A:$IV,4,FALSE),0)</f>
        <v>1509.1810130000006</v>
      </c>
      <c r="AU32" s="93">
        <f t="shared" si="7"/>
        <v>-0.13848100506791983</v>
      </c>
      <c r="AV32" s="93"/>
      <c r="AW32" s="93"/>
      <c r="AX32" s="198">
        <v>210034</v>
      </c>
      <c r="AY32" s="300">
        <f t="shared" si="8"/>
        <v>-0.28711730605684582</v>
      </c>
      <c r="AZ32" s="299">
        <f t="shared" si="9"/>
        <v>446.58010102652418</v>
      </c>
      <c r="BA32" s="107">
        <f t="shared" si="10"/>
        <v>15</v>
      </c>
      <c r="BB32"/>
      <c r="BC32"/>
      <c r="BE32" s="107"/>
    </row>
    <row r="33" spans="1:57" x14ac:dyDescent="0.55000000000000004">
      <c r="A33">
        <v>210035</v>
      </c>
      <c r="B33" t="s">
        <v>36</v>
      </c>
      <c r="C33" s="281">
        <v>1958.700955999999</v>
      </c>
      <c r="D33" s="281">
        <v>2049.3334039999991</v>
      </c>
      <c r="E33" s="93">
        <f t="shared" si="2"/>
        <v>4.6271712750417526E-2</v>
      </c>
      <c r="F33" s="93"/>
      <c r="G33">
        <v>210035</v>
      </c>
      <c r="H33" s="331" t="s">
        <v>36</v>
      </c>
      <c r="I33" s="332">
        <v>2063.1936739999996</v>
      </c>
      <c r="J33" s="332">
        <v>1759.590864</v>
      </c>
      <c r="K33" s="93">
        <f t="shared" si="0"/>
        <v>-0.14715187130803487</v>
      </c>
      <c r="L33" s="94"/>
      <c r="M33" s="333">
        <v>210035</v>
      </c>
      <c r="N33" s="331" t="s">
        <v>36</v>
      </c>
      <c r="O33" s="332">
        <v>536.51805100000001</v>
      </c>
      <c r="P33" s="332">
        <v>582.76037100000008</v>
      </c>
      <c r="Q33" s="93">
        <f t="shared" si="1"/>
        <v>8.618968162172802E-2</v>
      </c>
      <c r="R33" s="107"/>
      <c r="S33">
        <v>210035</v>
      </c>
      <c r="T33" t="s">
        <v>36</v>
      </c>
      <c r="U33" s="281">
        <v>1565.7943110393899</v>
      </c>
      <c r="V33" s="281">
        <v>1522.1347035959584</v>
      </c>
      <c r="W33" s="93">
        <f t="shared" si="3"/>
        <v>-2.788336062764829E-2</v>
      </c>
      <c r="Y33">
        <v>210035</v>
      </c>
      <c r="Z33" t="s">
        <v>36</v>
      </c>
      <c r="AA33" s="281">
        <v>1522.1347035959584</v>
      </c>
      <c r="AB33" s="281">
        <v>1516.0496976735296</v>
      </c>
      <c r="AC33" s="93">
        <f t="shared" si="4"/>
        <v>-3.9976789886291275E-3</v>
      </c>
      <c r="AD33" s="93"/>
      <c r="AE33">
        <v>210035</v>
      </c>
      <c r="AF33" t="s">
        <v>36</v>
      </c>
      <c r="AG33" s="281">
        <v>1516.0496976735296</v>
      </c>
      <c r="AH33" s="281">
        <v>1693.8201914073272</v>
      </c>
      <c r="AI33" s="93">
        <f t="shared" si="5"/>
        <v>0.11725901466594224</v>
      </c>
      <c r="AJ33" s="93"/>
      <c r="AK33" s="333">
        <v>210035</v>
      </c>
      <c r="AL33" s="93" t="s">
        <v>36</v>
      </c>
      <c r="AM33" s="92">
        <f>VLOOKUP($AK33,[13]PAU!$A:$IV,2,FALSE)</f>
        <v>1484.2923536250992</v>
      </c>
      <c r="AN33" s="92">
        <f>VLOOKUP($AK33,[13]PAU!$A:$IV,3,FALSE)</f>
        <v>1382.3805980313987</v>
      </c>
      <c r="AO33" s="93">
        <f t="shared" si="6"/>
        <v>-6.8660163440713462E-2</v>
      </c>
      <c r="AP33" s="93"/>
      <c r="AQ33" s="333">
        <v>210035</v>
      </c>
      <c r="AR33" s="93" t="s">
        <v>36</v>
      </c>
      <c r="AS33" s="92">
        <f>IFERROR(VLOOKUP($AQ33,[14]PAU!$A:$IV,3,FALSE),0)</f>
        <v>1447.5568849999995</v>
      </c>
      <c r="AT33" s="92">
        <f>IFERROR(VLOOKUP($AQ33,[14]PAU!$A:$IV,4,FALSE),0)</f>
        <v>1358.2581630000004</v>
      </c>
      <c r="AU33" s="93">
        <f t="shared" si="7"/>
        <v>-6.1689266187282987E-2</v>
      </c>
      <c r="AV33" s="93"/>
      <c r="AW33" s="93"/>
      <c r="AX33" s="198">
        <v>210035</v>
      </c>
      <c r="AY33" s="300">
        <f t="shared" si="8"/>
        <v>-8.3759855124508786E-2</v>
      </c>
      <c r="AZ33" s="299">
        <f t="shared" si="9"/>
        <v>115.78799861804177</v>
      </c>
      <c r="BA33" s="107">
        <f t="shared" si="10"/>
        <v>35</v>
      </c>
      <c r="BB33"/>
      <c r="BC33"/>
      <c r="BE33" s="107"/>
    </row>
    <row r="34" spans="1:57" x14ac:dyDescent="0.55000000000000004">
      <c r="A34">
        <v>210037</v>
      </c>
      <c r="B34" t="s">
        <v>39</v>
      </c>
      <c r="C34" s="281">
        <v>1476.1517739999997</v>
      </c>
      <c r="D34" s="281">
        <v>1595.79124</v>
      </c>
      <c r="E34" s="93">
        <f t="shared" si="2"/>
        <v>8.1048214761689108E-2</v>
      </c>
      <c r="F34" s="93"/>
      <c r="G34">
        <v>210037</v>
      </c>
      <c r="H34" s="318" t="s">
        <v>39</v>
      </c>
      <c r="I34" s="330">
        <v>1648.677034</v>
      </c>
      <c r="J34" s="330">
        <v>1667.124748</v>
      </c>
      <c r="K34" s="93">
        <f t="shared" si="0"/>
        <v>1.1189404364566391E-2</v>
      </c>
      <c r="L34" s="94"/>
      <c r="M34" s="333">
        <v>210037</v>
      </c>
      <c r="N34" s="318" t="s">
        <v>39</v>
      </c>
      <c r="O34" s="330">
        <v>1432.6874600000008</v>
      </c>
      <c r="P34" s="330">
        <v>1442.0251349999999</v>
      </c>
      <c r="Q34" s="93">
        <f t="shared" si="1"/>
        <v>6.5175938651680365E-3</v>
      </c>
      <c r="R34" s="107"/>
      <c r="S34">
        <v>210037</v>
      </c>
      <c r="T34" t="s">
        <v>39</v>
      </c>
      <c r="U34" s="281">
        <v>1499.1598498888402</v>
      </c>
      <c r="V34" s="281">
        <v>1224.5661073893368</v>
      </c>
      <c r="W34" s="93">
        <f t="shared" si="3"/>
        <v>-0.18316508577778678</v>
      </c>
      <c r="Y34">
        <v>210037</v>
      </c>
      <c r="Z34" t="s">
        <v>39</v>
      </c>
      <c r="AA34" s="281">
        <v>1224.5661073893368</v>
      </c>
      <c r="AB34" s="281">
        <v>1053.2803425728737</v>
      </c>
      <c r="AC34" s="93">
        <f t="shared" si="4"/>
        <v>-0.13987465746674044</v>
      </c>
      <c r="AD34" s="93"/>
      <c r="AE34">
        <v>210037</v>
      </c>
      <c r="AF34" t="s">
        <v>39</v>
      </c>
      <c r="AG34" s="281">
        <v>1053.2803425728737</v>
      </c>
      <c r="AH34" s="281">
        <v>1138.0638494920604</v>
      </c>
      <c r="AI34" s="93">
        <f t="shared" si="5"/>
        <v>8.0494720628777605E-2</v>
      </c>
      <c r="AJ34" s="93"/>
      <c r="AK34" s="333">
        <v>210037</v>
      </c>
      <c r="AL34" s="93" t="s">
        <v>39</v>
      </c>
      <c r="AM34" s="92">
        <f>VLOOKUP($AK34,[13]PAU!$A:$IV,2,FALSE)</f>
        <v>1015.2240569031978</v>
      </c>
      <c r="AN34" s="92">
        <f>VLOOKUP($AK34,[13]PAU!$A:$IV,3,FALSE)</f>
        <v>1022.0668489406987</v>
      </c>
      <c r="AO34" s="93">
        <f t="shared" si="6"/>
        <v>6.7401791663348476E-3</v>
      </c>
      <c r="AP34" s="93"/>
      <c r="AQ34" s="333">
        <v>210037</v>
      </c>
      <c r="AR34" s="93" t="s">
        <v>39</v>
      </c>
      <c r="AS34" s="92">
        <f>IFERROR(VLOOKUP($AQ34,[14]PAU!$A:$IV,3,FALSE),0)</f>
        <v>990.37016800000004</v>
      </c>
      <c r="AT34" s="92">
        <f>IFERROR(VLOOKUP($AQ34,[14]PAU!$A:$IV,4,FALSE),0)</f>
        <v>995.85835699999973</v>
      </c>
      <c r="AU34" s="93">
        <f t="shared" si="7"/>
        <v>5.5415532265907785E-3</v>
      </c>
      <c r="AV34" s="93"/>
      <c r="AW34" s="93"/>
      <c r="AX34" s="198">
        <v>210037</v>
      </c>
      <c r="AY34" s="300">
        <f t="shared" si="8"/>
        <v>-0.15445825378842681</v>
      </c>
      <c r="AZ34" s="299">
        <f t="shared" si="9"/>
        <v>157.86666074242012</v>
      </c>
      <c r="BA34" s="107">
        <f t="shared" si="10"/>
        <v>28</v>
      </c>
      <c r="BB34"/>
      <c r="BC34"/>
      <c r="BE34" s="107"/>
    </row>
    <row r="35" spans="1:57" x14ac:dyDescent="0.55000000000000004">
      <c r="A35">
        <v>210038</v>
      </c>
      <c r="B35" t="s">
        <v>43</v>
      </c>
      <c r="C35" s="281">
        <v>2314.2890379999999</v>
      </c>
      <c r="D35" s="281">
        <v>2086.4403200000002</v>
      </c>
      <c r="E35" s="93">
        <f t="shared" si="2"/>
        <v>-9.8453008357549776E-2</v>
      </c>
      <c r="F35" s="93"/>
      <c r="G35">
        <v>210038</v>
      </c>
      <c r="H35" s="331" t="s">
        <v>43</v>
      </c>
      <c r="I35" s="332">
        <v>2300.6070980000004</v>
      </c>
      <c r="J35" s="332">
        <v>1927.2067179999999</v>
      </c>
      <c r="K35" s="93">
        <f t="shared" si="0"/>
        <v>-0.16230514994264367</v>
      </c>
      <c r="L35" s="94"/>
      <c r="M35" s="333">
        <v>210038</v>
      </c>
      <c r="N35" s="331" t="s">
        <v>43</v>
      </c>
      <c r="O35" s="332">
        <v>2284.1756330000012</v>
      </c>
      <c r="P35" s="332">
        <v>2359.6097480000012</v>
      </c>
      <c r="Q35" s="93">
        <f t="shared" si="1"/>
        <v>3.3024656208649805E-2</v>
      </c>
      <c r="R35" s="107"/>
      <c r="S35">
        <v>210038</v>
      </c>
      <c r="T35" t="s">
        <v>43</v>
      </c>
      <c r="U35" s="281">
        <v>1406.517928069831</v>
      </c>
      <c r="V35" s="281">
        <v>1603.1383745633307</v>
      </c>
      <c r="W35" s="93">
        <f t="shared" si="3"/>
        <v>0.13979235000816703</v>
      </c>
      <c r="Y35">
        <v>210038</v>
      </c>
      <c r="Z35" t="s">
        <v>43</v>
      </c>
      <c r="AA35" s="281">
        <v>1603.1383745633307</v>
      </c>
      <c r="AB35" s="281">
        <v>1522.461381591794</v>
      </c>
      <c r="AC35" s="93">
        <f t="shared" si="4"/>
        <v>-5.032441007689803E-2</v>
      </c>
      <c r="AD35" s="93"/>
      <c r="AE35">
        <v>210038</v>
      </c>
      <c r="AF35" t="s">
        <v>43</v>
      </c>
      <c r="AG35" s="281">
        <v>1522.461381591794</v>
      </c>
      <c r="AH35" s="281">
        <v>1584.7022757983525</v>
      </c>
      <c r="AI35" s="93">
        <f t="shared" si="5"/>
        <v>4.0881755661666297E-2</v>
      </c>
      <c r="AJ35" s="93"/>
      <c r="AK35" s="333">
        <v>210038</v>
      </c>
      <c r="AL35" s="93" t="s">
        <v>43</v>
      </c>
      <c r="AM35" s="92">
        <f>VLOOKUP($AK35,[13]PAU!$A:$IV,2,FALSE)</f>
        <v>1474.6930415746967</v>
      </c>
      <c r="AN35" s="92">
        <f>VLOOKUP($AK35,[13]PAU!$A:$IV,3,FALSE)</f>
        <v>1467.3613365249962</v>
      </c>
      <c r="AO35" s="93">
        <f t="shared" si="6"/>
        <v>-4.9716821351999396E-3</v>
      </c>
      <c r="AP35" s="93"/>
      <c r="AQ35" s="333">
        <v>210038</v>
      </c>
      <c r="AR35" s="93" t="s">
        <v>43</v>
      </c>
      <c r="AS35" s="92">
        <f>IFERROR(VLOOKUP($AQ35,[14]PAU!$A:$IV,3,FALSE),0)</f>
        <v>1440.7734959999996</v>
      </c>
      <c r="AT35" s="92">
        <f>IFERROR(VLOOKUP($AQ35,[14]PAU!$A:$IV,4,FALSE),0)</f>
        <v>1433.6614649999999</v>
      </c>
      <c r="AU35" s="93">
        <f t="shared" si="7"/>
        <v>-4.9362589051955563E-3</v>
      </c>
      <c r="AV35" s="93"/>
      <c r="AW35" s="93"/>
      <c r="AX35" s="198">
        <v>210038</v>
      </c>
      <c r="AY35" s="300">
        <f t="shared" si="8"/>
        <v>-0.12969064294077748</v>
      </c>
      <c r="AZ35" s="299">
        <f t="shared" si="9"/>
        <v>190.30303516036531</v>
      </c>
      <c r="BA35" s="107">
        <f t="shared" si="10"/>
        <v>31</v>
      </c>
      <c r="BB35"/>
      <c r="BC35"/>
      <c r="BE35" s="107"/>
    </row>
    <row r="36" spans="1:57" x14ac:dyDescent="0.55000000000000004">
      <c r="A36">
        <v>210039</v>
      </c>
      <c r="B36" t="s">
        <v>7</v>
      </c>
      <c r="C36" s="281">
        <v>1169.2444069999999</v>
      </c>
      <c r="D36" s="281">
        <v>1125.457445</v>
      </c>
      <c r="E36" s="93">
        <f t="shared" si="2"/>
        <v>-3.7448938594751735E-2</v>
      </c>
      <c r="F36" s="93"/>
      <c r="G36">
        <v>210039</v>
      </c>
      <c r="H36" s="318" t="s">
        <v>7</v>
      </c>
      <c r="I36" s="330">
        <v>1161.3767969999994</v>
      </c>
      <c r="J36" s="330">
        <v>1296.1375319999995</v>
      </c>
      <c r="K36" s="93">
        <f t="shared" si="0"/>
        <v>0.11603532578583109</v>
      </c>
      <c r="L36" s="94"/>
      <c r="M36" s="333">
        <v>210039</v>
      </c>
      <c r="N36" s="318" t="s">
        <v>7</v>
      </c>
      <c r="O36" s="330">
        <v>1296.1375319999995</v>
      </c>
      <c r="P36" s="330">
        <v>1297.2917589999993</v>
      </c>
      <c r="Q36" s="93">
        <f t="shared" si="1"/>
        <v>8.9051275154328202E-4</v>
      </c>
      <c r="R36" s="107"/>
      <c r="S36">
        <v>210039</v>
      </c>
      <c r="T36" t="s">
        <v>7</v>
      </c>
      <c r="U36" s="281">
        <v>1148.1842533630465</v>
      </c>
      <c r="V36" s="281">
        <v>1247.6739640947603</v>
      </c>
      <c r="W36" s="93">
        <f t="shared" si="3"/>
        <v>8.6649603876997272E-2</v>
      </c>
      <c r="Y36">
        <v>210039</v>
      </c>
      <c r="Z36" t="s">
        <v>7</v>
      </c>
      <c r="AA36" s="281">
        <v>1247.6739640947603</v>
      </c>
      <c r="AB36" s="281">
        <v>1173.2342860437109</v>
      </c>
      <c r="AC36" s="93">
        <f t="shared" si="4"/>
        <v>-5.9662764627022247E-2</v>
      </c>
      <c r="AD36" s="93"/>
      <c r="AE36">
        <v>210039</v>
      </c>
      <c r="AF36" t="s">
        <v>7</v>
      </c>
      <c r="AG36" s="281">
        <v>1173.2342860437109</v>
      </c>
      <c r="AH36" s="281">
        <v>1403.8063121043981</v>
      </c>
      <c r="AI36" s="93">
        <f t="shared" si="5"/>
        <v>0.19652683935636106</v>
      </c>
      <c r="AJ36" s="93"/>
      <c r="AK36" s="333">
        <v>210039</v>
      </c>
      <c r="AL36" s="93" t="s">
        <v>7</v>
      </c>
      <c r="AM36" s="92">
        <f>VLOOKUP($AK36,[13]PAU!$A:$IV,2,FALSE)</f>
        <v>1227.4702701325991</v>
      </c>
      <c r="AN36" s="92">
        <f>VLOOKUP($AK36,[13]PAU!$A:$IV,3,FALSE)</f>
        <v>1272.0210113930978</v>
      </c>
      <c r="AO36" s="93">
        <f t="shared" si="6"/>
        <v>3.6294761954345223E-2</v>
      </c>
      <c r="AP36" s="93"/>
      <c r="AQ36" s="333">
        <v>210039</v>
      </c>
      <c r="AR36" s="93" t="s">
        <v>7</v>
      </c>
      <c r="AS36" s="92">
        <f>IFERROR(VLOOKUP($AQ36,[14]PAU!$A:$IV,3,FALSE),0)</f>
        <v>1190.0996379999992</v>
      </c>
      <c r="AT36" s="92">
        <f>IFERROR(VLOOKUP($AQ36,[14]PAU!$A:$IV,4,FALSE),0)</f>
        <v>1241.3945340000012</v>
      </c>
      <c r="AU36" s="93">
        <f t="shared" si="7"/>
        <v>4.3101345771522581E-2</v>
      </c>
      <c r="AV36" s="93"/>
      <c r="AW36" s="93"/>
      <c r="AX36" s="198">
        <v>210039</v>
      </c>
      <c r="AY36" s="300">
        <f t="shared" si="8"/>
        <v>0.42099877810106312</v>
      </c>
      <c r="AZ36" s="299">
        <f t="shared" si="9"/>
        <v>-535.51929151537263</v>
      </c>
      <c r="BA36" s="107">
        <f t="shared" si="10"/>
        <v>47</v>
      </c>
      <c r="BB36"/>
      <c r="BC36"/>
      <c r="BE36" s="107"/>
    </row>
    <row r="37" spans="1:57" x14ac:dyDescent="0.55000000000000004">
      <c r="A37">
        <v>210040</v>
      </c>
      <c r="B37" t="s">
        <v>29</v>
      </c>
      <c r="C37" s="281">
        <v>3505.0679759999994</v>
      </c>
      <c r="D37" s="281">
        <v>3223.2825039999993</v>
      </c>
      <c r="E37" s="93">
        <f t="shared" si="2"/>
        <v>-8.0393725294188201E-2</v>
      </c>
      <c r="F37" s="93"/>
      <c r="G37">
        <v>210040</v>
      </c>
      <c r="H37" s="331" t="s">
        <v>29</v>
      </c>
      <c r="I37" s="332">
        <v>3223.3125610000006</v>
      </c>
      <c r="J37" s="332">
        <v>3089.073965999999</v>
      </c>
      <c r="K37" s="93">
        <f t="shared" si="0"/>
        <v>-4.1646161350966104E-2</v>
      </c>
      <c r="L37" s="94"/>
      <c r="M37" s="333">
        <v>210040</v>
      </c>
      <c r="N37" s="331" t="s">
        <v>29</v>
      </c>
      <c r="O37" s="332">
        <v>3248.3924230000002</v>
      </c>
      <c r="P37" s="332">
        <v>3434.6007419999983</v>
      </c>
      <c r="Q37" s="93">
        <f t="shared" si="1"/>
        <v>5.7323221690077863E-2</v>
      </c>
      <c r="R37" s="107"/>
      <c r="S37">
        <v>210040</v>
      </c>
      <c r="T37" t="s">
        <v>29</v>
      </c>
      <c r="U37" s="281">
        <v>2811.5173851590216</v>
      </c>
      <c r="V37" s="281">
        <v>2734.6553911388519</v>
      </c>
      <c r="W37" s="93">
        <f t="shared" si="3"/>
        <v>-2.7338260266821179E-2</v>
      </c>
      <c r="Y37">
        <v>210040</v>
      </c>
      <c r="Z37" t="s">
        <v>29</v>
      </c>
      <c r="AA37" s="281">
        <v>2734.6553911388519</v>
      </c>
      <c r="AB37" s="281">
        <v>2944.5748024628178</v>
      </c>
      <c r="AC37" s="93">
        <f t="shared" si="4"/>
        <v>7.6762656093404491E-2</v>
      </c>
      <c r="AD37" s="93"/>
      <c r="AE37">
        <v>210040</v>
      </c>
      <c r="AF37" t="s">
        <v>29</v>
      </c>
      <c r="AG37" s="281">
        <v>2944.5748024628178</v>
      </c>
      <c r="AH37" s="281">
        <v>2636.6021973888255</v>
      </c>
      <c r="AI37" s="93">
        <f t="shared" si="5"/>
        <v>-0.10458983919050269</v>
      </c>
      <c r="AJ37" s="93"/>
      <c r="AK37" s="333">
        <v>210040</v>
      </c>
      <c r="AL37" s="93" t="s">
        <v>29</v>
      </c>
      <c r="AM37" s="92">
        <f>VLOOKUP($AK37,[13]PAU!$A:$IV,2,FALSE)</f>
        <v>2696.82271167719</v>
      </c>
      <c r="AN37" s="92">
        <f>VLOOKUP($AK37,[13]PAU!$A:$IV,3,FALSE)</f>
        <v>2299.1827363645912</v>
      </c>
      <c r="AO37" s="93">
        <f t="shared" si="6"/>
        <v>-0.14744757732528191</v>
      </c>
      <c r="AP37" s="93"/>
      <c r="AQ37" s="333">
        <v>210040</v>
      </c>
      <c r="AR37" s="93" t="s">
        <v>29</v>
      </c>
      <c r="AS37" s="92">
        <f>IFERROR(VLOOKUP($AQ37,[14]PAU!$A:$IV,3,FALSE),0)</f>
        <v>2641.745982999998</v>
      </c>
      <c r="AT37" s="92">
        <f>IFERROR(VLOOKUP($AQ37,[14]PAU!$A:$IV,4,FALSE),0)</f>
        <v>2249.9373370000017</v>
      </c>
      <c r="AU37" s="93">
        <f t="shared" si="7"/>
        <v>-0.14831427719445367</v>
      </c>
      <c r="AV37" s="93"/>
      <c r="AW37" s="93"/>
      <c r="AX37" s="198">
        <v>210040</v>
      </c>
      <c r="AY37" s="300">
        <f t="shared" si="8"/>
        <v>-0.36548794224263759</v>
      </c>
      <c r="AZ37" s="299">
        <f t="shared" si="9"/>
        <v>840.3235671536911</v>
      </c>
      <c r="BA37" s="107">
        <f t="shared" si="10"/>
        <v>9</v>
      </c>
      <c r="BB37"/>
      <c r="BC37"/>
      <c r="BE37" s="107"/>
    </row>
    <row r="38" spans="1:57" x14ac:dyDescent="0.55000000000000004">
      <c r="A38">
        <v>210043</v>
      </c>
      <c r="B38" t="s">
        <v>35</v>
      </c>
      <c r="C38" s="281">
        <v>5352.3089189999992</v>
      </c>
      <c r="D38" s="281">
        <v>5144.7529309999991</v>
      </c>
      <c r="E38" s="93">
        <f t="shared" si="2"/>
        <v>-3.8778775878052008E-2</v>
      </c>
      <c r="F38" s="93"/>
      <c r="G38">
        <v>210043</v>
      </c>
      <c r="H38" s="318" t="s">
        <v>35</v>
      </c>
      <c r="I38" s="330">
        <v>5228.5697770000043</v>
      </c>
      <c r="J38" s="330">
        <v>5404.2604129999963</v>
      </c>
      <c r="K38" s="93">
        <f t="shared" si="0"/>
        <v>3.3602044821671617E-2</v>
      </c>
      <c r="L38" s="94"/>
      <c r="M38" s="333">
        <v>210043</v>
      </c>
      <c r="N38" s="318" t="s">
        <v>35</v>
      </c>
      <c r="O38" s="330">
        <v>1759.5908640000005</v>
      </c>
      <c r="P38" s="330">
        <v>1750.9371940000003</v>
      </c>
      <c r="Q38" s="93">
        <f t="shared" si="1"/>
        <v>-4.9180012109907301E-3</v>
      </c>
      <c r="R38" s="107"/>
      <c r="S38">
        <v>210043</v>
      </c>
      <c r="T38" t="s">
        <v>35</v>
      </c>
      <c r="U38" s="281">
        <v>4578.7105726309974</v>
      </c>
      <c r="V38" s="281">
        <v>4434.576641468404</v>
      </c>
      <c r="W38" s="93">
        <f t="shared" si="3"/>
        <v>-3.1479153110079983E-2</v>
      </c>
      <c r="Y38">
        <v>210043</v>
      </c>
      <c r="Z38" t="s">
        <v>35</v>
      </c>
      <c r="AA38" s="281">
        <v>4434.576641468404</v>
      </c>
      <c r="AB38" s="281">
        <v>4579.5533866202504</v>
      </c>
      <c r="AC38" s="93">
        <f t="shared" si="4"/>
        <v>3.2692353041358313E-2</v>
      </c>
      <c r="AD38" s="93"/>
      <c r="AE38">
        <v>210043</v>
      </c>
      <c r="AF38" t="s">
        <v>35</v>
      </c>
      <c r="AG38" s="281">
        <v>4579.5533866202504</v>
      </c>
      <c r="AH38" s="281">
        <v>4906.4135784534692</v>
      </c>
      <c r="AI38" s="93">
        <f t="shared" si="5"/>
        <v>7.1373814046623574E-2</v>
      </c>
      <c r="AJ38" s="93"/>
      <c r="AK38" s="333">
        <v>210043</v>
      </c>
      <c r="AL38" s="93" t="s">
        <v>35</v>
      </c>
      <c r="AM38" s="92">
        <f>VLOOKUP($AK38,[13]PAU!$A:$IV,2,FALSE)</f>
        <v>4586.4375776548022</v>
      </c>
      <c r="AN38" s="92">
        <f>VLOOKUP($AK38,[13]PAU!$A:$IV,3,FALSE)</f>
        <v>4470.1438719765083</v>
      </c>
      <c r="AO38" s="93">
        <f t="shared" si="6"/>
        <v>-2.535599879193362E-2</v>
      </c>
      <c r="AP38" s="93"/>
      <c r="AQ38" s="333">
        <v>210043</v>
      </c>
      <c r="AR38" s="93" t="s">
        <v>35</v>
      </c>
      <c r="AS38" s="92">
        <f>IFERROR(VLOOKUP($AQ38,[14]PAU!$A:$IV,3,FALSE),0)</f>
        <v>4494.7323590000051</v>
      </c>
      <c r="AT38" s="92">
        <f>IFERROR(VLOOKUP($AQ38,[14]PAU!$A:$IV,4,FALSE),0)</f>
        <v>4394.7927940000072</v>
      </c>
      <c r="AU38" s="93">
        <f t="shared" si="7"/>
        <v>-2.2234820011003409E-2</v>
      </c>
      <c r="AV38" s="93"/>
      <c r="AW38" s="93"/>
      <c r="AX38" s="198">
        <v>210043</v>
      </c>
      <c r="AY38" s="300">
        <f t="shared" si="8"/>
        <v>9.5715980717614446E-3</v>
      </c>
      <c r="AZ38" s="299">
        <f t="shared" si="9"/>
        <v>-42.786420465506588</v>
      </c>
      <c r="BA38" s="107">
        <f t="shared" si="10"/>
        <v>40</v>
      </c>
      <c r="BB38"/>
      <c r="BC38"/>
      <c r="BE38" s="107"/>
    </row>
    <row r="39" spans="1:57" x14ac:dyDescent="0.55000000000000004">
      <c r="A39">
        <v>210044</v>
      </c>
      <c r="B39" t="s">
        <v>13</v>
      </c>
      <c r="C39" s="281">
        <v>3155.7334809999979</v>
      </c>
      <c r="D39" s="281">
        <v>2643.1036479999989</v>
      </c>
      <c r="E39" s="93">
        <f t="shared" si="2"/>
        <v>-0.16244395671764889</v>
      </c>
      <c r="F39" s="93"/>
      <c r="G39">
        <v>210044</v>
      </c>
      <c r="H39" s="318" t="s">
        <v>13</v>
      </c>
      <c r="I39" s="330">
        <v>2681.3854079999983</v>
      </c>
      <c r="J39" s="330">
        <v>2813.5050690000016</v>
      </c>
      <c r="K39" s="93">
        <f t="shared" si="0"/>
        <v>4.9272909670433851E-2</v>
      </c>
      <c r="L39" s="94"/>
      <c r="M39" s="333">
        <v>210044</v>
      </c>
      <c r="N39" s="318" t="s">
        <v>13</v>
      </c>
      <c r="O39" s="330">
        <v>2813.5050689999994</v>
      </c>
      <c r="P39" s="330">
        <v>2870.1951690000001</v>
      </c>
      <c r="Q39" s="93">
        <f t="shared" si="1"/>
        <v>2.0149279496464612E-2</v>
      </c>
      <c r="R39" s="107"/>
      <c r="S39">
        <v>210044</v>
      </c>
      <c r="T39" t="s">
        <v>13</v>
      </c>
      <c r="U39" s="281">
        <v>2448.3356997888286</v>
      </c>
      <c r="V39" s="281">
        <v>2263.9550951392976</v>
      </c>
      <c r="W39" s="93">
        <f t="shared" si="3"/>
        <v>-7.5308547216557775E-2</v>
      </c>
      <c r="Y39">
        <v>210044</v>
      </c>
      <c r="Z39" t="s">
        <v>13</v>
      </c>
      <c r="AA39" s="281">
        <v>2263.9550951392976</v>
      </c>
      <c r="AB39" s="281">
        <v>2756.8421578560174</v>
      </c>
      <c r="AC39" s="93">
        <f t="shared" si="4"/>
        <v>0.2177106179247752</v>
      </c>
      <c r="AD39" s="93"/>
      <c r="AE39">
        <v>210044</v>
      </c>
      <c r="AF39" t="s">
        <v>13</v>
      </c>
      <c r="AG39" s="281">
        <v>2756.8421578560174</v>
      </c>
      <c r="AH39" s="281">
        <v>3096.2599995291489</v>
      </c>
      <c r="AI39" s="93">
        <f t="shared" si="5"/>
        <v>0.12311834419170919</v>
      </c>
      <c r="AJ39" s="93"/>
      <c r="AK39" s="333">
        <v>210044</v>
      </c>
      <c r="AL39" s="93" t="s">
        <v>13</v>
      </c>
      <c r="AM39" s="92">
        <f>VLOOKUP($AK39,[13]PAU!$A:$IV,2,FALSE)</f>
        <v>3091.2282829670908</v>
      </c>
      <c r="AN39" s="92">
        <f>VLOOKUP($AK39,[13]PAU!$A:$IV,3,FALSE)</f>
        <v>2367.8462357628914</v>
      </c>
      <c r="AO39" s="93">
        <f t="shared" si="6"/>
        <v>-0.23401120233988892</v>
      </c>
      <c r="AP39" s="93"/>
      <c r="AQ39" s="333">
        <v>210044</v>
      </c>
      <c r="AR39" s="93" t="s">
        <v>13</v>
      </c>
      <c r="AS39" s="92">
        <f>IFERROR(VLOOKUP($AQ39,[14]PAU!$A:$IV,3,FALSE),0)</f>
        <v>3024.5061320000013</v>
      </c>
      <c r="AT39" s="92">
        <f>IFERROR(VLOOKUP($AQ39,[14]PAU!$A:$IV,4,FALSE),0)</f>
        <v>2318.671452999999</v>
      </c>
      <c r="AU39" s="93">
        <f t="shared" si="7"/>
        <v>-0.23337187897624079</v>
      </c>
      <c r="AV39" s="93"/>
      <c r="AW39" s="93"/>
      <c r="AX39" s="198">
        <v>210044</v>
      </c>
      <c r="AY39" s="300">
        <f t="shared" si="8"/>
        <v>-0.33420629433920257</v>
      </c>
      <c r="AZ39" s="299">
        <f t="shared" si="9"/>
        <v>791.34911601934573</v>
      </c>
      <c r="BA39" s="107">
        <f t="shared" si="10"/>
        <v>11</v>
      </c>
      <c r="BB39"/>
      <c r="BC39"/>
      <c r="BE39" s="107"/>
    </row>
    <row r="40" spans="1:57" x14ac:dyDescent="0.55000000000000004">
      <c r="A40">
        <v>210045</v>
      </c>
      <c r="B40" t="s">
        <v>19</v>
      </c>
      <c r="C40" s="281">
        <v>117.21471100000001</v>
      </c>
      <c r="D40" s="281">
        <v>110.38652299999998</v>
      </c>
      <c r="E40" s="93">
        <f t="shared" si="2"/>
        <v>-5.8253677731628928E-2</v>
      </c>
      <c r="F40" s="93"/>
      <c r="G40">
        <v>210045</v>
      </c>
      <c r="H40" s="331" t="s">
        <v>19</v>
      </c>
      <c r="I40" s="332">
        <v>118.13416199999999</v>
      </c>
      <c r="J40" s="332">
        <v>90.538232000000008</v>
      </c>
      <c r="K40" s="93">
        <f t="shared" si="0"/>
        <v>-0.23359822030142297</v>
      </c>
      <c r="L40" s="94"/>
      <c r="M40" s="333">
        <v>210045</v>
      </c>
      <c r="N40" s="331" t="s">
        <v>19</v>
      </c>
      <c r="O40" s="332">
        <v>6187.0962549999995</v>
      </c>
      <c r="P40" s="332">
        <v>6039.8989200000005</v>
      </c>
      <c r="Q40" s="93">
        <f t="shared" si="1"/>
        <v>-2.3791020687781272E-2</v>
      </c>
      <c r="R40" s="107"/>
      <c r="S40">
        <v>210045</v>
      </c>
      <c r="T40" t="s">
        <v>19</v>
      </c>
      <c r="U40" s="281">
        <v>63.652401188564703</v>
      </c>
      <c r="V40" s="281">
        <v>60.320122231044301</v>
      </c>
      <c r="W40" s="93">
        <f t="shared" si="3"/>
        <v>-5.2351190140475845E-2</v>
      </c>
      <c r="Y40">
        <v>210045</v>
      </c>
      <c r="Z40" t="s">
        <v>19</v>
      </c>
      <c r="AA40" s="281">
        <v>60.320122231044301</v>
      </c>
      <c r="AB40" s="281">
        <v>52.78957532704306</v>
      </c>
      <c r="AC40" s="93">
        <f t="shared" si="4"/>
        <v>-0.12484303123851392</v>
      </c>
      <c r="AD40" s="93"/>
      <c r="AE40">
        <v>210045</v>
      </c>
      <c r="AF40" t="s">
        <v>19</v>
      </c>
      <c r="AG40" s="281">
        <v>52.78957532704306</v>
      </c>
      <c r="AH40" s="281">
        <v>40.699217481169903</v>
      </c>
      <c r="AI40" s="93">
        <f t="shared" si="5"/>
        <v>-0.22902926896022036</v>
      </c>
      <c r="AJ40" s="93"/>
      <c r="AK40" s="333">
        <v>210045</v>
      </c>
      <c r="AL40" s="93" t="s">
        <v>19</v>
      </c>
      <c r="AM40" s="92">
        <f>VLOOKUP($AK40,[13]PAU!$A:$IV,2,FALSE)</f>
        <v>46.608806271999995</v>
      </c>
      <c r="AN40" s="92">
        <f>VLOOKUP($AK40,[13]PAU!$A:$IV,3,FALSE)</f>
        <v>0</v>
      </c>
      <c r="AO40" s="93">
        <f t="shared" si="6"/>
        <v>-1</v>
      </c>
      <c r="AP40" s="93"/>
      <c r="AQ40" s="333">
        <v>210045</v>
      </c>
      <c r="AR40" s="93" t="s">
        <v>19</v>
      </c>
      <c r="AS40" s="92">
        <f>IFERROR(VLOOKUP($AQ40,[14]PAU!$A:$IV,3,FALSE),0)</f>
        <v>44.360804000000002</v>
      </c>
      <c r="AT40" s="92">
        <f>IFERROR(VLOOKUP($AQ40,[14]PAU!$A:$IV,4,FALSE),0)</f>
        <v>0</v>
      </c>
      <c r="AU40" s="93">
        <f t="shared" si="7"/>
        <v>-1</v>
      </c>
      <c r="AV40" s="93"/>
      <c r="AW40" s="93"/>
      <c r="AX40" s="198">
        <v>210045</v>
      </c>
      <c r="AY40" s="300">
        <f t="shared" si="8"/>
        <v>-1</v>
      </c>
      <c r="AZ40" s="299">
        <f t="shared" si="9"/>
        <v>0</v>
      </c>
      <c r="BA40" s="107">
        <f t="shared" si="10"/>
        <v>1</v>
      </c>
      <c r="BB40"/>
      <c r="BC40"/>
      <c r="BE40" s="107"/>
    </row>
    <row r="41" spans="1:57" x14ac:dyDescent="0.55000000000000004">
      <c r="A41">
        <v>210048</v>
      </c>
      <c r="B41" t="s">
        <v>16</v>
      </c>
      <c r="C41" s="281">
        <v>3230.8296559999976</v>
      </c>
      <c r="D41" s="281">
        <v>3236.2295579999986</v>
      </c>
      <c r="E41" s="93">
        <f t="shared" si="2"/>
        <v>1.6713669784393925E-3</v>
      </c>
      <c r="F41" s="93"/>
      <c r="G41">
        <v>210048</v>
      </c>
      <c r="H41" s="331" t="s">
        <v>16</v>
      </c>
      <c r="I41" s="332">
        <v>3345.6588549999992</v>
      </c>
      <c r="J41" s="332">
        <v>3568.3884050000011</v>
      </c>
      <c r="K41" s="93">
        <f t="shared" si="0"/>
        <v>6.6572702015669671E-2</v>
      </c>
      <c r="L41" s="94"/>
      <c r="M41" s="333">
        <v>210048</v>
      </c>
      <c r="N41" s="331" t="s">
        <v>16</v>
      </c>
      <c r="O41" s="332">
        <v>3568.3884050000006</v>
      </c>
      <c r="P41" s="332">
        <v>3579.2160440000007</v>
      </c>
      <c r="Q41" s="93">
        <f t="shared" si="1"/>
        <v>3.034321876180357E-3</v>
      </c>
      <c r="R41" s="107"/>
      <c r="S41">
        <v>210048</v>
      </c>
      <c r="T41" t="s">
        <v>16</v>
      </c>
      <c r="U41" s="281">
        <v>3084.2006926828781</v>
      </c>
      <c r="V41" s="281">
        <v>3156.593472760022</v>
      </c>
      <c r="W41" s="93">
        <f t="shared" si="3"/>
        <v>2.3472136637830543E-2</v>
      </c>
      <c r="Y41">
        <v>210048</v>
      </c>
      <c r="Z41" t="s">
        <v>16</v>
      </c>
      <c r="AA41" s="281">
        <v>3156.593472760022</v>
      </c>
      <c r="AB41" s="281">
        <v>3110.4031613488505</v>
      </c>
      <c r="AC41" s="93">
        <f t="shared" si="4"/>
        <v>-1.4632961706907421E-2</v>
      </c>
      <c r="AD41" s="93"/>
      <c r="AE41">
        <v>210048</v>
      </c>
      <c r="AF41" t="s">
        <v>16</v>
      </c>
      <c r="AG41" s="281">
        <v>3110.4031613488505</v>
      </c>
      <c r="AH41" s="281">
        <v>3225.9479448758975</v>
      </c>
      <c r="AI41" s="93">
        <f t="shared" si="5"/>
        <v>3.7147847894078101E-2</v>
      </c>
      <c r="AJ41" s="93"/>
      <c r="AK41" s="333">
        <v>210048</v>
      </c>
      <c r="AL41" s="93" t="s">
        <v>16</v>
      </c>
      <c r="AM41" s="92">
        <f>VLOOKUP($AK41,[13]PAU!$A:$IV,2,FALSE)</f>
        <v>3277.7800090516921</v>
      </c>
      <c r="AN41" s="92">
        <f>VLOOKUP($AK41,[13]PAU!$A:$IV,3,FALSE)</f>
        <v>2720.0134428092947</v>
      </c>
      <c r="AO41" s="93">
        <f t="shared" si="6"/>
        <v>-0.1701659552203344</v>
      </c>
      <c r="AP41" s="93"/>
      <c r="AQ41" s="333">
        <v>210048</v>
      </c>
      <c r="AR41" s="93" t="s">
        <v>16</v>
      </c>
      <c r="AS41" s="92">
        <f>IFERROR(VLOOKUP($AQ41,[14]PAU!$A:$IV,3,FALSE),0)</f>
        <v>3215.5229980000026</v>
      </c>
      <c r="AT41" s="92">
        <f>IFERROR(VLOOKUP($AQ41,[14]PAU!$A:$IV,4,FALSE),0)</f>
        <v>2668.644122000002</v>
      </c>
      <c r="AU41" s="93">
        <f t="shared" si="7"/>
        <v>-0.17007462746811308</v>
      </c>
      <c r="AV41" s="93"/>
      <c r="AW41" s="93"/>
      <c r="AX41" s="198">
        <v>210048</v>
      </c>
      <c r="AY41" s="300">
        <f t="shared" si="8"/>
        <v>-0.22807246492701139</v>
      </c>
      <c r="AZ41" s="299">
        <f t="shared" si="9"/>
        <v>620.36017053612238</v>
      </c>
      <c r="BA41" s="107">
        <f t="shared" si="10"/>
        <v>20</v>
      </c>
      <c r="BB41"/>
      <c r="BC41"/>
      <c r="BE41" s="107"/>
    </row>
    <row r="42" spans="1:57" x14ac:dyDescent="0.55000000000000004">
      <c r="A42">
        <v>210049</v>
      </c>
      <c r="B42" t="s">
        <v>47</v>
      </c>
      <c r="C42" s="281">
        <v>3240.143939999999</v>
      </c>
      <c r="D42" s="281">
        <v>3241.3670200000001</v>
      </c>
      <c r="E42" s="93">
        <f t="shared" si="2"/>
        <v>3.774770573929942E-4</v>
      </c>
      <c r="F42" s="93"/>
      <c r="G42">
        <v>210049</v>
      </c>
      <c r="H42" s="318" t="s">
        <v>47</v>
      </c>
      <c r="I42" s="330">
        <v>3290.2454440000001</v>
      </c>
      <c r="J42" s="330">
        <v>3204.0424379999999</v>
      </c>
      <c r="K42" s="93">
        <f t="shared" si="0"/>
        <v>-2.619956701321402E-2</v>
      </c>
      <c r="L42" s="94"/>
      <c r="M42" s="333">
        <v>210049</v>
      </c>
      <c r="N42" s="318" t="s">
        <v>47</v>
      </c>
      <c r="O42" s="330">
        <v>3204.0424380000013</v>
      </c>
      <c r="P42" s="330">
        <v>3378.3629130000008</v>
      </c>
      <c r="Q42" s="93">
        <f t="shared" si="1"/>
        <v>5.440641888276998E-2</v>
      </c>
      <c r="R42" s="107"/>
      <c r="S42">
        <v>210049</v>
      </c>
      <c r="T42" t="s">
        <v>47</v>
      </c>
      <c r="U42" s="281">
        <v>3060.5626249842139</v>
      </c>
      <c r="V42" s="281">
        <v>3225.6556568796236</v>
      </c>
      <c r="W42" s="93">
        <f t="shared" si="3"/>
        <v>5.3942053185813021E-2</v>
      </c>
      <c r="Y42">
        <v>210049</v>
      </c>
      <c r="Z42" t="s">
        <v>47</v>
      </c>
      <c r="AA42" s="281">
        <v>3225.6556568796236</v>
      </c>
      <c r="AB42" s="281">
        <v>3453.2695919780194</v>
      </c>
      <c r="AC42" s="93">
        <f t="shared" si="4"/>
        <v>7.0563618473331147E-2</v>
      </c>
      <c r="AD42" s="93"/>
      <c r="AE42">
        <v>210049</v>
      </c>
      <c r="AF42" t="s">
        <v>47</v>
      </c>
      <c r="AG42" s="281">
        <v>3453.2695919780194</v>
      </c>
      <c r="AH42" s="281">
        <v>3354.3118712395249</v>
      </c>
      <c r="AI42" s="93">
        <f t="shared" si="5"/>
        <v>-2.8656239573178532E-2</v>
      </c>
      <c r="AJ42" s="93"/>
      <c r="AK42" s="333">
        <v>210049</v>
      </c>
      <c r="AL42" s="93" t="s">
        <v>47</v>
      </c>
      <c r="AM42" s="92">
        <f>VLOOKUP($AK42,[13]PAU!$A:$IV,2,FALSE)</f>
        <v>3491.4687442925979</v>
      </c>
      <c r="AN42" s="92">
        <f>VLOOKUP($AK42,[13]PAU!$A:$IV,3,FALSE)</f>
        <v>2880.3275727416958</v>
      </c>
      <c r="AO42" s="93">
        <f t="shared" si="6"/>
        <v>-0.17503841973379164</v>
      </c>
      <c r="AP42" s="93"/>
      <c r="AQ42" s="333">
        <v>210049</v>
      </c>
      <c r="AR42" s="93" t="s">
        <v>47</v>
      </c>
      <c r="AS42" s="92">
        <f>IFERROR(VLOOKUP($AQ42,[14]PAU!$A:$IV,3,FALSE),0)</f>
        <v>3414.9159159999981</v>
      </c>
      <c r="AT42" s="92">
        <f>IFERROR(VLOOKUP($AQ42,[14]PAU!$A:$IV,4,FALSE),0)</f>
        <v>2822.216085</v>
      </c>
      <c r="AU42" s="93">
        <f t="shared" si="7"/>
        <v>-0.17356205704011785</v>
      </c>
      <c r="AV42" s="93"/>
      <c r="AW42" s="93"/>
      <c r="AX42" s="198">
        <v>210049</v>
      </c>
      <c r="AY42" s="300">
        <f t="shared" si="8"/>
        <v>-0.23248291837939261</v>
      </c>
      <c r="AZ42" s="299">
        <f t="shared" si="9"/>
        <v>669.6269599996217</v>
      </c>
      <c r="BA42" s="107">
        <f t="shared" si="10"/>
        <v>17</v>
      </c>
      <c r="BB42"/>
      <c r="BC42"/>
      <c r="BE42" s="107"/>
    </row>
    <row r="43" spans="1:57" x14ac:dyDescent="0.55000000000000004">
      <c r="A43">
        <v>210051</v>
      </c>
      <c r="B43" t="s">
        <v>9</v>
      </c>
      <c r="C43" s="281">
        <v>3031.7488029999995</v>
      </c>
      <c r="D43" s="281">
        <v>2690.1295179999988</v>
      </c>
      <c r="E43" s="93">
        <f t="shared" si="2"/>
        <v>-0.11268060357175991</v>
      </c>
      <c r="F43" s="93"/>
      <c r="G43">
        <v>210051</v>
      </c>
      <c r="H43" s="318" t="s">
        <v>9</v>
      </c>
      <c r="I43" s="330">
        <v>2623.7441829999998</v>
      </c>
      <c r="J43" s="330">
        <v>2899.630740000001</v>
      </c>
      <c r="K43" s="93">
        <f t="shared" si="0"/>
        <v>0.10514994517664888</v>
      </c>
      <c r="L43" s="94"/>
      <c r="M43" s="333">
        <v>210051</v>
      </c>
      <c r="N43" s="318" t="s">
        <v>9</v>
      </c>
      <c r="O43" s="330">
        <v>2899.630740000001</v>
      </c>
      <c r="P43" s="330">
        <v>3014.4954100000014</v>
      </c>
      <c r="Q43" s="93">
        <f t="shared" si="1"/>
        <v>3.9613550930971408E-2</v>
      </c>
      <c r="R43" s="107"/>
      <c r="S43">
        <v>210051</v>
      </c>
      <c r="T43" t="s">
        <v>9</v>
      </c>
      <c r="U43" s="281">
        <v>2782.6483685270423</v>
      </c>
      <c r="V43" s="281">
        <v>2830.9465509113415</v>
      </c>
      <c r="W43" s="93">
        <f t="shared" si="3"/>
        <v>1.735691182923893E-2</v>
      </c>
      <c r="Y43">
        <v>210051</v>
      </c>
      <c r="Z43" t="s">
        <v>9</v>
      </c>
      <c r="AA43" s="281">
        <v>2830.9465509113415</v>
      </c>
      <c r="AB43" s="281">
        <v>3109.7950103566059</v>
      </c>
      <c r="AC43" s="93">
        <f t="shared" si="4"/>
        <v>9.8500079189236978E-2</v>
      </c>
      <c r="AD43" s="93"/>
      <c r="AE43">
        <v>210051</v>
      </c>
      <c r="AF43" t="s">
        <v>9</v>
      </c>
      <c r="AG43" s="281">
        <v>3109.7950103566059</v>
      </c>
      <c r="AH43" s="281">
        <v>3622.914672815401</v>
      </c>
      <c r="AI43" s="93">
        <f t="shared" si="5"/>
        <v>0.16500112089380292</v>
      </c>
      <c r="AJ43" s="93"/>
      <c r="AK43" s="333">
        <v>210051</v>
      </c>
      <c r="AL43" s="93" t="s">
        <v>9</v>
      </c>
      <c r="AM43" s="92">
        <f>VLOOKUP($AK43,[13]PAU!$A:$IV,2,FALSE)</f>
        <v>3348.3110194602905</v>
      </c>
      <c r="AN43" s="92">
        <f>VLOOKUP($AK43,[13]PAU!$A:$IV,3,FALSE)</f>
        <v>2980.0995933190934</v>
      </c>
      <c r="AO43" s="93">
        <f t="shared" si="6"/>
        <v>-0.10996930213506528</v>
      </c>
      <c r="AP43" s="93"/>
      <c r="AQ43" s="333">
        <v>210051</v>
      </c>
      <c r="AR43" s="93" t="s">
        <v>9</v>
      </c>
      <c r="AS43" s="92">
        <f>IFERROR(VLOOKUP($AQ43,[14]PAU!$A:$IV,3,FALSE),0)</f>
        <v>3289.4786470000063</v>
      </c>
      <c r="AT43" s="92">
        <f>IFERROR(VLOOKUP($AQ43,[14]PAU!$A:$IV,4,FALSE),0)</f>
        <v>2929.3677970000012</v>
      </c>
      <c r="AU43" s="93">
        <f t="shared" si="7"/>
        <v>-0.10947353323859543</v>
      </c>
      <c r="AV43" s="93"/>
      <c r="AW43" s="93"/>
      <c r="AX43" s="198">
        <v>210051</v>
      </c>
      <c r="AY43" s="300">
        <f t="shared" si="8"/>
        <v>5.2021720433889307E-2</v>
      </c>
      <c r="AZ43" s="299">
        <f t="shared" si="9"/>
        <v>-155.02990790879309</v>
      </c>
      <c r="BA43" s="107">
        <f t="shared" si="10"/>
        <v>41</v>
      </c>
      <c r="BB43"/>
      <c r="BC43"/>
      <c r="BE43" s="107"/>
    </row>
    <row r="44" spans="1:57" x14ac:dyDescent="0.55000000000000004">
      <c r="A44">
        <v>210055</v>
      </c>
      <c r="B44" t="s">
        <v>41</v>
      </c>
      <c r="C44" s="281">
        <v>1145.8412970000002</v>
      </c>
      <c r="D44" s="281">
        <v>1069.9101680000006</v>
      </c>
      <c r="E44" s="93">
        <f t="shared" si="2"/>
        <v>-6.6266706566432632E-2</v>
      </c>
      <c r="F44" s="93"/>
      <c r="G44">
        <v>210055</v>
      </c>
      <c r="H44" s="318" t="s">
        <v>41</v>
      </c>
      <c r="I44" s="330">
        <v>1097</v>
      </c>
      <c r="J44" s="330">
        <v>1142</v>
      </c>
      <c r="K44" s="93">
        <f t="shared" si="0"/>
        <v>4.1020966271649861E-2</v>
      </c>
      <c r="L44" s="94"/>
      <c r="M44" s="333">
        <v>210055</v>
      </c>
      <c r="N44" s="318" t="s">
        <v>41</v>
      </c>
      <c r="O44" s="330">
        <v>90.538232000000008</v>
      </c>
      <c r="P44" s="330">
        <v>127.344641</v>
      </c>
      <c r="Q44" s="93">
        <f t="shared" si="1"/>
        <v>0.40652891255928192</v>
      </c>
      <c r="R44" s="107"/>
      <c r="S44">
        <v>210055</v>
      </c>
      <c r="T44" t="s">
        <v>41</v>
      </c>
      <c r="U44" s="281">
        <v>870.22908590639497</v>
      </c>
      <c r="V44" s="281">
        <v>812.60968364092207</v>
      </c>
      <c r="W44" s="93">
        <f t="shared" si="3"/>
        <v>-6.6211763314551697E-2</v>
      </c>
      <c r="Y44">
        <v>210055</v>
      </c>
      <c r="Z44" t="s">
        <v>41</v>
      </c>
      <c r="AA44" s="281">
        <v>812.60968364092207</v>
      </c>
      <c r="AB44" s="281">
        <v>871.23268389360101</v>
      </c>
      <c r="AC44" s="93">
        <f t="shared" si="4"/>
        <v>7.214164614679075E-2</v>
      </c>
      <c r="AD44" s="93"/>
      <c r="AE44">
        <v>210055</v>
      </c>
      <c r="AF44" t="s">
        <v>41</v>
      </c>
      <c r="AG44" s="281">
        <v>871.23268389360101</v>
      </c>
      <c r="AH44" s="281">
        <v>96.007482776104908</v>
      </c>
      <c r="AI44" s="93">
        <f t="shared" si="5"/>
        <v>-0.88980270764517166</v>
      </c>
      <c r="AJ44" s="93"/>
      <c r="AK44" s="333">
        <v>210055</v>
      </c>
      <c r="AL44" s="93" t="s">
        <v>41</v>
      </c>
      <c r="AM44" s="92">
        <f>VLOOKUP($AK44,[13]PAU!$A:$IV,2,FALSE)</f>
        <v>348.19438102610025</v>
      </c>
      <c r="AN44" s="92">
        <f>VLOOKUP($AK44,[13]PAU!$A:$IV,3,FALSE)</f>
        <v>88.325514514600016</v>
      </c>
      <c r="AO44" s="93">
        <f t="shared" si="6"/>
        <v>-0.74633274019439377</v>
      </c>
      <c r="AP44" s="93"/>
      <c r="AQ44" s="333">
        <v>210055</v>
      </c>
      <c r="AR44" s="93" t="s">
        <v>41</v>
      </c>
      <c r="AS44" s="92">
        <f>IFERROR(VLOOKUP($AQ44,[14]PAU!$A:$IV,3,FALSE),0)</f>
        <v>0</v>
      </c>
      <c r="AT44" s="92">
        <f>IFERROR(VLOOKUP($AQ44,[14]PAU!$A:$IV,4,FALSE),0)</f>
        <v>0</v>
      </c>
      <c r="AU44" s="93">
        <f t="shared" si="7"/>
        <v>0</v>
      </c>
      <c r="AV44" s="93"/>
      <c r="AW44" s="93"/>
      <c r="AX44" s="198">
        <v>210055</v>
      </c>
      <c r="AY44" s="300">
        <f t="shared" si="8"/>
        <v>-0.96173806844110599</v>
      </c>
      <c r="AZ44" s="299">
        <f t="shared" si="9"/>
        <v>84.946009723338292</v>
      </c>
      <c r="BA44" s="107">
        <f t="shared" si="10"/>
        <v>4</v>
      </c>
      <c r="BB44"/>
      <c r="BC44"/>
      <c r="BE44" s="107"/>
    </row>
    <row r="45" spans="1:57" x14ac:dyDescent="0.55000000000000004">
      <c r="A45">
        <v>210056</v>
      </c>
      <c r="B45" t="s">
        <v>21</v>
      </c>
      <c r="C45" s="281">
        <v>4239.3547079999989</v>
      </c>
      <c r="D45" s="281">
        <v>3960.3548829999963</v>
      </c>
      <c r="E45" s="93">
        <f t="shared" si="2"/>
        <v>-6.581186152541274E-2</v>
      </c>
      <c r="F45" s="93"/>
      <c r="G45">
        <v>210056</v>
      </c>
      <c r="H45" s="331" t="s">
        <v>21</v>
      </c>
      <c r="I45" s="332">
        <v>4046.7398089999997</v>
      </c>
      <c r="J45" s="332">
        <v>3744.9719830000008</v>
      </c>
      <c r="K45" s="93">
        <f t="shared" si="0"/>
        <v>-7.4570602569718814E-2</v>
      </c>
      <c r="L45" s="94"/>
      <c r="M45" s="333">
        <v>210056</v>
      </c>
      <c r="N45" s="331" t="s">
        <v>21</v>
      </c>
      <c r="O45" s="332">
        <v>2012.4039640000005</v>
      </c>
      <c r="P45" s="332">
        <v>1958.5464199999992</v>
      </c>
      <c r="Q45" s="93">
        <f t="shared" si="1"/>
        <v>-2.6762789660257913E-2</v>
      </c>
      <c r="R45" s="107"/>
      <c r="S45">
        <v>210056</v>
      </c>
      <c r="T45" t="s">
        <v>21</v>
      </c>
      <c r="U45" s="281">
        <v>3059.913806992487</v>
      </c>
      <c r="V45" s="281">
        <v>3010.9474306167053</v>
      </c>
      <c r="W45" s="93">
        <f t="shared" si="3"/>
        <v>-1.6002534536719404E-2</v>
      </c>
      <c r="Y45">
        <v>210056</v>
      </c>
      <c r="Z45" t="s">
        <v>21</v>
      </c>
      <c r="AA45" s="281">
        <v>3010.9474306167053</v>
      </c>
      <c r="AB45" s="281">
        <v>2980.1372560094705</v>
      </c>
      <c r="AC45" s="93">
        <f t="shared" si="4"/>
        <v>-1.0232717547288495E-2</v>
      </c>
      <c r="AD45" s="93"/>
      <c r="AE45">
        <v>210056</v>
      </c>
      <c r="AF45" t="s">
        <v>21</v>
      </c>
      <c r="AG45" s="281">
        <v>2980.1372560094705</v>
      </c>
      <c r="AH45" s="281">
        <v>3013.7566185808946</v>
      </c>
      <c r="AI45" s="93">
        <f t="shared" si="5"/>
        <v>1.1281145693417427E-2</v>
      </c>
      <c r="AJ45" s="93"/>
      <c r="AK45" s="333">
        <v>210056</v>
      </c>
      <c r="AL45" s="93" t="s">
        <v>21</v>
      </c>
      <c r="AM45" s="92">
        <f>VLOOKUP($AK45,[13]PAU!$A:$IV,2,FALSE)</f>
        <v>2945.1617371137977</v>
      </c>
      <c r="AN45" s="92">
        <f>VLOOKUP($AK45,[13]PAU!$A:$IV,3,FALSE)</f>
        <v>2983.8281873377932</v>
      </c>
      <c r="AO45" s="93">
        <f t="shared" si="6"/>
        <v>1.312880367035052E-2</v>
      </c>
      <c r="AP45" s="93"/>
      <c r="AQ45" s="333">
        <v>210056</v>
      </c>
      <c r="AR45" s="93" t="s">
        <v>21</v>
      </c>
      <c r="AS45" s="92">
        <f>IFERROR(VLOOKUP($AQ45,[14]PAU!$A:$IV,3,FALSE),0)</f>
        <v>2877.5245909999981</v>
      </c>
      <c r="AT45" s="92">
        <f>IFERROR(VLOOKUP($AQ45,[14]PAU!$A:$IV,4,FALSE),0)</f>
        <v>2923.3520390000062</v>
      </c>
      <c r="AU45" s="93">
        <f t="shared" si="7"/>
        <v>1.5925996998719771E-2</v>
      </c>
      <c r="AV45" s="93"/>
      <c r="AW45" s="93"/>
      <c r="AX45" s="198">
        <v>210056</v>
      </c>
      <c r="AY45" s="300">
        <f t="shared" si="8"/>
        <v>-0.14705296153722303</v>
      </c>
      <c r="AZ45" s="299">
        <f t="shared" si="9"/>
        <v>438.78077166626639</v>
      </c>
      <c r="BA45" s="107">
        <f t="shared" si="10"/>
        <v>30</v>
      </c>
      <c r="BB45"/>
      <c r="BC45"/>
      <c r="BE45" s="107"/>
    </row>
    <row r="46" spans="1:57" x14ac:dyDescent="0.55000000000000004">
      <c r="A46">
        <v>210057</v>
      </c>
      <c r="B46" t="s">
        <v>31</v>
      </c>
      <c r="C46" s="281">
        <v>3611.8511289999983</v>
      </c>
      <c r="D46" s="281">
        <v>3472.6073979999978</v>
      </c>
      <c r="E46" s="93">
        <f t="shared" si="2"/>
        <v>-3.8551902065396715E-2</v>
      </c>
      <c r="F46" s="93"/>
      <c r="G46">
        <v>210057</v>
      </c>
      <c r="H46" s="318" t="s">
        <v>31</v>
      </c>
      <c r="I46" s="330">
        <v>3476.9481760000017</v>
      </c>
      <c r="J46" s="330">
        <v>3069.088718</v>
      </c>
      <c r="K46" s="93">
        <f t="shared" si="0"/>
        <v>-0.11730386458311182</v>
      </c>
      <c r="L46" s="94"/>
      <c r="M46" s="333">
        <v>210057</v>
      </c>
      <c r="N46" s="318" t="s">
        <v>31</v>
      </c>
      <c r="O46" s="330">
        <v>4618.8189139999986</v>
      </c>
      <c r="P46" s="330">
        <v>4708.18037</v>
      </c>
      <c r="Q46" s="93">
        <f t="shared" si="1"/>
        <v>1.9347252547429417E-2</v>
      </c>
      <c r="R46" s="107"/>
      <c r="S46">
        <v>210057</v>
      </c>
      <c r="T46" t="s">
        <v>31</v>
      </c>
      <c r="U46" s="281">
        <v>2759.5944078209304</v>
      </c>
      <c r="V46" s="281">
        <v>2960.8945082547743</v>
      </c>
      <c r="W46" s="93">
        <f t="shared" si="3"/>
        <v>7.2945538613697014E-2</v>
      </c>
      <c r="Y46">
        <v>210057</v>
      </c>
      <c r="Z46" t="s">
        <v>31</v>
      </c>
      <c r="AA46" s="281">
        <v>2960.8945082547743</v>
      </c>
      <c r="AB46" s="281">
        <v>2827.1184049601407</v>
      </c>
      <c r="AC46" s="93">
        <f t="shared" si="4"/>
        <v>-4.5180975857692651E-2</v>
      </c>
      <c r="AD46" s="93"/>
      <c r="AE46">
        <v>210057</v>
      </c>
      <c r="AF46" t="s">
        <v>31</v>
      </c>
      <c r="AG46" s="281">
        <v>2827.1184049601407</v>
      </c>
      <c r="AH46" s="281">
        <v>2984.4276839547761</v>
      </c>
      <c r="AI46" s="93">
        <f t="shared" si="5"/>
        <v>5.5642975093876057E-2</v>
      </c>
      <c r="AJ46" s="93"/>
      <c r="AK46" s="333">
        <v>210057</v>
      </c>
      <c r="AL46" s="93" t="s">
        <v>31</v>
      </c>
      <c r="AM46" s="92">
        <f>VLOOKUP($AK46,[13]PAU!$A:$IV,2,FALSE)</f>
        <v>3012.5100125091967</v>
      </c>
      <c r="AN46" s="92">
        <f>VLOOKUP($AK46,[13]PAU!$A:$IV,3,FALSE)</f>
        <v>2925.4046590022936</v>
      </c>
      <c r="AO46" s="93">
        <f t="shared" si="6"/>
        <v>-2.8914544066311998E-2</v>
      </c>
      <c r="AP46" s="93"/>
      <c r="AQ46" s="333">
        <v>210057</v>
      </c>
      <c r="AR46" s="93" t="s">
        <v>31</v>
      </c>
      <c r="AS46" s="92">
        <f>IFERROR(VLOOKUP($AQ46,[14]PAU!$A:$IV,3,FALSE),0)</f>
        <v>2936.8537640000018</v>
      </c>
      <c r="AT46" s="92">
        <f>IFERROR(VLOOKUP($AQ46,[14]PAU!$A:$IV,4,FALSE),0)</f>
        <v>2876.6599480000014</v>
      </c>
      <c r="AU46" s="93">
        <f t="shared" si="7"/>
        <v>-2.0496020856692665E-2</v>
      </c>
      <c r="AV46" s="93"/>
      <c r="AW46" s="93"/>
      <c r="AX46" s="198">
        <v>210057</v>
      </c>
      <c r="AY46" s="300">
        <f t="shared" si="8"/>
        <v>-0.11010516831767636</v>
      </c>
      <c r="AZ46" s="299">
        <f t="shared" si="9"/>
        <v>322.10217237676216</v>
      </c>
      <c r="BA46" s="107">
        <f t="shared" si="10"/>
        <v>33</v>
      </c>
      <c r="BB46"/>
      <c r="BC46"/>
      <c r="BE46" s="107"/>
    </row>
    <row r="47" spans="1:57" x14ac:dyDescent="0.55000000000000004">
      <c r="A47">
        <v>210058</v>
      </c>
      <c r="B47" t="s">
        <v>45</v>
      </c>
      <c r="C47" s="281">
        <v>24.782107</v>
      </c>
      <c r="D47" s="281">
        <v>15.051577999999999</v>
      </c>
      <c r="E47" s="93">
        <f t="shared" si="2"/>
        <v>-0.39264332931820534</v>
      </c>
      <c r="F47" s="93"/>
      <c r="G47">
        <v>210058</v>
      </c>
      <c r="H47" s="318" t="s">
        <v>45</v>
      </c>
      <c r="I47" s="330">
        <v>43.537648999999988</v>
      </c>
      <c r="J47" s="330">
        <v>15.482665000000001</v>
      </c>
      <c r="K47" s="93">
        <f t="shared" si="0"/>
        <v>-0.64438444988152654</v>
      </c>
      <c r="L47" s="94"/>
      <c r="M47" s="333">
        <v>210058</v>
      </c>
      <c r="N47" s="318" t="s">
        <v>45</v>
      </c>
      <c r="O47" s="330">
        <v>15.482665000000001</v>
      </c>
      <c r="P47" s="330">
        <v>15.144080000000001</v>
      </c>
      <c r="Q47" s="93">
        <f t="shared" si="1"/>
        <v>-2.1868651165674602E-2</v>
      </c>
      <c r="R47" s="107"/>
      <c r="S47">
        <v>210058</v>
      </c>
      <c r="T47" t="s">
        <v>45</v>
      </c>
      <c r="U47" s="281">
        <v>15.757087799130009</v>
      </c>
      <c r="V47" s="281">
        <v>8.4580138921779717</v>
      </c>
      <c r="W47" s="93">
        <f t="shared" si="3"/>
        <v>-0.46322480397393218</v>
      </c>
      <c r="Y47">
        <v>210058</v>
      </c>
      <c r="Z47" t="s">
        <v>45</v>
      </c>
      <c r="AA47" s="281">
        <v>8.4580138921779717</v>
      </c>
      <c r="AB47" s="281">
        <v>8.3214348939190685</v>
      </c>
      <c r="AC47" s="93">
        <f t="shared" si="4"/>
        <v>-1.6147880578112117E-2</v>
      </c>
      <c r="AD47" s="93"/>
      <c r="AE47">
        <v>210058</v>
      </c>
      <c r="AF47" t="s">
        <v>45</v>
      </c>
      <c r="AG47" s="281">
        <v>8.3214348939190685</v>
      </c>
      <c r="AH47" s="281">
        <v>2.1513859725743179</v>
      </c>
      <c r="AI47" s="93">
        <f t="shared" si="5"/>
        <v>-0.74146454307460186</v>
      </c>
      <c r="AJ47" s="93"/>
      <c r="AK47" s="333">
        <v>210058</v>
      </c>
      <c r="AL47" s="93" t="s">
        <v>45</v>
      </c>
      <c r="AM47" s="92">
        <f>VLOOKUP($AK47,[13]PAU!$A:$IV,2,FALSE)</f>
        <v>8.7267680507000005</v>
      </c>
      <c r="AN47" s="92">
        <f>VLOOKUP($AK47,[13]PAU!$A:$IV,3,FALSE)</f>
        <v>8.1299420473000001</v>
      </c>
      <c r="AO47" s="93">
        <f t="shared" si="6"/>
        <v>-6.8390267729429022E-2</v>
      </c>
      <c r="AP47" s="93"/>
      <c r="AQ47" s="333">
        <v>210058</v>
      </c>
      <c r="AR47" s="93" t="s">
        <v>45</v>
      </c>
      <c r="AS47" s="92">
        <f>IFERROR(VLOOKUP($AQ47,[14]PAU!$A:$IV,3,FALSE),0)</f>
        <v>8.9115129999999994</v>
      </c>
      <c r="AT47" s="92">
        <f>IFERROR(VLOOKUP($AQ47,[14]PAU!$A:$IV,4,FALSE),0)</f>
        <v>8.1700200000000009</v>
      </c>
      <c r="AU47" s="93">
        <f t="shared" si="7"/>
        <v>-8.3206185077662864E-2</v>
      </c>
      <c r="AV47" s="93"/>
      <c r="AW47" s="93"/>
      <c r="AX47" s="198">
        <v>210058</v>
      </c>
      <c r="AY47" s="300">
        <f>(VLOOKUP(AX47,$A$6:$E$52,5,FALSE)+1)*(VLOOKUP(AX47,$G$6:$K$52,5,FALSE)+1)*(VLOOKUP(AX47,$M$6:$Q$52,5,FALSE)+1)*(VLOOKUP(AX47,$S$6:$W$52,5,FALSE)+1)*(VLOOKUP(AX47,$Y$6:$AC$52,5,FALSE)+1)*(VLOOKUP(AX47,$AE:$AI,5,FALSE)+1)*(VLOOKUP(AX47,AK:AO,5,FALSE)+1)*(VLOOKUP(AX47,AQ:AU,5,FALSE)+1)-1</f>
        <v>-0.97536402263514266</v>
      </c>
      <c r="AZ47" s="299">
        <f t="shared" si="9"/>
        <v>7.9296529790451151</v>
      </c>
      <c r="BA47" s="107">
        <f t="shared" si="10"/>
        <v>3</v>
      </c>
      <c r="BB47"/>
      <c r="BC47"/>
      <c r="BE47" s="107"/>
    </row>
    <row r="48" spans="1:57" x14ac:dyDescent="0.55000000000000004">
      <c r="A48">
        <v>210060</v>
      </c>
      <c r="B48" t="s">
        <v>11</v>
      </c>
      <c r="C48" s="281">
        <v>611.20076399999994</v>
      </c>
      <c r="D48" s="281">
        <v>654.61457800000005</v>
      </c>
      <c r="E48" s="93">
        <f t="shared" si="2"/>
        <v>7.1030366054974481E-2</v>
      </c>
      <c r="F48" s="93"/>
      <c r="G48">
        <v>210060</v>
      </c>
      <c r="H48" s="318" t="s">
        <v>11</v>
      </c>
      <c r="I48" s="330">
        <v>610.77983299999994</v>
      </c>
      <c r="J48" s="330">
        <v>631.88115299999993</v>
      </c>
      <c r="K48" s="93">
        <f t="shared" si="0"/>
        <v>3.4548160990115706E-2</v>
      </c>
      <c r="L48" s="94"/>
      <c r="M48" s="333">
        <v>210060</v>
      </c>
      <c r="N48" s="318" t="s">
        <v>11</v>
      </c>
      <c r="O48" s="330">
        <v>631.88115299999993</v>
      </c>
      <c r="P48" s="330">
        <v>692.17199499999992</v>
      </c>
      <c r="Q48" s="93">
        <f t="shared" si="1"/>
        <v>9.5414844569671864E-2</v>
      </c>
      <c r="R48" s="107"/>
      <c r="S48">
        <v>210060</v>
      </c>
      <c r="T48" t="s">
        <v>11</v>
      </c>
      <c r="U48" s="281">
        <v>670.39984145380072</v>
      </c>
      <c r="V48" s="281">
        <v>628.27502699080446</v>
      </c>
      <c r="W48" s="93">
        <f t="shared" si="3"/>
        <v>-6.2835358629629412E-2</v>
      </c>
      <c r="Y48">
        <v>210060</v>
      </c>
      <c r="Z48" t="s">
        <v>11</v>
      </c>
      <c r="AA48" s="281">
        <v>628.27502699080446</v>
      </c>
      <c r="AB48" s="281">
        <v>670.37478645412034</v>
      </c>
      <c r="AC48" s="93">
        <f t="shared" si="4"/>
        <v>6.700848777160151E-2</v>
      </c>
      <c r="AD48" s="93"/>
      <c r="AE48">
        <v>210060</v>
      </c>
      <c r="AF48" t="s">
        <v>11</v>
      </c>
      <c r="AG48" s="281">
        <v>670.37478645412034</v>
      </c>
      <c r="AH48" s="281">
        <v>624.3346720410359</v>
      </c>
      <c r="AI48" s="93">
        <f t="shared" si="5"/>
        <v>-6.8678171290732726E-2</v>
      </c>
      <c r="AJ48" s="93"/>
      <c r="AK48" s="333">
        <v>210060</v>
      </c>
      <c r="AL48" s="93" t="s">
        <v>11</v>
      </c>
      <c r="AM48" s="92">
        <f>VLOOKUP($AK48,[13]PAU!$A:$IV,2,FALSE)</f>
        <v>664.89827486819968</v>
      </c>
      <c r="AN48" s="92">
        <f>VLOOKUP($AK48,[13]PAU!$A:$IV,3,FALSE)</f>
        <v>497.7353208958005</v>
      </c>
      <c r="AO48" s="93">
        <f t="shared" si="6"/>
        <v>-0.25141132153717094</v>
      </c>
      <c r="AP48" s="93"/>
      <c r="AQ48" s="333">
        <v>210060</v>
      </c>
      <c r="AR48" s="93" t="s">
        <v>11</v>
      </c>
      <c r="AS48" s="92">
        <f>IFERROR(VLOOKUP($AQ48,[14]PAU!$A:$IV,3,FALSE),0)</f>
        <v>642.78874900000005</v>
      </c>
      <c r="AT48" s="92">
        <f>IFERROR(VLOOKUP($AQ48,[14]PAU!$A:$IV,4,FALSE),0)</f>
        <v>483.82936599999994</v>
      </c>
      <c r="AU48" s="93">
        <f t="shared" si="7"/>
        <v>-0.24729646131376215</v>
      </c>
      <c r="AV48" s="93"/>
      <c r="AW48" s="93"/>
      <c r="AX48" s="198">
        <v>210060</v>
      </c>
      <c r="AY48" s="300">
        <f t="shared" si="8"/>
        <v>-0.36308440525535102</v>
      </c>
      <c r="AZ48" s="299">
        <f t="shared" si="9"/>
        <v>180.719932962033</v>
      </c>
      <c r="BA48" s="107">
        <f t="shared" si="10"/>
        <v>10</v>
      </c>
      <c r="BB48"/>
      <c r="BC48"/>
      <c r="BE48" s="107"/>
    </row>
    <row r="49" spans="1:57" x14ac:dyDescent="0.55000000000000004">
      <c r="A49">
        <v>210061</v>
      </c>
      <c r="B49" t="s">
        <v>5</v>
      </c>
      <c r="C49" s="281">
        <v>1059.6777669999999</v>
      </c>
      <c r="D49" s="281">
        <v>996.54960100000039</v>
      </c>
      <c r="E49" s="93">
        <f t="shared" si="2"/>
        <v>-5.9572983378445743E-2</v>
      </c>
      <c r="F49" s="93"/>
      <c r="G49">
        <v>210061</v>
      </c>
      <c r="H49" s="318" t="s">
        <v>5</v>
      </c>
      <c r="I49" s="330">
        <v>771.30778499999997</v>
      </c>
      <c r="J49" s="330">
        <v>706.71551100000033</v>
      </c>
      <c r="K49" s="93">
        <f t="shared" si="0"/>
        <v>-8.3743837746950267E-2</v>
      </c>
      <c r="L49" s="94"/>
      <c r="M49" s="333">
        <v>210061</v>
      </c>
      <c r="N49" s="318" t="s">
        <v>5</v>
      </c>
      <c r="O49" s="330">
        <v>706.71551099999999</v>
      </c>
      <c r="P49" s="330">
        <v>691.86569999999995</v>
      </c>
      <c r="Q49" s="93">
        <f t="shared" si="1"/>
        <v>-2.1012431125202902E-2</v>
      </c>
      <c r="R49" s="107"/>
      <c r="S49">
        <v>210061</v>
      </c>
      <c r="T49" t="s">
        <v>5</v>
      </c>
      <c r="U49" s="281">
        <v>814.35441561868049</v>
      </c>
      <c r="V49" s="281">
        <v>866.37375595554238</v>
      </c>
      <c r="W49" s="93">
        <f t="shared" si="3"/>
        <v>6.387801102219326E-2</v>
      </c>
      <c r="Y49">
        <v>210061</v>
      </c>
      <c r="Z49" t="s">
        <v>5</v>
      </c>
      <c r="AA49" s="281">
        <v>866.37375595554238</v>
      </c>
      <c r="AB49" s="281">
        <v>828.9105724331198</v>
      </c>
      <c r="AC49" s="93">
        <f t="shared" si="4"/>
        <v>-4.324136467072881E-2</v>
      </c>
      <c r="AD49" s="93"/>
      <c r="AE49">
        <v>210061</v>
      </c>
      <c r="AF49" t="s">
        <v>5</v>
      </c>
      <c r="AG49" s="281">
        <v>828.9105724331198</v>
      </c>
      <c r="AH49" s="281">
        <v>862.71855200213849</v>
      </c>
      <c r="AI49" s="93">
        <f t="shared" si="5"/>
        <v>4.0786039765159821E-2</v>
      </c>
      <c r="AJ49" s="93"/>
      <c r="AK49" s="333">
        <v>210061</v>
      </c>
      <c r="AL49" s="93" t="s">
        <v>5</v>
      </c>
      <c r="AM49" s="92">
        <f>VLOOKUP($AK49,[13]PAU!$A:$IV,2,FALSE)</f>
        <v>872.96571807049907</v>
      </c>
      <c r="AN49" s="92">
        <f>VLOOKUP($AK49,[13]PAU!$A:$IV,3,FALSE)</f>
        <v>849.23535693359941</v>
      </c>
      <c r="AO49" s="93">
        <f t="shared" si="6"/>
        <v>-2.7183611733746504E-2</v>
      </c>
      <c r="AP49" s="93"/>
      <c r="AQ49" s="333">
        <v>210061</v>
      </c>
      <c r="AR49" s="93" t="s">
        <v>5</v>
      </c>
      <c r="AS49" s="92">
        <f>IFERROR(VLOOKUP($AQ49,[14]PAU!$A:$IV,3,FALSE),0)</f>
        <v>848.81041799999969</v>
      </c>
      <c r="AT49" s="92">
        <f>IFERROR(VLOOKUP($AQ49,[14]PAU!$A:$IV,4,FALSE),0)</f>
        <v>831.14497699999924</v>
      </c>
      <c r="AU49" s="93">
        <f t="shared" si="7"/>
        <v>-2.081199832775904E-2</v>
      </c>
      <c r="AV49" s="93"/>
      <c r="AW49" s="93"/>
      <c r="AX49" s="198">
        <v>210061</v>
      </c>
      <c r="AY49" s="300">
        <f t="shared" si="8"/>
        <v>-0.14872118444200721</v>
      </c>
      <c r="AZ49" s="299">
        <f t="shared" si="9"/>
        <v>126.29928815319566</v>
      </c>
      <c r="BA49" s="107">
        <f t="shared" si="10"/>
        <v>29</v>
      </c>
      <c r="BB49"/>
      <c r="BC49"/>
      <c r="BE49" s="107"/>
    </row>
    <row r="50" spans="1:57" x14ac:dyDescent="0.55000000000000004">
      <c r="A50">
        <v>210062</v>
      </c>
      <c r="B50" t="s">
        <v>24</v>
      </c>
      <c r="C50" s="281">
        <v>3807.1703949999978</v>
      </c>
      <c r="D50" s="281">
        <v>3727.5809859999963</v>
      </c>
      <c r="E50" s="93">
        <f t="shared" si="2"/>
        <v>-2.0905134454850538E-2</v>
      </c>
      <c r="F50" s="93"/>
      <c r="G50">
        <v>210062</v>
      </c>
      <c r="H50" s="318" t="s">
        <v>24</v>
      </c>
      <c r="I50" s="330">
        <v>3563.0397540000004</v>
      </c>
      <c r="J50" s="330">
        <v>3376.8900550000021</v>
      </c>
      <c r="K50" s="93">
        <f t="shared" si="0"/>
        <v>-5.2244631509098305E-2</v>
      </c>
      <c r="L50" s="94"/>
      <c r="M50" s="333">
        <v>210062</v>
      </c>
      <c r="N50" s="318" t="s">
        <v>24</v>
      </c>
      <c r="O50" s="330">
        <v>1724.8870239999999</v>
      </c>
      <c r="P50" s="330">
        <v>1760.5236419999999</v>
      </c>
      <c r="Q50" s="93">
        <f t="shared" si="1"/>
        <v>2.066026209493943E-2</v>
      </c>
      <c r="R50" s="107"/>
      <c r="S50">
        <v>210062</v>
      </c>
      <c r="T50" t="s">
        <v>24</v>
      </c>
      <c r="U50" s="281">
        <v>2908.1081989276913</v>
      </c>
      <c r="V50" s="281">
        <v>2788.5081344523428</v>
      </c>
      <c r="W50" s="93">
        <f t="shared" si="3"/>
        <v>-4.1126414938566835E-2</v>
      </c>
      <c r="Y50">
        <v>210062</v>
      </c>
      <c r="Z50" t="s">
        <v>24</v>
      </c>
      <c r="AA50" s="281">
        <v>2788.5081344523428</v>
      </c>
      <c r="AB50" s="281">
        <v>2549.3989825004837</v>
      </c>
      <c r="AC50" s="93">
        <f t="shared" si="4"/>
        <v>-8.5748056101267123E-2</v>
      </c>
      <c r="AD50" s="93"/>
      <c r="AE50">
        <v>210062</v>
      </c>
      <c r="AF50" t="s">
        <v>24</v>
      </c>
      <c r="AG50" s="281">
        <v>2549.3989825004837</v>
      </c>
      <c r="AH50" s="281">
        <v>2703.7853915323803</v>
      </c>
      <c r="AI50" s="93">
        <f t="shared" si="5"/>
        <v>6.0557962912683116E-2</v>
      </c>
      <c r="AJ50" s="93"/>
      <c r="AK50" s="333">
        <v>210062</v>
      </c>
      <c r="AL50" s="93" t="s">
        <v>24</v>
      </c>
      <c r="AM50" s="92">
        <f>VLOOKUP($AK50,[13]PAU!$A:$IV,2,FALSE)</f>
        <v>2661.4657004750943</v>
      </c>
      <c r="AN50" s="92">
        <f>VLOOKUP($AK50,[13]PAU!$A:$IV,3,FALSE)</f>
        <v>2514.1392066113908</v>
      </c>
      <c r="AO50" s="93">
        <f t="shared" si="6"/>
        <v>-5.5355398282008417E-2</v>
      </c>
      <c r="AP50" s="93"/>
      <c r="AQ50" s="333">
        <v>210062</v>
      </c>
      <c r="AR50" s="93" t="s">
        <v>24</v>
      </c>
      <c r="AS50" s="92">
        <f>IFERROR(VLOOKUP($AQ50,[14]PAU!$A:$IV,3,FALSE),0)</f>
        <v>2609.3549770000027</v>
      </c>
      <c r="AT50" s="92">
        <f>IFERROR(VLOOKUP($AQ50,[14]PAU!$A:$IV,4,FALSE),0)</f>
        <v>2457.9252890000039</v>
      </c>
      <c r="AU50" s="93">
        <f t="shared" si="7"/>
        <v>-5.8033379641622695E-2</v>
      </c>
      <c r="AV50" s="93"/>
      <c r="AW50" s="93"/>
      <c r="AX50" s="198">
        <v>210062</v>
      </c>
      <c r="AY50" s="300">
        <f t="shared" si="8"/>
        <v>-0.21644795292921382</v>
      </c>
      <c r="AZ50" s="299">
        <f t="shared" si="9"/>
        <v>544.18028465011332</v>
      </c>
      <c r="BA50" s="107">
        <f t="shared" si="10"/>
        <v>23</v>
      </c>
      <c r="BB50"/>
      <c r="BC50"/>
      <c r="BE50" s="107"/>
    </row>
    <row r="51" spans="1:57" x14ac:dyDescent="0.55000000000000004">
      <c r="A51">
        <v>210063</v>
      </c>
      <c r="B51" t="s">
        <v>46</v>
      </c>
      <c r="C51" s="281">
        <v>2627.1681219999991</v>
      </c>
      <c r="D51" s="281">
        <v>2813.9226519999993</v>
      </c>
      <c r="E51" s="93">
        <f t="shared" si="2"/>
        <v>7.1085869395304924E-2</v>
      </c>
      <c r="F51" s="93"/>
      <c r="G51">
        <v>210063</v>
      </c>
      <c r="H51" s="331" t="s">
        <v>46</v>
      </c>
      <c r="I51" s="332">
        <v>2837.0103750000007</v>
      </c>
      <c r="J51" s="332">
        <v>2714.100148</v>
      </c>
      <c r="K51" s="93">
        <f t="shared" si="0"/>
        <v>-4.3323855310187454E-2</v>
      </c>
      <c r="L51" s="94"/>
      <c r="M51" s="333">
        <v>210063</v>
      </c>
      <c r="N51" s="331" t="s">
        <v>46</v>
      </c>
      <c r="O51" s="332">
        <v>2714.1001479999982</v>
      </c>
      <c r="P51" s="332">
        <v>2929.3571579999984</v>
      </c>
      <c r="Q51" s="93">
        <f t="shared" si="1"/>
        <v>7.9310636403237211E-2</v>
      </c>
      <c r="R51" s="107"/>
      <c r="S51">
        <v>210063</v>
      </c>
      <c r="T51" t="s">
        <v>46</v>
      </c>
      <c r="U51" s="281">
        <v>2633.3214674306473</v>
      </c>
      <c r="V51" s="281">
        <v>2347.4924360743712</v>
      </c>
      <c r="W51" s="93">
        <f t="shared" si="3"/>
        <v>-0.1085431592350028</v>
      </c>
      <c r="Y51">
        <v>210063</v>
      </c>
      <c r="Z51" t="s">
        <v>46</v>
      </c>
      <c r="AA51" s="281">
        <v>2347.4924360743712</v>
      </c>
      <c r="AB51" s="281">
        <v>2297.0108107179058</v>
      </c>
      <c r="AC51" s="93">
        <f t="shared" si="4"/>
        <v>-2.1504489037197483E-2</v>
      </c>
      <c r="AD51" s="93"/>
      <c r="AE51">
        <v>210063</v>
      </c>
      <c r="AF51" t="s">
        <v>46</v>
      </c>
      <c r="AG51" s="281">
        <v>2297.0108107179058</v>
      </c>
      <c r="AH51" s="281">
        <v>2480.0203793849159</v>
      </c>
      <c r="AI51" s="93">
        <f t="shared" si="5"/>
        <v>7.9672924399433853E-2</v>
      </c>
      <c r="AJ51" s="93"/>
      <c r="AK51" s="333">
        <v>210063</v>
      </c>
      <c r="AL51" s="93" t="s">
        <v>46</v>
      </c>
      <c r="AM51" s="92">
        <f>VLOOKUP($AK51,[13]PAU!$A:$IV,2,FALSE)</f>
        <v>2337.1641495866979</v>
      </c>
      <c r="AN51" s="92">
        <f>VLOOKUP($AK51,[13]PAU!$A:$IV,3,FALSE)</f>
        <v>2428.8663051156959</v>
      </c>
      <c r="AO51" s="93">
        <f t="shared" si="6"/>
        <v>3.9236506150077011E-2</v>
      </c>
      <c r="AP51" s="93"/>
      <c r="AQ51" s="333">
        <v>210063</v>
      </c>
      <c r="AR51" s="93" t="s">
        <v>46</v>
      </c>
      <c r="AS51" s="92">
        <f>IFERROR(VLOOKUP($AQ51,[14]PAU!$A:$IV,3,FALSE),0)</f>
        <v>2294.6887340000039</v>
      </c>
      <c r="AT51" s="92">
        <f>IFERROR(VLOOKUP($AQ51,[14]PAU!$A:$IV,4,FALSE),0)</f>
        <v>2389.6718280000005</v>
      </c>
      <c r="AU51" s="93">
        <f t="shared" si="7"/>
        <v>4.1392583051744092E-2</v>
      </c>
      <c r="AV51" s="93"/>
      <c r="AW51" s="93"/>
      <c r="AX51" s="198">
        <v>210063</v>
      </c>
      <c r="AY51" s="300">
        <f t="shared" si="8"/>
        <v>0.12723881799863523</v>
      </c>
      <c r="AZ51" s="299">
        <f t="shared" si="9"/>
        <v>-309.04607773963369</v>
      </c>
      <c r="BA51" s="107">
        <f t="shared" si="10"/>
        <v>42</v>
      </c>
      <c r="BB51"/>
      <c r="BC51"/>
      <c r="BE51" s="107"/>
    </row>
    <row r="52" spans="1:57" x14ac:dyDescent="0.55000000000000004">
      <c r="A52"/>
      <c r="B52"/>
      <c r="C52"/>
      <c r="D52"/>
      <c r="E52" s="93"/>
      <c r="F52" s="93"/>
      <c r="G52">
        <v>210065</v>
      </c>
      <c r="H52" s="331" t="s">
        <v>14</v>
      </c>
      <c r="I52" s="332">
        <v>136.37891400000001</v>
      </c>
      <c r="J52" s="332">
        <v>897.97396599999979</v>
      </c>
      <c r="K52" s="93">
        <f t="shared" si="0"/>
        <v>5.5844047269653414</v>
      </c>
      <c r="L52" s="94"/>
      <c r="M52" s="333">
        <v>210065</v>
      </c>
      <c r="N52" s="331" t="s">
        <v>14</v>
      </c>
      <c r="O52" s="332">
        <v>897.9739659999999</v>
      </c>
      <c r="P52" s="332">
        <v>999.16356400000018</v>
      </c>
      <c r="Q52" s="93">
        <f t="shared" si="1"/>
        <v>0.1126865608930141</v>
      </c>
      <c r="R52" s="107"/>
      <c r="S52">
        <v>210065</v>
      </c>
      <c r="T52" t="s">
        <v>14</v>
      </c>
      <c r="U52" s="281">
        <v>914.68278733970283</v>
      </c>
      <c r="V52" s="281">
        <v>938.09751704121391</v>
      </c>
      <c r="W52" s="93">
        <f t="shared" si="3"/>
        <v>2.5598743111381106E-2</v>
      </c>
      <c r="Y52">
        <v>210065</v>
      </c>
      <c r="Z52" t="s">
        <v>14</v>
      </c>
      <c r="AA52" s="281">
        <v>938.09751704121391</v>
      </c>
      <c r="AB52" s="281">
        <v>943.97418396629882</v>
      </c>
      <c r="AC52" s="93">
        <f t="shared" si="4"/>
        <v>6.2644520621055744E-3</v>
      </c>
      <c r="AD52" s="93"/>
      <c r="AE52">
        <v>210065</v>
      </c>
      <c r="AF52" t="s">
        <v>14</v>
      </c>
      <c r="AG52" s="281">
        <v>943.97418396629882</v>
      </c>
      <c r="AH52" s="281">
        <v>1155.3216952720591</v>
      </c>
      <c r="AI52" s="93">
        <f t="shared" si="5"/>
        <v>0.22389119839881721</v>
      </c>
      <c r="AJ52" s="93"/>
      <c r="AK52" s="333">
        <v>210065</v>
      </c>
      <c r="AL52" s="93" t="s">
        <v>14</v>
      </c>
      <c r="AM52" s="92">
        <f>VLOOKUP($AK52,[13]PAU!$A:$IV,2,FALSE)</f>
        <v>1061.6008971703991</v>
      </c>
      <c r="AN52" s="92">
        <f>VLOOKUP($AK52,[13]PAU!$A:$IV,3,FALSE)</f>
        <v>1004.9758348410996</v>
      </c>
      <c r="AO52" s="93">
        <f t="shared" si="6"/>
        <v>-5.3339312805997463E-2</v>
      </c>
      <c r="AP52" s="93"/>
      <c r="AQ52" s="333">
        <v>210065</v>
      </c>
      <c r="AR52" s="93" t="s">
        <v>14</v>
      </c>
      <c r="AS52" s="92">
        <f>IFERROR(VLOOKUP($AQ52,[14]PAU!$A:$IV,3,FALSE),0)</f>
        <v>1043.0215119999996</v>
      </c>
      <c r="AT52" s="92">
        <f>IFERROR(VLOOKUP($AQ52,[14]PAU!$A:$IV,4,FALSE),0)</f>
        <v>983.7591799999999</v>
      </c>
      <c r="AU52" s="93">
        <f t="shared" si="7"/>
        <v>-5.6817938382079824E-2</v>
      </c>
      <c r="AV52" s="93"/>
      <c r="AW52" s="93"/>
      <c r="AX52" s="198">
        <v>210065</v>
      </c>
      <c r="AY52" s="300">
        <f>(VLOOKUP(AX52,$M$6:$Q$52,5,FALSE)+1)*(VLOOKUP(AX52,$S$6:$W$52,5,FALSE)+1)*(VLOOKUP(AX52,$Y$6:$AC$52,5,FALSE)+1)*(VLOOKUP(AX52,$AE:$AI,5,FALSE)+1)*(VLOOKUP(AX52,AK:AO,5,FALSE)+1)*(VLOOKUP(AQ52,AQ:AU,5,FALSE)+1)-1</f>
        <v>0.25485960562625265</v>
      </c>
      <c r="AZ52" s="299">
        <f t="shared" si="9"/>
        <v>-256.12774493151665</v>
      </c>
      <c r="BA52" s="107">
        <f t="shared" si="10"/>
        <v>44</v>
      </c>
      <c r="BB52"/>
      <c r="BC52"/>
      <c r="BE52" s="107"/>
    </row>
    <row r="53" spans="1:57" x14ac:dyDescent="0.55000000000000004">
      <c r="A53"/>
      <c r="B53"/>
      <c r="C53"/>
      <c r="D53"/>
      <c r="E53" s="107"/>
      <c r="F53" s="107"/>
      <c r="G53"/>
      <c r="H53"/>
      <c r="I53"/>
      <c r="J53"/>
      <c r="K53"/>
      <c r="L53" s="107"/>
      <c r="Q53"/>
      <c r="R53" s="107"/>
      <c r="S53"/>
      <c r="T53"/>
      <c r="U53"/>
      <c r="V53"/>
      <c r="W53" s="107"/>
      <c r="Y53"/>
      <c r="Z53"/>
      <c r="AA53"/>
      <c r="AB53"/>
      <c r="AC53" s="107"/>
      <c r="AD53" s="107"/>
      <c r="AE53"/>
      <c r="AF53"/>
      <c r="AG53"/>
      <c r="AH53"/>
      <c r="AI53" s="107"/>
      <c r="AJ53" s="107"/>
      <c r="AK53" s="107"/>
      <c r="AL53" s="107"/>
      <c r="AM53" s="372"/>
      <c r="AN53" s="372"/>
      <c r="AO53" s="107"/>
      <c r="AP53" s="107"/>
      <c r="AQ53" s="107"/>
      <c r="AR53" s="107"/>
      <c r="AS53" s="107"/>
      <c r="AT53" s="107"/>
      <c r="AU53" s="107"/>
      <c r="AV53" s="107"/>
      <c r="AW53" s="107"/>
      <c r="AX53" s="195"/>
      <c r="AZ53" s="299">
        <f>SUM(AZ6:AZ52)</f>
        <v>13628.070918548798</v>
      </c>
      <c r="BB53" s="107"/>
      <c r="BC53" s="107"/>
      <c r="BD53" s="372"/>
      <c r="BE53" s="107"/>
    </row>
    <row r="54" spans="1:57" x14ac:dyDescent="0.55000000000000004">
      <c r="C54" s="107"/>
      <c r="E54" s="107"/>
      <c r="F54" s="107"/>
      <c r="G54"/>
      <c r="H54"/>
      <c r="I54"/>
      <c r="J54"/>
      <c r="K54"/>
      <c r="L54" s="107"/>
      <c r="Q54"/>
      <c r="R54" s="107"/>
      <c r="U54" s="107"/>
      <c r="W54" s="107"/>
      <c r="AA54" s="107"/>
      <c r="AC54" s="107"/>
      <c r="AD54" s="107"/>
      <c r="AG54" s="107"/>
      <c r="AI54" s="107"/>
      <c r="AJ54" s="107"/>
      <c r="AK54" s="107"/>
      <c r="AL54" s="107"/>
      <c r="AM54" s="372"/>
      <c r="AN54" s="372"/>
      <c r="AO54" s="107"/>
      <c r="AP54" s="107"/>
      <c r="AQ54" s="107"/>
      <c r="AR54" s="107"/>
      <c r="AS54" s="107"/>
      <c r="AT54" s="107"/>
      <c r="AU54" s="107"/>
      <c r="AV54" s="107"/>
      <c r="AW54" s="107"/>
      <c r="AX54" s="195"/>
      <c r="BB54" s="107"/>
      <c r="BC54" s="107"/>
      <c r="BD54" s="372"/>
      <c r="BE54" s="107"/>
    </row>
    <row r="55" spans="1:57" x14ac:dyDescent="0.55000000000000004">
      <c r="C55" s="107"/>
      <c r="E55" s="107"/>
      <c r="F55" s="107"/>
      <c r="G55"/>
      <c r="H55"/>
      <c r="I55"/>
      <c r="J55"/>
      <c r="K55"/>
      <c r="L55" s="107"/>
      <c r="Q55"/>
      <c r="R55" s="107"/>
      <c r="U55" s="107"/>
      <c r="W55" s="107"/>
      <c r="AA55" s="107"/>
      <c r="AC55" s="107"/>
      <c r="AD55" s="107"/>
      <c r="AG55" s="107"/>
      <c r="AI55" s="107"/>
      <c r="AJ55" s="107"/>
      <c r="AK55" s="107"/>
      <c r="AL55" s="107"/>
      <c r="AM55" s="372"/>
      <c r="AN55" s="372"/>
      <c r="AO55" s="107"/>
      <c r="AP55" s="107"/>
      <c r="AQ55" s="107"/>
      <c r="AR55" s="107"/>
      <c r="AS55" s="107"/>
      <c r="AT55" s="107"/>
      <c r="AU55" s="107"/>
      <c r="AV55" s="107"/>
      <c r="AW55" s="107"/>
      <c r="AX55" s="195"/>
      <c r="BB55" s="107"/>
      <c r="BC55" s="107"/>
      <c r="BD55" s="372"/>
      <c r="BE55" s="107"/>
    </row>
    <row r="56" spans="1:57" x14ac:dyDescent="0.55000000000000004">
      <c r="C56" s="107"/>
      <c r="E56" s="107"/>
      <c r="F56" s="107"/>
      <c r="G56"/>
      <c r="H56"/>
      <c r="I56"/>
      <c r="J56"/>
      <c r="K56"/>
      <c r="L56" s="107"/>
      <c r="Q56"/>
      <c r="R56" s="107"/>
      <c r="U56" s="107"/>
      <c r="W56" s="107"/>
      <c r="AA56" s="107"/>
      <c r="AC56" s="107"/>
      <c r="AD56" s="107"/>
      <c r="AG56" s="107"/>
      <c r="AI56" s="107"/>
      <c r="AJ56" s="107"/>
      <c r="AK56" s="107"/>
      <c r="AL56" s="107"/>
      <c r="AM56" s="372"/>
      <c r="AN56" s="372"/>
      <c r="AO56" s="107"/>
      <c r="AP56" s="107"/>
      <c r="AQ56" s="107"/>
      <c r="AR56" s="107"/>
      <c r="AS56" s="107"/>
      <c r="AT56" s="107"/>
      <c r="AU56" s="107"/>
      <c r="AV56" s="107"/>
      <c r="AW56" s="107"/>
      <c r="AX56" s="195"/>
      <c r="BB56" s="107"/>
      <c r="BC56" s="107"/>
      <c r="BD56" s="372"/>
      <c r="BE56" s="107"/>
    </row>
    <row r="57" spans="1:57" x14ac:dyDescent="0.55000000000000004">
      <c r="C57" s="107"/>
      <c r="E57" s="107"/>
      <c r="F57" s="107"/>
      <c r="G57"/>
      <c r="H57"/>
      <c r="I57"/>
      <c r="J57"/>
      <c r="K57"/>
      <c r="L57" s="107"/>
      <c r="Q57"/>
      <c r="R57" s="107"/>
      <c r="U57" s="107"/>
      <c r="W57" s="107"/>
      <c r="AA57" s="107"/>
      <c r="AC57" s="107"/>
      <c r="AD57" s="107"/>
      <c r="AG57" s="107"/>
      <c r="AI57" s="107"/>
      <c r="AJ57" s="107"/>
      <c r="AK57" s="107"/>
      <c r="AL57" s="107"/>
      <c r="AM57" s="372"/>
      <c r="AN57" s="372"/>
      <c r="AO57" s="107"/>
      <c r="AP57" s="107"/>
      <c r="AQ57" s="107"/>
      <c r="AR57" s="107"/>
      <c r="AS57" s="107"/>
      <c r="AT57" s="107"/>
      <c r="AU57" s="107"/>
      <c r="AV57" s="107"/>
      <c r="AW57" s="107"/>
      <c r="AX57" s="195"/>
      <c r="BB57" s="107"/>
      <c r="BC57" s="107"/>
      <c r="BD57" s="372"/>
      <c r="BE57" s="107"/>
    </row>
    <row r="58" spans="1:57" x14ac:dyDescent="0.55000000000000004">
      <c r="C58" s="107"/>
      <c r="E58" s="107"/>
      <c r="F58" s="107"/>
      <c r="G58"/>
      <c r="H58"/>
      <c r="I58"/>
      <c r="J58"/>
      <c r="K58"/>
      <c r="L58" s="107"/>
      <c r="Q58"/>
      <c r="R58" s="107"/>
      <c r="U58" s="107"/>
      <c r="W58" s="107"/>
      <c r="AA58" s="107"/>
      <c r="AC58" s="107"/>
      <c r="AD58" s="107"/>
      <c r="AG58" s="107"/>
      <c r="AI58" s="107"/>
      <c r="AJ58" s="107"/>
      <c r="AK58" s="107"/>
      <c r="AL58" s="107"/>
      <c r="AM58" s="372"/>
      <c r="AN58" s="372"/>
      <c r="AO58" s="107"/>
      <c r="AP58" s="107"/>
      <c r="AQ58" s="107"/>
      <c r="AR58" s="107"/>
      <c r="AS58" s="107"/>
      <c r="AT58" s="107"/>
      <c r="AU58" s="107"/>
      <c r="AV58" s="107"/>
      <c r="AW58" s="107"/>
      <c r="AX58" s="195"/>
      <c r="BB58" s="107"/>
      <c r="BC58" s="107"/>
      <c r="BD58" s="372"/>
      <c r="BE58" s="107"/>
    </row>
    <row r="59" spans="1:57" x14ac:dyDescent="0.55000000000000004">
      <c r="C59" s="107"/>
      <c r="E59" s="107"/>
      <c r="F59" s="107"/>
      <c r="G59"/>
      <c r="H59"/>
      <c r="I59"/>
      <c r="J59"/>
      <c r="K59"/>
      <c r="L59" s="107"/>
      <c r="Q59"/>
      <c r="R59" s="107"/>
      <c r="U59" s="107"/>
      <c r="W59" s="107"/>
      <c r="AA59" s="107"/>
      <c r="AC59" s="107"/>
      <c r="AD59" s="107"/>
      <c r="AG59" s="107"/>
      <c r="AI59" s="107"/>
      <c r="AJ59" s="107"/>
      <c r="AK59" s="107"/>
      <c r="AL59" s="107"/>
      <c r="AM59" s="372"/>
      <c r="AN59" s="372"/>
      <c r="AO59" s="107"/>
      <c r="AP59" s="107"/>
      <c r="AQ59" s="107"/>
      <c r="AR59" s="107"/>
      <c r="AS59" s="107"/>
      <c r="AT59" s="107"/>
      <c r="AU59" s="107"/>
      <c r="AV59" s="107"/>
      <c r="AW59" s="107"/>
      <c r="AX59" s="195"/>
      <c r="BB59" s="107"/>
      <c r="BC59" s="107"/>
      <c r="BD59" s="372"/>
      <c r="BE59" s="107"/>
    </row>
    <row r="60" spans="1:57" x14ac:dyDescent="0.55000000000000004">
      <c r="C60" s="107"/>
      <c r="E60" s="107"/>
      <c r="F60" s="107"/>
      <c r="G60"/>
      <c r="H60"/>
      <c r="I60"/>
      <c r="J60"/>
      <c r="K60"/>
      <c r="L60" s="107"/>
      <c r="Q60"/>
      <c r="R60" s="107"/>
      <c r="U60" s="107"/>
      <c r="W60" s="107"/>
      <c r="AA60" s="107"/>
      <c r="AC60" s="107"/>
      <c r="AD60" s="107"/>
      <c r="AG60" s="107"/>
      <c r="AI60" s="107"/>
      <c r="AJ60" s="107"/>
      <c r="AK60" s="107"/>
      <c r="AL60" s="107"/>
      <c r="AM60" s="372"/>
      <c r="AN60" s="372"/>
      <c r="AO60" s="107"/>
      <c r="AP60" s="107"/>
      <c r="AQ60" s="107"/>
      <c r="AR60" s="107"/>
      <c r="AS60" s="107"/>
      <c r="AT60" s="107"/>
      <c r="AU60" s="107"/>
      <c r="AV60" s="107"/>
      <c r="AW60" s="107"/>
      <c r="AX60" s="195"/>
      <c r="BB60" s="107"/>
      <c r="BC60" s="107"/>
      <c r="BD60" s="372"/>
      <c r="BE60" s="107"/>
    </row>
    <row r="61" spans="1:57" x14ac:dyDescent="0.55000000000000004">
      <c r="C61" s="107"/>
      <c r="E61" s="107"/>
      <c r="F61" s="107"/>
      <c r="G61"/>
      <c r="H61"/>
      <c r="I61"/>
      <c r="J61"/>
      <c r="K61"/>
      <c r="L61" s="107"/>
      <c r="Q61"/>
      <c r="R61" s="107"/>
      <c r="U61" s="107"/>
      <c r="W61" s="107"/>
      <c r="AA61" s="107"/>
      <c r="AC61" s="107"/>
      <c r="AD61" s="107"/>
      <c r="AG61" s="107"/>
      <c r="AI61" s="107"/>
      <c r="AJ61" s="107"/>
      <c r="AK61" s="107"/>
      <c r="AL61" s="107"/>
      <c r="AM61" s="372"/>
      <c r="AN61" s="372"/>
      <c r="AO61" s="107"/>
      <c r="AP61" s="107"/>
      <c r="AQ61" s="107"/>
      <c r="AR61" s="107"/>
      <c r="AS61" s="107"/>
      <c r="AT61" s="107"/>
      <c r="AU61" s="107"/>
      <c r="AV61" s="107"/>
      <c r="AW61" s="107"/>
      <c r="AX61" s="195"/>
      <c r="BB61" s="107"/>
      <c r="BC61" s="107"/>
      <c r="BD61" s="372"/>
      <c r="BE61" s="107"/>
    </row>
    <row r="62" spans="1:57" x14ac:dyDescent="0.55000000000000004">
      <c r="C62" s="107"/>
      <c r="E62" s="107"/>
      <c r="F62" s="107"/>
      <c r="G62"/>
      <c r="H62"/>
      <c r="I62"/>
      <c r="J62"/>
      <c r="K62"/>
      <c r="L62" s="107"/>
      <c r="Q62"/>
      <c r="R62" s="107"/>
      <c r="U62" s="107"/>
      <c r="W62" s="107"/>
      <c r="AA62" s="107"/>
      <c r="AC62" s="107"/>
      <c r="AD62" s="107"/>
      <c r="AG62" s="107"/>
      <c r="AI62" s="107"/>
      <c r="AJ62" s="107"/>
      <c r="AK62" s="107"/>
      <c r="AL62" s="107"/>
      <c r="AM62" s="372"/>
      <c r="AN62" s="372"/>
      <c r="AO62" s="107"/>
      <c r="AP62" s="107"/>
      <c r="AQ62" s="107"/>
      <c r="AR62" s="107"/>
      <c r="AS62" s="107"/>
      <c r="AT62" s="107"/>
      <c r="AU62" s="107"/>
      <c r="AV62" s="107"/>
      <c r="AW62" s="107"/>
      <c r="AX62" s="195"/>
      <c r="BB62" s="107"/>
      <c r="BC62" s="107"/>
      <c r="BD62" s="372"/>
      <c r="BE62" s="107"/>
    </row>
    <row r="63" spans="1:57" x14ac:dyDescent="0.55000000000000004">
      <c r="C63" s="107"/>
      <c r="E63" s="107"/>
      <c r="F63" s="107"/>
      <c r="G63"/>
      <c r="H63"/>
      <c r="I63"/>
      <c r="J63"/>
      <c r="K63"/>
      <c r="L63" s="107"/>
      <c r="Q63"/>
      <c r="R63" s="107"/>
      <c r="U63" s="107"/>
      <c r="W63" s="107"/>
      <c r="AA63" s="107"/>
      <c r="AC63" s="107"/>
      <c r="AD63" s="107"/>
      <c r="AG63" s="107"/>
      <c r="AI63" s="107"/>
      <c r="AJ63" s="107"/>
      <c r="AK63" s="107"/>
      <c r="AL63" s="107"/>
      <c r="AM63" s="372"/>
      <c r="AN63" s="372"/>
      <c r="AO63" s="107"/>
      <c r="AP63" s="107"/>
      <c r="AQ63" s="107"/>
      <c r="AR63" s="107"/>
      <c r="AS63" s="107"/>
      <c r="AT63" s="107"/>
      <c r="AU63" s="107"/>
      <c r="AV63" s="107"/>
      <c r="AW63" s="107"/>
      <c r="AX63" s="195"/>
      <c r="BB63" s="107"/>
      <c r="BC63" s="107"/>
      <c r="BD63" s="372"/>
      <c r="BE63" s="107"/>
    </row>
    <row r="64" spans="1:57" x14ac:dyDescent="0.55000000000000004">
      <c r="C64" s="107"/>
      <c r="E64" s="107"/>
      <c r="F64" s="107"/>
      <c r="G64"/>
      <c r="H64"/>
      <c r="I64"/>
      <c r="J64"/>
      <c r="K64"/>
      <c r="L64" s="107"/>
      <c r="Q64"/>
      <c r="R64" s="107"/>
      <c r="U64" s="107"/>
      <c r="W64" s="107"/>
      <c r="AA64" s="107"/>
      <c r="AC64" s="107"/>
      <c r="AD64" s="107"/>
      <c r="AG64" s="107"/>
      <c r="AI64" s="107"/>
      <c r="AJ64" s="107"/>
      <c r="AK64" s="107"/>
      <c r="AL64" s="107"/>
      <c r="AM64" s="372"/>
      <c r="AN64" s="372"/>
      <c r="AO64" s="107"/>
      <c r="AP64" s="107"/>
      <c r="AQ64" s="107"/>
      <c r="AR64" s="107"/>
      <c r="AS64" s="107"/>
      <c r="AT64" s="107"/>
      <c r="AU64" s="107"/>
      <c r="AV64" s="107"/>
      <c r="AW64" s="107"/>
      <c r="AX64" s="195"/>
      <c r="BB64" s="107"/>
      <c r="BC64" s="107"/>
      <c r="BD64" s="372"/>
      <c r="BE64" s="107"/>
    </row>
    <row r="65" spans="4:56" s="107" customFormat="1" x14ac:dyDescent="0.55000000000000004">
      <c r="D65" s="92"/>
      <c r="G65"/>
      <c r="H65"/>
      <c r="I65"/>
      <c r="J65"/>
      <c r="K65"/>
      <c r="M65" s="92"/>
      <c r="N65"/>
      <c r="O65"/>
      <c r="P65"/>
      <c r="Q65"/>
      <c r="V65" s="92"/>
      <c r="AB65" s="92"/>
      <c r="AH65" s="92"/>
      <c r="AM65" s="372"/>
      <c r="AN65" s="372"/>
      <c r="AX65" s="195"/>
      <c r="AY65" s="195"/>
      <c r="AZ65" s="299"/>
      <c r="BD65" s="372"/>
    </row>
    <row r="66" spans="4:56" s="107" customFormat="1" x14ac:dyDescent="0.55000000000000004">
      <c r="D66" s="92"/>
      <c r="G66"/>
      <c r="H66"/>
      <c r="I66"/>
      <c r="J66"/>
      <c r="K66"/>
      <c r="M66" s="92"/>
      <c r="N66"/>
      <c r="O66"/>
      <c r="P66"/>
      <c r="Q66"/>
      <c r="V66" s="92"/>
      <c r="AB66" s="92"/>
      <c r="AH66" s="92"/>
      <c r="AM66" s="372"/>
      <c r="AN66" s="372"/>
      <c r="AX66" s="195"/>
      <c r="AY66" s="195"/>
      <c r="AZ66" s="299"/>
      <c r="BD66" s="372"/>
    </row>
    <row r="67" spans="4:56" s="107" customFormat="1" x14ac:dyDescent="0.55000000000000004">
      <c r="D67" s="92"/>
      <c r="G67"/>
      <c r="H67"/>
      <c r="I67"/>
      <c r="J67"/>
      <c r="K67"/>
      <c r="M67" s="92"/>
      <c r="N67"/>
      <c r="O67"/>
      <c r="P67"/>
      <c r="Q67"/>
      <c r="V67" s="92"/>
      <c r="AB67" s="92"/>
      <c r="AH67" s="92"/>
      <c r="AM67" s="372"/>
      <c r="AN67" s="372"/>
      <c r="AX67" s="195"/>
      <c r="AY67" s="195"/>
      <c r="AZ67" s="299"/>
      <c r="BD67" s="372"/>
    </row>
    <row r="68" spans="4:56" s="107" customFormat="1" x14ac:dyDescent="0.55000000000000004">
      <c r="D68" s="92"/>
      <c r="G68"/>
      <c r="H68"/>
      <c r="I68"/>
      <c r="J68"/>
      <c r="K68"/>
      <c r="M68" s="92"/>
      <c r="N68"/>
      <c r="O68"/>
      <c r="P68"/>
      <c r="Q68"/>
      <c r="V68" s="92"/>
      <c r="AB68" s="92"/>
      <c r="AH68" s="92"/>
      <c r="AM68" s="372"/>
      <c r="AN68" s="372"/>
      <c r="AX68" s="195"/>
      <c r="AY68" s="195"/>
      <c r="AZ68" s="299"/>
      <c r="BD68" s="372"/>
    </row>
    <row r="69" spans="4:56" s="107" customFormat="1" x14ac:dyDescent="0.55000000000000004">
      <c r="D69" s="92"/>
      <c r="G69"/>
      <c r="H69"/>
      <c r="I69"/>
      <c r="J69"/>
      <c r="K69"/>
      <c r="M69" s="92"/>
      <c r="N69"/>
      <c r="O69"/>
      <c r="P69"/>
      <c r="Q69"/>
      <c r="V69" s="92"/>
      <c r="AB69" s="92"/>
      <c r="AH69" s="92"/>
      <c r="AM69" s="372"/>
      <c r="AN69" s="372"/>
      <c r="AX69" s="195"/>
      <c r="AY69" s="195"/>
      <c r="AZ69" s="299"/>
      <c r="BD69" s="372"/>
    </row>
    <row r="70" spans="4:56" s="107" customFormat="1" x14ac:dyDescent="0.55000000000000004">
      <c r="D70" s="92"/>
      <c r="G70"/>
      <c r="H70"/>
      <c r="I70"/>
      <c r="J70"/>
      <c r="K70"/>
      <c r="M70" s="92"/>
      <c r="N70"/>
      <c r="O70"/>
      <c r="P70"/>
      <c r="Q70"/>
      <c r="V70" s="92"/>
      <c r="AB70" s="92"/>
      <c r="AH70" s="92"/>
      <c r="AM70" s="372"/>
      <c r="AN70" s="372"/>
      <c r="AX70" s="195"/>
      <c r="AY70" s="195"/>
      <c r="AZ70" s="299"/>
      <c r="BD70" s="372"/>
    </row>
    <row r="71" spans="4:56" s="107" customFormat="1" x14ac:dyDescent="0.55000000000000004">
      <c r="D71" s="92"/>
      <c r="G71"/>
      <c r="H71"/>
      <c r="I71"/>
      <c r="J71"/>
      <c r="K71"/>
      <c r="M71" s="92"/>
      <c r="N71"/>
      <c r="O71"/>
      <c r="P71"/>
      <c r="Q71"/>
      <c r="V71" s="92"/>
      <c r="AB71" s="92"/>
      <c r="AH71" s="92"/>
      <c r="AM71" s="372"/>
      <c r="AN71" s="372"/>
      <c r="AX71" s="195"/>
      <c r="AY71" s="195"/>
      <c r="AZ71" s="299"/>
      <c r="BD71" s="372"/>
    </row>
    <row r="72" spans="4:56" s="107" customFormat="1" x14ac:dyDescent="0.55000000000000004">
      <c r="D72" s="92"/>
      <c r="G72"/>
      <c r="H72"/>
      <c r="I72"/>
      <c r="J72"/>
      <c r="K72"/>
      <c r="M72" s="92"/>
      <c r="N72"/>
      <c r="O72"/>
      <c r="P72"/>
      <c r="Q72"/>
      <c r="V72" s="92"/>
      <c r="AB72" s="92"/>
      <c r="AH72" s="92"/>
      <c r="AM72" s="372"/>
      <c r="AN72" s="372"/>
      <c r="AX72" s="195"/>
      <c r="AY72" s="195"/>
      <c r="AZ72" s="299"/>
      <c r="BD72" s="372"/>
    </row>
    <row r="73" spans="4:56" s="107" customFormat="1" x14ac:dyDescent="0.55000000000000004">
      <c r="D73" s="92"/>
      <c r="G73"/>
      <c r="H73"/>
      <c r="I73"/>
      <c r="J73"/>
      <c r="K73"/>
      <c r="M73" s="92"/>
      <c r="N73"/>
      <c r="O73"/>
      <c r="P73"/>
      <c r="Q73"/>
      <c r="V73" s="92"/>
      <c r="AB73" s="92"/>
      <c r="AH73" s="92"/>
      <c r="AM73" s="372"/>
      <c r="AN73" s="372"/>
      <c r="AX73" s="195"/>
      <c r="AY73" s="195"/>
      <c r="AZ73" s="299"/>
      <c r="BD73" s="372"/>
    </row>
    <row r="74" spans="4:56" s="107" customFormat="1" x14ac:dyDescent="0.55000000000000004">
      <c r="D74" s="92"/>
      <c r="G74"/>
      <c r="H74"/>
      <c r="I74"/>
      <c r="J74"/>
      <c r="K74"/>
      <c r="M74" s="92"/>
      <c r="N74"/>
      <c r="O74"/>
      <c r="P74"/>
      <c r="Q74"/>
      <c r="V74" s="92"/>
      <c r="AB74" s="92"/>
      <c r="AH74" s="92"/>
      <c r="AM74" s="372"/>
      <c r="AN74" s="372"/>
      <c r="AX74" s="195"/>
      <c r="AY74" s="195"/>
      <c r="AZ74" s="299"/>
      <c r="BD74" s="372"/>
    </row>
    <row r="75" spans="4:56" s="107" customFormat="1" x14ac:dyDescent="0.55000000000000004">
      <c r="D75" s="92"/>
      <c r="G75"/>
      <c r="H75"/>
      <c r="I75"/>
      <c r="J75"/>
      <c r="K75"/>
      <c r="M75" s="92"/>
      <c r="N75"/>
      <c r="O75"/>
      <c r="P75"/>
      <c r="Q75"/>
      <c r="V75" s="92"/>
      <c r="AB75" s="92"/>
      <c r="AH75" s="92"/>
      <c r="AM75" s="372"/>
      <c r="AN75" s="372"/>
      <c r="AX75" s="195"/>
      <c r="AY75" s="195"/>
      <c r="AZ75" s="299"/>
      <c r="BD75" s="372"/>
    </row>
    <row r="76" spans="4:56" s="107" customFormat="1" x14ac:dyDescent="0.55000000000000004">
      <c r="D76" s="92"/>
      <c r="G76"/>
      <c r="H76"/>
      <c r="I76"/>
      <c r="J76"/>
      <c r="K76"/>
      <c r="M76" s="92"/>
      <c r="N76"/>
      <c r="O76"/>
      <c r="P76"/>
      <c r="Q76"/>
      <c r="V76" s="92"/>
      <c r="AB76" s="92"/>
      <c r="AH76" s="92"/>
      <c r="AM76" s="372"/>
      <c r="AN76" s="372"/>
      <c r="AX76" s="195"/>
      <c r="AY76" s="195"/>
      <c r="AZ76" s="299"/>
      <c r="BD76" s="372"/>
    </row>
    <row r="77" spans="4:56" s="107" customFormat="1" x14ac:dyDescent="0.55000000000000004">
      <c r="D77" s="92"/>
      <c r="G77"/>
      <c r="H77"/>
      <c r="I77"/>
      <c r="J77"/>
      <c r="K77"/>
      <c r="M77" s="92"/>
      <c r="N77"/>
      <c r="O77"/>
      <c r="P77"/>
      <c r="Q77"/>
      <c r="V77" s="92"/>
      <c r="AB77" s="92"/>
      <c r="AH77" s="92"/>
      <c r="AM77" s="372"/>
      <c r="AN77" s="372"/>
      <c r="AX77" s="195"/>
      <c r="AY77" s="195"/>
      <c r="AZ77" s="299"/>
      <c r="BD77" s="372"/>
    </row>
    <row r="78" spans="4:56" s="107" customFormat="1" x14ac:dyDescent="0.55000000000000004">
      <c r="D78" s="92"/>
      <c r="G78"/>
      <c r="H78"/>
      <c r="I78"/>
      <c r="J78"/>
      <c r="K78"/>
      <c r="M78" s="92"/>
      <c r="N78"/>
      <c r="O78"/>
      <c r="P78"/>
      <c r="Q78"/>
      <c r="V78" s="92"/>
      <c r="AB78" s="92"/>
      <c r="AH78" s="92"/>
      <c r="AM78" s="372"/>
      <c r="AN78" s="372"/>
      <c r="AX78" s="195"/>
      <c r="AY78" s="195"/>
      <c r="AZ78" s="299"/>
      <c r="BD78" s="372"/>
    </row>
    <row r="79" spans="4:56" s="107" customFormat="1" x14ac:dyDescent="0.55000000000000004">
      <c r="D79" s="92"/>
      <c r="G79"/>
      <c r="H79"/>
      <c r="I79"/>
      <c r="J79"/>
      <c r="K79"/>
      <c r="M79" s="92"/>
      <c r="N79"/>
      <c r="O79"/>
      <c r="P79"/>
      <c r="Q79"/>
      <c r="V79" s="92"/>
      <c r="AB79" s="92"/>
      <c r="AH79" s="92"/>
      <c r="AM79" s="372"/>
      <c r="AN79" s="372"/>
      <c r="AX79" s="195"/>
      <c r="AY79" s="195"/>
      <c r="AZ79" s="299"/>
      <c r="BD79" s="372"/>
    </row>
    <row r="80" spans="4:56" s="107" customFormat="1" x14ac:dyDescent="0.55000000000000004">
      <c r="D80" s="92"/>
      <c r="G80"/>
      <c r="H80"/>
      <c r="I80"/>
      <c r="J80"/>
      <c r="K80"/>
      <c r="M80" s="92"/>
      <c r="N80"/>
      <c r="O80"/>
      <c r="P80"/>
      <c r="Q80"/>
      <c r="V80" s="92"/>
      <c r="AB80" s="92"/>
      <c r="AH80" s="92"/>
      <c r="AM80" s="372"/>
      <c r="AN80" s="372"/>
      <c r="AX80" s="195"/>
      <c r="AY80" s="195"/>
      <c r="AZ80" s="299"/>
      <c r="BD80" s="372"/>
    </row>
    <row r="81" spans="4:56" s="107" customFormat="1" x14ac:dyDescent="0.55000000000000004">
      <c r="D81" s="92"/>
      <c r="G81"/>
      <c r="H81"/>
      <c r="I81"/>
      <c r="J81"/>
      <c r="K81"/>
      <c r="M81" s="92"/>
      <c r="N81"/>
      <c r="O81"/>
      <c r="P81"/>
      <c r="Q81"/>
      <c r="V81" s="92"/>
      <c r="AB81" s="92"/>
      <c r="AH81" s="92"/>
      <c r="AM81" s="372"/>
      <c r="AN81" s="372"/>
      <c r="AX81" s="195"/>
      <c r="AY81" s="195"/>
      <c r="AZ81" s="299"/>
      <c r="BD81" s="372"/>
    </row>
    <row r="82" spans="4:56" s="107" customFormat="1" x14ac:dyDescent="0.55000000000000004">
      <c r="D82" s="92"/>
      <c r="G82"/>
      <c r="H82"/>
      <c r="I82"/>
      <c r="J82"/>
      <c r="K82"/>
      <c r="M82" s="92"/>
      <c r="N82"/>
      <c r="O82"/>
      <c r="P82"/>
      <c r="Q82"/>
      <c r="V82" s="92"/>
      <c r="AB82" s="92"/>
      <c r="AH82" s="92"/>
      <c r="AM82" s="372"/>
      <c r="AN82" s="372"/>
      <c r="AX82" s="195"/>
      <c r="AY82" s="195"/>
      <c r="AZ82" s="299"/>
      <c r="BD82" s="372"/>
    </row>
    <row r="83" spans="4:56" s="107" customFormat="1" x14ac:dyDescent="0.55000000000000004">
      <c r="D83" s="92"/>
      <c r="G83"/>
      <c r="H83"/>
      <c r="I83"/>
      <c r="J83"/>
      <c r="K83"/>
      <c r="M83" s="92"/>
      <c r="N83"/>
      <c r="O83"/>
      <c r="P83"/>
      <c r="Q83"/>
      <c r="V83" s="92"/>
      <c r="AB83" s="92"/>
      <c r="AH83" s="92"/>
      <c r="AM83" s="372"/>
      <c r="AN83" s="372"/>
      <c r="AX83" s="195"/>
      <c r="AY83" s="195"/>
      <c r="AZ83" s="299"/>
      <c r="BD83" s="372"/>
    </row>
    <row r="84" spans="4:56" s="107" customFormat="1" x14ac:dyDescent="0.55000000000000004">
      <c r="D84" s="92"/>
      <c r="G84"/>
      <c r="H84"/>
      <c r="I84"/>
      <c r="J84"/>
      <c r="K84"/>
      <c r="M84" s="92"/>
      <c r="N84"/>
      <c r="O84"/>
      <c r="P84"/>
      <c r="Q84"/>
      <c r="V84" s="92"/>
      <c r="AB84" s="92"/>
      <c r="AH84" s="92"/>
      <c r="AM84" s="372"/>
      <c r="AN84" s="372"/>
      <c r="AX84" s="195"/>
      <c r="AY84" s="195"/>
      <c r="AZ84" s="299"/>
      <c r="BD84" s="372"/>
    </row>
    <row r="85" spans="4:56" s="107" customFormat="1" x14ac:dyDescent="0.55000000000000004">
      <c r="D85" s="92"/>
      <c r="G85"/>
      <c r="H85"/>
      <c r="I85"/>
      <c r="J85"/>
      <c r="K85"/>
      <c r="M85" s="92"/>
      <c r="N85"/>
      <c r="O85"/>
      <c r="P85"/>
      <c r="Q85"/>
      <c r="V85" s="92"/>
      <c r="AB85" s="92"/>
      <c r="AH85" s="92"/>
      <c r="AM85" s="372"/>
      <c r="AN85" s="372"/>
      <c r="AX85" s="195"/>
      <c r="AY85" s="195"/>
      <c r="AZ85" s="299"/>
      <c r="BD85" s="372"/>
    </row>
    <row r="86" spans="4:56" s="107" customFormat="1" x14ac:dyDescent="0.55000000000000004">
      <c r="D86" s="92"/>
      <c r="G86"/>
      <c r="H86"/>
      <c r="I86"/>
      <c r="J86"/>
      <c r="K86"/>
      <c r="M86" s="92"/>
      <c r="N86"/>
      <c r="O86"/>
      <c r="P86"/>
      <c r="Q86"/>
      <c r="V86" s="92"/>
      <c r="AB86" s="92"/>
      <c r="AH86" s="92"/>
      <c r="AM86" s="372"/>
      <c r="AN86" s="372"/>
      <c r="AX86" s="195"/>
      <c r="AY86" s="195"/>
      <c r="AZ86" s="299"/>
      <c r="BD86" s="372"/>
    </row>
    <row r="87" spans="4:56" s="107" customFormat="1" x14ac:dyDescent="0.55000000000000004">
      <c r="D87" s="92"/>
      <c r="G87"/>
      <c r="H87"/>
      <c r="I87"/>
      <c r="J87"/>
      <c r="K87"/>
      <c r="M87" s="92"/>
      <c r="N87"/>
      <c r="O87"/>
      <c r="P87"/>
      <c r="Q87"/>
      <c r="V87" s="92"/>
      <c r="AB87" s="92"/>
      <c r="AH87" s="92"/>
      <c r="AM87" s="372"/>
      <c r="AN87" s="372"/>
      <c r="AX87" s="195"/>
      <c r="AY87" s="195"/>
      <c r="AZ87" s="299"/>
      <c r="BD87" s="372"/>
    </row>
    <row r="88" spans="4:56" s="107" customFormat="1" x14ac:dyDescent="0.55000000000000004">
      <c r="D88" s="92"/>
      <c r="G88"/>
      <c r="H88"/>
      <c r="I88"/>
      <c r="J88"/>
      <c r="K88"/>
      <c r="M88" s="92"/>
      <c r="N88"/>
      <c r="O88"/>
      <c r="P88"/>
      <c r="Q88"/>
      <c r="V88" s="92"/>
      <c r="AB88" s="92"/>
      <c r="AH88" s="92"/>
      <c r="AM88" s="372"/>
      <c r="AN88" s="372"/>
      <c r="AX88" s="195"/>
      <c r="AY88" s="195"/>
      <c r="AZ88" s="299"/>
      <c r="BD88" s="372"/>
    </row>
    <row r="89" spans="4:56" s="107" customFormat="1" x14ac:dyDescent="0.55000000000000004">
      <c r="D89" s="92"/>
      <c r="G89"/>
      <c r="H89"/>
      <c r="I89"/>
      <c r="J89"/>
      <c r="K89"/>
      <c r="M89" s="92"/>
      <c r="N89"/>
      <c r="O89"/>
      <c r="P89"/>
      <c r="Q89"/>
      <c r="V89" s="92"/>
      <c r="AB89" s="92"/>
      <c r="AH89" s="92"/>
      <c r="AM89" s="372"/>
      <c r="AN89" s="372"/>
      <c r="AX89" s="195"/>
      <c r="AY89" s="195"/>
      <c r="AZ89" s="299"/>
      <c r="BD89" s="372"/>
    </row>
    <row r="90" spans="4:56" s="107" customFormat="1" x14ac:dyDescent="0.55000000000000004">
      <c r="D90" s="92"/>
      <c r="G90"/>
      <c r="H90"/>
      <c r="I90"/>
      <c r="J90"/>
      <c r="K90"/>
      <c r="M90" s="92"/>
      <c r="N90"/>
      <c r="O90"/>
      <c r="P90"/>
      <c r="Q90"/>
      <c r="V90" s="92"/>
      <c r="AB90" s="92"/>
      <c r="AH90" s="92"/>
      <c r="AM90" s="372"/>
      <c r="AN90" s="372"/>
      <c r="AX90" s="195"/>
      <c r="AY90" s="195"/>
      <c r="AZ90" s="299"/>
      <c r="BD90" s="372"/>
    </row>
    <row r="91" spans="4:56" s="107" customFormat="1" x14ac:dyDescent="0.55000000000000004">
      <c r="D91" s="92"/>
      <c r="G91"/>
      <c r="H91"/>
      <c r="I91"/>
      <c r="J91"/>
      <c r="K91"/>
      <c r="M91" s="92"/>
      <c r="N91"/>
      <c r="O91"/>
      <c r="P91"/>
      <c r="Q91"/>
      <c r="V91" s="92"/>
      <c r="AB91" s="92"/>
      <c r="AH91" s="92"/>
      <c r="AM91" s="372"/>
      <c r="AN91" s="372"/>
      <c r="AX91" s="195"/>
      <c r="AY91" s="195"/>
      <c r="AZ91" s="299"/>
      <c r="BD91" s="372"/>
    </row>
    <row r="92" spans="4:56" s="107" customFormat="1" x14ac:dyDescent="0.55000000000000004">
      <c r="D92" s="92"/>
      <c r="G92"/>
      <c r="H92"/>
      <c r="I92"/>
      <c r="J92"/>
      <c r="K92"/>
      <c r="M92" s="92"/>
      <c r="N92"/>
      <c r="O92"/>
      <c r="P92"/>
      <c r="Q92"/>
      <c r="V92" s="92"/>
      <c r="AB92" s="92"/>
      <c r="AH92" s="92"/>
      <c r="AM92" s="372"/>
      <c r="AN92" s="372"/>
      <c r="AX92" s="195"/>
      <c r="AY92" s="195"/>
      <c r="AZ92" s="299"/>
      <c r="BD92" s="372"/>
    </row>
    <row r="93" spans="4:56" s="107" customFormat="1" x14ac:dyDescent="0.55000000000000004">
      <c r="D93" s="92"/>
      <c r="G93"/>
      <c r="H93"/>
      <c r="I93"/>
      <c r="J93"/>
      <c r="K93"/>
      <c r="M93" s="92"/>
      <c r="N93"/>
      <c r="O93"/>
      <c r="P93"/>
      <c r="Q93"/>
      <c r="V93" s="92"/>
      <c r="AB93" s="92"/>
      <c r="AH93" s="92"/>
      <c r="AM93" s="372"/>
      <c r="AN93" s="372"/>
      <c r="AX93" s="195"/>
      <c r="AY93" s="195"/>
      <c r="AZ93" s="299"/>
      <c r="BD93" s="372"/>
    </row>
    <row r="94" spans="4:56" s="107" customFormat="1" x14ac:dyDescent="0.55000000000000004">
      <c r="D94" s="92"/>
      <c r="G94"/>
      <c r="H94"/>
      <c r="I94"/>
      <c r="J94"/>
      <c r="K94"/>
      <c r="M94" s="92"/>
      <c r="N94"/>
      <c r="O94"/>
      <c r="P94"/>
      <c r="Q94"/>
      <c r="V94" s="92"/>
      <c r="AB94" s="92"/>
      <c r="AH94" s="92"/>
      <c r="AM94" s="372"/>
      <c r="AN94" s="372"/>
      <c r="AX94" s="195"/>
      <c r="AY94" s="195"/>
      <c r="AZ94" s="299"/>
      <c r="BD94" s="372"/>
    </row>
    <row r="95" spans="4:56" s="107" customFormat="1" x14ac:dyDescent="0.55000000000000004">
      <c r="D95" s="92"/>
      <c r="G95"/>
      <c r="H95"/>
      <c r="I95"/>
      <c r="J95"/>
      <c r="K95"/>
      <c r="M95" s="92"/>
      <c r="N95"/>
      <c r="O95"/>
      <c r="P95"/>
      <c r="Q95"/>
      <c r="V95" s="92"/>
      <c r="AB95" s="92"/>
      <c r="AH95" s="92"/>
      <c r="AM95" s="372"/>
      <c r="AN95" s="372"/>
      <c r="AX95" s="195"/>
      <c r="AY95" s="195"/>
      <c r="AZ95" s="299"/>
      <c r="BD95" s="372"/>
    </row>
    <row r="96" spans="4:56" s="107" customFormat="1" x14ac:dyDescent="0.55000000000000004">
      <c r="D96" s="92"/>
      <c r="G96"/>
      <c r="H96"/>
      <c r="I96"/>
      <c r="J96"/>
      <c r="K96"/>
      <c r="M96" s="92"/>
      <c r="N96"/>
      <c r="O96"/>
      <c r="P96"/>
      <c r="Q96"/>
      <c r="V96" s="92"/>
      <c r="AB96" s="92"/>
      <c r="AH96" s="92"/>
      <c r="AM96" s="372"/>
      <c r="AN96" s="372"/>
      <c r="AX96" s="195"/>
      <c r="AY96" s="195"/>
      <c r="AZ96" s="299"/>
      <c r="BD96" s="372"/>
    </row>
    <row r="97" spans="4:56" s="107" customFormat="1" x14ac:dyDescent="0.55000000000000004">
      <c r="D97" s="92"/>
      <c r="G97"/>
      <c r="H97"/>
      <c r="I97"/>
      <c r="J97"/>
      <c r="K97"/>
      <c r="M97" s="92"/>
      <c r="N97"/>
      <c r="O97"/>
      <c r="P97"/>
      <c r="Q97"/>
      <c r="V97" s="92"/>
      <c r="AB97" s="92"/>
      <c r="AH97" s="92"/>
      <c r="AM97" s="372"/>
      <c r="AN97" s="372"/>
      <c r="AX97" s="195"/>
      <c r="AY97" s="195"/>
      <c r="AZ97" s="299"/>
      <c r="BD97" s="372"/>
    </row>
    <row r="98" spans="4:56" s="107" customFormat="1" x14ac:dyDescent="0.55000000000000004">
      <c r="D98" s="92"/>
      <c r="G98"/>
      <c r="H98"/>
      <c r="I98"/>
      <c r="J98"/>
      <c r="K98"/>
      <c r="M98" s="92"/>
      <c r="N98"/>
      <c r="O98"/>
      <c r="P98"/>
      <c r="Q98"/>
      <c r="V98" s="92"/>
      <c r="AB98" s="92"/>
      <c r="AH98" s="92"/>
      <c r="AM98" s="372"/>
      <c r="AN98" s="372"/>
      <c r="AX98" s="195"/>
      <c r="AY98" s="195"/>
      <c r="AZ98" s="299"/>
      <c r="BD98" s="372"/>
    </row>
  </sheetData>
  <sheetCalcPr fullCalcOnLoa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IC103"/>
  <sheetViews>
    <sheetView topLeftCell="B1" zoomScaleNormal="100" workbookViewId="0">
      <pane ySplit="2" topLeftCell="A27" activePane="bottomLeft" state="frozen"/>
      <selection pane="bottomLeft" activeCell="G48" sqref="G48"/>
    </sheetView>
  </sheetViews>
  <sheetFormatPr defaultColWidth="12.41796875" defaultRowHeight="15" x14ac:dyDescent="0.5"/>
  <cols>
    <col min="1" max="1" width="9.83984375" style="203" customWidth="1"/>
    <col min="2" max="2" width="59.83984375" style="110" bestFit="1" customWidth="1"/>
    <col min="3" max="3" width="7.26171875" style="110" customWidth="1"/>
    <col min="4" max="4" width="12.41796875" style="110" hidden="1" customWidth="1"/>
    <col min="5" max="5" width="10.578125" style="110" hidden="1" customWidth="1"/>
    <col min="6" max="6" width="19.83984375" style="110" customWidth="1"/>
    <col min="7" max="7" width="14.578125" style="166" customWidth="1"/>
    <col min="8" max="8" width="12.41796875" style="202" customWidth="1"/>
    <col min="9" max="9" width="13.41796875" style="110" hidden="1" customWidth="1"/>
    <col min="10" max="10" width="19" style="110" hidden="1" customWidth="1"/>
    <col min="11" max="11" width="17.41796875" style="110" hidden="1" customWidth="1"/>
    <col min="12" max="12" width="14.83984375" style="110" hidden="1" customWidth="1"/>
    <col min="13" max="13" width="16.41796875" style="110" hidden="1" customWidth="1"/>
    <col min="14" max="14" width="13.15625" style="110" bestFit="1" customWidth="1"/>
    <col min="15" max="15" width="14.578125" style="110" bestFit="1" customWidth="1"/>
    <col min="16" max="16" width="17" style="110" bestFit="1" customWidth="1"/>
    <col min="17" max="17" width="15.578125" style="110" bestFit="1" customWidth="1"/>
    <col min="18" max="18" width="17.26171875" style="110" customWidth="1"/>
    <col min="19" max="19" width="15.15625" style="110" bestFit="1" customWidth="1"/>
    <col min="20" max="20" width="17.68359375" style="110" bestFit="1" customWidth="1"/>
    <col min="21" max="21" width="17.26171875" style="82" bestFit="1" customWidth="1"/>
    <col min="22" max="22" width="16.41796875" style="201" bestFit="1" customWidth="1"/>
    <col min="23" max="23" width="10.15625" style="285" customWidth="1"/>
    <col min="24" max="24" width="16.578125" style="200" customWidth="1"/>
    <col min="25" max="25" width="18.68359375" style="200" bestFit="1" customWidth="1"/>
    <col min="26" max="26" width="16.578125" style="200" customWidth="1"/>
    <col min="27" max="27" width="14.578125" style="107" bestFit="1" customWidth="1"/>
    <col min="28" max="28" width="16.41796875" style="110" bestFit="1" customWidth="1"/>
    <col min="29" max="29" width="13.26171875" style="110" bestFit="1" customWidth="1"/>
    <col min="30" max="16384" width="12.41796875" style="110"/>
  </cols>
  <sheetData>
    <row r="1" spans="1:237" s="225" customFormat="1" ht="20.100000000000001" x14ac:dyDescent="0.7">
      <c r="A1" s="228">
        <v>1</v>
      </c>
      <c r="B1" s="225">
        <v>2</v>
      </c>
      <c r="C1" s="225">
        <v>3</v>
      </c>
      <c r="D1" s="225">
        <v>4</v>
      </c>
      <c r="E1" s="225">
        <v>5</v>
      </c>
      <c r="F1" s="225">
        <v>6</v>
      </c>
      <c r="G1" s="403">
        <v>7</v>
      </c>
      <c r="H1" s="225">
        <v>8</v>
      </c>
      <c r="I1" s="225">
        <v>9</v>
      </c>
      <c r="J1" s="225">
        <v>10</v>
      </c>
      <c r="K1" s="225">
        <v>11</v>
      </c>
      <c r="L1" s="225">
        <v>12</v>
      </c>
      <c r="M1" s="225">
        <v>13</v>
      </c>
      <c r="N1" s="225">
        <v>14</v>
      </c>
      <c r="O1" s="225">
        <v>15</v>
      </c>
      <c r="P1" s="225">
        <v>16</v>
      </c>
      <c r="Q1" s="225">
        <v>17</v>
      </c>
      <c r="R1" s="225">
        <v>18</v>
      </c>
      <c r="S1" s="225">
        <v>19</v>
      </c>
      <c r="T1" s="225">
        <v>20</v>
      </c>
      <c r="U1" s="227">
        <v>21</v>
      </c>
      <c r="V1" s="225">
        <v>22</v>
      </c>
      <c r="W1" s="225">
        <v>23</v>
      </c>
      <c r="X1" s="226">
        <v>24</v>
      </c>
      <c r="Y1" s="226">
        <v>25</v>
      </c>
      <c r="Z1" s="226">
        <v>26</v>
      </c>
    </row>
    <row r="2" spans="1:237" s="215" customFormat="1" ht="45" x14ac:dyDescent="0.55000000000000004">
      <c r="A2" s="224" t="s">
        <v>106</v>
      </c>
      <c r="B2" s="224" t="s">
        <v>261</v>
      </c>
      <c r="C2" s="224" t="s">
        <v>260</v>
      </c>
      <c r="D2" s="224" t="s">
        <v>301</v>
      </c>
      <c r="E2" s="223" t="s">
        <v>300</v>
      </c>
      <c r="F2" s="373" t="s">
        <v>103</v>
      </c>
      <c r="G2" s="374" t="s">
        <v>92</v>
      </c>
      <c r="H2" s="222" t="s">
        <v>299</v>
      </c>
      <c r="I2" s="221" t="s">
        <v>298</v>
      </c>
      <c r="J2" s="221" t="s">
        <v>297</v>
      </c>
      <c r="K2" s="221" t="s">
        <v>296</v>
      </c>
      <c r="L2" s="221" t="s">
        <v>295</v>
      </c>
      <c r="M2" s="221" t="s">
        <v>294</v>
      </c>
      <c r="N2" s="220" t="s">
        <v>293</v>
      </c>
      <c r="O2" s="220" t="s">
        <v>292</v>
      </c>
      <c r="P2" s="220" t="s">
        <v>291</v>
      </c>
      <c r="Q2" s="220" t="s">
        <v>290</v>
      </c>
      <c r="R2" s="221" t="s">
        <v>438</v>
      </c>
      <c r="S2" s="221" t="s">
        <v>439</v>
      </c>
      <c r="T2" s="221" t="s">
        <v>573</v>
      </c>
      <c r="U2" s="219" t="s">
        <v>289</v>
      </c>
      <c r="V2" s="218" t="s">
        <v>288</v>
      </c>
      <c r="W2" s="282" t="s">
        <v>94</v>
      </c>
      <c r="X2" s="217" t="s">
        <v>287</v>
      </c>
      <c r="Y2" s="217" t="s">
        <v>286</v>
      </c>
      <c r="Z2" s="217" t="s">
        <v>285</v>
      </c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</row>
    <row r="3" spans="1:237" ht="15.3" x14ac:dyDescent="0.55000000000000004">
      <c r="A3" s="181">
        <v>210001</v>
      </c>
      <c r="B3" s="180" t="s">
        <v>425</v>
      </c>
      <c r="C3" s="181">
        <v>1</v>
      </c>
      <c r="D3" s="181">
        <v>3</v>
      </c>
      <c r="E3" s="181">
        <f>VLOOKUP($A3,[15]Sheet1!$A:$IV,5,FALSE)</f>
        <v>1</v>
      </c>
      <c r="F3" s="402">
        <f>VLOOKUP(A3,'GBR Revenue for ICC'!$1:$1048576,13,FALSE)</f>
        <v>406935783.94573671</v>
      </c>
      <c r="G3" s="375">
        <f>VLOOKUP(A3,Volume!$1:$1048576,7,FALSE)-IFERROR(VLOOKUP(A3,Volume!AO:AQ,2,FALSE),0)-IFERROR(VLOOKUP(A3,Volume!AS:AV,3,FALSE),0)-VLOOKUP(A3,Volume!AX:BA,2,FALSE)</f>
        <v>29234.020255178955</v>
      </c>
      <c r="H3" s="212">
        <f>VLOOKUP(A3,[16]Sheet1!$B$1:$D$65536,3,FALSE)</f>
        <v>1.1196537153887776</v>
      </c>
      <c r="I3" s="212">
        <f>VLOOKUP($A3,[15]Sheet1!$A:$IV,9,FALSE)</f>
        <v>0</v>
      </c>
      <c r="J3" s="362">
        <f>VLOOKUP($A3,[15]Sheet1!$A:$IV,10,FALSE)</f>
        <v>22564809</v>
      </c>
      <c r="K3" s="362">
        <f>VLOOKUP($A3,[15]Sheet1!$A:$IV,11,FALSE)</f>
        <v>2391233</v>
      </c>
      <c r="L3" s="362">
        <f>VLOOKUP($A3,[15]Sheet1!$A:$IV,12,FALSE)</f>
        <v>10912725</v>
      </c>
      <c r="M3" s="362">
        <f>VLOOKUP($A3,[15]Sheet1!$A:$IV,13,FALSE)</f>
        <v>306473359</v>
      </c>
      <c r="N3" s="211">
        <f>IFERROR((VLOOKUP(A3,'DME22'!$1:$1048576,3,FALSE)*1000),0)-IFERROR((VLOOKUP(A3,'DME22'!$1:$1048576,10,FALSE)*1000),0)</f>
        <v>3022524.3645125814</v>
      </c>
      <c r="O3" s="375">
        <f>IFERROR(VLOOKUP(A3,[17]Sheet1!$A:$IV,3,FALSE),0)</f>
        <v>0</v>
      </c>
      <c r="P3" s="362">
        <f>IFERROR(VLOOKUP($A3,[18]Sheet1!$A:$IV,26,FALSE),0)</f>
        <v>1040914.3109595065</v>
      </c>
      <c r="Q3" s="362">
        <f>IFERROR(VLOOKUP($A3,[18]Sheet1!$A:$IV,27,FALSE),0)</f>
        <v>2561940.3465504288</v>
      </c>
      <c r="R3" s="375">
        <f>VLOOKUP($A3,[19]Sheet1!$A:$IV,2,FALSE)*1000</f>
        <v>378705201.81999999</v>
      </c>
      <c r="S3" s="375">
        <f>VLOOKUP($A3,[19]Sheet1!$A:$IV,3,FALSE)*1000</f>
        <v>31271038.740954358</v>
      </c>
      <c r="T3" s="363">
        <v>18</v>
      </c>
      <c r="U3" s="210">
        <f t="shared" ref="U3:U49" si="0">SUM(N3:Q3)</f>
        <v>6625379.0220225174</v>
      </c>
      <c r="V3" s="213">
        <v>0.62382157981353614</v>
      </c>
      <c r="W3" s="283">
        <f>VLOOKUP(A3,LMA!$1:$1048576,18,FALSE)</f>
        <v>0.99671861092415948</v>
      </c>
      <c r="X3" s="209">
        <f>T3*(1-VLOOKUP(A3,'Prorated Residents'!$1:$1048576,5,FALSE))</f>
        <v>18</v>
      </c>
      <c r="Y3" s="209">
        <f>IF(X3&lt;&gt;T3,(VLOOKUP(A3,'Prorated Residents'!$1:$1048576,6,FALSE)),N3)</f>
        <v>3022524.3645125814</v>
      </c>
      <c r="Z3" s="209">
        <f>Y3+O3+P3+Q3</f>
        <v>6625379.0220225174</v>
      </c>
      <c r="AA3" s="92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</row>
    <row r="4" spans="1:237" ht="15.3" x14ac:dyDescent="0.55000000000000004">
      <c r="A4" s="181">
        <v>210002</v>
      </c>
      <c r="B4" s="180" t="s">
        <v>424</v>
      </c>
      <c r="C4" s="181">
        <v>5</v>
      </c>
      <c r="D4" s="181">
        <v>5</v>
      </c>
      <c r="E4" s="181">
        <f>VLOOKUP($A4,[15]Sheet1!$A:$IV,5,FALSE)</f>
        <v>1</v>
      </c>
      <c r="F4" s="402">
        <f>VLOOKUP(A4,'GBR Revenue for ICC'!$1:$1048576,13,FALSE)</f>
        <v>1254329650.1456954</v>
      </c>
      <c r="G4" s="375">
        <f>VLOOKUP(A4,Volume!$1:$1048576,7,FALSE)-IFERROR(VLOOKUP(A4,Volume!AO:AQ,2,FALSE),0)-IFERROR(VLOOKUP(A4,Volume!AS:AV,3,FALSE),0)-VLOOKUP(A4,Volume!AX:BA,2,FALSE)</f>
        <v>53406.112545307114</v>
      </c>
      <c r="H4" s="212">
        <f>VLOOKUP(A4,[16]Sheet1!$B$1:$D$65536,3,FALSE)</f>
        <v>1.1149630516096494</v>
      </c>
      <c r="I4" s="212">
        <f>VLOOKUP($A4,[15]Sheet1!$A:$IV,9,FALSE)</f>
        <v>0</v>
      </c>
      <c r="J4" s="362">
        <f>VLOOKUP($A4,[15]Sheet1!$A:$IV,10,FALSE)</f>
        <v>82402565.454563364</v>
      </c>
      <c r="K4" s="362">
        <f>VLOOKUP($A4,[15]Sheet1!$A:$IV,11,FALSE)</f>
        <v>12562900</v>
      </c>
      <c r="L4" s="362">
        <f>VLOOKUP($A4,[15]Sheet1!$A:$IV,12,FALSE)</f>
        <v>19947200</v>
      </c>
      <c r="M4" s="362">
        <f>VLOOKUP($A4,[15]Sheet1!$A:$IV,13,FALSE)</f>
        <v>1524984773.5277116</v>
      </c>
      <c r="N4" s="211">
        <f>IFERROR((VLOOKUP(A4,'DME22'!$1:$1048576,3,FALSE)*1000),0)-IFERROR((VLOOKUP(A4,'DME22'!$1:$1048576,10,FALSE)*1000),0)</f>
        <v>86687472.166558176</v>
      </c>
      <c r="O4" s="375">
        <f>IFERROR(VLOOKUP(A4,[17]Sheet1!$A:$IV,3,FALSE),0)</f>
        <v>555300</v>
      </c>
      <c r="P4" s="362">
        <f>IFERROR(VLOOKUP(A4,[18]Sheet1!$A:$IV,26,FALSE),0)</f>
        <v>0</v>
      </c>
      <c r="Q4" s="362">
        <f>IFERROR(VLOOKUP($A4,[18]Sheet1!$A:$IV,27,FALSE),0)</f>
        <v>0</v>
      </c>
      <c r="R4" s="375">
        <f>VLOOKUP(A4,[19]Sheet1!$A:$IV,2,FALSE)*1000</f>
        <v>1589332221.6080275</v>
      </c>
      <c r="S4" s="375">
        <f>VLOOKUP($A4,[19]Sheet1!$A:$IV,3,FALSE)*1000</f>
        <v>10042381.812670734</v>
      </c>
      <c r="T4" s="211">
        <f>532-6.9</f>
        <v>525.1</v>
      </c>
      <c r="U4" s="210">
        <f t="shared" si="0"/>
        <v>87242772.166558176</v>
      </c>
      <c r="V4" s="213">
        <v>0.62261880903070577</v>
      </c>
      <c r="W4" s="283">
        <f>VLOOKUP(A4,LMA!$1:$1048576,18,FALSE)</f>
        <v>0.99671861092415948</v>
      </c>
      <c r="X4" s="209">
        <f>T4*(1-VLOOKUP(A4,'Prorated Residents'!$1:$1048576,5,FALSE))</f>
        <v>432.90081494344787</v>
      </c>
      <c r="Y4" s="209">
        <f>IF(X4&lt;&gt;T4,(VLOOKUP(A4,'Prorated Residents'!$1:$1048576,6,FALSE)),N4)</f>
        <v>59029404.514455073</v>
      </c>
      <c r="Z4" s="209">
        <f t="shared" ref="Z4:Z49" si="1">Y4+O4+P4+Q4</f>
        <v>59584704.514455073</v>
      </c>
      <c r="AA4" s="92"/>
      <c r="AB4" s="214"/>
      <c r="AC4" s="160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</row>
    <row r="5" spans="1:237" ht="15.3" x14ac:dyDescent="0.55000000000000004">
      <c r="A5" s="181">
        <v>210003</v>
      </c>
      <c r="B5" s="180" t="s">
        <v>423</v>
      </c>
      <c r="C5" s="181">
        <v>1</v>
      </c>
      <c r="D5" s="181">
        <v>5</v>
      </c>
      <c r="E5" s="181">
        <f>VLOOKUP($A5,[15]Sheet1!$A:$IV,5,FALSE)</f>
        <v>1</v>
      </c>
      <c r="F5" s="402">
        <f>VLOOKUP(A5,'GBR Revenue for ICC'!$1:$1048576,13,FALSE)</f>
        <v>379138438.61161411</v>
      </c>
      <c r="G5" s="375">
        <f>VLOOKUP(A5,Volume!$1:$1048576,7,FALSE)-IFERROR(VLOOKUP(A5,Volume!AO:AQ,2,FALSE),0)-IFERROR(VLOOKUP(A5,Volume!AS:AV,3,FALSE),0)-VLOOKUP(A5,Volume!AX:BA,2,FALSE)</f>
        <v>16622.361523679996</v>
      </c>
      <c r="H5" s="212">
        <f>VLOOKUP(A5,[16]Sheet1!$B$1:$D$65536,3,FALSE)</f>
        <v>1.1150592197193865</v>
      </c>
      <c r="I5" s="212">
        <f>VLOOKUP($A5,[15]Sheet1!$A:$IV,9,FALSE)</f>
        <v>0</v>
      </c>
      <c r="J5" s="362">
        <f>VLOOKUP($A5,[15]Sheet1!$A:$IV,10,FALSE)</f>
        <v>11984950.038283611</v>
      </c>
      <c r="K5" s="362">
        <f>VLOOKUP($A5,[15]Sheet1!$A:$IV,11,FALSE)</f>
        <v>3577375.9416744201</v>
      </c>
      <c r="L5" s="362">
        <f>VLOOKUP($A5,[15]Sheet1!$A:$IV,12,FALSE)</f>
        <v>0</v>
      </c>
      <c r="M5" s="362">
        <f>VLOOKUP($A5,[15]Sheet1!$A:$IV,13,FALSE)</f>
        <v>293646668.60510916</v>
      </c>
      <c r="N5" s="211">
        <f>IFERROR((VLOOKUP(A5,'DME22'!$1:$1048576,3,FALSE)*1000),0)-IFERROR((VLOOKUP(A5,'DME22'!$1:$1048576,10,FALSE)*1000),0)</f>
        <v>4438150.4502637452</v>
      </c>
      <c r="O5" s="375">
        <f>IFERROR(VLOOKUP(A5,[17]Sheet1!$A:$IV,3,FALSE),0)</f>
        <v>1208431.1355900336</v>
      </c>
      <c r="P5" s="362">
        <f>IFERROR(VLOOKUP(A5,[18]Sheet1!$A:$IV,26,FALSE),0)</f>
        <v>2142670.532732965</v>
      </c>
      <c r="Q5" s="362">
        <f>IFERROR(VLOOKUP($A5,[18]Sheet1!$A:$IV,27,FALSE),0)</f>
        <v>2811645.6620348995</v>
      </c>
      <c r="R5" s="375">
        <f>VLOOKUP(A5,[19]Sheet1!$A:$IV,2,FALSE)*1000</f>
        <v>324936171.47121525</v>
      </c>
      <c r="S5" s="375">
        <f>VLOOKUP($A5,[19]Sheet1!$A:$IV,3,FALSE)*1000</f>
        <v>14257446.284734467</v>
      </c>
      <c r="T5" s="211">
        <v>48</v>
      </c>
      <c r="U5" s="210">
        <f t="shared" si="0"/>
        <v>10600897.780621642</v>
      </c>
      <c r="V5" s="213">
        <v>0.46620348349564045</v>
      </c>
      <c r="W5" s="283">
        <f>VLOOKUP(A5,LMA!$1:$1048576,18,FALSE)</f>
        <v>1.0181752931904677</v>
      </c>
      <c r="X5" s="209">
        <f>T5*(1-VLOOKUP(A5,'Prorated Residents'!$1:$1048576,5,FALSE))</f>
        <v>48</v>
      </c>
      <c r="Y5" s="209">
        <f>IF(X5&lt;&gt;T5,(VLOOKUP(A5,'Prorated Residents'!$1:$1048576,6,FALSE)),N5)</f>
        <v>4438150.4502637452</v>
      </c>
      <c r="Z5" s="209">
        <f t="shared" si="1"/>
        <v>10600897.780621642</v>
      </c>
      <c r="AA5" s="92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</row>
    <row r="6" spans="1:237" ht="15.75" customHeight="1" x14ac:dyDescent="0.55000000000000004">
      <c r="A6" s="181">
        <v>210004</v>
      </c>
      <c r="B6" s="180" t="s">
        <v>422</v>
      </c>
      <c r="C6" s="181">
        <v>1</v>
      </c>
      <c r="D6" s="181">
        <v>1</v>
      </c>
      <c r="E6" s="181">
        <f>VLOOKUP($A6,[15]Sheet1!$A:$IV,5,FALSE)</f>
        <v>1</v>
      </c>
      <c r="F6" s="402">
        <f>VLOOKUP(A6,'GBR Revenue for ICC'!$1:$1048576,13,FALSE)</f>
        <v>560071845.3178103</v>
      </c>
      <c r="G6" s="375">
        <f>VLOOKUP(A6,Volume!$1:$1048576,7,FALSE)-IFERROR(VLOOKUP(A6,Volume!AO:AQ,2,FALSE),0)-IFERROR(VLOOKUP(A6,Volume!AS:AV,3,FALSE),0)-VLOOKUP(A6,Volume!AX:BA,2,FALSE)</f>
        <v>35389.172988776867</v>
      </c>
      <c r="H6" s="212">
        <f>VLOOKUP(A6,[16]Sheet1!$B$1:$D$65536,3,FALSE)</f>
        <v>1.1099846191041804</v>
      </c>
      <c r="I6" s="212">
        <f>VLOOKUP($A6,[15]Sheet1!$A:$IV,9,FALSE)</f>
        <v>0</v>
      </c>
      <c r="J6" s="362">
        <f>VLOOKUP($A6,[15]Sheet1!$A:$IV,10,FALSE)</f>
        <v>25434683.610706121</v>
      </c>
      <c r="K6" s="362">
        <f>VLOOKUP($A6,[15]Sheet1!$A:$IV,11,FALSE)</f>
        <v>4015594.6199999996</v>
      </c>
      <c r="L6" s="362">
        <f>VLOOKUP($A6,[15]Sheet1!$A:$IV,12,FALSE)</f>
        <v>8382233.5392611185</v>
      </c>
      <c r="M6" s="362">
        <f>VLOOKUP($A6,[15]Sheet1!$A:$IV,13,FALSE)</f>
        <v>422978849.05854899</v>
      </c>
      <c r="N6" s="211">
        <f>IFERROR((VLOOKUP(A6,'DME22'!$1:$1048576,3,FALSE)*1000),0)-IFERROR((VLOOKUP(A6,'DME22'!$1:$1048576,10,FALSE)*1000),0)</f>
        <v>1942313.1270903009</v>
      </c>
      <c r="O6" s="375">
        <f>IFERROR(VLOOKUP(A6,[17]Sheet1!$A:$IV,3,FALSE),0)</f>
        <v>0</v>
      </c>
      <c r="P6" s="362">
        <f>IFERROR(VLOOKUP(A6,[18]Sheet1!$A:$IV,26,FALSE),0)</f>
        <v>0</v>
      </c>
      <c r="Q6" s="362">
        <f>IFERROR(VLOOKUP($A6,[18]Sheet1!$A:$IV,27,FALSE),0)</f>
        <v>0</v>
      </c>
      <c r="R6" s="375">
        <f>VLOOKUP(A6,[19]Sheet1!$A:$IV,2,FALSE)*1000</f>
        <v>499848318.60000002</v>
      </c>
      <c r="S6" s="375">
        <f>VLOOKUP($A6,[19]Sheet1!$A:$IV,3,FALSE)*1000</f>
        <v>38479723.32384868</v>
      </c>
      <c r="T6" s="211">
        <v>19</v>
      </c>
      <c r="U6" s="210">
        <f t="shared" si="0"/>
        <v>1942313.1270903009</v>
      </c>
      <c r="V6" s="213">
        <v>0.70378463318116491</v>
      </c>
      <c r="W6" s="283">
        <f>VLOOKUP(A6,LMA!$1:$1048576,18,FALSE)</f>
        <v>1.0181752931904677</v>
      </c>
      <c r="X6" s="209">
        <f>T6*(1-VLOOKUP(A6,'Prorated Residents'!$1:$1048576,5,FALSE))</f>
        <v>19</v>
      </c>
      <c r="Y6" s="209">
        <f>IF(X6&lt;&gt;T6,(VLOOKUP(A6,'Prorated Residents'!$1:$1048576,6,FALSE)),N6)</f>
        <v>1942313.1270903009</v>
      </c>
      <c r="Z6" s="209">
        <f t="shared" si="1"/>
        <v>1942313.1270903009</v>
      </c>
      <c r="AA6" s="92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</row>
    <row r="7" spans="1:237" ht="15.3" x14ac:dyDescent="0.55000000000000004">
      <c r="A7" s="181">
        <v>210005</v>
      </c>
      <c r="B7" s="180" t="s">
        <v>421</v>
      </c>
      <c r="C7" s="181">
        <v>1</v>
      </c>
      <c r="D7" s="181">
        <v>3</v>
      </c>
      <c r="E7" s="181">
        <f>VLOOKUP($A7,[15]Sheet1!$A:$IV,5,FALSE)</f>
        <v>1</v>
      </c>
      <c r="F7" s="402">
        <f>VLOOKUP(A7,'GBR Revenue for ICC'!$1:$1048576,13,FALSE)</f>
        <v>403101812.74028164</v>
      </c>
      <c r="G7" s="375">
        <f>VLOOKUP(A7,Volume!$1:$1048576,7,FALSE)-IFERROR(VLOOKUP(A7,Volume!AO:AQ,2,FALSE),0)-IFERROR(VLOOKUP(A7,Volume!AS:AV,3,FALSE),0)-VLOOKUP(A7,Volume!AX:BA,2,FALSE)</f>
        <v>24661.79924888902</v>
      </c>
      <c r="H7" s="212">
        <f>VLOOKUP(A7,[16]Sheet1!$B$1:$D$65536,3,FALSE)</f>
        <v>1.1133096880777904</v>
      </c>
      <c r="I7" s="212">
        <f>VLOOKUP($A7,[15]Sheet1!$A:$IV,9,FALSE)</f>
        <v>0</v>
      </c>
      <c r="J7" s="362">
        <f>VLOOKUP($A7,[15]Sheet1!$A:$IV,10,FALSE)</f>
        <v>20602900</v>
      </c>
      <c r="K7" s="362">
        <f>VLOOKUP($A7,[15]Sheet1!$A:$IV,11,FALSE)</f>
        <v>325399.99999999988</v>
      </c>
      <c r="L7" s="362">
        <f>VLOOKUP($A7,[15]Sheet1!$A:$IV,12,FALSE)</f>
        <v>5155000</v>
      </c>
      <c r="M7" s="362">
        <f>VLOOKUP($A7,[15]Sheet1!$A:$IV,13,FALSE)</f>
        <v>293127046.88464838</v>
      </c>
      <c r="N7" s="211">
        <f>IFERROR((VLOOKUP(A7,'DME22'!$1:$1048576,3,FALSE)*1000),0)-IFERROR((VLOOKUP(A7,'DME22'!$1:$1048576,10,FALSE)*1000),0)</f>
        <v>0</v>
      </c>
      <c r="O7" s="375">
        <f>IFERROR(VLOOKUP(A7,[17]Sheet1!$A:$IV,3,FALSE),0)</f>
        <v>424862.3280000001</v>
      </c>
      <c r="P7" s="362">
        <f>IFERROR(VLOOKUP(A7,[18]Sheet1!$A:$IV,26,FALSE),0)</f>
        <v>0</v>
      </c>
      <c r="Q7" s="362">
        <f>IFERROR(VLOOKUP($A7,[18]Sheet1!$A:$IV,27,FALSE),0)</f>
        <v>0</v>
      </c>
      <c r="R7" s="375">
        <f>VLOOKUP(A7,[19]Sheet1!$A:$IV,2,FALSE)*1000</f>
        <v>348560184.61000007</v>
      </c>
      <c r="S7" s="375">
        <f>VLOOKUP($A7,[19]Sheet1!$A:$IV,3,FALSE)*1000</f>
        <v>15931460.598000035</v>
      </c>
      <c r="T7" s="211">
        <v>0</v>
      </c>
      <c r="U7" s="210">
        <f t="shared" si="0"/>
        <v>424862.3280000001</v>
      </c>
      <c r="V7" s="213">
        <v>0.6501880763396708</v>
      </c>
      <c r="W7" s="283">
        <f>VLOOKUP(A7,LMA!$1:$1048576,18,FALSE)</f>
        <v>0.99671861092415948</v>
      </c>
      <c r="X7" s="209">
        <f>T7*(1-VLOOKUP(A7,'Prorated Residents'!$1:$1048576,5,FALSE))</f>
        <v>0</v>
      </c>
      <c r="Y7" s="209">
        <f>IF(X7&lt;&gt;T7,(VLOOKUP(A7,'Prorated Residents'!$1:$1048576,6,FALSE)),N7)</f>
        <v>0</v>
      </c>
      <c r="Z7" s="209">
        <f t="shared" si="1"/>
        <v>424862.3280000001</v>
      </c>
      <c r="AA7" s="92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</row>
    <row r="8" spans="1:237" ht="15.3" x14ac:dyDescent="0.55000000000000004">
      <c r="A8" s="181">
        <v>210006</v>
      </c>
      <c r="B8" s="180" t="s">
        <v>420</v>
      </c>
      <c r="C8" s="181">
        <v>1</v>
      </c>
      <c r="D8" s="181">
        <v>3</v>
      </c>
      <c r="E8" s="181">
        <f>VLOOKUP($A8,[15]Sheet1!$A:$IV,5,FALSE)</f>
        <v>1</v>
      </c>
      <c r="F8" s="402">
        <f>VLOOKUP(A8,'GBR Revenue for ICC'!$1:$1048576,13,FALSE)</f>
        <v>114755783.67342256</v>
      </c>
      <c r="G8" s="375">
        <f>VLOOKUP(A8,Volume!$1:$1048576,7,FALSE)-IFERROR(VLOOKUP(A8,Volume!AO:AQ,2,FALSE),0)-IFERROR(VLOOKUP(A8,Volume!AS:AV,3,FALSE),0)-VLOOKUP(A8,Volume!AX:BA,2,FALSE)</f>
        <v>6404.5558703010038</v>
      </c>
      <c r="H8" s="212">
        <f>VLOOKUP(A8,[16]Sheet1!$B$1:$D$65536,3,FALSE)</f>
        <v>1.1180012832443968</v>
      </c>
      <c r="I8" s="212">
        <f>VLOOKUP($A8,[15]Sheet1!$A:$IV,9,FALSE)</f>
        <v>0</v>
      </c>
      <c r="J8" s="362">
        <f>VLOOKUP($A8,[15]Sheet1!$A:$IV,10,FALSE)</f>
        <v>4753396</v>
      </c>
      <c r="K8" s="362">
        <f>VLOOKUP($A8,[15]Sheet1!$A:$IV,11,FALSE)</f>
        <v>1153600</v>
      </c>
      <c r="L8" s="362">
        <f>VLOOKUP($A8,[15]Sheet1!$A:$IV,12,FALSE)</f>
        <v>959028</v>
      </c>
      <c r="M8" s="362">
        <f>VLOOKUP($A8,[15]Sheet1!$A:$IV,13,FALSE)</f>
        <v>88026047</v>
      </c>
      <c r="N8" s="211">
        <f>IFERROR((VLOOKUP(A8,'DME22'!$1:$1048576,3,FALSE)*1000),0)-IFERROR((VLOOKUP(A8,'DME22'!$1:$1048576,10,FALSE)*1000),0)</f>
        <v>0</v>
      </c>
      <c r="O8" s="375">
        <f>IFERROR(VLOOKUP(A8,[17]Sheet1!$A:$IV,3,FALSE),0)</f>
        <v>0</v>
      </c>
      <c r="P8" s="362">
        <f>IFERROR(VLOOKUP(A8,[18]Sheet1!$A:$IV,26,FALSE),0)</f>
        <v>0</v>
      </c>
      <c r="Q8" s="362">
        <f>IFERROR(VLOOKUP($A8,[18]Sheet1!$A:$IV,27,FALSE),0)</f>
        <v>0</v>
      </c>
      <c r="R8" s="375">
        <f>VLOOKUP(A8,[19]Sheet1!$A:$IV,2,FALSE)*1000</f>
        <v>103370000</v>
      </c>
      <c r="S8" s="375">
        <f>VLOOKUP($A8,[19]Sheet1!$A:$IV,3,FALSE)*1000</f>
        <v>7665359.6358377393</v>
      </c>
      <c r="T8" s="211">
        <v>0</v>
      </c>
      <c r="U8" s="210">
        <f t="shared" si="0"/>
        <v>0</v>
      </c>
      <c r="V8" s="213">
        <v>0.61200227306037203</v>
      </c>
      <c r="W8" s="283">
        <f>VLOOKUP(A8,LMA!$1:$1048576,18,FALSE)</f>
        <v>0.99671861092415948</v>
      </c>
      <c r="X8" s="209">
        <f>T8*(1-VLOOKUP(A8,'Prorated Residents'!$1:$1048576,5,FALSE))</f>
        <v>0</v>
      </c>
      <c r="Y8" s="209">
        <f>IF(X8&lt;&gt;T8,(VLOOKUP(A8,'Prorated Residents'!$1:$1048576,6,FALSE)),N8)</f>
        <v>0</v>
      </c>
      <c r="Z8" s="209">
        <f t="shared" si="1"/>
        <v>0</v>
      </c>
      <c r="AA8" s="92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</row>
    <row r="9" spans="1:237" ht="15.3" x14ac:dyDescent="0.55000000000000004">
      <c r="A9" s="181">
        <v>210008</v>
      </c>
      <c r="B9" s="180" t="s">
        <v>419</v>
      </c>
      <c r="C9" s="181">
        <v>1</v>
      </c>
      <c r="D9" s="181">
        <v>4</v>
      </c>
      <c r="E9" s="181">
        <f>VLOOKUP($A9,[15]Sheet1!$A:$IV,5,FALSE)</f>
        <v>1</v>
      </c>
      <c r="F9" s="402">
        <f>VLOOKUP(A9,'GBR Revenue for ICC'!$1:$1048576,13,FALSE)</f>
        <v>616154621.82218134</v>
      </c>
      <c r="G9" s="375">
        <f>VLOOKUP(A9,Volume!$1:$1048576,7,FALSE)-IFERROR(VLOOKUP(A9,Volume!AO:AQ,2,FALSE),0)-IFERROR(VLOOKUP(A9,Volume!AS:AV,3,FALSE),0)-VLOOKUP(A9,Volume!AX:BA,2,FALSE)</f>
        <v>37187.68418079293</v>
      </c>
      <c r="H9" s="212">
        <f>VLOOKUP(A9,[16]Sheet1!$B$1:$D$65536,3,FALSE)</f>
        <v>1.1102695565875482</v>
      </c>
      <c r="I9" s="212">
        <f>VLOOKUP($A9,[15]Sheet1!$A:$IV,9,FALSE)</f>
        <v>0</v>
      </c>
      <c r="J9" s="362">
        <f>VLOOKUP($A9,[15]Sheet1!$A:$IV,10,FALSE)</f>
        <v>34581313.480000004</v>
      </c>
      <c r="K9" s="362">
        <f>VLOOKUP($A9,[15]Sheet1!$A:$IV,11,FALSE)</f>
        <v>2358981</v>
      </c>
      <c r="L9" s="362">
        <f>VLOOKUP($A9,[15]Sheet1!$A:$IV,12,FALSE)</f>
        <v>13715068.880000001</v>
      </c>
      <c r="M9" s="362">
        <f>VLOOKUP($A9,[15]Sheet1!$A:$IV,13,FALSE)</f>
        <v>497407597.04656214</v>
      </c>
      <c r="N9" s="211">
        <f>IFERROR((VLOOKUP(A9,'DME22'!$1:$1048576,3,FALSE)*1000),0)-IFERROR((VLOOKUP(A9,'DME22'!$1:$1048576,10,FALSE)*1000),0)</f>
        <v>5003207.6874727393</v>
      </c>
      <c r="O9" s="375">
        <f>IFERROR(VLOOKUP(A9,[17]Sheet1!$A:$IV,3,FALSE),0)</f>
        <v>0</v>
      </c>
      <c r="P9" s="362">
        <f>IFERROR(VLOOKUP(A9,[18]Sheet1!$A:$IV,26,FALSE),0)</f>
        <v>0</v>
      </c>
      <c r="Q9" s="362">
        <f>IFERROR(VLOOKUP($A9,[18]Sheet1!$A:$IV,27,FALSE),0)</f>
        <v>0</v>
      </c>
      <c r="R9" s="375">
        <f>VLOOKUP(A9,[19]Sheet1!$A:$IV,2,FALSE)*1000</f>
        <v>569467305.61000001</v>
      </c>
      <c r="S9" s="375">
        <f>VLOOKUP($A9,[19]Sheet1!$A:$IV,3,FALSE)*1000</f>
        <v>50206124.1544424</v>
      </c>
      <c r="T9" s="211">
        <v>63</v>
      </c>
      <c r="U9" s="210">
        <f t="shared" si="0"/>
        <v>5003207.6874727393</v>
      </c>
      <c r="V9" s="213">
        <v>0.54598995340031942</v>
      </c>
      <c r="W9" s="283">
        <f>VLOOKUP(A9,LMA!$1:$1048576,18,FALSE)</f>
        <v>0.99671861092415948</v>
      </c>
      <c r="X9" s="209">
        <f>T9*(1-VLOOKUP(A9,'Prorated Residents'!$1:$1048576,5,FALSE))</f>
        <v>63</v>
      </c>
      <c r="Y9" s="209">
        <f>IF(X9&lt;&gt;T9,(VLOOKUP(A9,'Prorated Residents'!$1:$1048576,6,FALSE)),N9)</f>
        <v>5003207.6874727393</v>
      </c>
      <c r="Z9" s="209">
        <f t="shared" si="1"/>
        <v>5003207.6874727393</v>
      </c>
      <c r="AA9" s="92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</row>
    <row r="10" spans="1:237" ht="15.3" x14ac:dyDescent="0.55000000000000004">
      <c r="A10" s="181">
        <v>210009</v>
      </c>
      <c r="B10" s="180" t="s">
        <v>418</v>
      </c>
      <c r="C10" s="181">
        <v>5</v>
      </c>
      <c r="D10" s="181">
        <v>5</v>
      </c>
      <c r="E10" s="181">
        <f>VLOOKUP($A10,[15]Sheet1!$A:$IV,5,FALSE)</f>
        <v>1</v>
      </c>
      <c r="F10" s="402">
        <f>VLOOKUP(A10,'GBR Revenue for ICC'!$1:$1048576,13,FALSE)</f>
        <v>2316322513.6232748</v>
      </c>
      <c r="G10" s="375">
        <f>VLOOKUP(A10,Volume!$1:$1048576,7,FALSE)-IFERROR(VLOOKUP(A10,Volume!AO:AQ,2,FALSE),0)-IFERROR(VLOOKUP(A10,Volume!AS:AV,3,FALSE),0)-VLOOKUP(A10,Volume!AX:BA,2,FALSE)</f>
        <v>104111.82276682714</v>
      </c>
      <c r="H10" s="212">
        <f>VLOOKUP(A10,[16]Sheet1!$B$1:$D$65536,3,FALSE)</f>
        <v>1.106052155233989</v>
      </c>
      <c r="I10" s="212">
        <f>VLOOKUP($A10,[15]Sheet1!$A:$IV,9,FALSE)</f>
        <v>0</v>
      </c>
      <c r="J10" s="362">
        <f>VLOOKUP($A10,[15]Sheet1!$A:$IV,10,FALSE)</f>
        <v>118515300</v>
      </c>
      <c r="K10" s="362">
        <f>VLOOKUP($A10,[15]Sheet1!$A:$IV,11,FALSE)</f>
        <v>12784900</v>
      </c>
      <c r="L10" s="362">
        <f>VLOOKUP($A10,[15]Sheet1!$A:$IV,12,FALSE)</f>
        <v>45748799.999999993</v>
      </c>
      <c r="M10" s="362">
        <f>VLOOKUP($A10,[15]Sheet1!$A:$IV,13,FALSE)</f>
        <v>2262771093.5349197</v>
      </c>
      <c r="N10" s="211">
        <f>IFERROR((VLOOKUP(A10,'DME22'!$1:$1048576,3,FALSE)*1000),0)-IFERROR((VLOOKUP(A10,'DME22'!$1:$1048576,10,FALSE)*1000),0)</f>
        <v>121735439.85838948</v>
      </c>
      <c r="O10" s="375">
        <f>IFERROR(VLOOKUP(A10,[17]Sheet1!$A:$IV,3,FALSE),0)</f>
        <v>5711800</v>
      </c>
      <c r="P10" s="362">
        <f>IFERROR(VLOOKUP(A10,[18]Sheet1!$A:$IV,26,FALSE),0)</f>
        <v>1297896.3069622093</v>
      </c>
      <c r="Q10" s="362">
        <f>IFERROR(VLOOKUP($A10,[18]Sheet1!$A:$IV,27,FALSE),0)</f>
        <v>5441152.6399136754</v>
      </c>
      <c r="R10" s="375">
        <f>VLOOKUP(A10,[19]Sheet1!$A:$IV,2,FALSE)*1000</f>
        <v>2441418016.6099997</v>
      </c>
      <c r="S10" s="375">
        <f>VLOOKUP($A10,[19]Sheet1!$A:$IV,3,FALSE)*1000</f>
        <v>65683916.609999724</v>
      </c>
      <c r="T10" s="211">
        <v>868</v>
      </c>
      <c r="U10" s="210">
        <f t="shared" si="0"/>
        <v>134186288.80526537</v>
      </c>
      <c r="V10" s="213">
        <v>0.5576224176520661</v>
      </c>
      <c r="W10" s="283">
        <f>VLOOKUP(A10,LMA!$1:$1048576,18,FALSE)</f>
        <v>0.99671861092415948</v>
      </c>
      <c r="X10" s="209">
        <f>T10*(1-VLOOKUP(A10,'Prorated Residents'!$1:$1048576,5,FALSE))</f>
        <v>780.23979982516846</v>
      </c>
      <c r="Y10" s="209">
        <f>IF(X10&lt;&gt;T10,(VLOOKUP(A10,'Prorated Residents'!$1:$1048576,6,FALSE)),N10)</f>
        <v>109427229.52389245</v>
      </c>
      <c r="Z10" s="209">
        <f t="shared" si="1"/>
        <v>121878078.47076833</v>
      </c>
      <c r="AA10" s="92"/>
      <c r="AB10" s="160"/>
      <c r="AC10" s="160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</row>
    <row r="11" spans="1:237" ht="15.3" x14ac:dyDescent="0.55000000000000004">
      <c r="A11" s="181">
        <v>210010</v>
      </c>
      <c r="B11" s="180" t="s">
        <v>417</v>
      </c>
      <c r="C11" s="181" t="s">
        <v>80</v>
      </c>
      <c r="D11" s="181">
        <v>3</v>
      </c>
      <c r="E11" s="181">
        <f>VLOOKUP($A11,[15]Sheet1!$A:$IV,5,FALSE)</f>
        <v>1</v>
      </c>
      <c r="F11" s="402">
        <f>VLOOKUP(A11,'GBR Revenue for ICC'!$1:$1048576,13,FALSE)</f>
        <v>13957386.461778674</v>
      </c>
      <c r="G11" s="375">
        <f>VLOOKUP(A11,Volume!$1:$1048576,7,FALSE)-IFERROR(VLOOKUP(A11,Volume!AO:AQ,2,FALSE),0)-IFERROR(VLOOKUP(A11,Volume!AS:AV,3,FALSE),0)-VLOOKUP(A11,Volume!AX:BA,2,FALSE)</f>
        <v>1185.4899110060007</v>
      </c>
      <c r="H11" s="212">
        <f>VLOOKUP(A11,[16]Sheet1!$B$1:$D$65536,3,FALSE)</f>
        <v>1.1237799950517624</v>
      </c>
      <c r="I11" s="212">
        <f>VLOOKUP($A11,[15]Sheet1!$A:$IV,9,FALSE)</f>
        <v>0</v>
      </c>
      <c r="J11" s="362">
        <f>VLOOKUP($A11,[15]Sheet1!$A:$IV,10,FALSE)</f>
        <v>2163816.5764154261</v>
      </c>
      <c r="K11" s="362">
        <f>VLOOKUP($A11,[15]Sheet1!$A:$IV,11,FALSE)</f>
        <v>76762.692841801472</v>
      </c>
      <c r="L11" s="362">
        <f>VLOOKUP($A11,[15]Sheet1!$A:$IV,12,FALSE)</f>
        <v>96709.159999999974</v>
      </c>
      <c r="M11" s="362">
        <f>VLOOKUP($A11,[15]Sheet1!$A:$IV,13,FALSE)</f>
        <v>28082469.01752571</v>
      </c>
      <c r="N11" s="211">
        <f>IFERROR((VLOOKUP(A11,'DME22'!$1:$1048576,3,FALSE)*1000),0)-IFERROR((VLOOKUP(A11,'DME22'!$1:$1048576,10,FALSE)*1000),0)</f>
        <v>0</v>
      </c>
      <c r="O11" s="375">
        <f>IFERROR(VLOOKUP(A11,[17]Sheet1!$A:$IV,3,FALSE),0)</f>
        <v>62612.300276631235</v>
      </c>
      <c r="P11" s="362">
        <f>IFERROR(VLOOKUP(A11,[18]Sheet1!$A:$IV,26,FALSE),0)</f>
        <v>0</v>
      </c>
      <c r="Q11" s="362">
        <f>IFERROR(VLOOKUP($A11,[18]Sheet1!$A:$IV,27,FALSE),0)</f>
        <v>0</v>
      </c>
      <c r="R11" s="375">
        <f>VLOOKUP(A11,[19]Sheet1!$A:$IV,2,FALSE)*1000</f>
        <v>18990635.139999997</v>
      </c>
      <c r="S11" s="375">
        <f>VLOOKUP($A11,[19]Sheet1!$A:$IV,3,FALSE)*1000</f>
        <v>-3146900.2792121866</v>
      </c>
      <c r="T11" s="211">
        <v>0</v>
      </c>
      <c r="U11" s="210">
        <f t="shared" si="0"/>
        <v>62612.300276631235</v>
      </c>
      <c r="V11" s="213">
        <v>0.62182870486940955</v>
      </c>
      <c r="W11" s="283">
        <f>VLOOKUP(A11,LMA!$1:$1048576,18,FALSE)</f>
        <v>0.99671861092415948</v>
      </c>
      <c r="X11" s="209">
        <f>T11*(1-VLOOKUP(A11,'Prorated Residents'!$1:$1048576,5,FALSE))</f>
        <v>0</v>
      </c>
      <c r="Y11" s="209">
        <f>IF(X11&lt;&gt;T11,(VLOOKUP(A11,'Prorated Residents'!$1:$1048576,6,FALSE)),N11)</f>
        <v>0</v>
      </c>
      <c r="Z11" s="209">
        <f t="shared" si="1"/>
        <v>62612.300276631235</v>
      </c>
      <c r="AA11" s="92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</row>
    <row r="12" spans="1:237" ht="15.3" x14ac:dyDescent="0.55000000000000004">
      <c r="A12" s="181">
        <v>210011</v>
      </c>
      <c r="B12" s="180" t="s">
        <v>416</v>
      </c>
      <c r="C12" s="181">
        <v>1</v>
      </c>
      <c r="D12" s="181">
        <v>1</v>
      </c>
      <c r="E12" s="181">
        <f>VLOOKUP($A12,[15]Sheet1!$A:$IV,5,FALSE)</f>
        <v>1</v>
      </c>
      <c r="F12" s="402">
        <f>VLOOKUP(A12,'GBR Revenue for ICC'!$1:$1048576,13,FALSE)</f>
        <v>447394832.37144083</v>
      </c>
      <c r="G12" s="375">
        <f>VLOOKUP(A12,Volume!$1:$1048576,7,FALSE)-IFERROR(VLOOKUP(A12,Volume!AO:AQ,2,FALSE),0)-IFERROR(VLOOKUP(A12,Volume!AS:AV,3,FALSE),0)-VLOOKUP(A12,Volume!AX:BA,2,FALSE)</f>
        <v>24239.679898120015</v>
      </c>
      <c r="H12" s="212">
        <f>VLOOKUP(A12,[16]Sheet1!$B$1:$D$65536,3,FALSE)</f>
        <v>1.1208321340194023</v>
      </c>
      <c r="I12" s="212">
        <f>VLOOKUP($A12,[15]Sheet1!$A:$IV,9,FALSE)</f>
        <v>0</v>
      </c>
      <c r="J12" s="362">
        <f>VLOOKUP($A12,[15]Sheet1!$A:$IV,10,FALSE)</f>
        <v>19680249.669999998</v>
      </c>
      <c r="K12" s="362">
        <f>VLOOKUP($A12,[15]Sheet1!$A:$IV,11,FALSE)</f>
        <v>2418992.5499999998</v>
      </c>
      <c r="L12" s="362">
        <f>VLOOKUP($A12,[15]Sheet1!$A:$IV,12,FALSE)</f>
        <v>2368000</v>
      </c>
      <c r="M12" s="362">
        <f>VLOOKUP($A12,[15]Sheet1!$A:$IV,13,FALSE)</f>
        <v>319302548.10507941</v>
      </c>
      <c r="N12" s="211">
        <f>IFERROR((VLOOKUP(A12,'DME22'!$1:$1048576,3,FALSE)*1000),0)-IFERROR((VLOOKUP(A12,'DME22'!$1:$1048576,10,FALSE)*1000),0)</f>
        <v>5944161.5154257035</v>
      </c>
      <c r="O12" s="375">
        <f>IFERROR(VLOOKUP(A12,[17]Sheet1!$A:$IV,3,FALSE),0)</f>
        <v>0</v>
      </c>
      <c r="P12" s="362">
        <f>IFERROR(VLOOKUP(A12,[18]Sheet1!$A:$IV,26,FALSE),0)</f>
        <v>0</v>
      </c>
      <c r="Q12" s="362">
        <f>IFERROR(VLOOKUP($A12,[18]Sheet1!$A:$IV,27,FALSE),0)</f>
        <v>0</v>
      </c>
      <c r="R12" s="375">
        <f>VLOOKUP(A12,[19]Sheet1!$A:$IV,2,FALSE)*1000</f>
        <v>411263926.17999989</v>
      </c>
      <c r="S12" s="375">
        <f>VLOOKUP($A12,[19]Sheet1!$A:$IV,3,FALSE)*1000</f>
        <v>72479205.865565047</v>
      </c>
      <c r="T12" s="211">
        <v>73</v>
      </c>
      <c r="U12" s="210">
        <f t="shared" si="0"/>
        <v>5944161.5154257035</v>
      </c>
      <c r="V12" s="213">
        <v>0.71505279068477212</v>
      </c>
      <c r="W12" s="283">
        <f>VLOOKUP(A12,LMA!$1:$1048576,18,FALSE)</f>
        <v>0.99671861092415948</v>
      </c>
      <c r="X12" s="209">
        <f>T12*(1-VLOOKUP(A12,'Prorated Residents'!$1:$1048576,5,FALSE))</f>
        <v>73</v>
      </c>
      <c r="Y12" s="209">
        <f>IF(X12&lt;&gt;T12,(VLOOKUP(A12,'Prorated Residents'!$1:$1048576,6,FALSE)),N12)</f>
        <v>5944161.5154257035</v>
      </c>
      <c r="Z12" s="209">
        <f t="shared" si="1"/>
        <v>5944161.5154257035</v>
      </c>
      <c r="AA12" s="92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</row>
    <row r="13" spans="1:237" ht="15.3" x14ac:dyDescent="0.55000000000000004">
      <c r="A13" s="181">
        <v>210012</v>
      </c>
      <c r="B13" s="180" t="s">
        <v>415</v>
      </c>
      <c r="C13" s="181">
        <v>1</v>
      </c>
      <c r="D13" s="181">
        <v>5</v>
      </c>
      <c r="E13" s="181">
        <f>VLOOKUP($A13,[15]Sheet1!$A:$IV,5,FALSE)</f>
        <v>1</v>
      </c>
      <c r="F13" s="402">
        <f>VLOOKUP(A13,'GBR Revenue for ICC'!$1:$1048576,13,FALSE)</f>
        <v>820426817.23668432</v>
      </c>
      <c r="G13" s="375">
        <f>VLOOKUP(A13,Volume!$1:$1048576,7,FALSE)-IFERROR(VLOOKUP(A13,Volume!AO:AQ,2,FALSE),0)-IFERROR(VLOOKUP(A13,Volume!AS:AV,3,FALSE),0)-VLOOKUP(A13,Volume!AX:BA,2,FALSE)</f>
        <v>39233.431532673072</v>
      </c>
      <c r="H13" s="212">
        <f>VLOOKUP(A13,[16]Sheet1!$B$1:$D$65536,3,FALSE)</f>
        <v>1.1214469245143464</v>
      </c>
      <c r="I13" s="212">
        <f>VLOOKUP($A13,[15]Sheet1!$A:$IV,9,FALSE)</f>
        <v>0</v>
      </c>
      <c r="J13" s="362">
        <f>VLOOKUP($A13,[15]Sheet1!$A:$IV,10,FALSE)</f>
        <v>41053244.609999992</v>
      </c>
      <c r="K13" s="362">
        <f>VLOOKUP($A13,[15]Sheet1!$A:$IV,11,FALSE)</f>
        <v>7043400</v>
      </c>
      <c r="L13" s="362">
        <f>VLOOKUP($A13,[15]Sheet1!$A:$IV,12,FALSE)</f>
        <v>10494400</v>
      </c>
      <c r="M13" s="362">
        <f>VLOOKUP($A13,[15]Sheet1!$A:$IV,13,FALSE)</f>
        <v>672695291.10193968</v>
      </c>
      <c r="N13" s="211">
        <f>IFERROR((VLOOKUP(A13,'DME22'!$1:$1048576,3,FALSE)*1000),0)-IFERROR((VLOOKUP(A13,'DME22'!$1:$1048576,10,FALSE)*1000),0)</f>
        <v>16589799.493769038</v>
      </c>
      <c r="O13" s="375">
        <f>IFERROR(VLOOKUP(A13,[17]Sheet1!$A:$IV,3,FALSE),0)</f>
        <v>0</v>
      </c>
      <c r="P13" s="362">
        <f>IFERROR(VLOOKUP(A13,[18]Sheet1!$A:$IV,26,FALSE),0)</f>
        <v>1524632.17731659</v>
      </c>
      <c r="Q13" s="362">
        <f>IFERROR(VLOOKUP($A13,[18]Sheet1!$A:$IV,27,FALSE),0)</f>
        <v>2646136.6848963457</v>
      </c>
      <c r="R13" s="375">
        <f>VLOOKUP(A13,[19]Sheet1!$A:$IV,2,FALSE)*1000</f>
        <v>826179068.11000001</v>
      </c>
      <c r="S13" s="375">
        <f>VLOOKUP($A13,[19]Sheet1!$A:$IV,3,FALSE)*1000</f>
        <v>110344397.03727932</v>
      </c>
      <c r="T13" s="211">
        <v>126</v>
      </c>
      <c r="U13" s="210">
        <f t="shared" si="0"/>
        <v>20760568.355981976</v>
      </c>
      <c r="V13" s="213">
        <v>0.61743139615405473</v>
      </c>
      <c r="W13" s="283">
        <f>VLOOKUP(A13,LMA!$1:$1048576,18,FALSE)</f>
        <v>0.99671861092415948</v>
      </c>
      <c r="X13" s="209">
        <f>T13*(1-VLOOKUP(A13,'Prorated Residents'!$1:$1048576,5,FALSE))</f>
        <v>126</v>
      </c>
      <c r="Y13" s="209">
        <f>IF(X13&lt;&gt;T13,(VLOOKUP(A13,'Prorated Residents'!$1:$1048576,6,FALSE)),N13)</f>
        <v>16589799.493769038</v>
      </c>
      <c r="Z13" s="209">
        <f t="shared" si="1"/>
        <v>20760568.355981976</v>
      </c>
      <c r="AA13" s="92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</row>
    <row r="14" spans="1:237" ht="15.75" customHeight="1" x14ac:dyDescent="0.55000000000000004">
      <c r="A14" s="181">
        <v>210013</v>
      </c>
      <c r="B14" s="180" t="s">
        <v>414</v>
      </c>
      <c r="C14" s="181" t="s">
        <v>80</v>
      </c>
      <c r="D14" s="181">
        <v>4</v>
      </c>
      <c r="E14" s="181">
        <f>VLOOKUP($A14,[15]Sheet1!$A:$IV,5,FALSE)</f>
        <v>1</v>
      </c>
      <c r="F14" s="402">
        <f>VLOOKUP(A14,'GBR Revenue for ICC'!$1:$1048576,13,FALSE)</f>
        <v>24685753.024731949</v>
      </c>
      <c r="G14" s="375">
        <f>VLOOKUP(A14,Volume!$1:$1048576,7,FALSE)-IFERROR(VLOOKUP(A14,Volume!AO:AQ,2,FALSE),0)-IFERROR(VLOOKUP(A14,Volume!AS:AV,3,FALSE),0)-VLOOKUP(A14,Volume!AX:BA,2,FALSE)</f>
        <v>1608.5265612699982</v>
      </c>
      <c r="H14" s="212">
        <f>VLOOKUP(A14,[16]Sheet1!$B$1:$D$65536,3,FALSE)</f>
        <v>1.1357641348932981</v>
      </c>
      <c r="I14" s="212">
        <f>VLOOKUP($A14,[15]Sheet1!$A:$IV,9,FALSE)</f>
        <v>0</v>
      </c>
      <c r="J14" s="362">
        <f>VLOOKUP($A14,[15]Sheet1!$A:$IV,10,FALSE)</f>
        <v>7476100.1200000001</v>
      </c>
      <c r="K14" s="362">
        <f>VLOOKUP($A14,[15]Sheet1!$A:$IV,11,FALSE)</f>
        <v>85400.360000000102</v>
      </c>
      <c r="L14" s="362">
        <f>VLOOKUP($A14,[15]Sheet1!$A:$IV,12,FALSE)</f>
        <v>877500.25</v>
      </c>
      <c r="M14" s="362">
        <f>VLOOKUP($A14,[15]Sheet1!$A:$IV,13,FALSE)</f>
        <v>46732408.667158566</v>
      </c>
      <c r="N14" s="211">
        <f>IFERROR((VLOOKUP(A14,'DME22'!$1:$1048576,3,FALSE)*1000),0)-IFERROR((VLOOKUP(A14,'DME22'!$1:$1048576,10,FALSE)*1000),0)</f>
        <v>0</v>
      </c>
      <c r="O14" s="375">
        <f>IFERROR(VLOOKUP(A14,[17]Sheet1!$A:$IV,3,FALSE),0)</f>
        <v>0</v>
      </c>
      <c r="P14" s="362">
        <f>IFERROR(VLOOKUP(A14,[18]Sheet1!$A:$IV,26,FALSE),0)</f>
        <v>0</v>
      </c>
      <c r="Q14" s="362">
        <f>IFERROR(VLOOKUP($A14,[18]Sheet1!$A:$IV,27,FALSE),0)</f>
        <v>0</v>
      </c>
      <c r="R14" s="375">
        <f>VLOOKUP(A14,[19]Sheet1!$A:$IV,2,FALSE)*1000</f>
        <v>23520266.450000007</v>
      </c>
      <c r="S14" s="375">
        <f>VLOOKUP($A14,[19]Sheet1!$A:$IV,3,FALSE)*1000</f>
        <v>-6745547.2053897288</v>
      </c>
      <c r="T14" s="211">
        <v>0</v>
      </c>
      <c r="U14" s="210">
        <f t="shared" si="0"/>
        <v>0</v>
      </c>
      <c r="V14" s="213">
        <v>0.47522344644994313</v>
      </c>
      <c r="W14" s="283">
        <f>VLOOKUP(A14,LMA!$1:$1048576,18,FALSE)</f>
        <v>0.99671861092415948</v>
      </c>
      <c r="X14" s="209">
        <f>T14*(1-VLOOKUP(A14,'Prorated Residents'!$1:$1048576,5,FALSE))</f>
        <v>0</v>
      </c>
      <c r="Y14" s="209">
        <f>IF(X14&lt;&gt;T14,(VLOOKUP(A14,'Prorated Residents'!$1:$1048576,6,FALSE)),N14)</f>
        <v>0</v>
      </c>
      <c r="Z14" s="209">
        <f t="shared" si="1"/>
        <v>0</v>
      </c>
      <c r="AA14" s="92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</row>
    <row r="15" spans="1:237" ht="15.3" x14ac:dyDescent="0.55000000000000004">
      <c r="A15" s="181">
        <v>210015</v>
      </c>
      <c r="B15" s="180" t="s">
        <v>413</v>
      </c>
      <c r="C15" s="181">
        <v>1</v>
      </c>
      <c r="D15" s="181">
        <v>1</v>
      </c>
      <c r="E15" s="181">
        <f>VLOOKUP($A15,[15]Sheet1!$A:$IV,5,FALSE)</f>
        <v>1</v>
      </c>
      <c r="F15" s="402">
        <f>VLOOKUP(A15,'GBR Revenue for ICC'!$1:$1048576,13,FALSE)</f>
        <v>584590033.71573627</v>
      </c>
      <c r="G15" s="375">
        <f>VLOOKUP(A15,Volume!$1:$1048576,7,FALSE)-IFERROR(VLOOKUP(A15,Volume!AO:AQ,2,FALSE),0)-IFERROR(VLOOKUP(A15,Volume!AS:AV,3,FALSE),0)-VLOOKUP(A15,Volume!AX:BA,2,FALSE)</f>
        <v>36896.780287905021</v>
      </c>
      <c r="H15" s="212">
        <f>VLOOKUP(A15,[16]Sheet1!$B$1:$D$65536,3,FALSE)</f>
        <v>1.1215228084765592</v>
      </c>
      <c r="I15" s="212">
        <f>VLOOKUP($A15,[15]Sheet1!$A:$IV,9,FALSE)</f>
        <v>0</v>
      </c>
      <c r="J15" s="362">
        <f>VLOOKUP($A15,[15]Sheet1!$A:$IV,10,FALSE)</f>
        <v>25461933.969999999</v>
      </c>
      <c r="K15" s="362">
        <f>VLOOKUP($A15,[15]Sheet1!$A:$IV,11,FALSE)</f>
        <v>3894319.0000000005</v>
      </c>
      <c r="L15" s="362">
        <f>VLOOKUP($A15,[15]Sheet1!$A:$IV,12,FALSE)</f>
        <v>8042433</v>
      </c>
      <c r="M15" s="362">
        <f>VLOOKUP($A15,[15]Sheet1!$A:$IV,13,FALSE)</f>
        <v>468815664.96339208</v>
      </c>
      <c r="N15" s="211">
        <f>IFERROR((VLOOKUP(A15,'DME22'!$1:$1048576,3,FALSE)*1000),0)-IFERROR((VLOOKUP(A15,'DME22'!$1:$1048576,10,FALSE)*1000),0)</f>
        <v>10719878.177063769</v>
      </c>
      <c r="O15" s="375">
        <f>IFERROR(VLOOKUP(A15,[17]Sheet1!$A:$IV,3,FALSE),0)</f>
        <v>0</v>
      </c>
      <c r="P15" s="362">
        <f>IFERROR(VLOOKUP(A15,[18]Sheet1!$A:$IV,26,FALSE),0)</f>
        <v>0</v>
      </c>
      <c r="Q15" s="362">
        <f>IFERROR(VLOOKUP($A15,[18]Sheet1!$A:$IV,27,FALSE),0)</f>
        <v>0</v>
      </c>
      <c r="R15" s="375">
        <f>VLOOKUP(A15,[19]Sheet1!$A:$IV,2,FALSE)*1000</f>
        <v>531867302.81999999</v>
      </c>
      <c r="S15" s="375">
        <f>VLOOKUP($A15,[19]Sheet1!$A:$IV,3,FALSE)*1000</f>
        <v>19090233.860603418</v>
      </c>
      <c r="T15" s="211">
        <v>78</v>
      </c>
      <c r="U15" s="210">
        <f t="shared" si="0"/>
        <v>10719878.177063769</v>
      </c>
      <c r="V15" s="213">
        <v>0.65531393479654187</v>
      </c>
      <c r="W15" s="283">
        <f>VLOOKUP(A15,LMA!$1:$1048576,18,FALSE)</f>
        <v>0.99671861092415948</v>
      </c>
      <c r="X15" s="209">
        <f>T15*(1-VLOOKUP(A15,'Prorated Residents'!$1:$1048576,5,FALSE))</f>
        <v>78</v>
      </c>
      <c r="Y15" s="209">
        <f>IF(X15&lt;&gt;T15,(VLOOKUP(A15,'Prorated Residents'!$1:$1048576,6,FALSE)),N15)</f>
        <v>10719878.177063769</v>
      </c>
      <c r="Z15" s="209">
        <f t="shared" si="1"/>
        <v>10719878.177063769</v>
      </c>
      <c r="AA15" s="92"/>
      <c r="AB15" s="192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</row>
    <row r="16" spans="1:237" ht="15.3" x14ac:dyDescent="0.55000000000000004">
      <c r="A16" s="181">
        <v>210016</v>
      </c>
      <c r="B16" s="180" t="s">
        <v>412</v>
      </c>
      <c r="C16" s="181">
        <v>1</v>
      </c>
      <c r="D16" s="181">
        <v>3</v>
      </c>
      <c r="E16" s="181">
        <f>VLOOKUP($A16,[15]Sheet1!$A:$IV,5,FALSE)</f>
        <v>1</v>
      </c>
      <c r="F16" s="402">
        <f>VLOOKUP(A16,'GBR Revenue for ICC'!$1:$1048576,13,FALSE)</f>
        <v>348459464.41440386</v>
      </c>
      <c r="G16" s="375">
        <f>VLOOKUP(A16,Volume!$1:$1048576,7,FALSE)-IFERROR(VLOOKUP(A16,Volume!AO:AQ,2,FALSE),0)-IFERROR(VLOOKUP(A16,Volume!AS:AV,3,FALSE),0)-VLOOKUP(A16,Volume!AX:BA,2,FALSE)</f>
        <v>19503.503490301038</v>
      </c>
      <c r="H16" s="212">
        <f>VLOOKUP(A16,[16]Sheet1!$B$1:$D$65536,3,FALSE)</f>
        <v>1.1206186736274211</v>
      </c>
      <c r="I16" s="212">
        <f>VLOOKUP($A16,[15]Sheet1!$A:$IV,9,FALSE)</f>
        <v>0</v>
      </c>
      <c r="J16" s="362">
        <f>VLOOKUP($A16,[15]Sheet1!$A:$IV,10,FALSE)</f>
        <v>19278282.27</v>
      </c>
      <c r="K16" s="362">
        <f>VLOOKUP($A16,[15]Sheet1!$A:$IV,11,FALSE)</f>
        <v>1164705.5799999998</v>
      </c>
      <c r="L16" s="362">
        <f>VLOOKUP($A16,[15]Sheet1!$A:$IV,12,FALSE)</f>
        <v>15313800</v>
      </c>
      <c r="M16" s="362">
        <f>VLOOKUP($A16,[15]Sheet1!$A:$IV,13,FALSE)</f>
        <v>276626335.20000005</v>
      </c>
      <c r="N16" s="211">
        <f>IFERROR((VLOOKUP(A16,'DME22'!$1:$1048576,3,FALSE)*1000),0)-IFERROR((VLOOKUP(A16,'DME22'!$1:$1048576,10,FALSE)*1000),0)</f>
        <v>0</v>
      </c>
      <c r="O16" s="375">
        <f>IFERROR(VLOOKUP(A16,[17]Sheet1!$A:$IV,3,FALSE),0)</f>
        <v>0</v>
      </c>
      <c r="P16" s="362">
        <f>IFERROR(VLOOKUP(A16,[18]Sheet1!$A:$IV,26,FALSE),0)</f>
        <v>0</v>
      </c>
      <c r="Q16" s="362">
        <f>IFERROR(VLOOKUP($A16,[18]Sheet1!$A:$IV,27,FALSE),0)</f>
        <v>0</v>
      </c>
      <c r="R16" s="386">
        <v>299193833.72478861</v>
      </c>
      <c r="S16" s="386">
        <v>22567500.183033116</v>
      </c>
      <c r="T16" s="211">
        <v>0</v>
      </c>
      <c r="U16" s="210">
        <f t="shared" si="0"/>
        <v>0</v>
      </c>
      <c r="V16" s="213">
        <v>0.64061449826838102</v>
      </c>
      <c r="W16" s="283">
        <f>VLOOKUP(A16,LMA!$1:$1048576,18,FALSE)</f>
        <v>1.0181752931904677</v>
      </c>
      <c r="X16" s="209">
        <f>T16*(1-VLOOKUP(A16,'Prorated Residents'!$1:$1048576,5,FALSE))</f>
        <v>0</v>
      </c>
      <c r="Y16" s="209">
        <f>IF(X16&lt;&gt;T16,(VLOOKUP(A16,'Prorated Residents'!$1:$1048576,6,FALSE)),N16)</f>
        <v>0</v>
      </c>
      <c r="Z16" s="209">
        <f t="shared" si="1"/>
        <v>0</v>
      </c>
      <c r="AA16" s="92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</row>
    <row r="17" spans="1:237" ht="15.3" x14ac:dyDescent="0.55000000000000004">
      <c r="A17" s="181">
        <v>210017</v>
      </c>
      <c r="B17" s="180" t="s">
        <v>411</v>
      </c>
      <c r="C17" s="181">
        <v>1</v>
      </c>
      <c r="D17" s="181">
        <v>3</v>
      </c>
      <c r="E17" s="181">
        <f>VLOOKUP($A17,[15]Sheet1!$A:$IV,5,FALSE)</f>
        <v>1</v>
      </c>
      <c r="F17" s="402">
        <f>VLOOKUP(A17,'GBR Revenue for ICC'!$1:$1048576,13,FALSE)</f>
        <v>72534416.621152684</v>
      </c>
      <c r="G17" s="375">
        <f>VLOOKUP(A17,Volume!$1:$1048576,7,FALSE)-IFERROR(VLOOKUP(A17,Volume!AO:AQ,2,FALSE),0)-IFERROR(VLOOKUP(A17,Volume!AS:AV,3,FALSE),0)-VLOOKUP(A17,Volume!AX:BA,2,FALSE)</f>
        <v>5661.7590092090077</v>
      </c>
      <c r="H17" s="212">
        <f>VLOOKUP(A17,[16]Sheet1!$B$1:$D$65536,3,FALSE)</f>
        <v>1.1207568789217148</v>
      </c>
      <c r="I17" s="212">
        <f>VLOOKUP($A17,[15]Sheet1!$A:$IV,9,FALSE)</f>
        <v>0</v>
      </c>
      <c r="J17" s="362">
        <f>VLOOKUP($A17,[15]Sheet1!$A:$IV,10,FALSE)</f>
        <v>4204016.5544351991</v>
      </c>
      <c r="K17" s="362">
        <f>VLOOKUP($A17,[15]Sheet1!$A:$IV,11,FALSE)</f>
        <v>33473.06213807044</v>
      </c>
      <c r="L17" s="362">
        <f>VLOOKUP($A17,[15]Sheet1!$A:$IV,12,FALSE)</f>
        <v>456112</v>
      </c>
      <c r="M17" s="362">
        <f>VLOOKUP($A17,[15]Sheet1!$A:$IV,13,FALSE)</f>
        <v>50344812.82737653</v>
      </c>
      <c r="N17" s="211">
        <f>IFERROR((VLOOKUP(A17,'DME22'!$1:$1048576,3,FALSE)*1000),0)-IFERROR((VLOOKUP(A17,'DME22'!$1:$1048576,10,FALSE)*1000),0)</f>
        <v>0</v>
      </c>
      <c r="O17" s="375">
        <f>IFERROR(VLOOKUP(A17,[17]Sheet1!$A:$IV,3,FALSE),0)</f>
        <v>0</v>
      </c>
      <c r="P17" s="362">
        <f>IFERROR(VLOOKUP(A17,[18]Sheet1!$A:$IV,26,FALSE),0)</f>
        <v>0</v>
      </c>
      <c r="Q17" s="362">
        <f>IFERROR(VLOOKUP($A17,[18]Sheet1!$A:$IV,27,FALSE),0)</f>
        <v>0</v>
      </c>
      <c r="R17" s="375">
        <f>VLOOKUP(A17,[19]Sheet1!$A:$IV,2,FALSE)*1000</f>
        <v>64773234.867036216</v>
      </c>
      <c r="S17" s="375">
        <f>VLOOKUP($A17,[19]Sheet1!$A:$IV,3,FALSE)*1000</f>
        <v>6690336.9098744076</v>
      </c>
      <c r="T17" s="211">
        <v>0</v>
      </c>
      <c r="U17" s="210">
        <f t="shared" si="0"/>
        <v>0</v>
      </c>
      <c r="V17" s="213">
        <v>0.65152738782195418</v>
      </c>
      <c r="W17" s="283">
        <f>VLOOKUP(A17,LMA!$1:$1048576,18,FALSE)</f>
        <v>0.99671861092415948</v>
      </c>
      <c r="X17" s="209">
        <f>T17*(1-VLOOKUP(A17,'Prorated Residents'!$1:$1048576,5,FALSE))</f>
        <v>0</v>
      </c>
      <c r="Y17" s="209">
        <f>IF(X17&lt;&gt;T17,(VLOOKUP(A17,'Prorated Residents'!$1:$1048576,6,FALSE)),N17)</f>
        <v>0</v>
      </c>
      <c r="Z17" s="209">
        <f t="shared" si="1"/>
        <v>0</v>
      </c>
      <c r="AA17" s="92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</row>
    <row r="18" spans="1:237" ht="15.3" x14ac:dyDescent="0.55000000000000004">
      <c r="A18" s="181">
        <v>210018</v>
      </c>
      <c r="B18" s="180" t="s">
        <v>410</v>
      </c>
      <c r="C18" s="181">
        <v>1</v>
      </c>
      <c r="D18" s="181">
        <v>3</v>
      </c>
      <c r="E18" s="181">
        <f>VLOOKUP($A18,[15]Sheet1!$A:$IV,5,FALSE)</f>
        <v>1</v>
      </c>
      <c r="F18" s="402">
        <f>VLOOKUP(A18,'GBR Revenue for ICC'!$1:$1048576,13,FALSE)</f>
        <v>191380034.25950557</v>
      </c>
      <c r="G18" s="375">
        <f>VLOOKUP(A18,Volume!$1:$1048576,7,FALSE)-IFERROR(VLOOKUP(A18,Volume!AO:AQ,2,FALSE),0)-IFERROR(VLOOKUP(A18,Volume!AS:AV,3,FALSE),0)-VLOOKUP(A18,Volume!AX:BA,2,FALSE)</f>
        <v>11828.629976083985</v>
      </c>
      <c r="H18" s="212">
        <f>VLOOKUP(A18,[16]Sheet1!$B$1:$D$65536,3,FALSE)</f>
        <v>1.1159266108518389</v>
      </c>
      <c r="I18" s="212">
        <f>VLOOKUP($A18,[15]Sheet1!$A:$IV,9,FALSE)</f>
        <v>0</v>
      </c>
      <c r="J18" s="362">
        <f>VLOOKUP($A18,[15]Sheet1!$A:$IV,10,FALSE)</f>
        <v>10574294.782317314</v>
      </c>
      <c r="K18" s="362">
        <f>VLOOKUP($A18,[15]Sheet1!$A:$IV,11,FALSE)</f>
        <v>760160.96117193974</v>
      </c>
      <c r="L18" s="362">
        <f>VLOOKUP($A18,[15]Sheet1!$A:$IV,12,FALSE)</f>
        <v>1197674.9752078352</v>
      </c>
      <c r="M18" s="362">
        <f>VLOOKUP($A18,[15]Sheet1!$A:$IV,13,FALSE)</f>
        <v>150594524.90560529</v>
      </c>
      <c r="N18" s="211">
        <f>IFERROR((VLOOKUP(A18,'DME22'!$1:$1048576,3,FALSE)*1000),0)-IFERROR((VLOOKUP(A18,'DME22'!$1:$1048576,10,FALSE)*1000),0)</f>
        <v>0</v>
      </c>
      <c r="O18" s="375">
        <f>IFERROR(VLOOKUP(A18,[17]Sheet1!$A:$IV,3,FALSE),0)</f>
        <v>0</v>
      </c>
      <c r="P18" s="362">
        <f>IFERROR(VLOOKUP(A18,[18]Sheet1!$A:$IV,26,FALSE),0)</f>
        <v>0</v>
      </c>
      <c r="Q18" s="362">
        <f>IFERROR(VLOOKUP($A18,[18]Sheet1!$A:$IV,27,FALSE),0)</f>
        <v>0</v>
      </c>
      <c r="R18" s="375">
        <f>VLOOKUP(A18,[19]Sheet1!$A:$IV,2,FALSE)*1000</f>
        <v>167854946.22000003</v>
      </c>
      <c r="S18" s="375">
        <f>VLOOKUP($A18,[19]Sheet1!$A:$IV,3,FALSE)*1000</f>
        <v>1905934.7849538024</v>
      </c>
      <c r="T18" s="211">
        <v>0</v>
      </c>
      <c r="U18" s="210">
        <f t="shared" si="0"/>
        <v>0</v>
      </c>
      <c r="V18" s="213">
        <v>0.54787051949933263</v>
      </c>
      <c r="W18" s="283">
        <f>VLOOKUP(A18,LMA!$1:$1048576,18,FALSE)</f>
        <v>1.0181752931904677</v>
      </c>
      <c r="X18" s="209">
        <f>T18*(1-VLOOKUP(A18,'Prorated Residents'!$1:$1048576,5,FALSE))</f>
        <v>0</v>
      </c>
      <c r="Y18" s="209">
        <f>IF(X18&lt;&gt;T18,(VLOOKUP(A18,'Prorated Residents'!$1:$1048576,6,FALSE)),N18)</f>
        <v>0</v>
      </c>
      <c r="Z18" s="209">
        <f t="shared" si="1"/>
        <v>0</v>
      </c>
      <c r="AA18" s="92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</row>
    <row r="19" spans="1:237" ht="15.3" x14ac:dyDescent="0.55000000000000004">
      <c r="A19" s="181">
        <v>210019</v>
      </c>
      <c r="B19" s="180" t="s">
        <v>409</v>
      </c>
      <c r="C19" s="181">
        <v>1</v>
      </c>
      <c r="D19" s="181">
        <v>3</v>
      </c>
      <c r="E19" s="181">
        <f>VLOOKUP($A19,[15]Sheet1!$A:$IV,5,FALSE)</f>
        <v>1</v>
      </c>
      <c r="F19" s="402">
        <f>VLOOKUP(A19,'GBR Revenue for ICC'!$1:$1048576,13,FALSE)</f>
        <v>507580746.06614465</v>
      </c>
      <c r="G19" s="375">
        <f>VLOOKUP(A19,Volume!$1:$1048576,7,FALSE)-IFERROR(VLOOKUP(A19,Volume!AO:AQ,2,FALSE),0)-IFERROR(VLOOKUP(A19,Volume!AS:AV,3,FALSE),0)-VLOOKUP(A19,Volume!AX:BA,2,FALSE)</f>
        <v>35575.296562612995</v>
      </c>
      <c r="H19" s="212">
        <f>VLOOKUP(A19,[16]Sheet1!$B$1:$D$65536,3,FALSE)</f>
        <v>1.1235285459397526</v>
      </c>
      <c r="I19" s="212">
        <f>VLOOKUP($A19,[15]Sheet1!$A:$IV,9,FALSE)</f>
        <v>0</v>
      </c>
      <c r="J19" s="362">
        <f>VLOOKUP($A19,[15]Sheet1!$A:$IV,10,FALSE)</f>
        <v>27100400</v>
      </c>
      <c r="K19" s="362">
        <f>VLOOKUP($A19,[15]Sheet1!$A:$IV,11,FALSE)</f>
        <v>2613000</v>
      </c>
      <c r="L19" s="362">
        <f>VLOOKUP($A19,[15]Sheet1!$A:$IV,12,FALSE)</f>
        <v>5744900</v>
      </c>
      <c r="M19" s="362">
        <f>VLOOKUP($A19,[15]Sheet1!$A:$IV,13,FALSE)</f>
        <v>363703299.99999988</v>
      </c>
      <c r="N19" s="363">
        <f>IFERROR((VLOOKUP(A19,'DME22'!$1:$1048576,3,FALSE)*1000),0)</f>
        <v>1309895.7672268555</v>
      </c>
      <c r="O19" s="375">
        <f>IFERROR(VLOOKUP(A19,[17]Sheet1!$A:$IV,3,FALSE),0)</f>
        <v>0</v>
      </c>
      <c r="P19" s="362">
        <f>IFERROR(VLOOKUP(A19,[18]Sheet1!$A:$IV,26,FALSE),0)</f>
        <v>0</v>
      </c>
      <c r="Q19" s="362">
        <f>IFERROR(VLOOKUP($A19,[18]Sheet1!$A:$IV,27,FALSE),0)</f>
        <v>2075837.7034969607</v>
      </c>
      <c r="R19" s="375">
        <f>VLOOKUP(A19,[19]Sheet1!$A:$IV,2,FALSE)*1000</f>
        <v>446660943</v>
      </c>
      <c r="S19" s="375">
        <f>VLOOKUP($A19,[19]Sheet1!$A:$IV,3,FALSE)*1000</f>
        <v>42281020.220000006</v>
      </c>
      <c r="T19" s="363">
        <v>65</v>
      </c>
      <c r="U19" s="210">
        <f t="shared" si="0"/>
        <v>3385733.4707238162</v>
      </c>
      <c r="V19" s="213">
        <v>0.5623339906739111</v>
      </c>
      <c r="W19" s="283">
        <f>VLOOKUP(A19,LMA!$1:$1048576,18,FALSE)</f>
        <v>0.99671861092415948</v>
      </c>
      <c r="X19" s="209">
        <f>T19*(1-VLOOKUP(A19,'Prorated Residents'!$1:$1048576,5,FALSE))</f>
        <v>65</v>
      </c>
      <c r="Y19" s="209">
        <f>IF(X19&lt;&gt;T19,(VLOOKUP(A19,'Prorated Residents'!$1:$1048576,6,FALSE)),N19)</f>
        <v>1309895.7672268555</v>
      </c>
      <c r="Z19" s="209">
        <f t="shared" si="1"/>
        <v>3385733.4707238162</v>
      </c>
      <c r="AA19" s="92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</row>
    <row r="20" spans="1:237" ht="15.3" x14ac:dyDescent="0.55000000000000004">
      <c r="A20" s="181">
        <v>210022</v>
      </c>
      <c r="B20" s="180" t="s">
        <v>408</v>
      </c>
      <c r="C20" s="181">
        <v>1</v>
      </c>
      <c r="D20" s="181">
        <v>1</v>
      </c>
      <c r="E20" s="181">
        <f>VLOOKUP($A20,[15]Sheet1!$A:$IV,5,FALSE)</f>
        <v>1</v>
      </c>
      <c r="F20" s="402">
        <f>VLOOKUP(A20,'GBR Revenue for ICC'!$1:$1048576,13,FALSE)</f>
        <v>397812348.9639039</v>
      </c>
      <c r="G20" s="375">
        <f>VLOOKUP(A20,Volume!$1:$1048576,7,FALSE)-IFERROR(VLOOKUP(A20,Volume!AO:AQ,2,FALSE),0)-IFERROR(VLOOKUP(A20,Volume!AS:AV,3,FALSE),0)-VLOOKUP(A20,Volume!AX:BA,2,FALSE)</f>
        <v>24909.085237375984</v>
      </c>
      <c r="H20" s="212">
        <f>VLOOKUP(A20,[16]Sheet1!$B$1:$D$65536,3,FALSE)</f>
        <v>1.106961162419857</v>
      </c>
      <c r="I20" s="212">
        <f>VLOOKUP($A20,[15]Sheet1!$A:$IV,9,FALSE)</f>
        <v>0</v>
      </c>
      <c r="J20" s="362">
        <f>VLOOKUP($A20,[15]Sheet1!$A:$IV,10,FALSE)</f>
        <v>27677732.370000001</v>
      </c>
      <c r="K20" s="362">
        <f>VLOOKUP($A20,[15]Sheet1!$A:$IV,11,FALSE)</f>
        <v>262997</v>
      </c>
      <c r="L20" s="362">
        <f>VLOOKUP($A20,[15]Sheet1!$A:$IV,12,FALSE)</f>
        <v>4103898.4199999995</v>
      </c>
      <c r="M20" s="362">
        <f>VLOOKUP($A20,[15]Sheet1!$A:$IV,13,FALSE)</f>
        <v>297164042.52999961</v>
      </c>
      <c r="N20" s="211">
        <f>IFERROR((VLOOKUP(A20,'DME22'!$1:$1048576,3,FALSE)*1000),0)-IFERROR((VLOOKUP(A20,'DME22'!$1:$1048576,10,FALSE)*1000),0)</f>
        <v>366453.26438892976</v>
      </c>
      <c r="O20" s="375">
        <f>IFERROR(VLOOKUP(A20,[17]Sheet1!$A:$IV,3,FALSE),0)</f>
        <v>0</v>
      </c>
      <c r="P20" s="362">
        <f>IFERROR(VLOOKUP(A20,[18]Sheet1!$A:$IV,26,FALSE),0)</f>
        <v>861459.91238523833</v>
      </c>
      <c r="Q20" s="362">
        <f>IFERROR(VLOOKUP($A20,[18]Sheet1!$A:$IV,27,FALSE),0)</f>
        <v>3104249.7590153981</v>
      </c>
      <c r="R20" s="375">
        <f>VLOOKUP(A20,[19]Sheet1!$A:$IV,2,FALSE)*1000</f>
        <v>340441899.88999999</v>
      </c>
      <c r="S20" s="375">
        <f>VLOOKUP($A20,[19]Sheet1!$A:$IV,3,FALSE)*1000</f>
        <v>24299850.930000015</v>
      </c>
      <c r="T20" s="211">
        <v>4</v>
      </c>
      <c r="U20" s="210">
        <f t="shared" si="0"/>
        <v>4332162.9357895665</v>
      </c>
      <c r="V20" s="213">
        <v>0.5640361042297154</v>
      </c>
      <c r="W20" s="283">
        <f>VLOOKUP(A20,LMA!$1:$1048576,18,FALSE)</f>
        <v>1.0181752931904677</v>
      </c>
      <c r="X20" s="209">
        <f>T20*(1-VLOOKUP(A20,'Prorated Residents'!$1:$1048576,5,FALSE))</f>
        <v>4</v>
      </c>
      <c r="Y20" s="209">
        <f>IF(X20&lt;&gt;T20,(VLOOKUP(A20,'Prorated Residents'!$1:$1048576,6,FALSE)),N20)</f>
        <v>366453.26438892976</v>
      </c>
      <c r="Z20" s="209">
        <f t="shared" si="1"/>
        <v>4332162.9357895665</v>
      </c>
      <c r="AA20" s="92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</row>
    <row r="21" spans="1:237" ht="15.3" x14ac:dyDescent="0.55000000000000004">
      <c r="A21" s="181">
        <v>210023</v>
      </c>
      <c r="B21" s="180" t="s">
        <v>407</v>
      </c>
      <c r="C21" s="181">
        <v>1</v>
      </c>
      <c r="D21" s="181">
        <v>3</v>
      </c>
      <c r="E21" s="181">
        <f>VLOOKUP($A21,[15]Sheet1!$A:$IV,5,FALSE)</f>
        <v>1</v>
      </c>
      <c r="F21" s="402">
        <f>VLOOKUP(A21,'GBR Revenue for ICC'!$1:$1048576,13,FALSE)</f>
        <v>693070351.52284181</v>
      </c>
      <c r="G21" s="375">
        <f>VLOOKUP(A21,Volume!$1:$1048576,7,FALSE)-IFERROR(VLOOKUP(A21,Volume!AO:AQ,2,FALSE),0)-IFERROR(VLOOKUP(A21,Volume!AS:AV,3,FALSE),0)-VLOOKUP(A21,Volume!AX:BA,2,FALSE)</f>
        <v>47800.030712699874</v>
      </c>
      <c r="H21" s="212">
        <f>VLOOKUP(A21,[16]Sheet1!$B$1:$D$65536,3,FALSE)</f>
        <v>1.1086069567461017</v>
      </c>
      <c r="I21" s="212">
        <f>VLOOKUP($A21,[15]Sheet1!$A:$IV,9,FALSE)</f>
        <v>0</v>
      </c>
      <c r="J21" s="362">
        <f>VLOOKUP($A21,[15]Sheet1!$A:$IV,10,FALSE)</f>
        <v>25890799.999999996</v>
      </c>
      <c r="K21" s="362">
        <f>VLOOKUP($A21,[15]Sheet1!$A:$IV,11,FALSE)</f>
        <v>9399800</v>
      </c>
      <c r="L21" s="362">
        <f>VLOOKUP($A21,[15]Sheet1!$A:$IV,12,FALSE)</f>
        <v>9128100</v>
      </c>
      <c r="M21" s="362">
        <f>VLOOKUP($A21,[15]Sheet1!$A:$IV,13,FALSE)</f>
        <v>539078692.12851131</v>
      </c>
      <c r="N21" s="211">
        <f>IFERROR((VLOOKUP(A21,'DME22'!$1:$1048576,3,FALSE)*1000),0)-IFERROR((VLOOKUP(A21,'DME22'!$1:$1048576,10,FALSE)*1000),0)</f>
        <v>5968635.4724685429</v>
      </c>
      <c r="O21" s="375">
        <f>IFERROR(VLOOKUP(A21,[17]Sheet1!$A:$IV,3,FALSE),0)</f>
        <v>723549.91288524587</v>
      </c>
      <c r="P21" s="362">
        <f>IFERROR(VLOOKUP(A21,[18]Sheet1!$A:$IV,26,FALSE),0)</f>
        <v>0</v>
      </c>
      <c r="Q21" s="362">
        <f>IFERROR(VLOOKUP($A21,[18]Sheet1!$A:$IV,27,FALSE),0)</f>
        <v>0</v>
      </c>
      <c r="R21" s="375">
        <f>VLOOKUP(A21,[19]Sheet1!$A:$IV,2,FALSE)*1000</f>
        <v>639647925.35000002</v>
      </c>
      <c r="S21" s="375">
        <f>VLOOKUP($A21,[19]Sheet1!$A:$IV,3,FALSE)*1000</f>
        <v>27523805.10373006</v>
      </c>
      <c r="T21" s="363">
        <v>76</v>
      </c>
      <c r="U21" s="210">
        <f t="shared" si="0"/>
        <v>6692185.3853537887</v>
      </c>
      <c r="V21" s="213">
        <v>0.57048524070148743</v>
      </c>
      <c r="W21" s="283">
        <f>VLOOKUP(A21,LMA!$1:$1048576,18,FALSE)</f>
        <v>0.99671861092415948</v>
      </c>
      <c r="X21" s="209">
        <f>T21*(1-VLOOKUP(A21,'Prorated Residents'!$1:$1048576,5,FALSE))</f>
        <v>76</v>
      </c>
      <c r="Y21" s="209">
        <f>IF(X21&lt;&gt;T21,(VLOOKUP(A21,'Prorated Residents'!$1:$1048576,6,FALSE)),N21)</f>
        <v>5968635.4724685429</v>
      </c>
      <c r="Z21" s="209">
        <f t="shared" si="1"/>
        <v>6692185.3853537887</v>
      </c>
      <c r="AA21" s="92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</row>
    <row r="22" spans="1:237" ht="15.3" x14ac:dyDescent="0.55000000000000004">
      <c r="A22" s="181">
        <v>210024</v>
      </c>
      <c r="B22" s="180" t="s">
        <v>406</v>
      </c>
      <c r="C22" s="181">
        <v>1</v>
      </c>
      <c r="D22" s="181">
        <v>5</v>
      </c>
      <c r="E22" s="181">
        <f>VLOOKUP($A22,[15]Sheet1!$A:$IV,5,FALSE)</f>
        <v>1</v>
      </c>
      <c r="F22" s="402">
        <f>VLOOKUP(A22,'GBR Revenue for ICC'!$1:$1048576,13,FALSE)</f>
        <v>481457430.39623797</v>
      </c>
      <c r="G22" s="375">
        <f>VLOOKUP(A22,Volume!$1:$1048576,7,FALSE)-IFERROR(VLOOKUP(A22,Volume!AO:AQ,2,FALSE),0)-IFERROR(VLOOKUP(A22,Volume!AS:AV,3,FALSE),0)-VLOOKUP(A22,Volume!AX:BA,2,FALSE)</f>
        <v>26999.26188542712</v>
      </c>
      <c r="H22" s="212">
        <f>VLOOKUP(A22,[16]Sheet1!$B$1:$D$65536,3,FALSE)</f>
        <v>1.1223202362274129</v>
      </c>
      <c r="I22" s="212">
        <f>VLOOKUP($A22,[15]Sheet1!$A:$IV,9,FALSE)</f>
        <v>0</v>
      </c>
      <c r="J22" s="362">
        <f>VLOOKUP($A22,[15]Sheet1!$A:$IV,10,FALSE)</f>
        <v>15619210.604898153</v>
      </c>
      <c r="K22" s="362">
        <f>VLOOKUP($A22,[15]Sheet1!$A:$IV,11,FALSE)</f>
        <v>6659223.1402559336</v>
      </c>
      <c r="L22" s="362">
        <f>VLOOKUP($A22,[15]Sheet1!$A:$IV,12,FALSE)</f>
        <v>2640592.2270100717</v>
      </c>
      <c r="M22" s="362">
        <f>VLOOKUP($A22,[15]Sheet1!$A:$IV,13,FALSE)</f>
        <v>364574128.46947849</v>
      </c>
      <c r="N22" s="211">
        <f>IFERROR((VLOOKUP(A22,'DME22'!$1:$1048576,3,FALSE)*1000),0)-IFERROR((VLOOKUP(A22,'DME22'!$1:$1048576,10,FALSE)*1000),0)</f>
        <v>12196844.092979532</v>
      </c>
      <c r="O22" s="375">
        <f>IFERROR(VLOOKUP(A22,[17]Sheet1!$A:$IV,3,FALSE),0)</f>
        <v>0</v>
      </c>
      <c r="P22" s="362">
        <f>IFERROR(VLOOKUP(A22,[18]Sheet1!$A:$IV,26,FALSE),0)</f>
        <v>0</v>
      </c>
      <c r="Q22" s="362">
        <f>IFERROR(VLOOKUP($A22,[18]Sheet1!$A:$IV,27,FALSE),0)</f>
        <v>0</v>
      </c>
      <c r="R22" s="375">
        <f>VLOOKUP(A22,[19]Sheet1!$A:$IV,2,FALSE)*1000</f>
        <v>398636760.46000004</v>
      </c>
      <c r="S22" s="375">
        <f>VLOOKUP($A22,[19]Sheet1!$A:$IV,3,FALSE)*1000</f>
        <v>14304847.484097993</v>
      </c>
      <c r="T22" s="211">
        <v>88</v>
      </c>
      <c r="U22" s="210">
        <f t="shared" si="0"/>
        <v>12196844.092979532</v>
      </c>
      <c r="V22" s="213">
        <v>0.53216003055068473</v>
      </c>
      <c r="W22" s="283">
        <f>VLOOKUP(A22,LMA!$1:$1048576,18,FALSE)</f>
        <v>0.99671861092415948</v>
      </c>
      <c r="X22" s="209">
        <f>T22*(1-VLOOKUP(A22,'Prorated Residents'!$1:$1048576,5,FALSE))</f>
        <v>88</v>
      </c>
      <c r="Y22" s="209">
        <f>IF(X22&lt;&gt;T22,(VLOOKUP(A22,'Prorated Residents'!$1:$1048576,6,FALSE)),N22)</f>
        <v>12196844.092979532</v>
      </c>
      <c r="Z22" s="209">
        <f t="shared" si="1"/>
        <v>12196844.092979532</v>
      </c>
      <c r="AA22" s="92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</row>
    <row r="23" spans="1:237" ht="15.3" x14ac:dyDescent="0.55000000000000004">
      <c r="A23" s="181">
        <v>210027</v>
      </c>
      <c r="B23" s="180" t="s">
        <v>405</v>
      </c>
      <c r="C23" s="181">
        <v>1</v>
      </c>
      <c r="D23" s="181">
        <v>3</v>
      </c>
      <c r="E23" s="181">
        <f>VLOOKUP($A23,[15]Sheet1!$A:$IV,5,FALSE)</f>
        <v>1</v>
      </c>
      <c r="F23" s="402">
        <f>VLOOKUP(A23,'GBR Revenue for ICC'!$1:$1048576,13,FALSE)</f>
        <v>329427490.80074435</v>
      </c>
      <c r="G23" s="375">
        <f>VLOOKUP(A23,Volume!$1:$1048576,7,FALSE)-IFERROR(VLOOKUP(A23,Volume!AO:AQ,2,FALSE),0)-IFERROR(VLOOKUP(A23,Volume!AS:AV,3,FALSE),0)-VLOOKUP(A23,Volume!AX:BA,2,FALSE)</f>
        <v>22692.781590576982</v>
      </c>
      <c r="H23" s="212">
        <f>VLOOKUP(A23,[16]Sheet1!$B$1:$D$65536,3,FALSE)</f>
        <v>1.1268001645719641</v>
      </c>
      <c r="I23" s="212">
        <f>VLOOKUP($A23,[15]Sheet1!$A:$IV,9,FALSE)</f>
        <v>0</v>
      </c>
      <c r="J23" s="362">
        <f>VLOOKUP($A23,[15]Sheet1!$A:$IV,10,FALSE)</f>
        <v>20452190</v>
      </c>
      <c r="K23" s="362">
        <f>VLOOKUP($A23,[15]Sheet1!$A:$IV,11,FALSE)</f>
        <v>5667600</v>
      </c>
      <c r="L23" s="362">
        <f>VLOOKUP($A23,[15]Sheet1!$A:$IV,12,FALSE)</f>
        <v>6188920</v>
      </c>
      <c r="M23" s="362">
        <f>VLOOKUP($A23,[15]Sheet1!$A:$IV,13,FALSE)</f>
        <v>237708127.87499997</v>
      </c>
      <c r="N23" s="211">
        <f>IFERROR((VLOOKUP(A23,'DME22'!$1:$1048576,3,FALSE)*1000),0)-IFERROR((VLOOKUP(A23,'DME22'!$1:$1048576,10,FALSE)*1000),0)</f>
        <v>0</v>
      </c>
      <c r="O23" s="375">
        <f>IFERROR(VLOOKUP(A23,[17]Sheet1!$A:$IV,3,FALSE),0)</f>
        <v>0</v>
      </c>
      <c r="P23" s="362">
        <f>IFERROR(VLOOKUP(A23,[18]Sheet1!$A:$IV,26,FALSE),0)</f>
        <v>466347.84539045324</v>
      </c>
      <c r="Q23" s="362">
        <f>IFERROR(VLOOKUP($A23,[18]Sheet1!$A:$IV,27,FALSE),0)</f>
        <v>1421291.0557183044</v>
      </c>
      <c r="R23" s="386">
        <v>309729310</v>
      </c>
      <c r="S23" s="386">
        <v>72021182.125000015</v>
      </c>
      <c r="T23" s="211">
        <v>0</v>
      </c>
      <c r="U23" s="210">
        <f t="shared" si="0"/>
        <v>1887638.9011087576</v>
      </c>
      <c r="V23" s="213">
        <v>0.55872884872338413</v>
      </c>
      <c r="W23" s="283">
        <f>VLOOKUP(A23,LMA!$1:$1048576,18,FALSE)</f>
        <v>0.99671861092415948</v>
      </c>
      <c r="X23" s="209">
        <f>T23*(1-VLOOKUP(A23,'Prorated Residents'!$1:$1048576,5,FALSE))</f>
        <v>0</v>
      </c>
      <c r="Y23" s="209">
        <f>IF(X23&lt;&gt;T23,(VLOOKUP(A23,'Prorated Residents'!$1:$1048576,6,FALSE)),N23)</f>
        <v>0</v>
      </c>
      <c r="Z23" s="209">
        <f t="shared" si="1"/>
        <v>1887638.9011087576</v>
      </c>
      <c r="AA23" s="92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</row>
    <row r="24" spans="1:237" ht="15.3" x14ac:dyDescent="0.55000000000000004">
      <c r="A24" s="181">
        <v>210028</v>
      </c>
      <c r="B24" s="180" t="s">
        <v>403</v>
      </c>
      <c r="C24" s="181">
        <v>1</v>
      </c>
      <c r="D24" s="181">
        <v>3</v>
      </c>
      <c r="E24" s="181">
        <f>VLOOKUP($A24,[15]Sheet1!$A:$IV,5,FALSE)</f>
        <v>1</v>
      </c>
      <c r="F24" s="402">
        <f>VLOOKUP(A24,'GBR Revenue for ICC'!$1:$1048576,13,FALSE)</f>
        <v>202378391.95282602</v>
      </c>
      <c r="G24" s="375">
        <f>VLOOKUP(A24,Volume!$1:$1048576,7,FALSE)-IFERROR(VLOOKUP(A24,Volume!AO:AQ,2,FALSE),0)-IFERROR(VLOOKUP(A24,Volume!AS:AV,3,FALSE),0)-VLOOKUP(A24,Volume!AX:BA,2,FALSE)</f>
        <v>14672.575577466996</v>
      </c>
      <c r="H24" s="212">
        <f>VLOOKUP(A24,[16]Sheet1!$B$1:$D$65536,3,FALSE)</f>
        <v>1.1136722213908725</v>
      </c>
      <c r="I24" s="212">
        <f>VLOOKUP($A24,[15]Sheet1!$A:$IV,9,FALSE)</f>
        <v>0</v>
      </c>
      <c r="J24" s="362">
        <f>VLOOKUP($A24,[15]Sheet1!$A:$IV,10,FALSE)</f>
        <v>8956630.1743892096</v>
      </c>
      <c r="K24" s="362">
        <f>VLOOKUP($A24,[15]Sheet1!$A:$IV,11,FALSE)</f>
        <v>1071626.0387638998</v>
      </c>
      <c r="L24" s="362">
        <f>VLOOKUP($A24,[15]Sheet1!$A:$IV,12,FALSE)</f>
        <v>831519.6207105834</v>
      </c>
      <c r="M24" s="362">
        <f>VLOOKUP($A24,[15]Sheet1!$A:$IV,13,FALSE)</f>
        <v>143704996.64757082</v>
      </c>
      <c r="N24" s="211">
        <f>IFERROR((VLOOKUP(A24,'DME22'!$1:$1048576,3,FALSE)*1000),0)-IFERROR((VLOOKUP(A24,'DME22'!$1:$1048576,10,FALSE)*1000),0)</f>
        <v>0</v>
      </c>
      <c r="O24" s="375">
        <f>IFERROR(VLOOKUP(A24,[17]Sheet1!$A:$IV,3,FALSE),0)</f>
        <v>0</v>
      </c>
      <c r="P24" s="362">
        <f>IFERROR(VLOOKUP(A24,[18]Sheet1!$A:$IV,26,FALSE),0)</f>
        <v>0</v>
      </c>
      <c r="Q24" s="362">
        <f>IFERROR(VLOOKUP($A24,[18]Sheet1!$A:$IV,27,FALSE),0)</f>
        <v>0</v>
      </c>
      <c r="R24" s="375">
        <f>VLOOKUP(A24,[19]Sheet1!$A:$IV,2,FALSE)*1000</f>
        <v>181373904.57000002</v>
      </c>
      <c r="S24" s="375">
        <f>VLOOKUP($A24,[19]Sheet1!$A:$IV,3,FALSE)*1000</f>
        <v>23188603.718870904</v>
      </c>
      <c r="T24" s="211">
        <v>0</v>
      </c>
      <c r="U24" s="210">
        <f t="shared" si="0"/>
        <v>0</v>
      </c>
      <c r="V24" s="213">
        <v>0.58188815153562745</v>
      </c>
      <c r="W24" s="283">
        <f>VLOOKUP(A24,LMA!$1:$1048576,18,FALSE)</f>
        <v>0.99671861092415948</v>
      </c>
      <c r="X24" s="209">
        <f>T24*(1-VLOOKUP(A24,'Prorated Residents'!$1:$1048576,5,FALSE))</f>
        <v>0</v>
      </c>
      <c r="Y24" s="209">
        <f>IF(X24&lt;&gt;T24,(VLOOKUP(A24,'Prorated Residents'!$1:$1048576,6,FALSE)),N24)</f>
        <v>0</v>
      </c>
      <c r="Z24" s="209">
        <f t="shared" si="1"/>
        <v>0</v>
      </c>
      <c r="AA24" s="92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8"/>
      <c r="HB24" s="158"/>
      <c r="HC24" s="158"/>
      <c r="HD24" s="158"/>
      <c r="HE24" s="158"/>
      <c r="HF24" s="158"/>
      <c r="HG24" s="158"/>
      <c r="HH24" s="158"/>
      <c r="HI24" s="158"/>
      <c r="HJ24" s="158"/>
      <c r="HK24" s="158"/>
      <c r="HL24" s="158"/>
      <c r="HM24" s="158"/>
      <c r="HN24" s="158"/>
      <c r="HO24" s="158"/>
      <c r="HP24" s="158"/>
      <c r="HQ24" s="158"/>
      <c r="HR24" s="158"/>
      <c r="HS24" s="158"/>
      <c r="HT24" s="158"/>
      <c r="HU24" s="158"/>
      <c r="HV24" s="158"/>
      <c r="HW24" s="158"/>
      <c r="HX24" s="158"/>
      <c r="HY24" s="158"/>
      <c r="HZ24" s="158"/>
      <c r="IA24" s="158"/>
      <c r="IB24" s="158"/>
      <c r="IC24" s="158"/>
    </row>
    <row r="25" spans="1:237" ht="15.3" x14ac:dyDescent="0.55000000000000004">
      <c r="A25" s="181">
        <v>210029</v>
      </c>
      <c r="B25" s="180" t="s">
        <v>402</v>
      </c>
      <c r="C25" s="181">
        <v>1</v>
      </c>
      <c r="D25" s="181">
        <v>5</v>
      </c>
      <c r="E25" s="181">
        <f>VLOOKUP($A25,[15]Sheet1!$A:$IV,5,FALSE)</f>
        <v>1</v>
      </c>
      <c r="F25" s="402">
        <f>VLOOKUP(A25,'GBR Revenue for ICC'!$1:$1048576,13,FALSE)</f>
        <v>685641223.73208022</v>
      </c>
      <c r="G25" s="375">
        <f>VLOOKUP(A25,Volume!$1:$1048576,7,FALSE)-IFERROR(VLOOKUP(A25,Volume!AO:AQ,2,FALSE),0)-IFERROR(VLOOKUP(A25,Volume!AS:AV,3,FALSE),0)-VLOOKUP(A25,Volume!AX:BA,2,FALSE)</f>
        <v>35540.799933832066</v>
      </c>
      <c r="H25" s="212">
        <f>VLOOKUP(A25,[16]Sheet1!$B$1:$D$65536,3,FALSE)</f>
        <v>1.1160480491569686</v>
      </c>
      <c r="I25" s="212">
        <f>VLOOKUP($A25,[15]Sheet1!$A:$IV,9,FALSE)</f>
        <v>0</v>
      </c>
      <c r="J25" s="362">
        <f>VLOOKUP($A25,[15]Sheet1!$A:$IV,10,FALSE)</f>
        <v>28971614.571778711</v>
      </c>
      <c r="K25" s="362">
        <f>VLOOKUP($A25,[15]Sheet1!$A:$IV,11,FALSE)</f>
        <v>8093300</v>
      </c>
      <c r="L25" s="362">
        <f>VLOOKUP($A25,[15]Sheet1!$A:$IV,12,FALSE)</f>
        <v>9255600</v>
      </c>
      <c r="M25" s="362">
        <f>VLOOKUP($A25,[15]Sheet1!$A:$IV,13,FALSE)</f>
        <v>637179346.24559069</v>
      </c>
      <c r="N25" s="211">
        <f>IFERROR((VLOOKUP(A25,'DME22'!$1:$1048576,3,FALSE)*1000),0)-IFERROR((VLOOKUP(A25,'DME22'!$1:$1048576,10,FALSE)*1000),0)</f>
        <v>24683948.976852756</v>
      </c>
      <c r="O25" s="375">
        <f>IFERROR(VLOOKUP(A25,[17]Sheet1!$A:$IV,3,FALSE),0)</f>
        <v>0</v>
      </c>
      <c r="P25" s="362">
        <f>IFERROR(VLOOKUP(A25,[18]Sheet1!$A:$IV,26,FALSE),0)</f>
        <v>2058544.1524620804</v>
      </c>
      <c r="Q25" s="362">
        <f>IFERROR(VLOOKUP($A25,[18]Sheet1!$A:$IV,27,FALSE),0)</f>
        <v>1722953.9802664598</v>
      </c>
      <c r="R25" s="375">
        <f>VLOOKUP(A25,[19]Sheet1!$A:$IV,2,FALSE)*1000</f>
        <v>658221105.3249011</v>
      </c>
      <c r="S25" s="375">
        <f>VLOOKUP($A25,[19]Sheet1!$A:$IV,3,FALSE)*1000</f>
        <v>-22336231.22247576</v>
      </c>
      <c r="T25" s="211">
        <v>147</v>
      </c>
      <c r="U25" s="210">
        <f t="shared" si="0"/>
        <v>28465447.109581295</v>
      </c>
      <c r="V25" s="213">
        <v>0.73282589011689636</v>
      </c>
      <c r="W25" s="283">
        <f>VLOOKUP(A25,LMA!$1:$1048576,18,FALSE)</f>
        <v>0.99671861092415948</v>
      </c>
      <c r="X25" s="209">
        <f>T25*(1-VLOOKUP(A25,'Prorated Residents'!$1:$1048576,5,FALSE))</f>
        <v>141.11220866622443</v>
      </c>
      <c r="Y25" s="209">
        <f>IF(X25&lt;&gt;T25,(VLOOKUP(A25,'Prorated Residents'!$1:$1048576,6,FALSE)),N25)</f>
        <v>23695282.712435938</v>
      </c>
      <c r="Z25" s="209">
        <f t="shared" si="1"/>
        <v>27476780.845164478</v>
      </c>
      <c r="AA25" s="92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P25" s="158"/>
      <c r="GQ25" s="158"/>
      <c r="GR25" s="158"/>
      <c r="GS25" s="158"/>
      <c r="GT25" s="158"/>
      <c r="GU25" s="158"/>
      <c r="GV25" s="158"/>
      <c r="GW25" s="158"/>
      <c r="GX25" s="158"/>
      <c r="GY25" s="158"/>
      <c r="GZ25" s="158"/>
      <c r="HA25" s="158"/>
      <c r="HB25" s="158"/>
      <c r="HC25" s="158"/>
      <c r="HD25" s="158"/>
      <c r="HE25" s="158"/>
      <c r="HF25" s="158"/>
      <c r="HG25" s="158"/>
      <c r="HH25" s="158"/>
      <c r="HI25" s="158"/>
      <c r="HJ25" s="158"/>
      <c r="HK25" s="158"/>
      <c r="HL25" s="158"/>
      <c r="HM25" s="158"/>
      <c r="HN25" s="158"/>
      <c r="HO25" s="158"/>
      <c r="HP25" s="158"/>
      <c r="HQ25" s="158"/>
      <c r="HR25" s="158"/>
      <c r="HS25" s="158"/>
      <c r="HT25" s="158"/>
      <c r="HU25" s="158"/>
      <c r="HV25" s="158"/>
      <c r="HW25" s="158"/>
      <c r="HX25" s="158"/>
      <c r="HY25" s="158"/>
      <c r="HZ25" s="158"/>
      <c r="IA25" s="158"/>
      <c r="IB25" s="158"/>
      <c r="IC25" s="158"/>
    </row>
    <row r="26" spans="1:237" ht="15.3" x14ac:dyDescent="0.55000000000000004">
      <c r="A26" s="181">
        <v>210030</v>
      </c>
      <c r="B26" s="180" t="s">
        <v>401</v>
      </c>
      <c r="C26" s="181">
        <v>1</v>
      </c>
      <c r="D26" s="181">
        <v>3</v>
      </c>
      <c r="E26" s="181">
        <f>VLOOKUP($A26,[15]Sheet1!$A:$IV,5,FALSE)</f>
        <v>1</v>
      </c>
      <c r="F26" s="402">
        <f>VLOOKUP(A26,'GBR Revenue for ICC'!$1:$1048576,13,FALSE)</f>
        <v>53234979.529182494</v>
      </c>
      <c r="G26" s="375">
        <f>VLOOKUP(A26,Volume!$1:$1048576,7,FALSE)-IFERROR(VLOOKUP(A26,Volume!AO:AQ,2,FALSE),0)-IFERROR(VLOOKUP(A26,Volume!AS:AV,3,FALSE),0)-VLOOKUP(A26,Volume!AX:BA,2,FALSE)</f>
        <v>2175.2241478610003</v>
      </c>
      <c r="H26" s="212">
        <f>VLOOKUP(A26,[16]Sheet1!$B$1:$D$65536,3,FALSE)</f>
        <v>1.1237498376689119</v>
      </c>
      <c r="I26" s="212">
        <f>VLOOKUP($A26,[15]Sheet1!$A:$IV,9,FALSE)</f>
        <v>0</v>
      </c>
      <c r="J26" s="362">
        <f>VLOOKUP($A26,[15]Sheet1!$A:$IV,10,FALSE)</f>
        <v>3098486.3110707654</v>
      </c>
      <c r="K26" s="362">
        <f>VLOOKUP($A26,[15]Sheet1!$A:$IV,11,FALSE)</f>
        <v>76147.860000000044</v>
      </c>
      <c r="L26" s="362">
        <f>VLOOKUP($A26,[15]Sheet1!$A:$IV,12,FALSE)</f>
        <v>123000</v>
      </c>
      <c r="M26" s="362">
        <f>VLOOKUP($A26,[15]Sheet1!$A:$IV,13,FALSE)</f>
        <v>37841701.506655164</v>
      </c>
      <c r="N26" s="211">
        <f>IFERROR((VLOOKUP(A26,'DME22'!$1:$1048576,3,FALSE)*1000),0)-IFERROR((VLOOKUP(A26,'DME22'!$1:$1048576,10,FALSE)*1000),0)</f>
        <v>0</v>
      </c>
      <c r="O26" s="375">
        <f>IFERROR(VLOOKUP(A26,[17]Sheet1!$A:$IV,3,FALSE),0)</f>
        <v>208535.14400062207</v>
      </c>
      <c r="P26" s="362">
        <f>IFERROR(VLOOKUP(A26,[18]Sheet1!$A:$IV,26,FALSE),0)</f>
        <v>0</v>
      </c>
      <c r="Q26" s="362">
        <f>IFERROR(VLOOKUP($A26,[18]Sheet1!$A:$IV,27,FALSE),0)</f>
        <v>0</v>
      </c>
      <c r="R26" s="375">
        <f>VLOOKUP(A26,[19]Sheet1!$A:$IV,2,FALSE)*1000</f>
        <v>48441671.06376233</v>
      </c>
      <c r="S26" s="375">
        <f>VLOOKUP($A26,[19]Sheet1!$A:$IV,3,FALSE)*1000</f>
        <v>12637175.567022372</v>
      </c>
      <c r="T26" s="211">
        <v>0</v>
      </c>
      <c r="U26" s="210">
        <f t="shared" si="0"/>
        <v>208535.14400062207</v>
      </c>
      <c r="V26" s="213">
        <v>0.62219660767872587</v>
      </c>
      <c r="W26" s="283">
        <f>VLOOKUP(A26,LMA!$1:$1048576,18,FALSE)</f>
        <v>0.99671861092415948</v>
      </c>
      <c r="X26" s="209">
        <f>T26*(1-VLOOKUP(A26,'Prorated Residents'!$1:$1048576,5,FALSE))</f>
        <v>0</v>
      </c>
      <c r="Y26" s="209">
        <f>IF(X26&lt;&gt;T26,(VLOOKUP(A26,'Prorated Residents'!$1:$1048576,6,FALSE)),N26)</f>
        <v>0</v>
      </c>
      <c r="Z26" s="209">
        <f t="shared" si="1"/>
        <v>208535.14400062207</v>
      </c>
      <c r="AA26" s="92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</row>
    <row r="27" spans="1:237" ht="15.3" x14ac:dyDescent="0.55000000000000004">
      <c r="A27" s="181">
        <v>210032</v>
      </c>
      <c r="B27" s="180" t="s">
        <v>400</v>
      </c>
      <c r="C27" s="181">
        <v>1</v>
      </c>
      <c r="D27" s="181">
        <v>3</v>
      </c>
      <c r="E27" s="181">
        <f>VLOOKUP($A27,[15]Sheet1!$A:$IV,5,FALSE)</f>
        <v>1</v>
      </c>
      <c r="F27" s="402">
        <f>VLOOKUP(A27,'GBR Revenue for ICC'!$1:$1048576,13,FALSE)</f>
        <v>181246617.1663484</v>
      </c>
      <c r="G27" s="375">
        <f>VLOOKUP(A27,Volume!$1:$1048576,7,FALSE)-IFERROR(VLOOKUP(A27,Volume!AO:AQ,2,FALSE),0)-IFERROR(VLOOKUP(A27,Volume!AS:AV,3,FALSE),0)-VLOOKUP(A27,Volume!AX:BA,2,FALSE)</f>
        <v>10926.435215269013</v>
      </c>
      <c r="H27" s="212">
        <f>VLOOKUP(A27,[16]Sheet1!$B$1:$D$65536,3,FALSE)</f>
        <v>1.1182795268578634</v>
      </c>
      <c r="I27" s="212">
        <f>VLOOKUP($A27,[15]Sheet1!$A:$IV,9,FALSE)</f>
        <v>0</v>
      </c>
      <c r="J27" s="362">
        <f>VLOOKUP($A27,[15]Sheet1!$A:$IV,10,FALSE)</f>
        <v>7858223.5299999993</v>
      </c>
      <c r="K27" s="362">
        <f>VLOOKUP($A27,[15]Sheet1!$A:$IV,11,FALSE)</f>
        <v>955054.59999999974</v>
      </c>
      <c r="L27" s="362">
        <f>VLOOKUP($A27,[15]Sheet1!$A:$IV,12,FALSE)</f>
        <v>1832625.25</v>
      </c>
      <c r="M27" s="362">
        <f>VLOOKUP($A27,[15]Sheet1!$A:$IV,13,FALSE)</f>
        <v>129107899.88704549</v>
      </c>
      <c r="N27" s="211">
        <f>IFERROR((VLOOKUP(A27,'DME22'!$1:$1048576,3,FALSE)*1000),0)-IFERROR((VLOOKUP(A27,'DME22'!$1:$1048576,10,FALSE)*1000),0)</f>
        <v>0</v>
      </c>
      <c r="O27" s="375">
        <f>IFERROR(VLOOKUP(A27,[17]Sheet1!$A:$IV,3,FALSE),0)</f>
        <v>0</v>
      </c>
      <c r="P27" s="362">
        <f>IFERROR(VLOOKUP(A27,[18]Sheet1!$A:$IV,26,FALSE),0)</f>
        <v>0</v>
      </c>
      <c r="Q27" s="362">
        <f>IFERROR(VLOOKUP($A27,[18]Sheet1!$A:$IV,27,FALSE),0)</f>
        <v>0</v>
      </c>
      <c r="R27" s="375">
        <f>VLOOKUP(A27,[19]Sheet1!$A:$IV,2,FALSE)*1000</f>
        <v>148097417.15000001</v>
      </c>
      <c r="S27" s="375">
        <f>VLOOKUP($A27,[19]Sheet1!$A:$IV,3,FALSE)*1000</f>
        <v>-11279243.103714019</v>
      </c>
      <c r="T27" s="211">
        <v>0</v>
      </c>
      <c r="U27" s="210">
        <f t="shared" si="0"/>
        <v>0</v>
      </c>
      <c r="V27" s="213">
        <v>0.62313393530207617</v>
      </c>
      <c r="W27" s="283">
        <f>VLOOKUP(A27,LMA!$1:$1048576,18,FALSE)</f>
        <v>0.99671861092415948</v>
      </c>
      <c r="X27" s="209">
        <f>T27*(1-VLOOKUP(A27,'Prorated Residents'!$1:$1048576,5,FALSE))</f>
        <v>0</v>
      </c>
      <c r="Y27" s="209">
        <f>IF(X27&lt;&gt;T27,(VLOOKUP(A27,'Prorated Residents'!$1:$1048576,6,FALSE)),N27)</f>
        <v>0</v>
      </c>
      <c r="Z27" s="209">
        <f t="shared" si="1"/>
        <v>0</v>
      </c>
      <c r="AA27" s="92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158"/>
      <c r="HJ27" s="158"/>
      <c r="HK27" s="158"/>
      <c r="HL27" s="158"/>
      <c r="HM27" s="158"/>
      <c r="HN27" s="158"/>
      <c r="HO27" s="158"/>
      <c r="HP27" s="158"/>
      <c r="HQ27" s="158"/>
      <c r="HR27" s="158"/>
      <c r="HS27" s="158"/>
      <c r="HT27" s="158"/>
      <c r="HU27" s="158"/>
      <c r="HV27" s="158"/>
      <c r="HW27" s="158"/>
      <c r="HX27" s="158"/>
      <c r="HY27" s="158"/>
      <c r="HZ27" s="158"/>
      <c r="IA27" s="158"/>
      <c r="IB27" s="158"/>
      <c r="IC27" s="158"/>
    </row>
    <row r="28" spans="1:237" ht="15.3" x14ac:dyDescent="0.55000000000000004">
      <c r="A28" s="181">
        <v>210033</v>
      </c>
      <c r="B28" s="180" t="s">
        <v>399</v>
      </c>
      <c r="C28" s="181">
        <v>1</v>
      </c>
      <c r="D28" s="181">
        <v>3</v>
      </c>
      <c r="E28" s="181">
        <f>VLOOKUP($A28,[15]Sheet1!$A:$IV,5,FALSE)</f>
        <v>1</v>
      </c>
      <c r="F28" s="402">
        <f>VLOOKUP(A28,'GBR Revenue for ICC'!$1:$1048576,13,FALSE)</f>
        <v>270049679.90851074</v>
      </c>
      <c r="G28" s="375">
        <f>VLOOKUP(A28,Volume!$1:$1048576,7,FALSE)-IFERROR(VLOOKUP(A28,Volume!AO:AQ,2,FALSE),0)-IFERROR(VLOOKUP(A28,Volume!AS:AV,3,FALSE),0)-VLOOKUP(A28,Volume!AX:BA,2,FALSE)</f>
        <v>16462.876928917998</v>
      </c>
      <c r="H28" s="212">
        <f>VLOOKUP(A28,[16]Sheet1!$B$1:$D$65536,3,FALSE)</f>
        <v>1.1165021686409196</v>
      </c>
      <c r="I28" s="212">
        <f>VLOOKUP($A28,[15]Sheet1!$A:$IV,9,FALSE)</f>
        <v>0</v>
      </c>
      <c r="J28" s="362">
        <f>VLOOKUP($A28,[15]Sheet1!$A:$IV,10,FALSE)</f>
        <v>14594610</v>
      </c>
      <c r="K28" s="362">
        <f>VLOOKUP($A28,[15]Sheet1!$A:$IV,11,FALSE)</f>
        <v>1467961</v>
      </c>
      <c r="L28" s="362">
        <f>VLOOKUP($A28,[15]Sheet1!$A:$IV,12,FALSE)</f>
        <v>6122300</v>
      </c>
      <c r="M28" s="362">
        <f>VLOOKUP($A28,[15]Sheet1!$A:$IV,13,FALSE)</f>
        <v>202086532.30826923</v>
      </c>
      <c r="N28" s="211">
        <f>IFERROR((VLOOKUP(A28,'DME22'!$1:$1048576,3,FALSE)*1000),0)-IFERROR((VLOOKUP(A28,'DME22'!$1:$1048576,10,FALSE)*1000),0)</f>
        <v>0</v>
      </c>
      <c r="O28" s="375">
        <f>IFERROR(VLOOKUP(A28,[17]Sheet1!$A:$IV,3,FALSE),0)</f>
        <v>0</v>
      </c>
      <c r="P28" s="362">
        <f>IFERROR(VLOOKUP(A28,[18]Sheet1!$A:$IV,26,FALSE),0)</f>
        <v>0</v>
      </c>
      <c r="Q28" s="362">
        <f>IFERROR(VLOOKUP($A28,[18]Sheet1!$A:$IV,27,FALSE),0)</f>
        <v>0</v>
      </c>
      <c r="R28" s="375">
        <f>VLOOKUP(A28,[19]Sheet1!$A:$IV,2,FALSE)*1000</f>
        <v>233764923.36999995</v>
      </c>
      <c r="S28" s="375">
        <f>VLOOKUP($A28,[19]Sheet1!$A:$IV,3,FALSE)*1000</f>
        <v>21479304.234615352</v>
      </c>
      <c r="T28" s="211">
        <v>0</v>
      </c>
      <c r="U28" s="210">
        <f t="shared" si="0"/>
        <v>0</v>
      </c>
      <c r="V28" s="213">
        <v>0.54480231543352931</v>
      </c>
      <c r="W28" s="283">
        <f>VLOOKUP(A28,LMA!$1:$1048576,18,FALSE)</f>
        <v>0.99671861092415948</v>
      </c>
      <c r="X28" s="209">
        <f>T28*(1-VLOOKUP(A28,'Prorated Residents'!$1:$1048576,5,FALSE))</f>
        <v>0</v>
      </c>
      <c r="Y28" s="209">
        <f>IF(X28&lt;&gt;T28,(VLOOKUP(A28,'Prorated Residents'!$1:$1048576,6,FALSE)),N28)</f>
        <v>0</v>
      </c>
      <c r="Z28" s="209">
        <f t="shared" si="1"/>
        <v>0</v>
      </c>
      <c r="AA28" s="92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</row>
    <row r="29" spans="1:237" ht="15.3" x14ac:dyDescent="0.55000000000000004">
      <c r="A29" s="181">
        <v>210034</v>
      </c>
      <c r="B29" s="180" t="s">
        <v>398</v>
      </c>
      <c r="C29" s="181">
        <v>1</v>
      </c>
      <c r="D29" s="181">
        <v>4</v>
      </c>
      <c r="E29" s="181">
        <f>VLOOKUP($A29,[15]Sheet1!$A:$IV,5,FALSE)</f>
        <v>1</v>
      </c>
      <c r="F29" s="402">
        <f>VLOOKUP(A29,'GBR Revenue for ICC'!$1:$1048576,13,FALSE)</f>
        <v>206716555.07597718</v>
      </c>
      <c r="G29" s="375">
        <f>VLOOKUP(A29,Volume!$1:$1048576,7,FALSE)-IFERROR(VLOOKUP(A29,Volume!AO:AQ,2,FALSE),0)-IFERROR(VLOOKUP(A29,Volume!AS:AV,3,FALSE),0)-VLOOKUP(A29,Volume!AX:BA,2,FALSE)</f>
        <v>11637.098158323013</v>
      </c>
      <c r="H29" s="212">
        <f>VLOOKUP(A29,[16]Sheet1!$B$1:$D$65536,3,FALSE)</f>
        <v>1.1252449607173489</v>
      </c>
      <c r="I29" s="212">
        <f>VLOOKUP($A29,[15]Sheet1!$A:$IV,9,FALSE)</f>
        <v>0</v>
      </c>
      <c r="J29" s="362">
        <f>VLOOKUP($A29,[15]Sheet1!$A:$IV,10,FALSE)</f>
        <v>7907684</v>
      </c>
      <c r="K29" s="362">
        <f>VLOOKUP($A29,[15]Sheet1!$A:$IV,11,FALSE)</f>
        <v>212668.66000000003</v>
      </c>
      <c r="L29" s="362">
        <f>VLOOKUP($A29,[15]Sheet1!$A:$IV,12,FALSE)</f>
        <v>1280487</v>
      </c>
      <c r="M29" s="362">
        <f>VLOOKUP($A29,[15]Sheet1!$A:$IV,13,FALSE)</f>
        <v>157385193.53160509</v>
      </c>
      <c r="N29" s="211">
        <f>IFERROR((VLOOKUP(A29,'DME22'!$1:$1048576,3,FALSE)*1000),0)-IFERROR((VLOOKUP(A29,'DME22'!$1:$1048576,10,FALSE)*1000),0)</f>
        <v>2578337.9692581757</v>
      </c>
      <c r="O29" s="375">
        <f>IFERROR(VLOOKUP(A29,[17]Sheet1!$A:$IV,3,FALSE),0)</f>
        <v>0</v>
      </c>
      <c r="P29" s="362">
        <f>IFERROR(VLOOKUP(A29,[18]Sheet1!$A:$IV,26,FALSE),0)</f>
        <v>0</v>
      </c>
      <c r="Q29" s="362">
        <f>IFERROR(VLOOKUP($A29,[18]Sheet1!$A:$IV,27,FALSE),0)</f>
        <v>0</v>
      </c>
      <c r="R29" s="375">
        <f>VLOOKUP(A29,[19]Sheet1!$A:$IV,2,FALSE)*1000</f>
        <v>177084001.51120651</v>
      </c>
      <c r="S29" s="375">
        <f>VLOOKUP($A29,[19]Sheet1!$A:$IV,3,FALSE)*1000</f>
        <v>8956782.9142427649</v>
      </c>
      <c r="T29" s="211">
        <v>46</v>
      </c>
      <c r="U29" s="210">
        <f t="shared" si="0"/>
        <v>2578337.9692581757</v>
      </c>
      <c r="V29" s="213">
        <v>0.62343258804205115</v>
      </c>
      <c r="W29" s="283">
        <f>VLOOKUP(A29,LMA!$1:$1048576,18,FALSE)</f>
        <v>0.99671861092415948</v>
      </c>
      <c r="X29" s="209">
        <f>T29*(1-VLOOKUP(A29,'Prorated Residents'!$1:$1048576,5,FALSE))</f>
        <v>46</v>
      </c>
      <c r="Y29" s="209">
        <f>IF(X29&lt;&gt;T29,(VLOOKUP(A29,'Prorated Residents'!$1:$1048576,6,FALSE)),N29)</f>
        <v>2578337.9692581757</v>
      </c>
      <c r="Z29" s="209">
        <f t="shared" si="1"/>
        <v>2578337.9692581757</v>
      </c>
      <c r="AA29" s="92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</row>
    <row r="30" spans="1:237" ht="15.3" x14ac:dyDescent="0.55000000000000004">
      <c r="A30" s="181">
        <v>210035</v>
      </c>
      <c r="B30" s="180" t="s">
        <v>397</v>
      </c>
      <c r="C30" s="181">
        <v>1</v>
      </c>
      <c r="D30" s="181">
        <v>3</v>
      </c>
      <c r="E30" s="181">
        <f>VLOOKUP($A30,[15]Sheet1!$A:$IV,5,FALSE)</f>
        <v>1</v>
      </c>
      <c r="F30" s="402">
        <f>VLOOKUP(A30,'GBR Revenue for ICC'!$1:$1048576,13,FALSE)</f>
        <v>178231569.15377906</v>
      </c>
      <c r="G30" s="375">
        <f>VLOOKUP(A30,Volume!$1:$1048576,7,FALSE)-IFERROR(VLOOKUP(A30,Volume!AO:AQ,2,FALSE),0)-IFERROR(VLOOKUP(A30,Volume!AS:AV,3,FALSE),0)-VLOOKUP(A30,Volume!AX:BA,2,FALSE)</f>
        <v>12134.106723412984</v>
      </c>
      <c r="H30" s="212">
        <f>VLOOKUP(A30,[16]Sheet1!$B$1:$D$65536,3,FALSE)</f>
        <v>1.1148847928711076</v>
      </c>
      <c r="I30" s="212">
        <f>VLOOKUP($A30,[15]Sheet1!$A:$IV,9,FALSE)</f>
        <v>0</v>
      </c>
      <c r="J30" s="362">
        <f>VLOOKUP($A30,[15]Sheet1!$A:$IV,10,FALSE)</f>
        <v>6979763.2335418426</v>
      </c>
      <c r="K30" s="362">
        <f>VLOOKUP($A30,[15]Sheet1!$A:$IV,11,FALSE)</f>
        <v>1168498.42</v>
      </c>
      <c r="L30" s="362">
        <f>VLOOKUP($A30,[15]Sheet1!$A:$IV,12,FALSE)</f>
        <v>1448367.2999999998</v>
      </c>
      <c r="M30" s="362">
        <f>VLOOKUP($A30,[15]Sheet1!$A:$IV,13,FALSE)</f>
        <v>126657282.19726135</v>
      </c>
      <c r="N30" s="211">
        <f>IFERROR((VLOOKUP(A30,'DME22'!$1:$1048576,3,FALSE)*1000),0)-IFERROR((VLOOKUP(A30,'DME22'!$1:$1048576,10,FALSE)*1000),0)</f>
        <v>0</v>
      </c>
      <c r="O30" s="375">
        <f>IFERROR(VLOOKUP(A30,[17]Sheet1!$A:$IV,3,FALSE),0)</f>
        <v>0</v>
      </c>
      <c r="P30" s="362">
        <f>IFERROR(VLOOKUP(A30,[18]Sheet1!$A:$IV,26,FALSE),0)</f>
        <v>0</v>
      </c>
      <c r="Q30" s="362">
        <f>IFERROR(VLOOKUP($A30,[18]Sheet1!$A:$IV,27,FALSE),0)</f>
        <v>0</v>
      </c>
      <c r="R30" s="375">
        <f>VLOOKUP(A30,[19]Sheet1!$A:$IV,2,FALSE)*1000</f>
        <v>150694000</v>
      </c>
      <c r="S30" s="375">
        <f>VLOOKUP($A30,[19]Sheet1!$A:$IV,3,FALSE)*1000</f>
        <v>8214744.9127560537</v>
      </c>
      <c r="T30" s="211">
        <v>0</v>
      </c>
      <c r="U30" s="210">
        <f t="shared" si="0"/>
        <v>0</v>
      </c>
      <c r="V30" s="213">
        <v>0.63727675722986021</v>
      </c>
      <c r="W30" s="283">
        <f>VLOOKUP(A30,LMA!$1:$1048576,18,FALSE)</f>
        <v>0.99671861092415948</v>
      </c>
      <c r="X30" s="209">
        <f>T30*(1-VLOOKUP(A30,'Prorated Residents'!$1:$1048576,5,FALSE))</f>
        <v>0</v>
      </c>
      <c r="Y30" s="209">
        <f>IF(X30&lt;&gt;T30,(VLOOKUP(A30,'Prorated Residents'!$1:$1048576,6,FALSE)),N30)</f>
        <v>0</v>
      </c>
      <c r="Z30" s="209">
        <f t="shared" si="1"/>
        <v>0</v>
      </c>
      <c r="AA30" s="92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</row>
    <row r="31" spans="1:237" ht="15.3" x14ac:dyDescent="0.55000000000000004">
      <c r="A31" s="181">
        <v>210037</v>
      </c>
      <c r="B31" s="180" t="s">
        <v>396</v>
      </c>
      <c r="C31" s="181">
        <v>1</v>
      </c>
      <c r="D31" s="181">
        <v>3</v>
      </c>
      <c r="E31" s="181">
        <f>VLOOKUP($A31,[15]Sheet1!$A:$IV,5,FALSE)</f>
        <v>1</v>
      </c>
      <c r="F31" s="402">
        <f>VLOOKUP(A31,'GBR Revenue for ICC'!$1:$1048576,13,FALSE)</f>
        <v>252795365.55476636</v>
      </c>
      <c r="G31" s="375">
        <f>VLOOKUP(A31,Volume!$1:$1048576,7,FALSE)-IFERROR(VLOOKUP(A31,Volume!AO:AQ,2,FALSE),0)-IFERROR(VLOOKUP(A31,Volume!AS:AV,3,FALSE),0)-VLOOKUP(A31,Volume!AX:BA,2,FALSE)</f>
        <v>14334.792159748988</v>
      </c>
      <c r="H31" s="212">
        <f>VLOOKUP(A31,[16]Sheet1!$B$1:$D$65536,3,FALSE)</f>
        <v>1.1240965147015685</v>
      </c>
      <c r="I31" s="212">
        <f>VLOOKUP($A31,[15]Sheet1!$A:$IV,9,FALSE)</f>
        <v>0</v>
      </c>
      <c r="J31" s="362">
        <f>VLOOKUP($A31,[15]Sheet1!$A:$IV,10,FALSE)</f>
        <v>13468439.896701027</v>
      </c>
      <c r="K31" s="362">
        <f>VLOOKUP($A31,[15]Sheet1!$A:$IV,11,FALSE)</f>
        <v>583084.49449538067</v>
      </c>
      <c r="L31" s="362">
        <f>VLOOKUP($A31,[15]Sheet1!$A:$IV,12,FALSE)</f>
        <v>1616384.84</v>
      </c>
      <c r="M31" s="362">
        <f>VLOOKUP($A31,[15]Sheet1!$A:$IV,13,FALSE)</f>
        <v>160589636.18195093</v>
      </c>
      <c r="N31" s="211">
        <f>IFERROR((VLOOKUP(A31,'DME22'!$1:$1048576,3,FALSE)*1000),0)-IFERROR((VLOOKUP(A31,'DME22'!$1:$1048576,10,FALSE)*1000),0)</f>
        <v>0</v>
      </c>
      <c r="O31" s="375">
        <f>IFERROR(VLOOKUP(A31,[17]Sheet1!$A:$IV,3,FALSE),0)</f>
        <v>832816.3072470203</v>
      </c>
      <c r="P31" s="362">
        <f>IFERROR(VLOOKUP(A31,[18]Sheet1!$A:$IV,26,FALSE),0)</f>
        <v>0</v>
      </c>
      <c r="Q31" s="362">
        <f>IFERROR(VLOOKUP($A31,[18]Sheet1!$A:$IV,27,FALSE),0)</f>
        <v>0</v>
      </c>
      <c r="R31" s="375">
        <f>VLOOKUP(A31,[19]Sheet1!$A:$IV,2,FALSE)*1000</f>
        <v>250878255.11754447</v>
      </c>
      <c r="S31" s="375">
        <f>VLOOKUP($A31,[19]Sheet1!$A:$IV,3,FALSE)*1000</f>
        <v>70407711.424016714</v>
      </c>
      <c r="T31" s="211">
        <v>0</v>
      </c>
      <c r="U31" s="210">
        <f t="shared" si="0"/>
        <v>832816.3072470203</v>
      </c>
      <c r="V31" s="213">
        <v>0.63317701751000888</v>
      </c>
      <c r="W31" s="283">
        <f>VLOOKUP(A31,LMA!$1:$1048576,18,FALSE)</f>
        <v>0.99671861092415948</v>
      </c>
      <c r="X31" s="209">
        <f>T31*(1-VLOOKUP(A31,'Prorated Residents'!$1:$1048576,5,FALSE))</f>
        <v>0</v>
      </c>
      <c r="Y31" s="209">
        <f>IF(X31&lt;&gt;T31,(VLOOKUP(A31,'Prorated Residents'!$1:$1048576,6,FALSE)),N31)</f>
        <v>0</v>
      </c>
      <c r="Z31" s="209">
        <f t="shared" si="1"/>
        <v>832816.3072470203</v>
      </c>
      <c r="AA31" s="92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158"/>
      <c r="HN31" s="158"/>
      <c r="HO31" s="158"/>
      <c r="HP31" s="158"/>
      <c r="HQ31" s="158"/>
      <c r="HR31" s="158"/>
      <c r="HS31" s="158"/>
      <c r="HT31" s="158"/>
      <c r="HU31" s="158"/>
      <c r="HV31" s="158"/>
      <c r="HW31" s="158"/>
      <c r="HX31" s="158"/>
      <c r="HY31" s="158"/>
      <c r="HZ31" s="158"/>
      <c r="IA31" s="158"/>
      <c r="IB31" s="158"/>
      <c r="IC31" s="158"/>
    </row>
    <row r="32" spans="1:237" ht="15.3" x14ac:dyDescent="0.55000000000000004">
      <c r="A32" s="181">
        <v>210038</v>
      </c>
      <c r="B32" s="180" t="s">
        <v>395</v>
      </c>
      <c r="C32" s="181">
        <v>1</v>
      </c>
      <c r="D32" s="181">
        <v>4</v>
      </c>
      <c r="E32" s="181">
        <f>VLOOKUP($A32,[15]Sheet1!$A:$IV,5,FALSE)</f>
        <v>1</v>
      </c>
      <c r="F32" s="402">
        <f>VLOOKUP(A32,'GBR Revenue for ICC'!$1:$1048576,13,FALSE)</f>
        <v>245002626.74528134</v>
      </c>
      <c r="G32" s="375">
        <f>VLOOKUP(A32,Volume!$1:$1048576,7,FALSE)-IFERROR(VLOOKUP(A32,Volume!AO:AQ,2,FALSE),0)-IFERROR(VLOOKUP(A32,Volume!AS:AV,3,FALSE),0)-VLOOKUP(A32,Volume!AX:BA,2,FALSE)</f>
        <v>10658.398211444006</v>
      </c>
      <c r="H32" s="212">
        <f>VLOOKUP(A32,[16]Sheet1!$B$1:$D$65536,3,FALSE)</f>
        <v>1.1259331913445376</v>
      </c>
      <c r="I32" s="212">
        <f>VLOOKUP($A32,[15]Sheet1!$A:$IV,9,FALSE)</f>
        <v>0</v>
      </c>
      <c r="J32" s="362">
        <f>VLOOKUP($A32,[15]Sheet1!$A:$IV,10,FALSE)</f>
        <v>13437806.080499606</v>
      </c>
      <c r="K32" s="362">
        <f>VLOOKUP($A32,[15]Sheet1!$A:$IV,11,FALSE)</f>
        <v>1164759.5999999999</v>
      </c>
      <c r="L32" s="362">
        <f>VLOOKUP($A32,[15]Sheet1!$A:$IV,12,FALSE)</f>
        <v>933000</v>
      </c>
      <c r="M32" s="362">
        <f>VLOOKUP($A32,[15]Sheet1!$A:$IV,13,FALSE)</f>
        <v>188617780.74117175</v>
      </c>
      <c r="N32" s="211">
        <f>IFERROR((VLOOKUP(A32,'DME22'!$1:$1048576,3,FALSE)*1000),0)-IFERROR((VLOOKUP(A32,'DME22'!$1:$1048576,10,FALSE)*1000),0)</f>
        <v>2973062.4496268937</v>
      </c>
      <c r="O32" s="375">
        <f>IFERROR(VLOOKUP(A32,[17]Sheet1!$A:$IV,3,FALSE),0)</f>
        <v>0</v>
      </c>
      <c r="P32" s="362">
        <f>IFERROR(VLOOKUP(A32,[18]Sheet1!$A:$IV,26,FALSE),0)</f>
        <v>0</v>
      </c>
      <c r="Q32" s="362">
        <f>IFERROR(VLOOKUP($A32,[18]Sheet1!$A:$IV,27,FALSE),0)</f>
        <v>0</v>
      </c>
      <c r="R32" s="375">
        <f>VLOOKUP(A32,[19]Sheet1!$A:$IV,2,FALSE)*1000</f>
        <v>202366140.87529406</v>
      </c>
      <c r="S32" s="375">
        <f>VLOOKUP($A32,[19]Sheet1!$A:$IV,3,FALSE)*1000</f>
        <v>-4780969.7477925802</v>
      </c>
      <c r="T32" s="211">
        <v>40</v>
      </c>
      <c r="U32" s="210">
        <f t="shared" si="0"/>
        <v>2973062.4496268937</v>
      </c>
      <c r="V32" s="213">
        <v>0.56119142434660518</v>
      </c>
      <c r="W32" s="283">
        <f>VLOOKUP(A32,LMA!$1:$1048576,18,FALSE)</f>
        <v>0.99671861092415948</v>
      </c>
      <c r="X32" s="209">
        <f>T32*(1-VLOOKUP(A32,'Prorated Residents'!$1:$1048576,5,FALSE))</f>
        <v>37.058169531804339</v>
      </c>
      <c r="Y32" s="209">
        <f>IF(X32&lt;&gt;T32,(VLOOKUP(A32,'Prorated Residents'!$1:$1048576,6,FALSE)),N32)</f>
        <v>2754406.3071728731</v>
      </c>
      <c r="Z32" s="209">
        <f t="shared" si="1"/>
        <v>2754406.3071728731</v>
      </c>
      <c r="AA32" s="92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</row>
    <row r="33" spans="1:237" ht="15.3" x14ac:dyDescent="0.55000000000000004">
      <c r="A33" s="181">
        <v>210039</v>
      </c>
      <c r="B33" s="180" t="s">
        <v>394</v>
      </c>
      <c r="C33" s="181">
        <v>1</v>
      </c>
      <c r="D33" s="181">
        <v>3</v>
      </c>
      <c r="E33" s="181">
        <f>VLOOKUP($A33,[15]Sheet1!$A:$IV,5,FALSE)</f>
        <v>1</v>
      </c>
      <c r="F33" s="402">
        <f>VLOOKUP(A33,'GBR Revenue for ICC'!$1:$1048576,13,FALSE)</f>
        <v>161738343.1905202</v>
      </c>
      <c r="G33" s="375">
        <f>VLOOKUP(A33,Volume!$1:$1048576,7,FALSE)-IFERROR(VLOOKUP(A33,Volume!AO:AQ,2,FALSE),0)-IFERROR(VLOOKUP(A33,Volume!AS:AV,3,FALSE),0)-VLOOKUP(A33,Volume!AX:BA,2,FALSE)</f>
        <v>10412.594138032973</v>
      </c>
      <c r="H33" s="212">
        <f>VLOOKUP(A33,[16]Sheet1!$B$1:$D$65536,3,FALSE)</f>
        <v>1.1205505604288228</v>
      </c>
      <c r="I33" s="212">
        <f>VLOOKUP($A33,[15]Sheet1!$A:$IV,9,FALSE)</f>
        <v>0</v>
      </c>
      <c r="J33" s="362">
        <f>VLOOKUP($A33,[15]Sheet1!$A:$IV,10,FALSE)</f>
        <v>12321273.618422743</v>
      </c>
      <c r="K33" s="362">
        <f>VLOOKUP($A33,[15]Sheet1!$A:$IV,11,FALSE)</f>
        <v>1918968.6999999997</v>
      </c>
      <c r="L33" s="362">
        <f>VLOOKUP($A33,[15]Sheet1!$A:$IV,12,FALSE)</f>
        <v>2197949.81</v>
      </c>
      <c r="M33" s="362">
        <f>VLOOKUP($A33,[15]Sheet1!$A:$IV,13,FALSE)</f>
        <v>131597332.35704023</v>
      </c>
      <c r="N33" s="211">
        <f>IFERROR((VLOOKUP(A33,'DME22'!$1:$1048576,3,FALSE)*1000),0)-IFERROR((VLOOKUP(A33,'DME22'!$1:$1048576,10,FALSE)*1000),0)</f>
        <v>0</v>
      </c>
      <c r="O33" s="375">
        <f>IFERROR(VLOOKUP(A33,[17]Sheet1!$A:$IV,3,FALSE),0)</f>
        <v>0</v>
      </c>
      <c r="P33" s="362">
        <f>IFERROR(VLOOKUP(A33,[18]Sheet1!$A:$IV,26,FALSE),0)</f>
        <v>0</v>
      </c>
      <c r="Q33" s="362">
        <f>IFERROR(VLOOKUP($A33,[18]Sheet1!$A:$IV,27,FALSE),0)</f>
        <v>0</v>
      </c>
      <c r="R33" s="375">
        <f>VLOOKUP(A33,[19]Sheet1!$A:$IV,2,FALSE)*1000</f>
        <v>148723768.46000001</v>
      </c>
      <c r="S33" s="375">
        <f>VLOOKUP($A33,[19]Sheet1!$A:$IV,3,FALSE)*1000</f>
        <v>13294516.398939567</v>
      </c>
      <c r="T33" s="211">
        <v>0</v>
      </c>
      <c r="U33" s="210">
        <f t="shared" si="0"/>
        <v>0</v>
      </c>
      <c r="V33" s="213">
        <v>0.61107911546737015</v>
      </c>
      <c r="W33" s="283">
        <f>VLOOKUP(A33,LMA!$1:$1048576,18,FALSE)</f>
        <v>0.99671861092415948</v>
      </c>
      <c r="X33" s="209">
        <f>T33*(1-VLOOKUP(A33,'Prorated Residents'!$1:$1048576,5,FALSE))</f>
        <v>0</v>
      </c>
      <c r="Y33" s="209">
        <f>IF(X33&lt;&gt;T33,(VLOOKUP(A33,'Prorated Residents'!$1:$1048576,6,FALSE)),N33)</f>
        <v>0</v>
      </c>
      <c r="Z33" s="209">
        <f t="shared" si="1"/>
        <v>0</v>
      </c>
      <c r="AA33" s="92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</row>
    <row r="34" spans="1:237" ht="15.3" x14ac:dyDescent="0.55000000000000004">
      <c r="A34" s="181">
        <v>210040</v>
      </c>
      <c r="B34" s="180" t="s">
        <v>393</v>
      </c>
      <c r="C34" s="181">
        <v>1</v>
      </c>
      <c r="D34" s="181">
        <v>3</v>
      </c>
      <c r="E34" s="181">
        <f>VLOOKUP($A34,[15]Sheet1!$A:$IV,5,FALSE)</f>
        <v>1</v>
      </c>
      <c r="F34" s="402">
        <f>VLOOKUP(A34,'GBR Revenue for ICC'!$1:$1048576,13,FALSE)</f>
        <v>283245031.37281293</v>
      </c>
      <c r="G34" s="375">
        <f>VLOOKUP(A34,Volume!$1:$1048576,7,FALSE)-IFERROR(VLOOKUP(A34,Volume!AO:AQ,2,FALSE),0)-IFERROR(VLOOKUP(A34,Volume!AS:AV,3,FALSE),0)-VLOOKUP(A34,Volume!AX:BA,2,FALSE)</f>
        <v>15965.725843327995</v>
      </c>
      <c r="H34" s="212">
        <f>VLOOKUP(A34,[16]Sheet1!$B$1:$D$65536,3,FALSE)</f>
        <v>1.120710322524318</v>
      </c>
      <c r="I34" s="212">
        <f>VLOOKUP($A34,[15]Sheet1!$A:$IV,9,FALSE)</f>
        <v>0</v>
      </c>
      <c r="J34" s="362">
        <f>VLOOKUP($A34,[15]Sheet1!$A:$IV,10,FALSE)</f>
        <v>16565085.530000001</v>
      </c>
      <c r="K34" s="362">
        <f>VLOOKUP($A34,[15]Sheet1!$A:$IV,11,FALSE)</f>
        <v>644100.10000000021</v>
      </c>
      <c r="L34" s="362">
        <f>VLOOKUP($A34,[15]Sheet1!$A:$IV,12,FALSE)</f>
        <v>3535699.94</v>
      </c>
      <c r="M34" s="362">
        <f>VLOOKUP($A34,[15]Sheet1!$A:$IV,13,FALSE)</f>
        <v>222859888.94999999</v>
      </c>
      <c r="N34" s="211">
        <f>IFERROR((VLOOKUP(A34,'DME22'!$1:$1048576,3,FALSE)*1000),0)-IFERROR((VLOOKUP(A34,'DME22'!$1:$1048576,10,FALSE)*1000),0)</f>
        <v>0</v>
      </c>
      <c r="O34" s="375">
        <f>IFERROR(VLOOKUP(A34,[17]Sheet1!$A:$IV,3,FALSE),0)</f>
        <v>0</v>
      </c>
      <c r="P34" s="362">
        <f>IFERROR(VLOOKUP(A34,[18]Sheet1!$A:$IV,26,FALSE),0)</f>
        <v>0</v>
      </c>
      <c r="Q34" s="362">
        <f>IFERROR(VLOOKUP($A34,[18]Sheet1!$A:$IV,27,FALSE),0)</f>
        <v>0</v>
      </c>
      <c r="R34" s="375">
        <f>VLOOKUP(A34,[19]Sheet1!$A:$IV,2,FALSE)*1000</f>
        <v>266131499</v>
      </c>
      <c r="S34" s="375">
        <f>VLOOKUP($A34,[19]Sheet1!$A:$IV,3,FALSE)*1000</f>
        <v>25384957.962994203</v>
      </c>
      <c r="T34" s="211">
        <v>0</v>
      </c>
      <c r="U34" s="210">
        <f t="shared" si="0"/>
        <v>0</v>
      </c>
      <c r="V34" s="213">
        <v>0.64866657902555458</v>
      </c>
      <c r="W34" s="283">
        <f>VLOOKUP(A34,LMA!$1:$1048576,18,FALSE)</f>
        <v>0.99671861092415948</v>
      </c>
      <c r="X34" s="209">
        <f>T34*(1-VLOOKUP(A34,'Prorated Residents'!$1:$1048576,5,FALSE))</f>
        <v>0</v>
      </c>
      <c r="Y34" s="209">
        <f>IF(X34&lt;&gt;T34,(VLOOKUP(A34,'Prorated Residents'!$1:$1048576,6,FALSE)),N34)</f>
        <v>0</v>
      </c>
      <c r="Z34" s="209">
        <f t="shared" si="1"/>
        <v>0</v>
      </c>
      <c r="AA34" s="92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</row>
    <row r="35" spans="1:237" ht="15.3" x14ac:dyDescent="0.55000000000000004">
      <c r="A35" s="181">
        <v>210043</v>
      </c>
      <c r="B35" s="180" t="s">
        <v>392</v>
      </c>
      <c r="C35" s="181">
        <v>1</v>
      </c>
      <c r="D35" s="181">
        <v>1</v>
      </c>
      <c r="E35" s="181">
        <f>VLOOKUP($A35,[15]Sheet1!$A:$IV,5,FALSE)</f>
        <v>1</v>
      </c>
      <c r="F35" s="402">
        <f>VLOOKUP(A35,'GBR Revenue for ICC'!$1:$1048576,13,FALSE)</f>
        <v>493183008.48548323</v>
      </c>
      <c r="G35" s="375">
        <f>VLOOKUP(A35,Volume!$1:$1048576,7,FALSE)-IFERROR(VLOOKUP(A35,Volume!AO:AQ,2,FALSE),0)-IFERROR(VLOOKUP(A35,Volume!AS:AV,3,FALSE),0)-VLOOKUP(A35,Volume!AX:BA,2,FALSE)</f>
        <v>30943.516611114035</v>
      </c>
      <c r="H35" s="212">
        <f>VLOOKUP(A35,[16]Sheet1!$B$1:$D$65536,3,FALSE)</f>
        <v>1.1174861425645124</v>
      </c>
      <c r="I35" s="212">
        <f>VLOOKUP($A35,[15]Sheet1!$A:$IV,9,FALSE)</f>
        <v>0</v>
      </c>
      <c r="J35" s="362">
        <f>VLOOKUP($A35,[15]Sheet1!$A:$IV,10,FALSE)</f>
        <v>26716233.333333332</v>
      </c>
      <c r="K35" s="362">
        <f>VLOOKUP($A35,[15]Sheet1!$A:$IV,11,FALSE)</f>
        <v>1728300</v>
      </c>
      <c r="L35" s="362">
        <f>VLOOKUP($A35,[15]Sheet1!$A:$IV,12,FALSE)</f>
        <v>4717000</v>
      </c>
      <c r="M35" s="362">
        <f>VLOOKUP($A35,[15]Sheet1!$A:$IV,13,FALSE)</f>
        <v>392614049.49497432</v>
      </c>
      <c r="N35" s="211">
        <f>IFERROR((VLOOKUP(A35,'DME22'!$1:$1048576,3,FALSE)*1000),0)-IFERROR((VLOOKUP(A35,'DME22'!$1:$1048576,10,FALSE)*1000),0)</f>
        <v>751420.32489619183</v>
      </c>
      <c r="O35" s="375">
        <f>IFERROR(VLOOKUP(A35,[17]Sheet1!$A:$IV,3,FALSE),0)</f>
        <v>0</v>
      </c>
      <c r="P35" s="362">
        <f>IFERROR(VLOOKUP(A35,[18]Sheet1!$A:$IV,26,FALSE),0)</f>
        <v>0</v>
      </c>
      <c r="Q35" s="362">
        <f>IFERROR(VLOOKUP($A35,[18]Sheet1!$A:$IV,27,FALSE),0)</f>
        <v>0</v>
      </c>
      <c r="R35" s="375">
        <f>VLOOKUP(A35,[19]Sheet1!$A:$IV,2,FALSE)*1000</f>
        <v>448519984.41000009</v>
      </c>
      <c r="S35" s="375">
        <f>VLOOKUP($A35,[19]Sheet1!$A:$IV,3,FALSE)*1000</f>
        <v>42916155.134987846</v>
      </c>
      <c r="T35" s="211">
        <v>7</v>
      </c>
      <c r="U35" s="210">
        <f t="shared" si="0"/>
        <v>751420.32489619183</v>
      </c>
      <c r="V35" s="213">
        <v>0.63694856280044099</v>
      </c>
      <c r="W35" s="283">
        <f>VLOOKUP(A35,LMA!$1:$1048576,18,FALSE)</f>
        <v>0.99671861092415948</v>
      </c>
      <c r="X35" s="209">
        <f>T35*(1-VLOOKUP(A35,'Prorated Residents'!$1:$1048576,5,FALSE))</f>
        <v>7</v>
      </c>
      <c r="Y35" s="209">
        <f>IF(X35&lt;&gt;T35,(VLOOKUP(A35,'Prorated Residents'!$1:$1048576,6,FALSE)),N35)</f>
        <v>751420.32489619183</v>
      </c>
      <c r="Z35" s="209">
        <f t="shared" si="1"/>
        <v>751420.32489619183</v>
      </c>
      <c r="AA35" s="92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</row>
    <row r="36" spans="1:237" ht="15.3" x14ac:dyDescent="0.55000000000000004">
      <c r="A36" s="181">
        <v>210044</v>
      </c>
      <c r="B36" s="180" t="s">
        <v>391</v>
      </c>
      <c r="C36" s="181">
        <v>1</v>
      </c>
      <c r="D36" s="181">
        <v>1</v>
      </c>
      <c r="E36" s="181">
        <f>VLOOKUP($A36,[15]Sheet1!$A:$IV,5,FALSE)</f>
        <v>1</v>
      </c>
      <c r="F36" s="402">
        <f>VLOOKUP(A36,'GBR Revenue for ICC'!$1:$1048576,13,FALSE)</f>
        <v>487266143.18255103</v>
      </c>
      <c r="G36" s="386">
        <f>VLOOKUP(A36,Volume!$1:$1048576,7,FALSE)-IFERROR(VLOOKUP(A36,Volume!AO:AQ,2,FALSE),0)-IFERROR(VLOOKUP(A36,Volume!AS:AV,3,FALSE),0)-VLOOKUP(A36,Volume!AX:BA,2,FALSE)-959</f>
        <v>30637.922123716067</v>
      </c>
      <c r="H36" s="212">
        <f>VLOOKUP(A36,[16]Sheet1!$B$1:$D$65536,3,FALSE)</f>
        <v>1.1074866213835981</v>
      </c>
      <c r="I36" s="212">
        <f>VLOOKUP($A36,[15]Sheet1!$A:$IV,9,FALSE)</f>
        <v>0</v>
      </c>
      <c r="J36" s="362">
        <f>VLOOKUP($A36,[15]Sheet1!$A:$IV,10,FALSE)</f>
        <v>24045530.728841886</v>
      </c>
      <c r="K36" s="362">
        <f>VLOOKUP($A36,[15]Sheet1!$A:$IV,11,FALSE)</f>
        <v>11591259</v>
      </c>
      <c r="L36" s="362">
        <f>VLOOKUP($A36,[15]Sheet1!$A:$IV,12,FALSE)</f>
        <v>3718495.8392786225</v>
      </c>
      <c r="M36" s="362">
        <f>VLOOKUP($A36,[15]Sheet1!$A:$IV,13,FALSE)</f>
        <v>398388943.28077805</v>
      </c>
      <c r="N36" s="211">
        <f>IFERROR((VLOOKUP(A36,'DME22'!$1:$1048576,3,FALSE)*1000),0)-IFERROR((VLOOKUP(A36,'DME22'!$1:$1048576,10,FALSE)*1000),0)</f>
        <v>7270460.1939369673</v>
      </c>
      <c r="O36" s="375">
        <f>IFERROR(VLOOKUP(A36,[17]Sheet1!$A:$IV,3,FALSE),0)</f>
        <v>0</v>
      </c>
      <c r="P36" s="362">
        <f>IFERROR(VLOOKUP(A36,[18]Sheet1!$A:$IV,26,FALSE),0)</f>
        <v>0</v>
      </c>
      <c r="Q36" s="362">
        <f>IFERROR(VLOOKUP($A36,[18]Sheet1!$A:$IV,27,FALSE),0)</f>
        <v>0</v>
      </c>
      <c r="R36" s="375">
        <f>VLOOKUP(A36,[19]Sheet1!$A:$IV,2,FALSE)*1000</f>
        <v>439693550</v>
      </c>
      <c r="S36" s="375">
        <f>VLOOKUP($A36,[19]Sheet1!$A:$IV,3,FALSE)*1000</f>
        <v>43639052.052116781</v>
      </c>
      <c r="T36" s="211">
        <v>58</v>
      </c>
      <c r="U36" s="210">
        <f t="shared" si="0"/>
        <v>7270460.1939369673</v>
      </c>
      <c r="V36" s="213">
        <v>0.63797971493717465</v>
      </c>
      <c r="W36" s="283">
        <f>VLOOKUP(A36,LMA!$1:$1048576,18,FALSE)</f>
        <v>0.99671861092415948</v>
      </c>
      <c r="X36" s="209">
        <f>T36*(1-VLOOKUP(A36,'Prorated Residents'!$1:$1048576,5,FALSE))</f>
        <v>58</v>
      </c>
      <c r="Y36" s="209">
        <f>IF(X36&lt;&gt;T36,(VLOOKUP(A36,'Prorated Residents'!$1:$1048576,6,FALSE)),N36)</f>
        <v>7270460.1939369673</v>
      </c>
      <c r="Z36" s="209">
        <f t="shared" si="1"/>
        <v>7270460.1939369673</v>
      </c>
      <c r="AA36" s="92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</row>
    <row r="37" spans="1:237" ht="15.75" customHeight="1" x14ac:dyDescent="0.55000000000000004">
      <c r="A37" s="181">
        <v>210045</v>
      </c>
      <c r="B37" s="180" t="s">
        <v>389</v>
      </c>
      <c r="C37" s="181" t="s">
        <v>80</v>
      </c>
      <c r="D37" s="181">
        <v>3</v>
      </c>
      <c r="E37" s="181">
        <f>VLOOKUP($A37,[15]Sheet1!$A:$IV,5,FALSE)</f>
        <v>1</v>
      </c>
      <c r="F37" s="402">
        <f>VLOOKUP(A37,'GBR Revenue for ICC'!$1:$1048576,13,FALSE)</f>
        <v>6458231.4193228893</v>
      </c>
      <c r="G37" s="375">
        <f>VLOOKUP(A37,Volume!$1:$1048576,7,FALSE)-IFERROR(VLOOKUP(A37,Volume!AO:AQ,2,FALSE),0)-IFERROR(VLOOKUP(A37,Volume!AS:AV,3,FALSE),0)-VLOOKUP(A37,Volume!AX:BA,2,FALSE)</f>
        <v>566.52872944799947</v>
      </c>
      <c r="H37" s="212">
        <f>VLOOKUP(A37,[16]Sheet1!$B$1:$D$65536,3,FALSE)</f>
        <v>1.1235285459397526</v>
      </c>
      <c r="I37" s="212">
        <f>VLOOKUP($A37,[15]Sheet1!$A:$IV,9,FALSE)</f>
        <v>0</v>
      </c>
      <c r="J37" s="362">
        <f>VLOOKUP($A37,[15]Sheet1!$A:$IV,10,FALSE)</f>
        <v>0</v>
      </c>
      <c r="K37" s="362">
        <f>VLOOKUP($A37,[15]Sheet1!$A:$IV,11,FALSE)</f>
        <v>766800</v>
      </c>
      <c r="L37" s="362">
        <f>VLOOKUP($A37,[15]Sheet1!$A:$IV,12,FALSE)</f>
        <v>0</v>
      </c>
      <c r="M37" s="362">
        <f>VLOOKUP($A37,[15]Sheet1!$A:$IV,13,FALSE)</f>
        <v>6906000</v>
      </c>
      <c r="N37" s="211">
        <f>IFERROR((VLOOKUP(A37,'DME22'!$1:$1048576,3,FALSE)*1000),0)-IFERROR((VLOOKUP(A37,'DME22'!$1:$1048576,10,FALSE)*1000),0)</f>
        <v>0</v>
      </c>
      <c r="O37" s="375">
        <f>IFERROR(VLOOKUP(A37,[17]Sheet1!$A:$IV,3,FALSE),0)</f>
        <v>0</v>
      </c>
      <c r="P37" s="362">
        <f>IFERROR(VLOOKUP(A37,[18]Sheet1!$A:$IV,26,FALSE),0)</f>
        <v>0</v>
      </c>
      <c r="Q37" s="362">
        <f>IFERROR(VLOOKUP($A37,[18]Sheet1!$A:$IV,27,FALSE),0)</f>
        <v>0</v>
      </c>
      <c r="R37" s="375">
        <f>VLOOKUP(A37,[19]Sheet1!$A:$IV,2,FALSE)*1000</f>
        <v>4781775</v>
      </c>
      <c r="S37" s="375">
        <f>VLOOKUP($A37,[19]Sheet1!$A:$IV,3,FALSE)*1000</f>
        <v>-2295025.0000000014</v>
      </c>
      <c r="T37" s="211">
        <v>0</v>
      </c>
      <c r="U37" s="210">
        <f t="shared" si="0"/>
        <v>0</v>
      </c>
      <c r="V37" s="213">
        <v>0.57866160133803912</v>
      </c>
      <c r="W37" s="283">
        <f>VLOOKUP(A37,LMA!$1:$1048576,18,FALSE)</f>
        <v>0.99671861092415948</v>
      </c>
      <c r="X37" s="209">
        <f>T37*(1-VLOOKUP(A37,'Prorated Residents'!$1:$1048576,5,FALSE))</f>
        <v>0</v>
      </c>
      <c r="Y37" s="209">
        <f>IF(X37&lt;&gt;T37,(VLOOKUP(A37,'Prorated Residents'!$1:$1048576,6,FALSE)),N37)</f>
        <v>0</v>
      </c>
      <c r="Z37" s="209">
        <f t="shared" si="1"/>
        <v>0</v>
      </c>
      <c r="AA37" s="92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</row>
    <row r="38" spans="1:237" ht="15.3" x14ac:dyDescent="0.55000000000000004">
      <c r="A38" s="181">
        <v>210048</v>
      </c>
      <c r="B38" s="180" t="s">
        <v>388</v>
      </c>
      <c r="C38" s="181">
        <v>1</v>
      </c>
      <c r="D38" s="181">
        <v>3</v>
      </c>
      <c r="E38" s="181">
        <f>VLOOKUP($A38,[15]Sheet1!$A:$IV,5,FALSE)</f>
        <v>1</v>
      </c>
      <c r="F38" s="402">
        <f>VLOOKUP(A38,'GBR Revenue for ICC'!$1:$1048576,13,FALSE)</f>
        <v>346556209.08864111</v>
      </c>
      <c r="G38" s="375">
        <f>VLOOKUP(A38,Volume!$1:$1048576,7,FALSE)-IFERROR(VLOOKUP(A38,Volume!AO:AQ,2,FALSE),0)-IFERROR(VLOOKUP(A38,Volume!AS:AV,3,FALSE),0)-VLOOKUP(A38,Volume!AX:BA,2,FALSE)</f>
        <v>24559.146065829038</v>
      </c>
      <c r="H38" s="212">
        <f>VLOOKUP(A38,[16]Sheet1!$B$1:$D$65536,3,FALSE)</f>
        <v>1.1035189993630976</v>
      </c>
      <c r="I38" s="212">
        <f>VLOOKUP($A38,[15]Sheet1!$A:$IV,9,FALSE)</f>
        <v>0</v>
      </c>
      <c r="J38" s="362">
        <f>VLOOKUP($A38,[15]Sheet1!$A:$IV,10,FALSE)</f>
        <v>14000220</v>
      </c>
      <c r="K38" s="362">
        <f>VLOOKUP($A38,[15]Sheet1!$A:$IV,11,FALSE)</f>
        <v>1196731</v>
      </c>
      <c r="L38" s="362">
        <f>VLOOKUP($A38,[15]Sheet1!$A:$IV,12,FALSE)</f>
        <v>6230361</v>
      </c>
      <c r="M38" s="362">
        <f>VLOOKUP($A38,[15]Sheet1!$A:$IV,13,FALSE)</f>
        <v>269575333.99999994</v>
      </c>
      <c r="N38" s="211">
        <f>IFERROR((VLOOKUP(A38,'DME22'!$1:$1048576,3,FALSE)*1000),0)-IFERROR((VLOOKUP(A38,'DME22'!$1:$1048576,10,FALSE)*1000),0)</f>
        <v>0</v>
      </c>
      <c r="O38" s="375">
        <f>IFERROR(VLOOKUP(A38,[17]Sheet1!$A:$IV,3,FALSE),0)</f>
        <v>0</v>
      </c>
      <c r="P38" s="362">
        <f>IFERROR(VLOOKUP(A38,[18]Sheet1!$A:$IV,26,FALSE),0)</f>
        <v>0</v>
      </c>
      <c r="Q38" s="362">
        <f>IFERROR(VLOOKUP($A38,[18]Sheet1!$A:$IV,27,FALSE),0)</f>
        <v>0</v>
      </c>
      <c r="R38" s="375">
        <f>VLOOKUP(A38,[19]Sheet1!$A:$IV,2,FALSE)*1000</f>
        <v>300025206.95000005</v>
      </c>
      <c r="S38" s="375">
        <f>VLOOKUP($A38,[19]Sheet1!$A:$IV,3,FALSE)*1000</f>
        <v>-8743451.19599998</v>
      </c>
      <c r="T38" s="211">
        <v>0</v>
      </c>
      <c r="U38" s="210">
        <f t="shared" si="0"/>
        <v>0</v>
      </c>
      <c r="V38" s="213">
        <v>0.6221380279364499</v>
      </c>
      <c r="W38" s="283">
        <f>VLOOKUP(A38,LMA!$1:$1048576,18,FALSE)</f>
        <v>0.99671861092415948</v>
      </c>
      <c r="X38" s="209">
        <f>T38*(1-VLOOKUP(A38,'Prorated Residents'!$1:$1048576,5,FALSE))</f>
        <v>0</v>
      </c>
      <c r="Y38" s="209">
        <f>IF(X38&lt;&gt;T38,(VLOOKUP(A38,'Prorated Residents'!$1:$1048576,6,FALSE)),N38)</f>
        <v>0</v>
      </c>
      <c r="Z38" s="209">
        <f t="shared" si="1"/>
        <v>0</v>
      </c>
      <c r="AA38" s="92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</row>
    <row r="39" spans="1:237" ht="15.3" x14ac:dyDescent="0.55000000000000004">
      <c r="A39" s="181">
        <v>210049</v>
      </c>
      <c r="B39" s="180" t="s">
        <v>387</v>
      </c>
      <c r="C39" s="181">
        <v>1</v>
      </c>
      <c r="D39" s="181">
        <v>3</v>
      </c>
      <c r="E39" s="181">
        <f>VLOOKUP($A39,[15]Sheet1!$A:$IV,5,FALSE)</f>
        <v>1</v>
      </c>
      <c r="F39" s="402">
        <f>VLOOKUP(A39,'GBR Revenue for ICC'!$1:$1048576,13,FALSE)</f>
        <v>360555499.02413774</v>
      </c>
      <c r="G39" s="375">
        <f>VLOOKUP(A39,Volume!$1:$1048576,7,FALSE)-IFERROR(VLOOKUP(A39,Volume!AO:AQ,2,FALSE),0)-IFERROR(VLOOKUP(A39,Volume!AS:AV,3,FALSE),0)-VLOOKUP(A39,Volume!AX:BA,2,FALSE)</f>
        <v>24233.031990069048</v>
      </c>
      <c r="H39" s="212">
        <f>VLOOKUP(A39,[16]Sheet1!$B$1:$D$65536,3,FALSE)</f>
        <v>1.1147926720978587</v>
      </c>
      <c r="I39" s="212">
        <f>VLOOKUP($A39,[15]Sheet1!$A:$IV,9,FALSE)</f>
        <v>0</v>
      </c>
      <c r="J39" s="362">
        <f>VLOOKUP($A39,[15]Sheet1!$A:$IV,10,FALSE)</f>
        <v>19185854.233250193</v>
      </c>
      <c r="K39" s="362">
        <f>VLOOKUP($A39,[15]Sheet1!$A:$IV,11,FALSE)</f>
        <v>1063715</v>
      </c>
      <c r="L39" s="362">
        <f>VLOOKUP($A39,[15]Sheet1!$A:$IV,12,FALSE)</f>
        <v>5417039</v>
      </c>
      <c r="M39" s="362">
        <f>VLOOKUP($A39,[15]Sheet1!$A:$IV,13,FALSE)</f>
        <v>261461773.18048477</v>
      </c>
      <c r="N39" s="211">
        <f>IFERROR((VLOOKUP(A39,'DME22'!$1:$1048576,3,FALSE)*1000),0)-IFERROR((VLOOKUP(A39,'DME22'!$1:$1048576,10,FALSE)*1000),0)</f>
        <v>0</v>
      </c>
      <c r="O39" s="375">
        <f>IFERROR(VLOOKUP(A39,[17]Sheet1!$A:$IV,3,FALSE),0)</f>
        <v>0</v>
      </c>
      <c r="P39" s="362">
        <f>IFERROR(VLOOKUP(A39,[18]Sheet1!$A:$IV,26,FALSE),0)</f>
        <v>0</v>
      </c>
      <c r="Q39" s="362">
        <f>IFERROR(VLOOKUP($A39,[18]Sheet1!$A:$IV,27,FALSE),0)</f>
        <v>0</v>
      </c>
      <c r="R39" s="375">
        <f>VLOOKUP(A39,[19]Sheet1!$A:$IV,2,FALSE)*1000</f>
        <v>322460224.39060235</v>
      </c>
      <c r="S39" s="375">
        <f>VLOOKUP($A39,[19]Sheet1!$A:$IV,3,FALSE)*1000</f>
        <v>52259448.406550691</v>
      </c>
      <c r="T39" s="211">
        <v>0</v>
      </c>
      <c r="U39" s="210">
        <f t="shared" si="0"/>
        <v>0</v>
      </c>
      <c r="V39" s="213">
        <v>0.59421105330990376</v>
      </c>
      <c r="W39" s="283">
        <f>VLOOKUP(A39,LMA!$1:$1048576,18,FALSE)</f>
        <v>0.99671861092415948</v>
      </c>
      <c r="X39" s="209">
        <f>T39*(1-VLOOKUP(A39,'Prorated Residents'!$1:$1048576,5,FALSE))</f>
        <v>0</v>
      </c>
      <c r="Y39" s="209">
        <f>IF(X39&lt;&gt;T39,(VLOOKUP(A39,'Prorated Residents'!$1:$1048576,6,FALSE)),N39)</f>
        <v>0</v>
      </c>
      <c r="Z39" s="209">
        <f t="shared" si="1"/>
        <v>0</v>
      </c>
      <c r="AA39" s="92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</row>
    <row r="40" spans="1:237" ht="15.3" x14ac:dyDescent="0.55000000000000004">
      <c r="A40" s="181">
        <v>210051</v>
      </c>
      <c r="B40" s="180" t="s">
        <v>386</v>
      </c>
      <c r="C40" s="181">
        <v>1</v>
      </c>
      <c r="D40" s="181">
        <v>3</v>
      </c>
      <c r="E40" s="181">
        <f>VLOOKUP($A40,[15]Sheet1!$A:$IV,5,FALSE)</f>
        <v>1</v>
      </c>
      <c r="F40" s="402">
        <f>VLOOKUP(A40,'GBR Revenue for ICC'!$1:$1048576,13,FALSE)</f>
        <v>285517283.37502766</v>
      </c>
      <c r="G40" s="375">
        <f>VLOOKUP(A40,Volume!$1:$1048576,7,FALSE)-IFERROR(VLOOKUP(A40,Volume!AO:AQ,2,FALSE),0)-IFERROR(VLOOKUP(A40,Volume!AS:AV,3,FALSE),0)-VLOOKUP(A40,Volume!AX:BA,2,FALSE)</f>
        <v>15907.038226505023</v>
      </c>
      <c r="H40" s="212">
        <f>VLOOKUP(A40,[16]Sheet1!$B$1:$D$65536,3,FALSE)</f>
        <v>1.1175427593245362</v>
      </c>
      <c r="I40" s="212">
        <f>VLOOKUP($A40,[15]Sheet1!$A:$IV,9,FALSE)</f>
        <v>0</v>
      </c>
      <c r="J40" s="362">
        <f>VLOOKUP($A40,[15]Sheet1!$A:$IV,10,FALSE)</f>
        <v>12423800</v>
      </c>
      <c r="K40" s="362">
        <f>VLOOKUP($A40,[15]Sheet1!$A:$IV,11,FALSE)</f>
        <v>3182200</v>
      </c>
      <c r="L40" s="362">
        <f>VLOOKUP($A40,[15]Sheet1!$A:$IV,12,FALSE)</f>
        <v>4525400</v>
      </c>
      <c r="M40" s="362">
        <f>VLOOKUP($A40,[15]Sheet1!$A:$IV,13,FALSE)</f>
        <v>216637692.51902488</v>
      </c>
      <c r="N40" s="211">
        <f>IFERROR((VLOOKUP(A40,'DME22'!$1:$1048576,3,FALSE)*1000),0)-IFERROR((VLOOKUP(A40,'DME22'!$1:$1048576,10,FALSE)*1000),0)</f>
        <v>0</v>
      </c>
      <c r="O40" s="375">
        <f>IFERROR(VLOOKUP(A40,[17]Sheet1!$A:$IV,3,FALSE),0)</f>
        <v>0</v>
      </c>
      <c r="P40" s="362">
        <f>IFERROR(VLOOKUP(A40,[18]Sheet1!$A:$IV,26,FALSE),0)</f>
        <v>0</v>
      </c>
      <c r="Q40" s="362">
        <f>IFERROR(VLOOKUP($A40,[18]Sheet1!$A:$IV,27,FALSE),0)</f>
        <v>0</v>
      </c>
      <c r="R40" s="375">
        <f>VLOOKUP(A40,[19]Sheet1!$A:$IV,2,FALSE)*1000</f>
        <v>225247829.14752856</v>
      </c>
      <c r="S40" s="375">
        <f>VLOOKUP($A40,[19]Sheet1!$A:$IV,3,FALSE)*1000</f>
        <v>-4674658.608065743</v>
      </c>
      <c r="T40" s="211">
        <v>0</v>
      </c>
      <c r="U40" s="210">
        <f t="shared" si="0"/>
        <v>0</v>
      </c>
      <c r="V40" s="213">
        <v>0.57766564458383873</v>
      </c>
      <c r="W40" s="283">
        <f>VLOOKUP(A40,LMA!$1:$1048576,18,FALSE)</f>
        <v>1.0181752931904677</v>
      </c>
      <c r="X40" s="209">
        <f>T40*(1-VLOOKUP(A40,'Prorated Residents'!$1:$1048576,5,FALSE))</f>
        <v>0</v>
      </c>
      <c r="Y40" s="209">
        <f>IF(X40&lt;&gt;T40,(VLOOKUP(A40,'Prorated Residents'!$1:$1048576,6,FALSE)),N40)</f>
        <v>0</v>
      </c>
      <c r="Z40" s="209">
        <f t="shared" si="1"/>
        <v>0</v>
      </c>
      <c r="AA40" s="92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</row>
    <row r="41" spans="1:237" ht="15.75" customHeight="1" x14ac:dyDescent="0.55000000000000004">
      <c r="A41" s="181">
        <v>210055</v>
      </c>
      <c r="B41" s="180" t="s">
        <v>385</v>
      </c>
      <c r="C41" s="181" t="s">
        <v>80</v>
      </c>
      <c r="D41" s="181">
        <v>3</v>
      </c>
      <c r="E41" s="181">
        <f>VLOOKUP($A41,[15]Sheet1!$A:$IV,5,FALSE)</f>
        <v>1</v>
      </c>
      <c r="F41" s="402">
        <f>VLOOKUP(A41,'GBR Revenue for ICC'!$1:$1048576,13,FALSE)</f>
        <v>40214198.735883914</v>
      </c>
      <c r="G41" s="375">
        <f>VLOOKUP(A41,Volume!$1:$1048576,7,FALSE)-IFERROR(VLOOKUP(A41,Volume!AO:AQ,2,FALSE),0)-IFERROR(VLOOKUP(A41,Volume!AS:AV,3,FALSE),0)-VLOOKUP(A41,Volume!AX:BA,2,FALSE)</f>
        <v>1984.4844588999965</v>
      </c>
      <c r="H41" s="212">
        <f>VLOOKUP(A41,[16]Sheet1!$B$1:$D$65536,3,FALSE)</f>
        <v>1.2317684965243516</v>
      </c>
      <c r="I41" s="212">
        <f>VLOOKUP($A41,[15]Sheet1!$A:$IV,9,FALSE)</f>
        <v>0</v>
      </c>
      <c r="J41" s="362">
        <f>VLOOKUP($A41,[15]Sheet1!$A:$IV,10,FALSE)</f>
        <v>2817884.8334657475</v>
      </c>
      <c r="K41" s="362">
        <f>VLOOKUP($A41,[15]Sheet1!$A:$IV,11,FALSE)</f>
        <v>45239.460000000006</v>
      </c>
      <c r="L41" s="362">
        <f>VLOOKUP($A41,[15]Sheet1!$A:$IV,12,FALSE)</f>
        <v>0</v>
      </c>
      <c r="M41" s="362">
        <f>VLOOKUP($A41,[15]Sheet1!$A:$IV,13,FALSE)</f>
        <v>33033322.432273738</v>
      </c>
      <c r="N41" s="211">
        <f>IFERROR((VLOOKUP(A41,'DME22'!$1:$1048576,3,FALSE)*1000),0)-IFERROR((VLOOKUP(A41,'DME22'!$1:$1048576,10,FALSE)*1000),0)</f>
        <v>0</v>
      </c>
      <c r="O41" s="375">
        <f>IFERROR(VLOOKUP(A41,[17]Sheet1!$A:$IV,3,FALSE),0)</f>
        <v>141502.60406345228</v>
      </c>
      <c r="P41" s="362">
        <f>IFERROR(VLOOKUP(A41,[18]Sheet1!$A:$IV,26,FALSE),0)</f>
        <v>0</v>
      </c>
      <c r="Q41" s="362">
        <f>IFERROR(VLOOKUP($A41,[18]Sheet1!$A:$IV,27,FALSE),0)</f>
        <v>0</v>
      </c>
      <c r="R41" s="375">
        <f>VLOOKUP(A41,[19]Sheet1!$A:$IV,2,FALSE)*1000</f>
        <v>23322008.020000011</v>
      </c>
      <c r="S41" s="375">
        <f>VLOOKUP($A41,[19]Sheet1!$A:$IV,3,FALSE)*1000</f>
        <v>-8470989.3327046782</v>
      </c>
      <c r="T41" s="211">
        <v>0</v>
      </c>
      <c r="U41" s="210">
        <f t="shared" si="0"/>
        <v>141502.60406345228</v>
      </c>
      <c r="V41" s="213">
        <v>0.72697099034761647</v>
      </c>
      <c r="W41" s="283">
        <f>VLOOKUP(A41,LMA!$1:$1048576,18,FALSE)</f>
        <v>1.0181752931904677</v>
      </c>
      <c r="X41" s="209">
        <f>T41*(1-VLOOKUP(A41,'Prorated Residents'!$1:$1048576,5,FALSE))</f>
        <v>0</v>
      </c>
      <c r="Y41" s="209">
        <f>IF(X41&lt;&gt;T41,(VLOOKUP(A41,'Prorated Residents'!$1:$1048576,6,FALSE)),N41)</f>
        <v>0</v>
      </c>
      <c r="Z41" s="209">
        <f t="shared" si="1"/>
        <v>141502.60406345228</v>
      </c>
      <c r="AA41" s="92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</row>
    <row r="42" spans="1:237" ht="15.3" x14ac:dyDescent="0.55000000000000004">
      <c r="A42" s="181">
        <v>210056</v>
      </c>
      <c r="B42" s="180" t="s">
        <v>384</v>
      </c>
      <c r="C42" s="181">
        <v>1</v>
      </c>
      <c r="D42" s="181">
        <v>1</v>
      </c>
      <c r="E42" s="181">
        <f>VLOOKUP($A42,[15]Sheet1!$A:$IV,5,FALSE)</f>
        <v>1</v>
      </c>
      <c r="F42" s="402">
        <f>VLOOKUP(A42,'GBR Revenue for ICC'!$1:$1048576,13,FALSE)</f>
        <v>303044773.2382201</v>
      </c>
      <c r="G42" s="375">
        <f>VLOOKUP(A42,Volume!$1:$1048576,7,FALSE)-IFERROR(VLOOKUP(A42,Volume!AO:AQ,2,FALSE),0)-IFERROR(VLOOKUP(A42,Volume!AS:AV,3,FALSE),0)-VLOOKUP(A42,Volume!AX:BA,2,FALSE)</f>
        <v>16881.552106553001</v>
      </c>
      <c r="H42" s="212">
        <f>VLOOKUP(A42,[16]Sheet1!$B$1:$D$65536,3,FALSE)</f>
        <v>1.1293262174048309</v>
      </c>
      <c r="I42" s="212">
        <f>VLOOKUP($A42,[15]Sheet1!$A:$IV,9,FALSE)</f>
        <v>0</v>
      </c>
      <c r="J42" s="362">
        <f>VLOOKUP($A42,[15]Sheet1!$A:$IV,10,FALSE)</f>
        <v>12870382.108180756</v>
      </c>
      <c r="K42" s="362">
        <f>VLOOKUP($A42,[15]Sheet1!$A:$IV,11,FALSE)</f>
        <v>3986316.4165563863</v>
      </c>
      <c r="L42" s="362">
        <f>VLOOKUP($A42,[15]Sheet1!$A:$IV,12,FALSE)</f>
        <v>1952821.4376057179</v>
      </c>
      <c r="M42" s="362">
        <f>VLOOKUP($A42,[15]Sheet1!$A:$IV,13,FALSE)</f>
        <v>226292443.62923938</v>
      </c>
      <c r="N42" s="211">
        <f>IFERROR((VLOOKUP(A42,'DME22'!$1:$1048576,3,FALSE)*1000),0)-IFERROR((VLOOKUP(A42,'DME22'!$1:$1048576,10,FALSE)*1000),0)</f>
        <v>1799367.141968335</v>
      </c>
      <c r="O42" s="375">
        <f>IFERROR(VLOOKUP(A42,[17]Sheet1!$A:$IV,3,FALSE),0)</f>
        <v>0</v>
      </c>
      <c r="P42" s="362">
        <f>IFERROR(VLOOKUP(A42,[18]Sheet1!$A:$IV,26,FALSE),0)</f>
        <v>0</v>
      </c>
      <c r="Q42" s="362">
        <f>IFERROR(VLOOKUP($A42,[18]Sheet1!$A:$IV,27,FALSE),0)</f>
        <v>0</v>
      </c>
      <c r="R42" s="375">
        <f>VLOOKUP(A42,[19]Sheet1!$A:$IV,2,FALSE)*1000</f>
        <v>252066011.17999992</v>
      </c>
      <c r="S42" s="375">
        <f>VLOOKUP($A42,[19]Sheet1!$A:$IV,3,FALSE)*1000</f>
        <v>15585257.442805393</v>
      </c>
      <c r="T42" s="211">
        <v>41</v>
      </c>
      <c r="U42" s="210">
        <f t="shared" si="0"/>
        <v>1799367.141968335</v>
      </c>
      <c r="V42" s="213">
        <v>0.56968801901759858</v>
      </c>
      <c r="W42" s="283">
        <f>VLOOKUP(A42,LMA!$1:$1048576,18,FALSE)</f>
        <v>0.99671861092415948</v>
      </c>
      <c r="X42" s="209">
        <f>T42*(1-VLOOKUP(A42,'Prorated Residents'!$1:$1048576,5,FALSE))</f>
        <v>41</v>
      </c>
      <c r="Y42" s="209">
        <f>IF(X42&lt;&gt;T42,(VLOOKUP(A42,'Prorated Residents'!$1:$1048576,6,FALSE)),N42)</f>
        <v>1799367.141968335</v>
      </c>
      <c r="Z42" s="209">
        <f t="shared" si="1"/>
        <v>1799367.141968335</v>
      </c>
      <c r="AA42" s="92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</row>
    <row r="43" spans="1:237" ht="15.3" x14ac:dyDescent="0.55000000000000004">
      <c r="A43" s="181">
        <v>210057</v>
      </c>
      <c r="B43" s="180" t="s">
        <v>383</v>
      </c>
      <c r="C43" s="181">
        <v>1</v>
      </c>
      <c r="D43" s="181">
        <v>3</v>
      </c>
      <c r="E43" s="181">
        <f>VLOOKUP($A43,[15]Sheet1!$A:$IV,5,FALSE)</f>
        <v>1</v>
      </c>
      <c r="F43" s="402">
        <f>VLOOKUP(A43,'GBR Revenue for ICC'!$1:$1048576,13,FALSE)</f>
        <v>499103487.51798743</v>
      </c>
      <c r="G43" s="375">
        <f>VLOOKUP(A43,Volume!$1:$1048576,7,FALSE)-IFERROR(VLOOKUP(A43,Volume!AO:AQ,2,FALSE),0)-IFERROR(VLOOKUP(A43,Volume!AS:AV,3,FALSE),0)-VLOOKUP(A43,Volume!AX:BA,2,FALSE)</f>
        <v>29567.442541858047</v>
      </c>
      <c r="H43" s="212">
        <f>VLOOKUP(A43,[16]Sheet1!$B$1:$D$65536,3,FALSE)</f>
        <v>1.1115105879568932</v>
      </c>
      <c r="I43" s="212">
        <f>VLOOKUP($A43,[15]Sheet1!$A:$IV,9,FALSE)</f>
        <v>0</v>
      </c>
      <c r="J43" s="362">
        <f>VLOOKUP($A43,[15]Sheet1!$A:$IV,10,FALSE)</f>
        <v>20481360</v>
      </c>
      <c r="K43" s="362">
        <f>VLOOKUP($A43,[15]Sheet1!$A:$IV,11,FALSE)</f>
        <v>4588225</v>
      </c>
      <c r="L43" s="362">
        <f>VLOOKUP($A43,[15]Sheet1!$A:$IV,12,FALSE)</f>
        <v>4958800</v>
      </c>
      <c r="M43" s="362">
        <f>VLOOKUP($A43,[15]Sheet1!$A:$IV,13,FALSE)</f>
        <v>385177272.63999999</v>
      </c>
      <c r="N43" s="211">
        <f>IFERROR((VLOOKUP(A43,'DME22'!$1:$1048576,3,FALSE)*1000),0)-IFERROR((VLOOKUP(A43,'DME22'!$1:$1048576,10,FALSE)*1000),0)</f>
        <v>0</v>
      </c>
      <c r="O43" s="375">
        <f>IFERROR(VLOOKUP(A43,[17]Sheet1!$A:$IV,3,FALSE),0)</f>
        <v>0</v>
      </c>
      <c r="P43" s="362">
        <f>IFERROR(VLOOKUP(A43,[18]Sheet1!$A:$IV,26,FALSE),0)</f>
        <v>0</v>
      </c>
      <c r="Q43" s="362">
        <f>IFERROR(VLOOKUP($A43,[18]Sheet1!$A:$IV,27,FALSE),0)</f>
        <v>0</v>
      </c>
      <c r="R43" s="386">
        <v>439374981</v>
      </c>
      <c r="S43" s="386">
        <v>54197743.35999997</v>
      </c>
      <c r="T43" s="211">
        <v>0</v>
      </c>
      <c r="U43" s="210">
        <f t="shared" si="0"/>
        <v>0</v>
      </c>
      <c r="V43" s="213">
        <v>0.66800000000000004</v>
      </c>
      <c r="W43" s="283">
        <f>VLOOKUP(A43,LMA!$1:$1048576,18,FALSE)</f>
        <v>1.0181752931904677</v>
      </c>
      <c r="X43" s="209">
        <f>T43*(1-VLOOKUP(A43,'Prorated Residents'!$1:$1048576,5,FALSE))</f>
        <v>0</v>
      </c>
      <c r="Y43" s="209">
        <f>IF(X43&lt;&gt;T43,(VLOOKUP(A43,'Prorated Residents'!$1:$1048576,6,FALSE)),N43)</f>
        <v>0</v>
      </c>
      <c r="Z43" s="209">
        <f t="shared" si="1"/>
        <v>0</v>
      </c>
      <c r="AA43" s="92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158"/>
      <c r="GR43" s="158"/>
      <c r="GS43" s="158"/>
      <c r="GT43" s="158"/>
      <c r="GU43" s="158"/>
      <c r="GV43" s="158"/>
      <c r="GW43" s="158"/>
      <c r="GX43" s="158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158"/>
      <c r="HJ43" s="158"/>
      <c r="HK43" s="158"/>
      <c r="HL43" s="158"/>
      <c r="HM43" s="158"/>
      <c r="HN43" s="158"/>
      <c r="HO43" s="158"/>
      <c r="HP43" s="158"/>
      <c r="HQ43" s="158"/>
      <c r="HR43" s="158"/>
      <c r="HS43" s="158"/>
      <c r="HT43" s="158"/>
      <c r="HU43" s="158"/>
      <c r="HV43" s="158"/>
      <c r="HW43" s="158"/>
      <c r="HX43" s="158"/>
      <c r="HY43" s="158"/>
      <c r="HZ43" s="158"/>
      <c r="IA43" s="158"/>
      <c r="IB43" s="158"/>
      <c r="IC43" s="158"/>
    </row>
    <row r="44" spans="1:237" ht="15.3" x14ac:dyDescent="0.55000000000000004">
      <c r="A44" s="181">
        <v>210058</v>
      </c>
      <c r="B44" s="180" t="s">
        <v>382</v>
      </c>
      <c r="C44" s="181">
        <v>1</v>
      </c>
      <c r="D44" s="181">
        <v>1</v>
      </c>
      <c r="E44" s="181">
        <f>VLOOKUP($A44,[15]Sheet1!$A:$IV,5,FALSE)</f>
        <v>1</v>
      </c>
      <c r="F44" s="402">
        <f>VLOOKUP(A44,'GBR Revenue for ICC'!$1:$1048576,13,FALSE)</f>
        <v>116884142.59409216</v>
      </c>
      <c r="G44" s="375">
        <f>VLOOKUP(A44,Volume!$1:$1048576,7,FALSE)-IFERROR(VLOOKUP(A44,Volume!AO:AQ,2,FALSE),0)-IFERROR(VLOOKUP(A44,Volume!AS:AV,3,FALSE),0)-VLOOKUP(A44,Volume!AX:BA,2,FALSE)</f>
        <v>5264.4707007620054</v>
      </c>
      <c r="H44" s="212">
        <f>VLOOKUP(A44,[16]Sheet1!$B$1:$D$65536,3,FALSE)</f>
        <v>1.1120223070717381</v>
      </c>
      <c r="I44" s="212">
        <f>VLOOKUP($A44,[15]Sheet1!$A:$IV,9,FALSE)</f>
        <v>0</v>
      </c>
      <c r="J44" s="362">
        <f>VLOOKUP($A44,[15]Sheet1!$A:$IV,10,FALSE)</f>
        <v>7260570.7800000003</v>
      </c>
      <c r="K44" s="362">
        <f>VLOOKUP($A44,[15]Sheet1!$A:$IV,11,FALSE)</f>
        <v>284999.99999999965</v>
      </c>
      <c r="L44" s="362">
        <f>VLOOKUP($A44,[15]Sheet1!$A:$IV,12,FALSE)</f>
        <v>371646.6</v>
      </c>
      <c r="M44" s="362">
        <f>VLOOKUP($A44,[15]Sheet1!$A:$IV,13,FALSE)</f>
        <v>106775081.09437317</v>
      </c>
      <c r="N44" s="211">
        <f>IFERROR((VLOOKUP(A44,'DME22'!$1:$1048576,3,FALSE)*1000),0)-IFERROR((VLOOKUP(A44,'DME22'!$1:$1048576,10,FALSE)*1000),0)</f>
        <v>1773068.069652881</v>
      </c>
      <c r="O44" s="375">
        <f>IFERROR(VLOOKUP(A44,[17]Sheet1!$A:$IV,3,FALSE),0)</f>
        <v>0</v>
      </c>
      <c r="P44" s="362">
        <f>IFERROR(VLOOKUP(A44,[18]Sheet1!$A:$IV,26,FALSE),0)</f>
        <v>0</v>
      </c>
      <c r="Q44" s="362">
        <f>IFERROR(VLOOKUP($A44,[18]Sheet1!$A:$IV,27,FALSE),0)</f>
        <v>0</v>
      </c>
      <c r="R44" s="375">
        <f>VLOOKUP(A44,[19]Sheet1!$A:$IV,2,FALSE)*1000</f>
        <v>119192501.43000002</v>
      </c>
      <c r="S44" s="375">
        <f>VLOOKUP($A44,[19]Sheet1!$A:$IV,3,FALSE)*1000</f>
        <v>15831795.66979772</v>
      </c>
      <c r="T44" s="211">
        <v>15</v>
      </c>
      <c r="U44" s="210">
        <f t="shared" si="0"/>
        <v>1773068.069652881</v>
      </c>
      <c r="V44" s="213">
        <v>0.63696098127508327</v>
      </c>
      <c r="W44" s="283">
        <f>VLOOKUP(A44,LMA!$1:$1048576,18,FALSE)</f>
        <v>0.99671861092415948</v>
      </c>
      <c r="X44" s="209">
        <f>T44*(1-VLOOKUP(A44,'Prorated Residents'!$1:$1048576,5,FALSE))</f>
        <v>13.017167930838868</v>
      </c>
      <c r="Y44" s="209">
        <f>IF(X44&lt;&gt;T44,(VLOOKUP(A44,'Prorated Residents'!$1:$1048576,6,FALSE)),N44)</f>
        <v>1538688.3210319907</v>
      </c>
      <c r="Z44" s="209">
        <f t="shared" si="1"/>
        <v>1538688.3210319907</v>
      </c>
      <c r="AA44" s="92"/>
      <c r="AB44" s="192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158"/>
      <c r="DK44" s="158"/>
      <c r="DL44" s="158"/>
      <c r="DM44" s="158"/>
      <c r="DN44" s="158"/>
      <c r="DO44" s="158"/>
      <c r="DP44" s="158"/>
      <c r="DQ44" s="158"/>
      <c r="DR44" s="158"/>
      <c r="DS44" s="158"/>
      <c r="DT44" s="158"/>
      <c r="DU44" s="158"/>
      <c r="DV44" s="158"/>
      <c r="DW44" s="158"/>
      <c r="DX44" s="158"/>
      <c r="DY44" s="158"/>
      <c r="DZ44" s="158"/>
      <c r="EA44" s="158"/>
      <c r="EB44" s="158"/>
      <c r="EC44" s="158"/>
      <c r="ED44" s="158"/>
      <c r="EE44" s="158"/>
      <c r="EF44" s="158"/>
      <c r="EG44" s="158"/>
      <c r="EH44" s="158"/>
      <c r="EI44" s="158"/>
      <c r="EJ44" s="158"/>
      <c r="EK44" s="158"/>
      <c r="EL44" s="158"/>
      <c r="EM44" s="158"/>
      <c r="EN44" s="158"/>
      <c r="EO44" s="158"/>
      <c r="EP44" s="158"/>
      <c r="EQ44" s="158"/>
      <c r="ER44" s="158"/>
      <c r="ES44" s="158"/>
      <c r="ET44" s="158"/>
      <c r="EU44" s="158"/>
      <c r="EV44" s="158"/>
      <c r="EW44" s="158"/>
      <c r="EX44" s="158"/>
      <c r="EY44" s="158"/>
      <c r="EZ44" s="158"/>
      <c r="FA44" s="158"/>
      <c r="FB44" s="158"/>
      <c r="FC44" s="158"/>
      <c r="FD44" s="158"/>
      <c r="FE44" s="158"/>
      <c r="FF44" s="158"/>
      <c r="FG44" s="158"/>
      <c r="FH44" s="158"/>
      <c r="FI44" s="158"/>
      <c r="FJ44" s="158"/>
      <c r="FK44" s="158"/>
      <c r="FL44" s="158"/>
      <c r="FM44" s="158"/>
      <c r="FN44" s="158"/>
      <c r="FO44" s="158"/>
      <c r="FP44" s="158"/>
      <c r="FQ44" s="158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  <c r="GD44" s="158"/>
      <c r="GE44" s="158"/>
      <c r="GF44" s="158"/>
      <c r="GG44" s="158"/>
      <c r="GH44" s="158"/>
      <c r="GI44" s="158"/>
      <c r="GJ44" s="158"/>
      <c r="GK44" s="158"/>
      <c r="GL44" s="158"/>
      <c r="GM44" s="158"/>
      <c r="GN44" s="158"/>
      <c r="GO44" s="158"/>
      <c r="GP44" s="158"/>
      <c r="GQ44" s="158"/>
      <c r="GR44" s="158"/>
      <c r="GS44" s="158"/>
      <c r="GT44" s="158"/>
      <c r="GU44" s="158"/>
      <c r="GV44" s="158"/>
      <c r="GW44" s="158"/>
      <c r="GX44" s="158"/>
      <c r="GY44" s="158"/>
      <c r="GZ44" s="158"/>
      <c r="HA44" s="158"/>
      <c r="HB44" s="158"/>
      <c r="HC44" s="158"/>
      <c r="HD44" s="158"/>
      <c r="HE44" s="158"/>
      <c r="HF44" s="158"/>
      <c r="HG44" s="158"/>
      <c r="HH44" s="158"/>
      <c r="HI44" s="158"/>
      <c r="HJ44" s="158"/>
      <c r="HK44" s="158"/>
      <c r="HL44" s="158"/>
      <c r="HM44" s="158"/>
      <c r="HN44" s="158"/>
      <c r="HO44" s="158"/>
      <c r="HP44" s="158"/>
      <c r="HQ44" s="158"/>
      <c r="HR44" s="158"/>
      <c r="HS44" s="158"/>
      <c r="HT44" s="158"/>
      <c r="HU44" s="158"/>
      <c r="HV44" s="158"/>
      <c r="HW44" s="158"/>
      <c r="HX44" s="158"/>
      <c r="HY44" s="158"/>
      <c r="HZ44" s="158"/>
      <c r="IA44" s="158"/>
      <c r="IB44" s="158"/>
      <c r="IC44" s="158"/>
    </row>
    <row r="45" spans="1:237" ht="15.3" x14ac:dyDescent="0.55000000000000004">
      <c r="A45" s="181">
        <v>210060</v>
      </c>
      <c r="B45" s="180" t="s">
        <v>381</v>
      </c>
      <c r="C45" s="181">
        <v>1</v>
      </c>
      <c r="D45" s="181">
        <v>3</v>
      </c>
      <c r="E45" s="181">
        <f>VLOOKUP($A45,[15]Sheet1!$A:$IV,5,FALSE)</f>
        <v>1</v>
      </c>
      <c r="F45" s="402">
        <f>VLOOKUP(A45,'GBR Revenue for ICC'!$1:$1048576,13,FALSE)</f>
        <v>66025121.445559166</v>
      </c>
      <c r="G45" s="375">
        <f>VLOOKUP(A45,Volume!$1:$1048576,7,FALSE)-IFERROR(VLOOKUP(A45,Volume!AO:AQ,2,FALSE),0)-IFERROR(VLOOKUP(A45,Volume!AS:AV,3,FALSE),0)-VLOOKUP(A45,Volume!AX:BA,2,FALSE)</f>
        <v>3719.0107248960016</v>
      </c>
      <c r="H45" s="212">
        <f>VLOOKUP(A45,[16]Sheet1!$B$1:$D$65536,3,FALSE)</f>
        <v>1.1180896691644482</v>
      </c>
      <c r="I45" s="212">
        <f>VLOOKUP($A45,[15]Sheet1!$A:$IV,9,FALSE)</f>
        <v>0</v>
      </c>
      <c r="J45" s="362">
        <f>VLOOKUP($A45,[15]Sheet1!$A:$IV,10,FALSE)</f>
        <v>1011152.0919983257</v>
      </c>
      <c r="K45" s="362">
        <f>VLOOKUP($A45,[15]Sheet1!$A:$IV,11,FALSE)</f>
        <v>437796.98</v>
      </c>
      <c r="L45" s="362">
        <f>VLOOKUP($A45,[15]Sheet1!$A:$IV,12,FALSE)</f>
        <v>323201.51370070927</v>
      </c>
      <c r="M45" s="362">
        <f>VLOOKUP($A45,[15]Sheet1!$A:$IV,13,FALSE)</f>
        <v>54926570.963027142</v>
      </c>
      <c r="N45" s="211">
        <f>IFERROR((VLOOKUP(A45,'DME22'!$1:$1048576,3,FALSE)*1000),0)-IFERROR((VLOOKUP(A45,'DME22'!$1:$1048576,10,FALSE)*1000),0)</f>
        <v>0</v>
      </c>
      <c r="O45" s="375">
        <f>IFERROR(VLOOKUP(A45,[17]Sheet1!$A:$IV,3,FALSE),0)</f>
        <v>0</v>
      </c>
      <c r="P45" s="362">
        <f>IFERROR(VLOOKUP(A45,[18]Sheet1!$A:$IV,26,FALSE),0)</f>
        <v>0</v>
      </c>
      <c r="Q45" s="362">
        <f>IFERROR(VLOOKUP($A45,[18]Sheet1!$A:$IV,27,FALSE),0)</f>
        <v>0</v>
      </c>
      <c r="R45" s="386">
        <v>59951705.44180958</v>
      </c>
      <c r="S45" s="386">
        <v>5025121.4054733133</v>
      </c>
      <c r="T45" s="211">
        <v>0</v>
      </c>
      <c r="U45" s="210">
        <f t="shared" si="0"/>
        <v>0</v>
      </c>
      <c r="V45" s="213">
        <v>0.68899999999999995</v>
      </c>
      <c r="W45" s="283">
        <f>VLOOKUP(A45,LMA!$1:$1048576,18,FALSE)</f>
        <v>1.0181752931904677</v>
      </c>
      <c r="X45" s="209">
        <f>T45*(1-VLOOKUP(A45,'Prorated Residents'!$1:$1048576,5,FALSE))</f>
        <v>0</v>
      </c>
      <c r="Y45" s="209">
        <f>IF(X45&lt;&gt;T45,(VLOOKUP(A45,'Prorated Residents'!$1:$1048576,6,FALSE)),N45)</f>
        <v>0</v>
      </c>
      <c r="Z45" s="209">
        <f t="shared" si="1"/>
        <v>0</v>
      </c>
      <c r="AA45" s="92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P45" s="158"/>
      <c r="GQ45" s="158"/>
      <c r="GR45" s="158"/>
      <c r="GS45" s="158"/>
      <c r="GT45" s="158"/>
      <c r="GU45" s="158"/>
      <c r="GV45" s="158"/>
      <c r="GW45" s="158"/>
      <c r="GX45" s="158"/>
      <c r="GY45" s="158"/>
      <c r="GZ45" s="158"/>
      <c r="HA45" s="158"/>
      <c r="HB45" s="158"/>
      <c r="HC45" s="158"/>
      <c r="HD45" s="158"/>
      <c r="HE45" s="158"/>
      <c r="HF45" s="158"/>
      <c r="HG45" s="158"/>
      <c r="HH45" s="158"/>
      <c r="HI45" s="158"/>
      <c r="HJ45" s="158"/>
      <c r="HK45" s="158"/>
      <c r="HL45" s="158"/>
      <c r="HM45" s="158"/>
      <c r="HN45" s="158"/>
      <c r="HO45" s="158"/>
      <c r="HP45" s="158"/>
      <c r="HQ45" s="158"/>
      <c r="HR45" s="158"/>
      <c r="HS45" s="158"/>
      <c r="HT45" s="158"/>
      <c r="HU45" s="158"/>
      <c r="HV45" s="158"/>
      <c r="HW45" s="158"/>
      <c r="HX45" s="158"/>
      <c r="HY45" s="158"/>
      <c r="HZ45" s="158"/>
      <c r="IA45" s="158"/>
      <c r="IB45" s="158"/>
      <c r="IC45" s="158"/>
    </row>
    <row r="46" spans="1:237" ht="15.3" x14ac:dyDescent="0.55000000000000004">
      <c r="A46" s="181">
        <v>210061</v>
      </c>
      <c r="B46" s="180" t="s">
        <v>380</v>
      </c>
      <c r="C46" s="181">
        <v>1</v>
      </c>
      <c r="D46" s="181">
        <v>3</v>
      </c>
      <c r="E46" s="181">
        <f>VLOOKUP($A46,[15]Sheet1!$A:$IV,5,FALSE)</f>
        <v>1</v>
      </c>
      <c r="F46" s="402">
        <f>VLOOKUP(A46,'GBR Revenue for ICC'!$1:$1048576,13,FALSE)</f>
        <v>123504689.38214977</v>
      </c>
      <c r="G46" s="375">
        <f>VLOOKUP(A46,Volume!$1:$1048576,7,FALSE)-IFERROR(VLOOKUP(A46,Volume!AO:AQ,2,FALSE),0)-IFERROR(VLOOKUP(A46,Volume!AS:AV,3,FALSE),0)-VLOOKUP(A46,Volume!AX:BA,2,FALSE)</f>
        <v>9011.8464937300014</v>
      </c>
      <c r="H46" s="212">
        <f>VLOOKUP(A46,[16]Sheet1!$B$1:$D$65536,3,FALSE)</f>
        <v>1.1146605541082666</v>
      </c>
      <c r="I46" s="212">
        <f>VLOOKUP($A46,[15]Sheet1!$A:$IV,9,FALSE)</f>
        <v>0</v>
      </c>
      <c r="J46" s="362">
        <f>VLOOKUP($A46,[15]Sheet1!$A:$IV,10,FALSE)</f>
        <v>5954300</v>
      </c>
      <c r="K46" s="362">
        <f>VLOOKUP($A46,[15]Sheet1!$A:$IV,11,FALSE)</f>
        <v>815500</v>
      </c>
      <c r="L46" s="362">
        <f>VLOOKUP($A46,[15]Sheet1!$A:$IV,12,FALSE)</f>
        <v>1118600</v>
      </c>
      <c r="M46" s="362">
        <f>VLOOKUP($A46,[15]Sheet1!$A:$IV,13,FALSE)</f>
        <v>84975441.079871997</v>
      </c>
      <c r="N46" s="211">
        <f>IFERROR((VLOOKUP(A46,'DME22'!$1:$1048576,3,FALSE)*1000),0)-IFERROR((VLOOKUP(A46,'DME22'!$1:$1048576,10,FALSE)*1000),0)</f>
        <v>0</v>
      </c>
      <c r="O46" s="375">
        <f>IFERROR(VLOOKUP(A46,[17]Sheet1!$A:$IV,3,FALSE),0)</f>
        <v>0</v>
      </c>
      <c r="P46" s="362">
        <f>IFERROR(VLOOKUP(A46,[18]Sheet1!$A:$IV,26,FALSE),0)</f>
        <v>0</v>
      </c>
      <c r="Q46" s="362">
        <f>IFERROR(VLOOKUP($A46,[18]Sheet1!$A:$IV,27,FALSE),0)</f>
        <v>0</v>
      </c>
      <c r="R46" s="375">
        <f>VLOOKUP(A46,[19]Sheet1!$A:$IV,2,FALSE)*1000</f>
        <v>112864816.68000001</v>
      </c>
      <c r="S46" s="375">
        <f>VLOOKUP($A46,[19]Sheet1!$A:$IV,3,FALSE)*1000</f>
        <v>20867021.725869738</v>
      </c>
      <c r="T46" s="211">
        <v>0</v>
      </c>
      <c r="U46" s="210">
        <f t="shared" si="0"/>
        <v>0</v>
      </c>
      <c r="V46" s="213">
        <v>0.59006325599657761</v>
      </c>
      <c r="W46" s="283">
        <f>VLOOKUP(A46,LMA!$1:$1048576,18,FALSE)</f>
        <v>0.99671861092415948</v>
      </c>
      <c r="X46" s="209">
        <f>T46*(1-VLOOKUP(A46,'Prorated Residents'!$1:$1048576,5,FALSE))</f>
        <v>0</v>
      </c>
      <c r="Y46" s="209">
        <f>IF(X46&lt;&gt;T46,(VLOOKUP(A46,'Prorated Residents'!$1:$1048576,6,FALSE)),N46)</f>
        <v>0</v>
      </c>
      <c r="Z46" s="209">
        <f t="shared" si="1"/>
        <v>0</v>
      </c>
      <c r="AA46" s="92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  <c r="ER46" s="158"/>
      <c r="ES46" s="158"/>
      <c r="ET46" s="158"/>
      <c r="EU46" s="158"/>
      <c r="EV46" s="158"/>
      <c r="EW46" s="158"/>
      <c r="EX46" s="158"/>
      <c r="EY46" s="158"/>
      <c r="EZ46" s="158"/>
      <c r="FA46" s="158"/>
      <c r="FB46" s="158"/>
      <c r="FC46" s="158"/>
      <c r="FD46" s="158"/>
      <c r="FE46" s="158"/>
      <c r="FF46" s="158"/>
      <c r="FG46" s="158"/>
      <c r="FH46" s="158"/>
      <c r="FI46" s="158"/>
      <c r="FJ46" s="158"/>
      <c r="FK46" s="158"/>
      <c r="FL46" s="158"/>
      <c r="FM46" s="158"/>
      <c r="FN46" s="158"/>
      <c r="FO46" s="158"/>
      <c r="FP46" s="158"/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8"/>
      <c r="GB46" s="158"/>
      <c r="GC46" s="158"/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8"/>
      <c r="GO46" s="158"/>
      <c r="GP46" s="158"/>
      <c r="GQ46" s="158"/>
      <c r="GR46" s="158"/>
      <c r="GS46" s="158"/>
      <c r="GT46" s="158"/>
      <c r="GU46" s="158"/>
      <c r="GV46" s="158"/>
      <c r="GW46" s="158"/>
      <c r="GX46" s="158"/>
      <c r="GY46" s="158"/>
      <c r="GZ46" s="158"/>
      <c r="HA46" s="158"/>
      <c r="HB46" s="158"/>
      <c r="HC46" s="158"/>
      <c r="HD46" s="158"/>
      <c r="HE46" s="158"/>
      <c r="HF46" s="158"/>
      <c r="HG46" s="158"/>
      <c r="HH46" s="158"/>
      <c r="HI46" s="158"/>
      <c r="HJ46" s="158"/>
      <c r="HK46" s="158"/>
      <c r="HL46" s="158"/>
      <c r="HM46" s="158"/>
      <c r="HN46" s="158"/>
      <c r="HO46" s="158"/>
      <c r="HP46" s="158"/>
      <c r="HQ46" s="158"/>
      <c r="HR46" s="158"/>
      <c r="HS46" s="158"/>
      <c r="HT46" s="158"/>
      <c r="HU46" s="158"/>
      <c r="HV46" s="158"/>
      <c r="HW46" s="158"/>
      <c r="HX46" s="158"/>
      <c r="HY46" s="158"/>
      <c r="HZ46" s="158"/>
      <c r="IA46" s="158"/>
      <c r="IB46" s="158"/>
      <c r="IC46" s="158"/>
    </row>
    <row r="47" spans="1:237" ht="15.3" x14ac:dyDescent="0.55000000000000004">
      <c r="A47" s="181">
        <v>210062</v>
      </c>
      <c r="B47" s="180" t="s">
        <v>378</v>
      </c>
      <c r="C47" s="181">
        <v>1</v>
      </c>
      <c r="D47" s="181">
        <v>3</v>
      </c>
      <c r="E47" s="181">
        <f>VLOOKUP($A47,[15]Sheet1!$A:$IV,5,FALSE)</f>
        <v>1</v>
      </c>
      <c r="F47" s="402">
        <f>VLOOKUP(A47,'GBR Revenue for ICC'!$1:$1048576,13,FALSE)</f>
        <v>312383262.27148259</v>
      </c>
      <c r="G47" s="375">
        <f>VLOOKUP(A47,Volume!$1:$1048576,7,FALSE)-IFERROR(VLOOKUP(A47,Volume!AO:AQ,2,FALSE),0)-IFERROR(VLOOKUP(A47,Volume!AS:AV,3,FALSE),0)-VLOOKUP(A47,Volume!AX:BA,2,FALSE)</f>
        <v>17485.311336287028</v>
      </c>
      <c r="H47" s="212">
        <f>VLOOKUP(A47,[16]Sheet1!$B$1:$D$65536,3,FALSE)</f>
        <v>1.1171440000317876</v>
      </c>
      <c r="I47" s="212">
        <f>VLOOKUP($A47,[15]Sheet1!$A:$IV,9,FALSE)</f>
        <v>0</v>
      </c>
      <c r="J47" s="362">
        <f>VLOOKUP($A47,[15]Sheet1!$A:$IV,10,FALSE)</f>
        <v>12947098.039573411</v>
      </c>
      <c r="K47" s="362">
        <f>VLOOKUP($A47,[15]Sheet1!$A:$IV,11,FALSE)</f>
        <v>1822305.5764276201</v>
      </c>
      <c r="L47" s="362">
        <f>VLOOKUP($A47,[15]Sheet1!$A:$IV,12,FALSE)</f>
        <v>6130292.8611856382</v>
      </c>
      <c r="M47" s="362">
        <f>VLOOKUP($A47,[15]Sheet1!$A:$IV,13,FALSE)</f>
        <v>226206854.04247209</v>
      </c>
      <c r="N47" s="211">
        <f>IFERROR((VLOOKUP(A47,'DME22'!$1:$1048576,3,FALSE)*1000),0)-IFERROR((VLOOKUP(A47,'DME22'!$1:$1048576,10,FALSE)*1000),0)</f>
        <v>0</v>
      </c>
      <c r="O47" s="375">
        <f>IFERROR(VLOOKUP(A47,[17]Sheet1!$A:$IV,3,FALSE),0)</f>
        <v>0</v>
      </c>
      <c r="P47" s="362">
        <f>IFERROR(VLOOKUP(A47,[18]Sheet1!$A:$IV,26,FALSE),0)</f>
        <v>0</v>
      </c>
      <c r="Q47" s="362">
        <f>IFERROR(VLOOKUP($A47,[18]Sheet1!$A:$IV,27,FALSE),0)</f>
        <v>0</v>
      </c>
      <c r="R47" s="375">
        <f>VLOOKUP(A47,[19]Sheet1!$A:$IV,2,FALSE)*1000</f>
        <v>260470568.26999995</v>
      </c>
      <c r="S47" s="375">
        <f>VLOOKUP($A47,[19]Sheet1!$A:$IV,3,FALSE)*1000</f>
        <v>2208693.2736992892</v>
      </c>
      <c r="T47" s="211">
        <v>0</v>
      </c>
      <c r="U47" s="210">
        <f t="shared" si="0"/>
        <v>0</v>
      </c>
      <c r="V47" s="213">
        <v>0.65616088551708718</v>
      </c>
      <c r="W47" s="283">
        <f>VLOOKUP(A47,LMA!$1:$1048576,18,FALSE)</f>
        <v>1.0181752931904677</v>
      </c>
      <c r="X47" s="209">
        <f>T47*(1-VLOOKUP(A47,'Prorated Residents'!$1:$1048576,5,FALSE))</f>
        <v>0</v>
      </c>
      <c r="Y47" s="209">
        <f>IF(X47&lt;&gt;T47,(VLOOKUP(A47,'Prorated Residents'!$1:$1048576,6,FALSE)),N47)</f>
        <v>0</v>
      </c>
      <c r="Z47" s="209">
        <f t="shared" si="1"/>
        <v>0</v>
      </c>
      <c r="AA47" s="92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  <c r="GP47" s="158"/>
      <c r="GQ47" s="158"/>
      <c r="GR47" s="158"/>
      <c r="GS47" s="158"/>
      <c r="GT47" s="158"/>
      <c r="GU47" s="158"/>
      <c r="GV47" s="158"/>
      <c r="GW47" s="158"/>
      <c r="GX47" s="158"/>
      <c r="GY47" s="158"/>
      <c r="GZ47" s="158"/>
      <c r="HA47" s="158"/>
      <c r="HB47" s="158"/>
      <c r="HC47" s="158"/>
      <c r="HD47" s="158"/>
      <c r="HE47" s="158"/>
      <c r="HF47" s="158"/>
      <c r="HG47" s="158"/>
      <c r="HH47" s="158"/>
      <c r="HI47" s="158"/>
      <c r="HJ47" s="158"/>
      <c r="HK47" s="158"/>
      <c r="HL47" s="158"/>
      <c r="HM47" s="158"/>
      <c r="HN47" s="158"/>
      <c r="HO47" s="158"/>
      <c r="HP47" s="158"/>
      <c r="HQ47" s="158"/>
      <c r="HR47" s="158"/>
      <c r="HS47" s="158"/>
      <c r="HT47" s="158"/>
      <c r="HU47" s="158"/>
      <c r="HV47" s="158"/>
      <c r="HW47" s="158"/>
      <c r="HX47" s="158"/>
      <c r="HY47" s="158"/>
      <c r="HZ47" s="158"/>
      <c r="IA47" s="158"/>
      <c r="IB47" s="158"/>
      <c r="IC47" s="158"/>
    </row>
    <row r="48" spans="1:237" ht="15.3" x14ac:dyDescent="0.55000000000000004">
      <c r="A48" s="181">
        <v>210063</v>
      </c>
      <c r="B48" s="180" t="s">
        <v>377</v>
      </c>
      <c r="C48" s="181">
        <v>1</v>
      </c>
      <c r="D48" s="181">
        <v>3</v>
      </c>
      <c r="E48" s="181">
        <f>VLOOKUP($A48,[15]Sheet1!$A:$IV,5,FALSE)</f>
        <v>1</v>
      </c>
      <c r="F48" s="402">
        <f>VLOOKUP(A48,'GBR Revenue for ICC'!$1:$1048576,13,FALSE)</f>
        <v>440688737.8692503</v>
      </c>
      <c r="G48" s="386">
        <f>VLOOKUP(A48,Volume!$1:$1048576,7,FALSE)-IFERROR(VLOOKUP(A48,Volume!AO:AQ,2,FALSE),0)-IFERROR(VLOOKUP(A48,Volume!AS:AV,3,FALSE),0)-VLOOKUP(A48,Volume!AX:BA,2,FALSE)+3576</f>
        <v>30821.946526509015</v>
      </c>
      <c r="H48" s="212">
        <f>VLOOKUP(A48,[16]Sheet1!$B$1:$D$65536,3,FALSE)</f>
        <v>1.1140199775247721</v>
      </c>
      <c r="I48" s="212">
        <f>VLOOKUP($A48,[15]Sheet1!$A:$IV,9,FALSE)</f>
        <v>0</v>
      </c>
      <c r="J48" s="362">
        <f>VLOOKUP($A48,[15]Sheet1!$A:$IV,10,FALSE)</f>
        <v>22981326.881614454</v>
      </c>
      <c r="K48" s="362">
        <f>VLOOKUP($A48,[15]Sheet1!$A:$IV,11,FALSE)</f>
        <v>520984.85000000027</v>
      </c>
      <c r="L48" s="362">
        <f>VLOOKUP($A48,[15]Sheet1!$A:$IV,12,FALSE)</f>
        <v>8527079.4100000001</v>
      </c>
      <c r="M48" s="362">
        <f>VLOOKUP($A48,[15]Sheet1!$A:$IV,13,FALSE)</f>
        <v>305618333.4621467</v>
      </c>
      <c r="N48" s="211">
        <f>IFERROR((VLOOKUP(A48,'DME22'!$1:$1048576,3,FALSE)*1000),0)-IFERROR((VLOOKUP(A48,'DME22'!$1:$1048576,10,FALSE)*1000),0)</f>
        <v>0</v>
      </c>
      <c r="O48" s="375">
        <f>IFERROR(VLOOKUP(A48,[17]Sheet1!$A:$IV,3,FALSE),0)</f>
        <v>0</v>
      </c>
      <c r="P48" s="362">
        <f>IFERROR(VLOOKUP(A48,[18]Sheet1!$A:$IV,26,FALSE),0)</f>
        <v>0</v>
      </c>
      <c r="Q48" s="362">
        <f>IFERROR(VLOOKUP($A48,[18]Sheet1!$A:$IV,27,FALSE),0)</f>
        <v>0</v>
      </c>
      <c r="R48" s="375">
        <f>VLOOKUP(A48,[19]Sheet1!$A:$IV,2,FALSE)*1000</f>
        <v>374115933.27216256</v>
      </c>
      <c r="S48" s="375">
        <f>VLOOKUP($A48,[19]Sheet1!$A:$IV,3,FALSE)*1000</f>
        <v>46813118.330985248</v>
      </c>
      <c r="T48" s="211">
        <v>0</v>
      </c>
      <c r="U48" s="210">
        <f t="shared" si="0"/>
        <v>0</v>
      </c>
      <c r="V48" s="213">
        <v>0.69549510962113892</v>
      </c>
      <c r="W48" s="283">
        <f>VLOOKUP(A48,LMA!$1:$1048576,18,FALSE)</f>
        <v>0.99671861092415948</v>
      </c>
      <c r="X48" s="209">
        <f>T48*(1-VLOOKUP(A48,'Prorated Residents'!$1:$1048576,5,FALSE))</f>
        <v>0</v>
      </c>
      <c r="Y48" s="209">
        <f>IF(X48&lt;&gt;T48,(VLOOKUP(A48,'Prorated Residents'!$1:$1048576,6,FALSE)),N48)</f>
        <v>0</v>
      </c>
      <c r="Z48" s="209">
        <f t="shared" si="1"/>
        <v>0</v>
      </c>
      <c r="AA48" s="92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58"/>
      <c r="EH48" s="158"/>
      <c r="EI48" s="158"/>
      <c r="EJ48" s="158"/>
      <c r="EK48" s="158"/>
      <c r="EL48" s="158"/>
      <c r="EM48" s="158"/>
      <c r="EN48" s="158"/>
      <c r="EO48" s="158"/>
      <c r="EP48" s="158"/>
      <c r="EQ48" s="158"/>
      <c r="ER48" s="158"/>
      <c r="ES48" s="158"/>
      <c r="ET48" s="158"/>
      <c r="EU48" s="158"/>
      <c r="EV48" s="158"/>
      <c r="EW48" s="158"/>
      <c r="EX48" s="158"/>
      <c r="EY48" s="158"/>
      <c r="EZ48" s="158"/>
      <c r="FA48" s="158"/>
      <c r="FB48" s="158"/>
      <c r="FC48" s="158"/>
      <c r="FD48" s="158"/>
      <c r="FE48" s="158"/>
      <c r="FF48" s="158"/>
      <c r="FG48" s="158"/>
      <c r="FH48" s="158"/>
      <c r="FI48" s="158"/>
      <c r="FJ48" s="158"/>
      <c r="FK48" s="158"/>
      <c r="FL48" s="158"/>
      <c r="FM48" s="158"/>
      <c r="FN48" s="158"/>
      <c r="FO48" s="158"/>
      <c r="FP48" s="158"/>
      <c r="FQ48" s="158"/>
      <c r="FR48" s="158"/>
      <c r="FS48" s="158"/>
      <c r="FT48" s="158"/>
      <c r="FU48" s="158"/>
      <c r="FV48" s="158"/>
      <c r="FW48" s="158"/>
      <c r="FX48" s="158"/>
      <c r="FY48" s="158"/>
      <c r="FZ48" s="158"/>
      <c r="GA48" s="158"/>
      <c r="GB48" s="158"/>
      <c r="GC48" s="158"/>
      <c r="GD48" s="158"/>
      <c r="GE48" s="158"/>
      <c r="GF48" s="158"/>
      <c r="GG48" s="158"/>
      <c r="GH48" s="158"/>
      <c r="GI48" s="158"/>
      <c r="GJ48" s="158"/>
      <c r="GK48" s="158"/>
      <c r="GL48" s="158"/>
      <c r="GM48" s="158"/>
      <c r="GN48" s="158"/>
      <c r="GO48" s="158"/>
      <c r="GP48" s="158"/>
      <c r="GQ48" s="158"/>
      <c r="GR48" s="158"/>
      <c r="GS48" s="158"/>
      <c r="GT48" s="158"/>
      <c r="GU48" s="158"/>
      <c r="GV48" s="158"/>
      <c r="GW48" s="158"/>
      <c r="GX48" s="158"/>
      <c r="GY48" s="158"/>
      <c r="GZ48" s="158"/>
      <c r="HA48" s="158"/>
      <c r="HB48" s="158"/>
      <c r="HC48" s="158"/>
      <c r="HD48" s="158"/>
      <c r="HE48" s="158"/>
      <c r="HF48" s="158"/>
      <c r="HG48" s="158"/>
      <c r="HH48" s="158"/>
      <c r="HI48" s="158"/>
      <c r="HJ48" s="158"/>
      <c r="HK48" s="158"/>
      <c r="HL48" s="158"/>
      <c r="HM48" s="158"/>
      <c r="HN48" s="158"/>
      <c r="HO48" s="158"/>
      <c r="HP48" s="158"/>
      <c r="HQ48" s="158"/>
      <c r="HR48" s="158"/>
      <c r="HS48" s="158"/>
      <c r="HT48" s="158"/>
      <c r="HU48" s="158"/>
      <c r="HV48" s="158"/>
      <c r="HW48" s="158"/>
      <c r="HX48" s="158"/>
      <c r="HY48" s="158"/>
      <c r="HZ48" s="158"/>
      <c r="IA48" s="158"/>
      <c r="IB48" s="158"/>
      <c r="IC48" s="158"/>
    </row>
    <row r="49" spans="1:237" ht="15.75" customHeight="1" x14ac:dyDescent="0.55000000000000004">
      <c r="A49" s="181">
        <v>210065</v>
      </c>
      <c r="B49" s="180" t="s">
        <v>373</v>
      </c>
      <c r="C49" s="181">
        <v>1</v>
      </c>
      <c r="D49" s="181">
        <v>3</v>
      </c>
      <c r="E49" s="181">
        <f>VLOOKUP($A49,[15]Sheet1!$A:$IV,5,FALSE)</f>
        <v>1</v>
      </c>
      <c r="F49" s="402">
        <f>VLOOKUP(A49,'GBR Revenue for ICC'!$1:$1048576,13,FALSE)</f>
        <v>145294510.05613631</v>
      </c>
      <c r="G49" s="375">
        <f>VLOOKUP(A49,Volume!$1:$1048576,7,FALSE)-IFERROR(VLOOKUP(A49,Volume!AO:AQ,2,FALSE),0)-IFERROR(VLOOKUP(A49,Volume!AS:AV,3,FALSE),0)-VLOOKUP(A49,Volume!AX:BA,2,FALSE)</f>
        <v>9743.687453664008</v>
      </c>
      <c r="H49" s="212">
        <f>VLOOKUP(A49,[16]Sheet1!$B$1:$D$65536,3,FALSE)</f>
        <v>1.1083143930424924</v>
      </c>
      <c r="I49" s="212">
        <f>VLOOKUP($A49,[15]Sheet1!$A:$IV,9,FALSE)</f>
        <v>0</v>
      </c>
      <c r="J49" s="362">
        <f>VLOOKUP($A49,[15]Sheet1!$A:$IV,10,FALSE)</f>
        <v>8742142.6718633622</v>
      </c>
      <c r="K49" s="362">
        <f>VLOOKUP($A49,[15]Sheet1!$A:$IV,11,FALSE)</f>
        <v>494500</v>
      </c>
      <c r="L49" s="362">
        <f>VLOOKUP($A49,[15]Sheet1!$A:$IV,12,FALSE)</f>
        <v>5485747.1693793191</v>
      </c>
      <c r="M49" s="362">
        <f>VLOOKUP($A49,[15]Sheet1!$A:$IV,13,FALSE)</f>
        <v>113817013.98352574</v>
      </c>
      <c r="N49" s="211">
        <f>IFERROR((VLOOKUP(A49,'DME22'!$1:$1048576,3,FALSE)*1000),0)-IFERROR((VLOOKUP(A49,'DME22'!$1:$1048576,10,FALSE)*1000),0)</f>
        <v>0</v>
      </c>
      <c r="O49" s="375">
        <f>IFERROR(VLOOKUP(A49,[17]Sheet1!$A:$IV,3,FALSE),0)</f>
        <v>0</v>
      </c>
      <c r="P49" s="362">
        <f>IFERROR(VLOOKUP(A49,[18]Sheet1!$A:$IV,26,FALSE),0)</f>
        <v>0</v>
      </c>
      <c r="Q49" s="362">
        <f>IFERROR(VLOOKUP($A49,[18]Sheet1!$A:$IV,27,FALSE),0)</f>
        <v>0</v>
      </c>
      <c r="R49" s="375">
        <f>VLOOKUP(A49,[19]Sheet1!$A:$IV,2,FALSE)*1000</f>
        <v>124636884</v>
      </c>
      <c r="S49" s="375">
        <f>VLOOKUP($A49,[19]Sheet1!$A:$IV,3,FALSE)*1000</f>
        <v>-959956.90094761085</v>
      </c>
      <c r="T49" s="211">
        <v>0</v>
      </c>
      <c r="U49" s="298">
        <f t="shared" si="0"/>
        <v>0</v>
      </c>
      <c r="V49" s="207">
        <f>SUMIF($A:$A,210004,V:V)</f>
        <v>0.70378463318116491</v>
      </c>
      <c r="W49" s="283">
        <v>1.0181752931904677</v>
      </c>
      <c r="X49" s="209">
        <f>T49*(1-VLOOKUP(A49,'Prorated Residents'!$1:$1048576,5,FALSE))</f>
        <v>0</v>
      </c>
      <c r="Y49" s="209">
        <f>IF(X49&lt;&gt;T49,(VLOOKUP(A49,'Prorated Residents'!$1:$1048576,6,FALSE)),N49)</f>
        <v>0</v>
      </c>
      <c r="Z49" s="209">
        <f t="shared" si="1"/>
        <v>0</v>
      </c>
      <c r="AA49" s="92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P49" s="158"/>
      <c r="GQ49" s="158"/>
      <c r="GR49" s="158"/>
      <c r="GS49" s="158"/>
      <c r="GT49" s="158"/>
      <c r="GU49" s="158"/>
      <c r="GV49" s="158"/>
      <c r="GW49" s="158"/>
      <c r="GX49" s="158"/>
      <c r="GY49" s="158"/>
      <c r="GZ49" s="158"/>
      <c r="HA49" s="158"/>
      <c r="HB49" s="158"/>
      <c r="HC49" s="158"/>
      <c r="HD49" s="158"/>
      <c r="HE49" s="158"/>
      <c r="HF49" s="158"/>
      <c r="HG49" s="158"/>
      <c r="HH49" s="158"/>
      <c r="HI49" s="158"/>
      <c r="HJ49" s="158"/>
      <c r="HK49" s="158"/>
      <c r="HL49" s="158"/>
      <c r="HM49" s="158"/>
      <c r="HN49" s="158"/>
      <c r="HO49" s="158"/>
      <c r="HP49" s="158"/>
      <c r="HQ49" s="158"/>
      <c r="HR49" s="158"/>
      <c r="HS49" s="158"/>
      <c r="HT49" s="158"/>
      <c r="HU49" s="158"/>
      <c r="HV49" s="158"/>
      <c r="HW49" s="158"/>
      <c r="HX49" s="158"/>
      <c r="HY49" s="158"/>
      <c r="HZ49" s="158"/>
      <c r="IA49" s="158"/>
      <c r="IB49" s="158"/>
      <c r="IC49" s="158"/>
    </row>
    <row r="50" spans="1:237" s="410" customFormat="1" ht="15.3" x14ac:dyDescent="0.55000000000000004">
      <c r="A50" s="406">
        <v>910003</v>
      </c>
      <c r="B50" s="407" t="s">
        <v>114</v>
      </c>
      <c r="C50" s="408">
        <v>5</v>
      </c>
      <c r="D50" s="408">
        <v>5</v>
      </c>
      <c r="E50" s="408">
        <f>VLOOKUP($A50,[15]Sheet1!$A:$IV,5,FALSE)</f>
        <v>1</v>
      </c>
      <c r="F50" s="295">
        <f t="shared" ref="F50:Z50" si="2">SUMIF($A:$A,210003,F:F)</f>
        <v>379138438.61161411</v>
      </c>
      <c r="G50" s="295">
        <f t="shared" si="2"/>
        <v>16622.361523679996</v>
      </c>
      <c r="H50" s="361">
        <f t="shared" si="2"/>
        <v>1.1150592197193865</v>
      </c>
      <c r="I50" s="295">
        <f t="shared" si="2"/>
        <v>0</v>
      </c>
      <c r="J50" s="295">
        <f t="shared" si="2"/>
        <v>11984950.038283611</v>
      </c>
      <c r="K50" s="295">
        <f t="shared" si="2"/>
        <v>3577375.9416744201</v>
      </c>
      <c r="L50" s="295">
        <f t="shared" si="2"/>
        <v>0</v>
      </c>
      <c r="M50" s="295">
        <f t="shared" si="2"/>
        <v>293646668.60510916</v>
      </c>
      <c r="N50" s="295">
        <f t="shared" si="2"/>
        <v>4438150.4502637452</v>
      </c>
      <c r="O50" s="295">
        <f t="shared" si="2"/>
        <v>1208431.1355900336</v>
      </c>
      <c r="P50" s="295">
        <f t="shared" si="2"/>
        <v>2142670.532732965</v>
      </c>
      <c r="Q50" s="295">
        <f t="shared" si="2"/>
        <v>2811645.6620348995</v>
      </c>
      <c r="R50" s="295">
        <f t="shared" si="2"/>
        <v>324936171.47121525</v>
      </c>
      <c r="S50" s="295">
        <f t="shared" si="2"/>
        <v>14257446.284734467</v>
      </c>
      <c r="T50" s="295">
        <f t="shared" si="2"/>
        <v>48</v>
      </c>
      <c r="U50" s="295">
        <f t="shared" si="2"/>
        <v>10600897.780621642</v>
      </c>
      <c r="V50" s="296">
        <f t="shared" si="2"/>
        <v>0.46620348349564045</v>
      </c>
      <c r="W50" s="297">
        <f t="shared" si="2"/>
        <v>1.0181752931904677</v>
      </c>
      <c r="X50" s="295">
        <f t="shared" si="2"/>
        <v>48</v>
      </c>
      <c r="Y50" s="295">
        <f t="shared" si="2"/>
        <v>4438150.4502637452</v>
      </c>
      <c r="Z50" s="295">
        <f t="shared" si="2"/>
        <v>10600897.780621642</v>
      </c>
      <c r="AA50" s="278"/>
      <c r="AB50" s="409"/>
      <c r="AC50" s="409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  <c r="AU50" s="409"/>
      <c r="AV50" s="409"/>
      <c r="AW50" s="409"/>
      <c r="AX50" s="409"/>
      <c r="AY50" s="409"/>
      <c r="AZ50" s="409"/>
      <c r="BA50" s="409"/>
      <c r="BB50" s="409"/>
      <c r="BC50" s="409"/>
      <c r="BD50" s="409"/>
      <c r="BE50" s="409"/>
      <c r="BF50" s="409"/>
      <c r="BG50" s="409"/>
      <c r="BH50" s="409"/>
      <c r="BI50" s="409"/>
      <c r="BJ50" s="409"/>
      <c r="BK50" s="409"/>
      <c r="BL50" s="409"/>
      <c r="BM50" s="409"/>
      <c r="BN50" s="409"/>
      <c r="BO50" s="409"/>
      <c r="BP50" s="409"/>
      <c r="BQ50" s="409"/>
      <c r="BR50" s="409"/>
      <c r="BS50" s="409"/>
      <c r="BT50" s="409"/>
      <c r="BU50" s="409"/>
      <c r="BV50" s="409"/>
      <c r="BW50" s="409"/>
      <c r="BX50" s="409"/>
      <c r="BY50" s="409"/>
      <c r="BZ50" s="409"/>
      <c r="CA50" s="409"/>
      <c r="CB50" s="409"/>
      <c r="CC50" s="409"/>
      <c r="CD50" s="409"/>
      <c r="CE50" s="409"/>
      <c r="CF50" s="409"/>
      <c r="CG50" s="409"/>
      <c r="CH50" s="409"/>
      <c r="CI50" s="409"/>
      <c r="CJ50" s="409"/>
      <c r="CK50" s="409"/>
      <c r="CL50" s="409"/>
      <c r="CM50" s="409"/>
      <c r="CN50" s="409"/>
      <c r="CO50" s="409"/>
      <c r="CP50" s="409"/>
      <c r="CQ50" s="409"/>
      <c r="CR50" s="409"/>
      <c r="CS50" s="409"/>
      <c r="CT50" s="409"/>
      <c r="CU50" s="409"/>
      <c r="CV50" s="409"/>
      <c r="CW50" s="409"/>
      <c r="CX50" s="409"/>
      <c r="CY50" s="409"/>
      <c r="CZ50" s="409"/>
      <c r="DA50" s="409"/>
      <c r="DB50" s="409"/>
      <c r="DC50" s="409"/>
      <c r="DD50" s="409"/>
      <c r="DE50" s="409"/>
      <c r="DF50" s="409"/>
      <c r="DG50" s="409"/>
      <c r="DH50" s="409"/>
      <c r="DI50" s="409"/>
      <c r="DJ50" s="409"/>
      <c r="DK50" s="409"/>
      <c r="DL50" s="409"/>
      <c r="DM50" s="409"/>
      <c r="DN50" s="409"/>
      <c r="DO50" s="409"/>
      <c r="DP50" s="409"/>
      <c r="DQ50" s="409"/>
      <c r="DR50" s="409"/>
      <c r="DS50" s="409"/>
      <c r="DT50" s="409"/>
      <c r="DU50" s="409"/>
      <c r="DV50" s="409"/>
      <c r="DW50" s="409"/>
      <c r="DX50" s="409"/>
      <c r="DY50" s="409"/>
      <c r="DZ50" s="409"/>
      <c r="EA50" s="409"/>
      <c r="EB50" s="409"/>
      <c r="EC50" s="409"/>
      <c r="ED50" s="409"/>
      <c r="EE50" s="409"/>
      <c r="EF50" s="409"/>
      <c r="EG50" s="409"/>
      <c r="EH50" s="409"/>
      <c r="EI50" s="409"/>
      <c r="EJ50" s="409"/>
      <c r="EK50" s="409"/>
      <c r="EL50" s="409"/>
      <c r="EM50" s="409"/>
      <c r="EN50" s="409"/>
      <c r="EO50" s="409"/>
      <c r="EP50" s="409"/>
      <c r="EQ50" s="409"/>
      <c r="ER50" s="409"/>
      <c r="ES50" s="409"/>
      <c r="ET50" s="409"/>
      <c r="EU50" s="409"/>
      <c r="EV50" s="409"/>
      <c r="EW50" s="409"/>
      <c r="EX50" s="409"/>
      <c r="EY50" s="409"/>
      <c r="EZ50" s="409"/>
      <c r="FA50" s="409"/>
      <c r="FB50" s="409"/>
      <c r="FC50" s="409"/>
      <c r="FD50" s="409"/>
      <c r="FE50" s="409"/>
      <c r="FF50" s="409"/>
      <c r="FG50" s="409"/>
      <c r="FH50" s="409"/>
      <c r="FI50" s="409"/>
      <c r="FJ50" s="409"/>
      <c r="FK50" s="409"/>
      <c r="FL50" s="409"/>
      <c r="FM50" s="409"/>
      <c r="FN50" s="409"/>
      <c r="FO50" s="409"/>
      <c r="FP50" s="409"/>
      <c r="FQ50" s="409"/>
      <c r="FR50" s="409"/>
      <c r="FS50" s="409"/>
      <c r="FT50" s="409"/>
      <c r="FU50" s="409"/>
      <c r="FV50" s="409"/>
      <c r="FW50" s="409"/>
      <c r="FX50" s="409"/>
      <c r="FY50" s="409"/>
      <c r="FZ50" s="409"/>
      <c r="GA50" s="409"/>
      <c r="GB50" s="409"/>
      <c r="GC50" s="409"/>
      <c r="GD50" s="409"/>
      <c r="GE50" s="409"/>
      <c r="GF50" s="409"/>
      <c r="GG50" s="409"/>
      <c r="GH50" s="409"/>
      <c r="GI50" s="409"/>
      <c r="GJ50" s="409"/>
      <c r="GK50" s="409"/>
      <c r="GL50" s="409"/>
      <c r="GM50" s="409"/>
      <c r="GN50" s="409"/>
      <c r="GO50" s="409"/>
      <c r="GP50" s="409"/>
      <c r="GQ50" s="409"/>
      <c r="GR50" s="409"/>
      <c r="GS50" s="409"/>
      <c r="GT50" s="409"/>
      <c r="GU50" s="409"/>
      <c r="GV50" s="409"/>
      <c r="GW50" s="409"/>
      <c r="GX50" s="409"/>
      <c r="GY50" s="409"/>
      <c r="GZ50" s="409"/>
      <c r="HA50" s="409"/>
      <c r="HB50" s="409"/>
      <c r="HC50" s="409"/>
      <c r="HD50" s="409"/>
      <c r="HE50" s="409"/>
      <c r="HF50" s="409"/>
      <c r="HG50" s="409"/>
      <c r="HH50" s="409"/>
      <c r="HI50" s="409"/>
      <c r="HJ50" s="409"/>
      <c r="HK50" s="409"/>
      <c r="HL50" s="409"/>
      <c r="HM50" s="409"/>
      <c r="HN50" s="409"/>
      <c r="HO50" s="409"/>
      <c r="HP50" s="409"/>
      <c r="HQ50" s="409"/>
      <c r="HR50" s="409"/>
      <c r="HS50" s="409"/>
      <c r="HT50" s="409"/>
      <c r="HU50" s="409"/>
      <c r="HV50" s="409"/>
      <c r="HW50" s="409"/>
      <c r="HX50" s="409"/>
      <c r="HY50" s="409"/>
      <c r="HZ50" s="409"/>
      <c r="IA50" s="409"/>
      <c r="IB50" s="409"/>
      <c r="IC50" s="409"/>
    </row>
    <row r="51" spans="1:237" s="410" customFormat="1" ht="15.3" x14ac:dyDescent="0.55000000000000004">
      <c r="A51" s="406">
        <v>910008</v>
      </c>
      <c r="B51" s="407" t="s">
        <v>115</v>
      </c>
      <c r="C51" s="408">
        <v>5</v>
      </c>
      <c r="D51" s="408">
        <v>5</v>
      </c>
      <c r="E51" s="408">
        <f>VLOOKUP($A51,[15]Sheet1!$A:$IV,5,FALSE)</f>
        <v>1</v>
      </c>
      <c r="F51" s="295">
        <f t="shared" ref="F51:Z51" si="3">SUMIF($A:$A,210008,F:F)</f>
        <v>616154621.82218134</v>
      </c>
      <c r="G51" s="295">
        <f t="shared" si="3"/>
        <v>37187.68418079293</v>
      </c>
      <c r="H51" s="361">
        <f t="shared" si="3"/>
        <v>1.1102695565875482</v>
      </c>
      <c r="I51" s="295">
        <f t="shared" si="3"/>
        <v>0</v>
      </c>
      <c r="J51" s="295">
        <f t="shared" si="3"/>
        <v>34581313.480000004</v>
      </c>
      <c r="K51" s="295">
        <f t="shared" si="3"/>
        <v>2358981</v>
      </c>
      <c r="L51" s="295">
        <f t="shared" si="3"/>
        <v>13715068.880000001</v>
      </c>
      <c r="M51" s="295">
        <f t="shared" si="3"/>
        <v>497407597.04656214</v>
      </c>
      <c r="N51" s="295">
        <f t="shared" si="3"/>
        <v>5003207.6874727393</v>
      </c>
      <c r="O51" s="295">
        <f t="shared" si="3"/>
        <v>0</v>
      </c>
      <c r="P51" s="295">
        <f t="shared" si="3"/>
        <v>0</v>
      </c>
      <c r="Q51" s="295">
        <f t="shared" si="3"/>
        <v>0</v>
      </c>
      <c r="R51" s="295">
        <f t="shared" si="3"/>
        <v>569467305.61000001</v>
      </c>
      <c r="S51" s="295">
        <f t="shared" si="3"/>
        <v>50206124.1544424</v>
      </c>
      <c r="T51" s="295">
        <f t="shared" si="3"/>
        <v>63</v>
      </c>
      <c r="U51" s="295">
        <f t="shared" si="3"/>
        <v>5003207.6874727393</v>
      </c>
      <c r="V51" s="296">
        <f t="shared" si="3"/>
        <v>0.54598995340031942</v>
      </c>
      <c r="W51" s="297">
        <f t="shared" si="3"/>
        <v>0.99671861092415948</v>
      </c>
      <c r="X51" s="295">
        <f t="shared" si="3"/>
        <v>63</v>
      </c>
      <c r="Y51" s="295">
        <f t="shared" si="3"/>
        <v>5003207.6874727393</v>
      </c>
      <c r="Z51" s="295">
        <f t="shared" si="3"/>
        <v>5003207.6874727393</v>
      </c>
      <c r="AA51" s="278"/>
      <c r="AB51" s="409"/>
      <c r="AC51" s="409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  <c r="AU51" s="409"/>
      <c r="AV51" s="409"/>
      <c r="AW51" s="409"/>
      <c r="AX51" s="409"/>
      <c r="AY51" s="409"/>
      <c r="AZ51" s="409"/>
      <c r="BA51" s="409"/>
      <c r="BB51" s="409"/>
      <c r="BC51" s="409"/>
      <c r="BD51" s="409"/>
      <c r="BE51" s="409"/>
      <c r="BF51" s="409"/>
      <c r="BG51" s="409"/>
      <c r="BH51" s="409"/>
      <c r="BI51" s="409"/>
      <c r="BJ51" s="409"/>
      <c r="BK51" s="409"/>
      <c r="BL51" s="409"/>
      <c r="BM51" s="409"/>
      <c r="BN51" s="409"/>
      <c r="BO51" s="409"/>
      <c r="BP51" s="409"/>
      <c r="BQ51" s="409"/>
      <c r="BR51" s="409"/>
      <c r="BS51" s="409"/>
      <c r="BT51" s="409"/>
      <c r="BU51" s="409"/>
      <c r="BV51" s="409"/>
      <c r="BW51" s="409"/>
      <c r="BX51" s="409"/>
      <c r="BY51" s="409"/>
      <c r="BZ51" s="409"/>
      <c r="CA51" s="409"/>
      <c r="CB51" s="409"/>
      <c r="CC51" s="409"/>
      <c r="CD51" s="409"/>
      <c r="CE51" s="409"/>
      <c r="CF51" s="409"/>
      <c r="CG51" s="409"/>
      <c r="CH51" s="409"/>
      <c r="CI51" s="409"/>
      <c r="CJ51" s="409"/>
      <c r="CK51" s="409"/>
      <c r="CL51" s="409"/>
      <c r="CM51" s="409"/>
      <c r="CN51" s="409"/>
      <c r="CO51" s="409"/>
      <c r="CP51" s="409"/>
      <c r="CQ51" s="409"/>
      <c r="CR51" s="409"/>
      <c r="CS51" s="409"/>
      <c r="CT51" s="409"/>
      <c r="CU51" s="409"/>
      <c r="CV51" s="409"/>
      <c r="CW51" s="409"/>
      <c r="CX51" s="409"/>
      <c r="CY51" s="409"/>
      <c r="CZ51" s="409"/>
      <c r="DA51" s="409"/>
      <c r="DB51" s="409"/>
      <c r="DC51" s="409"/>
      <c r="DD51" s="409"/>
      <c r="DE51" s="409"/>
      <c r="DF51" s="409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  <c r="EE51" s="409"/>
      <c r="EF51" s="409"/>
      <c r="EG51" s="409"/>
      <c r="EH51" s="409"/>
      <c r="EI51" s="409"/>
      <c r="EJ51" s="409"/>
      <c r="EK51" s="409"/>
      <c r="EL51" s="409"/>
      <c r="EM51" s="409"/>
      <c r="EN51" s="409"/>
      <c r="EO51" s="409"/>
      <c r="EP51" s="409"/>
      <c r="EQ51" s="409"/>
      <c r="ER51" s="409"/>
      <c r="ES51" s="409"/>
      <c r="ET51" s="409"/>
      <c r="EU51" s="409"/>
      <c r="EV51" s="409"/>
      <c r="EW51" s="409"/>
      <c r="EX51" s="409"/>
      <c r="EY51" s="409"/>
      <c r="EZ51" s="409"/>
      <c r="FA51" s="409"/>
      <c r="FB51" s="409"/>
      <c r="FC51" s="409"/>
      <c r="FD51" s="409"/>
      <c r="FE51" s="409"/>
      <c r="FF51" s="409"/>
      <c r="FG51" s="409"/>
      <c r="FH51" s="409"/>
      <c r="FI51" s="409"/>
      <c r="FJ51" s="409"/>
      <c r="FK51" s="409"/>
      <c r="FL51" s="409"/>
      <c r="FM51" s="409"/>
      <c r="FN51" s="409"/>
      <c r="FO51" s="409"/>
      <c r="FP51" s="409"/>
      <c r="FQ51" s="409"/>
      <c r="FR51" s="409"/>
      <c r="FS51" s="409"/>
      <c r="FT51" s="409"/>
      <c r="FU51" s="409"/>
      <c r="FV51" s="409"/>
      <c r="FW51" s="409"/>
      <c r="FX51" s="409"/>
      <c r="FY51" s="409"/>
      <c r="FZ51" s="409"/>
      <c r="GA51" s="409"/>
      <c r="GB51" s="409"/>
      <c r="GC51" s="409"/>
      <c r="GD51" s="409"/>
      <c r="GE51" s="409"/>
      <c r="GF51" s="409"/>
      <c r="GG51" s="409"/>
      <c r="GH51" s="409"/>
      <c r="GI51" s="409"/>
      <c r="GJ51" s="409"/>
      <c r="GK51" s="409"/>
      <c r="GL51" s="409"/>
      <c r="GM51" s="409"/>
      <c r="GN51" s="409"/>
      <c r="GO51" s="409"/>
      <c r="GP51" s="409"/>
      <c r="GQ51" s="409"/>
      <c r="GR51" s="409"/>
      <c r="GS51" s="409"/>
      <c r="GT51" s="409"/>
      <c r="GU51" s="409"/>
      <c r="GV51" s="409"/>
      <c r="GW51" s="409"/>
      <c r="GX51" s="409"/>
      <c r="GY51" s="409"/>
      <c r="GZ51" s="409"/>
      <c r="HA51" s="409"/>
      <c r="HB51" s="409"/>
      <c r="HC51" s="409"/>
      <c r="HD51" s="409"/>
      <c r="HE51" s="409"/>
      <c r="HF51" s="409"/>
      <c r="HG51" s="409"/>
      <c r="HH51" s="409"/>
      <c r="HI51" s="409"/>
      <c r="HJ51" s="409"/>
      <c r="HK51" s="409"/>
      <c r="HL51" s="409"/>
      <c r="HM51" s="409"/>
      <c r="HN51" s="409"/>
      <c r="HO51" s="409"/>
      <c r="HP51" s="409"/>
      <c r="HQ51" s="409"/>
      <c r="HR51" s="409"/>
      <c r="HS51" s="409"/>
      <c r="HT51" s="409"/>
      <c r="HU51" s="409"/>
      <c r="HV51" s="409"/>
      <c r="HW51" s="409"/>
      <c r="HX51" s="409"/>
      <c r="HY51" s="409"/>
      <c r="HZ51" s="409"/>
      <c r="IA51" s="409"/>
      <c r="IB51" s="409"/>
      <c r="IC51" s="409"/>
    </row>
    <row r="52" spans="1:237" s="410" customFormat="1" ht="15.3" x14ac:dyDescent="0.55000000000000004">
      <c r="A52" s="406">
        <v>910012</v>
      </c>
      <c r="B52" s="407" t="s">
        <v>113</v>
      </c>
      <c r="C52" s="408">
        <v>5</v>
      </c>
      <c r="D52" s="408">
        <v>5</v>
      </c>
      <c r="E52" s="408">
        <f>VLOOKUP($A52,[15]Sheet1!$A:$IV,5,FALSE)</f>
        <v>1</v>
      </c>
      <c r="F52" s="295">
        <f t="shared" ref="F52:Z52" si="4">SUMIF($A:$A,210012,F:F)</f>
        <v>820426817.23668432</v>
      </c>
      <c r="G52" s="295">
        <f t="shared" si="4"/>
        <v>39233.431532673072</v>
      </c>
      <c r="H52" s="361">
        <f t="shared" si="4"/>
        <v>1.1214469245143464</v>
      </c>
      <c r="I52" s="295">
        <f t="shared" si="4"/>
        <v>0</v>
      </c>
      <c r="J52" s="295">
        <f t="shared" si="4"/>
        <v>41053244.609999992</v>
      </c>
      <c r="K52" s="295">
        <f t="shared" si="4"/>
        <v>7043400</v>
      </c>
      <c r="L52" s="295">
        <f t="shared" si="4"/>
        <v>10494400</v>
      </c>
      <c r="M52" s="295">
        <f t="shared" si="4"/>
        <v>672695291.10193968</v>
      </c>
      <c r="N52" s="295">
        <f t="shared" si="4"/>
        <v>16589799.493769038</v>
      </c>
      <c r="O52" s="295">
        <f t="shared" si="4"/>
        <v>0</v>
      </c>
      <c r="P52" s="295">
        <f t="shared" si="4"/>
        <v>1524632.17731659</v>
      </c>
      <c r="Q52" s="295">
        <f t="shared" si="4"/>
        <v>2646136.6848963457</v>
      </c>
      <c r="R52" s="295">
        <f t="shared" si="4"/>
        <v>826179068.11000001</v>
      </c>
      <c r="S52" s="295">
        <f t="shared" si="4"/>
        <v>110344397.03727932</v>
      </c>
      <c r="T52" s="295">
        <f t="shared" si="4"/>
        <v>126</v>
      </c>
      <c r="U52" s="295">
        <f t="shared" si="4"/>
        <v>20760568.355981976</v>
      </c>
      <c r="V52" s="296">
        <f t="shared" si="4"/>
        <v>0.61743139615405473</v>
      </c>
      <c r="W52" s="297">
        <f t="shared" si="4"/>
        <v>0.99671861092415948</v>
      </c>
      <c r="X52" s="295">
        <f t="shared" si="4"/>
        <v>126</v>
      </c>
      <c r="Y52" s="295">
        <f t="shared" si="4"/>
        <v>16589799.493769038</v>
      </c>
      <c r="Z52" s="295">
        <f t="shared" si="4"/>
        <v>20760568.355981976</v>
      </c>
      <c r="AA52" s="278"/>
      <c r="AB52" s="409"/>
      <c r="AC52" s="409"/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09"/>
      <c r="AS52" s="409"/>
      <c r="AT52" s="409"/>
      <c r="AU52" s="409"/>
      <c r="AV52" s="409"/>
      <c r="AW52" s="409"/>
      <c r="AX52" s="409"/>
      <c r="AY52" s="409"/>
      <c r="AZ52" s="409"/>
      <c r="BA52" s="409"/>
      <c r="BB52" s="409"/>
      <c r="BC52" s="409"/>
      <c r="BD52" s="409"/>
      <c r="BE52" s="409"/>
      <c r="BF52" s="409"/>
      <c r="BG52" s="409"/>
      <c r="BH52" s="409"/>
      <c r="BI52" s="409"/>
      <c r="BJ52" s="409"/>
      <c r="BK52" s="409"/>
      <c r="BL52" s="409"/>
      <c r="BM52" s="409"/>
      <c r="BN52" s="409"/>
      <c r="BO52" s="409"/>
      <c r="BP52" s="409"/>
      <c r="BQ52" s="409"/>
      <c r="BR52" s="409"/>
      <c r="BS52" s="409"/>
      <c r="BT52" s="409"/>
      <c r="BU52" s="409"/>
      <c r="BV52" s="409"/>
      <c r="BW52" s="409"/>
      <c r="BX52" s="409"/>
      <c r="BY52" s="409"/>
      <c r="BZ52" s="409"/>
      <c r="CA52" s="409"/>
      <c r="CB52" s="409"/>
      <c r="CC52" s="409"/>
      <c r="CD52" s="409"/>
      <c r="CE52" s="409"/>
      <c r="CF52" s="409"/>
      <c r="CG52" s="409"/>
      <c r="CH52" s="409"/>
      <c r="CI52" s="409"/>
      <c r="CJ52" s="409"/>
      <c r="CK52" s="409"/>
      <c r="CL52" s="409"/>
      <c r="CM52" s="409"/>
      <c r="CN52" s="409"/>
      <c r="CO52" s="409"/>
      <c r="CP52" s="409"/>
      <c r="CQ52" s="409"/>
      <c r="CR52" s="409"/>
      <c r="CS52" s="409"/>
      <c r="CT52" s="409"/>
      <c r="CU52" s="409"/>
      <c r="CV52" s="409"/>
      <c r="CW52" s="409"/>
      <c r="CX52" s="409"/>
      <c r="CY52" s="409"/>
      <c r="CZ52" s="409"/>
      <c r="DA52" s="409"/>
      <c r="DB52" s="409"/>
      <c r="DC52" s="409"/>
      <c r="DD52" s="409"/>
      <c r="DE52" s="409"/>
      <c r="DF52" s="409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  <c r="EE52" s="409"/>
      <c r="EF52" s="409"/>
      <c r="EG52" s="409"/>
      <c r="EH52" s="409"/>
      <c r="EI52" s="409"/>
      <c r="EJ52" s="409"/>
      <c r="EK52" s="409"/>
      <c r="EL52" s="409"/>
      <c r="EM52" s="409"/>
      <c r="EN52" s="409"/>
      <c r="EO52" s="409"/>
      <c r="EP52" s="409"/>
      <c r="EQ52" s="409"/>
      <c r="ER52" s="409"/>
      <c r="ES52" s="409"/>
      <c r="ET52" s="409"/>
      <c r="EU52" s="409"/>
      <c r="EV52" s="409"/>
      <c r="EW52" s="409"/>
      <c r="EX52" s="409"/>
      <c r="EY52" s="409"/>
      <c r="EZ52" s="409"/>
      <c r="FA52" s="409"/>
      <c r="FB52" s="409"/>
      <c r="FC52" s="409"/>
      <c r="FD52" s="409"/>
      <c r="FE52" s="409"/>
      <c r="FF52" s="409"/>
      <c r="FG52" s="409"/>
      <c r="FH52" s="409"/>
      <c r="FI52" s="409"/>
      <c r="FJ52" s="409"/>
      <c r="FK52" s="409"/>
      <c r="FL52" s="409"/>
      <c r="FM52" s="409"/>
      <c r="FN52" s="409"/>
      <c r="FO52" s="409"/>
      <c r="FP52" s="409"/>
      <c r="FQ52" s="409"/>
      <c r="FR52" s="409"/>
      <c r="FS52" s="409"/>
      <c r="FT52" s="409"/>
      <c r="FU52" s="409"/>
      <c r="FV52" s="409"/>
      <c r="FW52" s="409"/>
      <c r="FX52" s="409"/>
      <c r="FY52" s="409"/>
      <c r="FZ52" s="409"/>
      <c r="GA52" s="409"/>
      <c r="GB52" s="409"/>
      <c r="GC52" s="409"/>
      <c r="GD52" s="409"/>
      <c r="GE52" s="409"/>
      <c r="GF52" s="409"/>
      <c r="GG52" s="409"/>
      <c r="GH52" s="409"/>
      <c r="GI52" s="409"/>
      <c r="GJ52" s="409"/>
      <c r="GK52" s="409"/>
      <c r="GL52" s="409"/>
      <c r="GM52" s="409"/>
      <c r="GN52" s="409"/>
      <c r="GO52" s="409"/>
      <c r="GP52" s="409"/>
      <c r="GQ52" s="409"/>
      <c r="GR52" s="409"/>
      <c r="GS52" s="409"/>
      <c r="GT52" s="409"/>
      <c r="GU52" s="409"/>
      <c r="GV52" s="409"/>
      <c r="GW52" s="409"/>
      <c r="GX52" s="409"/>
      <c r="GY52" s="409"/>
      <c r="GZ52" s="409"/>
      <c r="HA52" s="409"/>
      <c r="HB52" s="409"/>
      <c r="HC52" s="409"/>
      <c r="HD52" s="409"/>
      <c r="HE52" s="409"/>
      <c r="HF52" s="409"/>
      <c r="HG52" s="409"/>
      <c r="HH52" s="409"/>
      <c r="HI52" s="409"/>
      <c r="HJ52" s="409"/>
      <c r="HK52" s="409"/>
      <c r="HL52" s="409"/>
      <c r="HM52" s="409"/>
      <c r="HN52" s="409"/>
      <c r="HO52" s="409"/>
      <c r="HP52" s="409"/>
      <c r="HQ52" s="409"/>
      <c r="HR52" s="409"/>
      <c r="HS52" s="409"/>
      <c r="HT52" s="409"/>
      <c r="HU52" s="409"/>
      <c r="HV52" s="409"/>
      <c r="HW52" s="409"/>
      <c r="HX52" s="409"/>
      <c r="HY52" s="409"/>
      <c r="HZ52" s="409"/>
      <c r="IA52" s="409"/>
      <c r="IB52" s="409"/>
      <c r="IC52" s="409"/>
    </row>
    <row r="53" spans="1:237" s="410" customFormat="1" ht="15.3" x14ac:dyDescent="0.55000000000000004">
      <c r="A53" s="406">
        <v>910024</v>
      </c>
      <c r="B53" s="407" t="s">
        <v>112</v>
      </c>
      <c r="C53" s="408">
        <v>5</v>
      </c>
      <c r="D53" s="408">
        <v>5</v>
      </c>
      <c r="E53" s="408">
        <f>VLOOKUP($A53,[15]Sheet1!$A:$IV,5,FALSE)</f>
        <v>1</v>
      </c>
      <c r="F53" s="295">
        <f t="shared" ref="F53:Z53" si="5">SUMIF($A:$A,210024,F:F)</f>
        <v>481457430.39623797</v>
      </c>
      <c r="G53" s="295">
        <f t="shared" si="5"/>
        <v>26999.26188542712</v>
      </c>
      <c r="H53" s="361">
        <f t="shared" si="5"/>
        <v>1.1223202362274129</v>
      </c>
      <c r="I53" s="295">
        <f t="shared" si="5"/>
        <v>0</v>
      </c>
      <c r="J53" s="295">
        <f t="shared" si="5"/>
        <v>15619210.604898153</v>
      </c>
      <c r="K53" s="295">
        <f t="shared" si="5"/>
        <v>6659223.1402559336</v>
      </c>
      <c r="L53" s="295">
        <f t="shared" si="5"/>
        <v>2640592.2270100717</v>
      </c>
      <c r="M53" s="295">
        <f t="shared" si="5"/>
        <v>364574128.46947849</v>
      </c>
      <c r="N53" s="295">
        <f t="shared" si="5"/>
        <v>12196844.092979532</v>
      </c>
      <c r="O53" s="295">
        <f t="shared" si="5"/>
        <v>0</v>
      </c>
      <c r="P53" s="295">
        <f t="shared" si="5"/>
        <v>0</v>
      </c>
      <c r="Q53" s="295">
        <f t="shared" si="5"/>
        <v>0</v>
      </c>
      <c r="R53" s="295">
        <f t="shared" si="5"/>
        <v>398636760.46000004</v>
      </c>
      <c r="S53" s="295">
        <f t="shared" si="5"/>
        <v>14304847.484097993</v>
      </c>
      <c r="T53" s="295">
        <f t="shared" si="5"/>
        <v>88</v>
      </c>
      <c r="U53" s="295">
        <f t="shared" si="5"/>
        <v>12196844.092979532</v>
      </c>
      <c r="V53" s="296">
        <f t="shared" si="5"/>
        <v>0.53216003055068473</v>
      </c>
      <c r="W53" s="297">
        <f t="shared" si="5"/>
        <v>0.99671861092415948</v>
      </c>
      <c r="X53" s="295">
        <f t="shared" si="5"/>
        <v>88</v>
      </c>
      <c r="Y53" s="295">
        <f t="shared" si="5"/>
        <v>12196844.092979532</v>
      </c>
      <c r="Z53" s="295">
        <f t="shared" si="5"/>
        <v>12196844.092979532</v>
      </c>
      <c r="AA53" s="278"/>
      <c r="AB53" s="409"/>
      <c r="AC53" s="409"/>
      <c r="AD53" s="409"/>
      <c r="AE53" s="409"/>
      <c r="AF53" s="409"/>
      <c r="AG53" s="409"/>
      <c r="AH53" s="409"/>
      <c r="AI53" s="409"/>
      <c r="AJ53" s="409"/>
      <c r="AK53" s="409"/>
      <c r="AL53" s="409"/>
      <c r="AM53" s="409"/>
      <c r="AN53" s="409"/>
      <c r="AO53" s="409"/>
      <c r="AP53" s="409"/>
      <c r="AQ53" s="409"/>
      <c r="AR53" s="409"/>
      <c r="AS53" s="409"/>
      <c r="AT53" s="409"/>
      <c r="AU53" s="409"/>
      <c r="AV53" s="409"/>
      <c r="AW53" s="409"/>
      <c r="AX53" s="409"/>
      <c r="AY53" s="409"/>
      <c r="AZ53" s="409"/>
      <c r="BA53" s="409"/>
      <c r="BB53" s="409"/>
      <c r="BC53" s="409"/>
      <c r="BD53" s="409"/>
      <c r="BE53" s="409"/>
      <c r="BF53" s="409"/>
      <c r="BG53" s="409"/>
      <c r="BH53" s="409"/>
      <c r="BI53" s="409"/>
      <c r="BJ53" s="409"/>
      <c r="BK53" s="409"/>
      <c r="BL53" s="409"/>
      <c r="BM53" s="409"/>
      <c r="BN53" s="409"/>
      <c r="BO53" s="409"/>
      <c r="BP53" s="409"/>
      <c r="BQ53" s="409"/>
      <c r="BR53" s="409"/>
      <c r="BS53" s="409"/>
      <c r="BT53" s="409"/>
      <c r="BU53" s="409"/>
      <c r="BV53" s="409"/>
      <c r="BW53" s="409"/>
      <c r="BX53" s="409"/>
      <c r="BY53" s="409"/>
      <c r="BZ53" s="409"/>
      <c r="CA53" s="409"/>
      <c r="CB53" s="409"/>
      <c r="CC53" s="409"/>
      <c r="CD53" s="409"/>
      <c r="CE53" s="409"/>
      <c r="CF53" s="409"/>
      <c r="CG53" s="409"/>
      <c r="CH53" s="409"/>
      <c r="CI53" s="409"/>
      <c r="CJ53" s="409"/>
      <c r="CK53" s="409"/>
      <c r="CL53" s="409"/>
      <c r="CM53" s="409"/>
      <c r="CN53" s="409"/>
      <c r="CO53" s="409"/>
      <c r="CP53" s="409"/>
      <c r="CQ53" s="409"/>
      <c r="CR53" s="409"/>
      <c r="CS53" s="409"/>
      <c r="CT53" s="409"/>
      <c r="CU53" s="409"/>
      <c r="CV53" s="409"/>
      <c r="CW53" s="409"/>
      <c r="CX53" s="409"/>
      <c r="CY53" s="409"/>
      <c r="CZ53" s="409"/>
      <c r="DA53" s="409"/>
      <c r="DB53" s="409"/>
      <c r="DC53" s="409"/>
      <c r="DD53" s="409"/>
      <c r="DE53" s="409"/>
      <c r="DF53" s="409"/>
      <c r="DG53" s="409"/>
      <c r="DH53" s="409"/>
      <c r="DI53" s="409"/>
      <c r="DJ53" s="409"/>
      <c r="DK53" s="409"/>
      <c r="DL53" s="409"/>
      <c r="DM53" s="409"/>
      <c r="DN53" s="409"/>
      <c r="DO53" s="409"/>
      <c r="DP53" s="409"/>
      <c r="DQ53" s="409"/>
      <c r="DR53" s="409"/>
      <c r="DS53" s="409"/>
      <c r="DT53" s="409"/>
      <c r="DU53" s="409"/>
      <c r="DV53" s="409"/>
      <c r="DW53" s="409"/>
      <c r="DX53" s="409"/>
      <c r="DY53" s="409"/>
      <c r="DZ53" s="409"/>
      <c r="EA53" s="409"/>
      <c r="EB53" s="409"/>
      <c r="EC53" s="409"/>
      <c r="ED53" s="409"/>
      <c r="EE53" s="409"/>
      <c r="EF53" s="409"/>
      <c r="EG53" s="409"/>
      <c r="EH53" s="409"/>
      <c r="EI53" s="409"/>
      <c r="EJ53" s="409"/>
      <c r="EK53" s="409"/>
      <c r="EL53" s="409"/>
      <c r="EM53" s="409"/>
      <c r="EN53" s="409"/>
      <c r="EO53" s="409"/>
      <c r="EP53" s="409"/>
      <c r="EQ53" s="409"/>
      <c r="ER53" s="409"/>
      <c r="ES53" s="409"/>
      <c r="ET53" s="409"/>
      <c r="EU53" s="409"/>
      <c r="EV53" s="409"/>
      <c r="EW53" s="409"/>
      <c r="EX53" s="409"/>
      <c r="EY53" s="409"/>
      <c r="EZ53" s="409"/>
      <c r="FA53" s="409"/>
      <c r="FB53" s="409"/>
      <c r="FC53" s="409"/>
      <c r="FD53" s="409"/>
      <c r="FE53" s="409"/>
      <c r="FF53" s="409"/>
      <c r="FG53" s="409"/>
      <c r="FH53" s="409"/>
      <c r="FI53" s="409"/>
      <c r="FJ53" s="409"/>
      <c r="FK53" s="409"/>
      <c r="FL53" s="409"/>
      <c r="FM53" s="409"/>
      <c r="FN53" s="409"/>
      <c r="FO53" s="409"/>
      <c r="FP53" s="409"/>
      <c r="FQ53" s="409"/>
      <c r="FR53" s="409"/>
      <c r="FS53" s="409"/>
      <c r="FT53" s="409"/>
      <c r="FU53" s="409"/>
      <c r="FV53" s="409"/>
      <c r="FW53" s="409"/>
      <c r="FX53" s="409"/>
      <c r="FY53" s="409"/>
      <c r="FZ53" s="409"/>
      <c r="GA53" s="409"/>
      <c r="GB53" s="409"/>
      <c r="GC53" s="409"/>
      <c r="GD53" s="409"/>
      <c r="GE53" s="409"/>
      <c r="GF53" s="409"/>
      <c r="GG53" s="409"/>
      <c r="GH53" s="409"/>
      <c r="GI53" s="409"/>
      <c r="GJ53" s="409"/>
      <c r="GK53" s="409"/>
      <c r="GL53" s="409"/>
      <c r="GM53" s="409"/>
      <c r="GN53" s="409"/>
      <c r="GO53" s="409"/>
      <c r="GP53" s="409"/>
      <c r="GQ53" s="409"/>
      <c r="GR53" s="409"/>
      <c r="GS53" s="409"/>
      <c r="GT53" s="409"/>
      <c r="GU53" s="409"/>
      <c r="GV53" s="409"/>
      <c r="GW53" s="409"/>
      <c r="GX53" s="409"/>
      <c r="GY53" s="409"/>
      <c r="GZ53" s="409"/>
      <c r="HA53" s="409"/>
      <c r="HB53" s="409"/>
      <c r="HC53" s="409"/>
      <c r="HD53" s="409"/>
      <c r="HE53" s="409"/>
      <c r="HF53" s="409"/>
      <c r="HG53" s="409"/>
      <c r="HH53" s="409"/>
      <c r="HI53" s="409"/>
      <c r="HJ53" s="409"/>
      <c r="HK53" s="409"/>
      <c r="HL53" s="409"/>
      <c r="HM53" s="409"/>
      <c r="HN53" s="409"/>
      <c r="HO53" s="409"/>
      <c r="HP53" s="409"/>
      <c r="HQ53" s="409"/>
      <c r="HR53" s="409"/>
      <c r="HS53" s="409"/>
      <c r="HT53" s="409"/>
      <c r="HU53" s="409"/>
      <c r="HV53" s="409"/>
      <c r="HW53" s="409"/>
      <c r="HX53" s="409"/>
      <c r="HY53" s="409"/>
      <c r="HZ53" s="409"/>
      <c r="IA53" s="409"/>
      <c r="IB53" s="409"/>
      <c r="IC53" s="409"/>
    </row>
    <row r="54" spans="1:237" s="410" customFormat="1" ht="15.3" x14ac:dyDescent="0.55000000000000004">
      <c r="A54" s="406">
        <v>910029</v>
      </c>
      <c r="B54" s="407" t="s">
        <v>116</v>
      </c>
      <c r="C54" s="408">
        <v>5</v>
      </c>
      <c r="D54" s="408">
        <v>5</v>
      </c>
      <c r="E54" s="408">
        <f>VLOOKUP($A54,[15]Sheet1!$A:$IV,5,FALSE)</f>
        <v>1</v>
      </c>
      <c r="F54" s="295">
        <f t="shared" ref="F54:Z54" si="6">SUMIF($A:$A,210029,F:F)</f>
        <v>685641223.73208022</v>
      </c>
      <c r="G54" s="295">
        <f>SUMIF($A:$A,210029,G:G)</f>
        <v>35540.799933832066</v>
      </c>
      <c r="H54" s="361">
        <f t="shared" si="6"/>
        <v>1.1160480491569686</v>
      </c>
      <c r="I54" s="295">
        <f t="shared" si="6"/>
        <v>0</v>
      </c>
      <c r="J54" s="295">
        <f t="shared" si="6"/>
        <v>28971614.571778711</v>
      </c>
      <c r="K54" s="295">
        <f t="shared" si="6"/>
        <v>8093300</v>
      </c>
      <c r="L54" s="295">
        <f t="shared" si="6"/>
        <v>9255600</v>
      </c>
      <c r="M54" s="295">
        <f t="shared" si="6"/>
        <v>637179346.24559069</v>
      </c>
      <c r="N54" s="295">
        <f t="shared" si="6"/>
        <v>24683948.976852756</v>
      </c>
      <c r="O54" s="295">
        <f t="shared" si="6"/>
        <v>0</v>
      </c>
      <c r="P54" s="295">
        <f t="shared" si="6"/>
        <v>2058544.1524620804</v>
      </c>
      <c r="Q54" s="295">
        <f t="shared" si="6"/>
        <v>1722953.9802664598</v>
      </c>
      <c r="R54" s="295">
        <f t="shared" si="6"/>
        <v>658221105.3249011</v>
      </c>
      <c r="S54" s="295">
        <f t="shared" si="6"/>
        <v>-22336231.22247576</v>
      </c>
      <c r="T54" s="295">
        <f t="shared" si="6"/>
        <v>147</v>
      </c>
      <c r="U54" s="295">
        <f t="shared" si="6"/>
        <v>28465447.109581295</v>
      </c>
      <c r="V54" s="296">
        <f t="shared" si="6"/>
        <v>0.73282589011689636</v>
      </c>
      <c r="W54" s="297">
        <f t="shared" si="6"/>
        <v>0.99671861092415948</v>
      </c>
      <c r="X54" s="295">
        <f t="shared" si="6"/>
        <v>141.11220866622443</v>
      </c>
      <c r="Y54" s="295">
        <f t="shared" si="6"/>
        <v>23695282.712435938</v>
      </c>
      <c r="Z54" s="295">
        <f t="shared" si="6"/>
        <v>27476780.845164478</v>
      </c>
      <c r="AA54" s="278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</row>
    <row r="55" spans="1:237" ht="15.3" x14ac:dyDescent="0.55000000000000004">
      <c r="A55" s="169"/>
      <c r="B55" s="158"/>
      <c r="C55" s="158"/>
      <c r="D55" s="158"/>
      <c r="E55" s="158"/>
      <c r="G55" s="163"/>
      <c r="H55" s="206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60"/>
      <c r="V55" s="205"/>
      <c r="W55" s="284"/>
      <c r="X55" s="204"/>
      <c r="Y55" s="204"/>
      <c r="Z55" s="204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58"/>
      <c r="EH55" s="158"/>
      <c r="EI55" s="158"/>
      <c r="EJ55" s="158"/>
      <c r="EK55" s="158"/>
      <c r="EL55" s="158"/>
      <c r="EM55" s="158"/>
      <c r="EN55" s="158"/>
      <c r="EO55" s="158"/>
      <c r="EP55" s="158"/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8"/>
      <c r="FC55" s="158"/>
      <c r="FD55" s="158"/>
      <c r="FE55" s="158"/>
      <c r="FF55" s="158"/>
      <c r="FG55" s="158"/>
      <c r="FH55" s="158"/>
      <c r="FI55" s="158"/>
      <c r="FJ55" s="158"/>
      <c r="FK55" s="158"/>
      <c r="FL55" s="158"/>
      <c r="FM55" s="158"/>
      <c r="FN55" s="158"/>
      <c r="FO55" s="158"/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8"/>
      <c r="GC55" s="158"/>
      <c r="GD55" s="158"/>
      <c r="GE55" s="158"/>
      <c r="GF55" s="158"/>
      <c r="GG55" s="158"/>
      <c r="GH55" s="158"/>
      <c r="GI55" s="158"/>
      <c r="GJ55" s="158"/>
      <c r="GK55" s="158"/>
      <c r="GL55" s="158"/>
      <c r="GM55" s="158"/>
      <c r="GN55" s="158"/>
      <c r="GO55" s="158"/>
      <c r="GP55" s="158"/>
      <c r="GQ55" s="158"/>
      <c r="GR55" s="158"/>
      <c r="GS55" s="158"/>
      <c r="GT55" s="158"/>
      <c r="GU55" s="158"/>
      <c r="GV55" s="158"/>
      <c r="GW55" s="158"/>
      <c r="GX55" s="158"/>
      <c r="GY55" s="158"/>
      <c r="GZ55" s="158"/>
      <c r="HA55" s="158"/>
      <c r="HB55" s="158"/>
      <c r="HC55" s="158"/>
      <c r="HD55" s="158"/>
      <c r="HE55" s="158"/>
      <c r="HF55" s="158"/>
      <c r="HG55" s="158"/>
      <c r="HH55" s="158"/>
      <c r="HI55" s="158"/>
      <c r="HJ55" s="158"/>
      <c r="HK55" s="158"/>
      <c r="HL55" s="158"/>
      <c r="HM55" s="158"/>
      <c r="HN55" s="158"/>
      <c r="HO55" s="158"/>
      <c r="HP55" s="158"/>
      <c r="HQ55" s="158"/>
      <c r="HR55" s="158"/>
      <c r="HS55" s="158"/>
      <c r="HT55" s="158"/>
      <c r="HU55" s="158"/>
      <c r="HV55" s="158"/>
      <c r="HW55" s="158"/>
      <c r="HX55" s="158"/>
      <c r="HY55" s="158"/>
      <c r="HZ55" s="158"/>
      <c r="IA55" s="158"/>
      <c r="IB55" s="158"/>
      <c r="IC55" s="158"/>
    </row>
    <row r="56" spans="1:237" ht="15.3" x14ac:dyDescent="0.55000000000000004">
      <c r="A56" s="208">
        <v>990099</v>
      </c>
      <c r="B56" s="158"/>
      <c r="C56" s="158">
        <v>1</v>
      </c>
      <c r="D56" s="158"/>
      <c r="E56" s="158"/>
      <c r="F56" s="162"/>
      <c r="G56" s="171"/>
      <c r="H56" s="162"/>
      <c r="I56" s="162"/>
      <c r="J56" s="162"/>
      <c r="K56" s="162"/>
      <c r="L56" s="162"/>
      <c r="M56" s="162"/>
      <c r="N56" s="162"/>
      <c r="O56" s="158"/>
      <c r="P56" s="158"/>
      <c r="Q56" s="158"/>
      <c r="R56" s="158"/>
      <c r="S56" s="158"/>
      <c r="T56" s="162"/>
      <c r="U56" s="160"/>
      <c r="V56" s="205"/>
      <c r="W56" s="284"/>
      <c r="X56" s="204"/>
      <c r="Y56" s="204"/>
      <c r="Z56" s="204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/>
      <c r="EM56" s="158"/>
      <c r="EN56" s="158"/>
      <c r="EO56" s="158"/>
      <c r="EP56" s="158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8"/>
      <c r="FC56" s="158"/>
      <c r="FD56" s="158"/>
      <c r="FE56" s="158"/>
      <c r="FF56" s="158"/>
      <c r="FG56" s="158"/>
      <c r="FH56" s="158"/>
      <c r="FI56" s="158"/>
      <c r="FJ56" s="158"/>
      <c r="FK56" s="158"/>
      <c r="FL56" s="158"/>
      <c r="FM56" s="158"/>
      <c r="FN56" s="158"/>
      <c r="FO56" s="158"/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8"/>
      <c r="GC56" s="158"/>
      <c r="GD56" s="158"/>
      <c r="GE56" s="158"/>
      <c r="GF56" s="158"/>
      <c r="GG56" s="158"/>
      <c r="GH56" s="158"/>
      <c r="GI56" s="158"/>
      <c r="GJ56" s="158"/>
      <c r="GK56" s="158"/>
      <c r="GL56" s="158"/>
      <c r="GM56" s="158"/>
      <c r="GN56" s="158"/>
      <c r="GO56" s="158"/>
      <c r="GP56" s="158"/>
      <c r="GQ56" s="158"/>
      <c r="GR56" s="158"/>
      <c r="GS56" s="158"/>
      <c r="GT56" s="158"/>
      <c r="GU56" s="158"/>
      <c r="GV56" s="158"/>
      <c r="GW56" s="158"/>
      <c r="GX56" s="158"/>
      <c r="GY56" s="158"/>
      <c r="GZ56" s="158"/>
      <c r="HA56" s="158"/>
      <c r="HB56" s="158"/>
      <c r="HC56" s="158"/>
      <c r="HD56" s="158"/>
      <c r="HE56" s="158"/>
      <c r="HF56" s="158"/>
      <c r="HG56" s="158"/>
      <c r="HH56" s="158"/>
      <c r="HI56" s="158"/>
      <c r="HJ56" s="158"/>
      <c r="HK56" s="158"/>
      <c r="HL56" s="158"/>
      <c r="HM56" s="158"/>
      <c r="HN56" s="158"/>
      <c r="HO56" s="158"/>
      <c r="HP56" s="158"/>
      <c r="HQ56" s="158"/>
      <c r="HR56" s="158"/>
      <c r="HS56" s="158"/>
      <c r="HT56" s="158"/>
      <c r="HU56" s="158"/>
      <c r="HV56" s="158"/>
      <c r="HW56" s="158"/>
      <c r="HX56" s="158"/>
      <c r="HY56" s="158"/>
      <c r="HZ56" s="158"/>
      <c r="IA56" s="158"/>
      <c r="IB56" s="158"/>
      <c r="IC56" s="158"/>
    </row>
    <row r="57" spans="1:237" ht="15.3" x14ac:dyDescent="0.55000000000000004">
      <c r="A57" s="169"/>
      <c r="B57" s="158"/>
      <c r="C57" s="158"/>
      <c r="D57" s="158"/>
      <c r="E57" s="158"/>
      <c r="F57" s="191"/>
      <c r="G57" s="404">
        <f>F32/G32</f>
        <v>22986.814893275434</v>
      </c>
      <c r="H57" s="206"/>
      <c r="I57" s="158"/>
      <c r="J57" s="158"/>
      <c r="K57" s="158"/>
      <c r="L57" s="158"/>
      <c r="M57" s="158"/>
      <c r="N57" s="190"/>
      <c r="O57" s="158"/>
      <c r="P57" s="158"/>
      <c r="Q57" s="158"/>
      <c r="R57" s="158"/>
      <c r="S57" s="158"/>
      <c r="T57" s="158"/>
      <c r="U57" s="160"/>
      <c r="V57" s="205"/>
      <c r="W57" s="284"/>
      <c r="X57" s="204"/>
      <c r="Y57" s="204"/>
      <c r="Z57" s="204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8"/>
      <c r="DM57" s="158"/>
      <c r="DN57" s="158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8"/>
      <c r="EF57" s="158"/>
      <c r="EG57" s="158"/>
      <c r="EH57" s="158"/>
      <c r="EI57" s="158"/>
      <c r="EJ57" s="158"/>
      <c r="EK57" s="158"/>
      <c r="EL57" s="158"/>
      <c r="EM57" s="158"/>
      <c r="EN57" s="158"/>
      <c r="EO57" s="158"/>
      <c r="EP57" s="158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8"/>
      <c r="FC57" s="158"/>
      <c r="FD57" s="158"/>
      <c r="FE57" s="158"/>
      <c r="FF57" s="158"/>
      <c r="FG57" s="158"/>
      <c r="FH57" s="158"/>
      <c r="FI57" s="158"/>
      <c r="FJ57" s="158"/>
      <c r="FK57" s="158"/>
      <c r="FL57" s="158"/>
      <c r="FM57" s="158"/>
      <c r="FN57" s="158"/>
      <c r="FO57" s="158"/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8"/>
      <c r="GC57" s="158"/>
      <c r="GD57" s="158"/>
      <c r="GE57" s="158"/>
      <c r="GF57" s="158"/>
      <c r="GG57" s="158"/>
      <c r="GH57" s="158"/>
      <c r="GI57" s="158"/>
      <c r="GJ57" s="158"/>
      <c r="GK57" s="158"/>
      <c r="GL57" s="158"/>
      <c r="GM57" s="158"/>
      <c r="GN57" s="158"/>
      <c r="GO57" s="158"/>
      <c r="GP57" s="158"/>
      <c r="GQ57" s="158"/>
      <c r="GR57" s="158"/>
      <c r="GS57" s="158"/>
      <c r="GT57" s="158"/>
      <c r="GU57" s="158"/>
      <c r="GV57" s="158"/>
      <c r="GW57" s="158"/>
      <c r="GX57" s="158"/>
      <c r="GY57" s="158"/>
      <c r="GZ57" s="158"/>
      <c r="HA57" s="158"/>
      <c r="HB57" s="158"/>
      <c r="HC57" s="158"/>
      <c r="HD57" s="158"/>
      <c r="HE57" s="158"/>
      <c r="HF57" s="158"/>
      <c r="HG57" s="158"/>
      <c r="HH57" s="158"/>
      <c r="HI57" s="158"/>
      <c r="HJ57" s="158"/>
      <c r="HK57" s="158"/>
      <c r="HL57" s="158"/>
      <c r="HM57" s="158"/>
      <c r="HN57" s="158"/>
      <c r="HO57" s="158"/>
      <c r="HP57" s="158"/>
      <c r="HQ57" s="158"/>
      <c r="HR57" s="158"/>
      <c r="HS57" s="158"/>
      <c r="HT57" s="158"/>
      <c r="HU57" s="158"/>
      <c r="HV57" s="158"/>
      <c r="HW57" s="158"/>
      <c r="HX57" s="158"/>
      <c r="HY57" s="158"/>
      <c r="HZ57" s="158"/>
      <c r="IA57" s="158"/>
      <c r="IB57" s="158"/>
      <c r="IC57" s="158"/>
    </row>
    <row r="58" spans="1:237" ht="15.3" x14ac:dyDescent="0.55000000000000004">
      <c r="A58" s="169"/>
      <c r="B58" s="158"/>
      <c r="C58" s="158"/>
      <c r="D58" s="158"/>
      <c r="E58" s="158"/>
      <c r="F58" s="376"/>
      <c r="G58" s="163"/>
      <c r="H58" s="206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90"/>
      <c r="U58" s="160"/>
      <c r="V58" s="205"/>
      <c r="W58" s="284"/>
      <c r="X58" s="204"/>
      <c r="Y58" s="204"/>
      <c r="Z58" s="204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8"/>
      <c r="EF58" s="158"/>
      <c r="EG58" s="158"/>
      <c r="EH58" s="158"/>
      <c r="EI58" s="158"/>
      <c r="EJ58" s="158"/>
      <c r="EK58" s="158"/>
      <c r="EL58" s="158"/>
      <c r="EM58" s="158"/>
      <c r="EN58" s="158"/>
      <c r="EO58" s="158"/>
      <c r="EP58" s="158"/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8"/>
      <c r="FC58" s="158"/>
      <c r="FD58" s="158"/>
      <c r="FE58" s="158"/>
      <c r="FF58" s="158"/>
      <c r="FG58" s="158"/>
      <c r="FH58" s="158"/>
      <c r="FI58" s="158"/>
      <c r="FJ58" s="158"/>
      <c r="FK58" s="158"/>
      <c r="FL58" s="158"/>
      <c r="FM58" s="158"/>
      <c r="FN58" s="158"/>
      <c r="FO58" s="158"/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8"/>
      <c r="GC58" s="158"/>
      <c r="GD58" s="158"/>
      <c r="GE58" s="158"/>
      <c r="GF58" s="158"/>
      <c r="GG58" s="158"/>
      <c r="GH58" s="158"/>
      <c r="GI58" s="158"/>
      <c r="GJ58" s="158"/>
      <c r="GK58" s="158"/>
      <c r="GL58" s="158"/>
      <c r="GM58" s="158"/>
      <c r="GN58" s="158"/>
      <c r="GO58" s="158"/>
      <c r="GP58" s="158"/>
      <c r="GQ58" s="158"/>
      <c r="GR58" s="158"/>
      <c r="GS58" s="158"/>
      <c r="GT58" s="158"/>
      <c r="GU58" s="158"/>
      <c r="GV58" s="158"/>
      <c r="GW58" s="158"/>
      <c r="GX58" s="158"/>
      <c r="GY58" s="158"/>
      <c r="GZ58" s="158"/>
      <c r="HA58" s="158"/>
      <c r="HB58" s="158"/>
      <c r="HC58" s="158"/>
      <c r="HD58" s="158"/>
      <c r="HE58" s="158"/>
      <c r="HF58" s="158"/>
      <c r="HG58" s="158"/>
      <c r="HH58" s="158"/>
      <c r="HI58" s="158"/>
      <c r="HJ58" s="158"/>
      <c r="HK58" s="158"/>
      <c r="HL58" s="158"/>
      <c r="HM58" s="158"/>
      <c r="HN58" s="158"/>
      <c r="HO58" s="158"/>
      <c r="HP58" s="158"/>
      <c r="HQ58" s="158"/>
      <c r="HR58" s="158"/>
      <c r="HS58" s="158"/>
      <c r="HT58" s="158"/>
      <c r="HU58" s="158"/>
      <c r="HV58" s="158"/>
      <c r="HW58" s="158"/>
      <c r="HX58" s="158"/>
      <c r="HY58" s="158"/>
      <c r="HZ58" s="158"/>
      <c r="IA58" s="158"/>
      <c r="IB58" s="158"/>
      <c r="IC58" s="158"/>
    </row>
    <row r="59" spans="1:237" ht="15.3" x14ac:dyDescent="0.55000000000000004">
      <c r="A59" s="169"/>
      <c r="B59" s="158"/>
      <c r="C59" s="158"/>
      <c r="D59" s="158"/>
      <c r="E59" s="158"/>
      <c r="F59" s="191"/>
      <c r="G59" s="163"/>
      <c r="H59" s="206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60"/>
      <c r="V59" s="205"/>
      <c r="W59" s="284"/>
      <c r="X59" s="204"/>
      <c r="Y59" s="204"/>
      <c r="Z59" s="204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8"/>
      <c r="DM59" s="158"/>
      <c r="DN59" s="158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8"/>
      <c r="EF59" s="158"/>
      <c r="EG59" s="158"/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8"/>
      <c r="FC59" s="158"/>
      <c r="FD59" s="158"/>
      <c r="FE59" s="158"/>
      <c r="FF59" s="158"/>
      <c r="FG59" s="158"/>
      <c r="FH59" s="158"/>
      <c r="FI59" s="158"/>
      <c r="FJ59" s="158"/>
      <c r="FK59" s="158"/>
      <c r="FL59" s="158"/>
      <c r="FM59" s="158"/>
      <c r="FN59" s="158"/>
      <c r="FO59" s="158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8"/>
      <c r="GC59" s="158"/>
      <c r="GD59" s="158"/>
      <c r="GE59" s="158"/>
      <c r="GF59" s="158"/>
      <c r="GG59" s="158"/>
      <c r="GH59" s="158"/>
      <c r="GI59" s="158"/>
      <c r="GJ59" s="158"/>
      <c r="GK59" s="158"/>
      <c r="GL59" s="158"/>
      <c r="GM59" s="158"/>
      <c r="GN59" s="158"/>
      <c r="GO59" s="158"/>
      <c r="GP59" s="158"/>
      <c r="GQ59" s="158"/>
      <c r="GR59" s="158"/>
      <c r="GS59" s="158"/>
      <c r="GT59" s="158"/>
      <c r="GU59" s="158"/>
      <c r="GV59" s="158"/>
      <c r="GW59" s="158"/>
      <c r="GX59" s="158"/>
      <c r="GY59" s="158"/>
      <c r="GZ59" s="158"/>
      <c r="HA59" s="158"/>
      <c r="HB59" s="158"/>
      <c r="HC59" s="158"/>
      <c r="HD59" s="158"/>
      <c r="HE59" s="158"/>
      <c r="HF59" s="158"/>
      <c r="HG59" s="158"/>
      <c r="HH59" s="158"/>
      <c r="HI59" s="158"/>
      <c r="HJ59" s="158"/>
      <c r="HK59" s="158"/>
      <c r="HL59" s="158"/>
      <c r="HM59" s="158"/>
      <c r="HN59" s="158"/>
      <c r="HO59" s="158"/>
      <c r="HP59" s="158"/>
      <c r="HQ59" s="158"/>
      <c r="HR59" s="158"/>
      <c r="HS59" s="158"/>
      <c r="HT59" s="158"/>
      <c r="HU59" s="158"/>
      <c r="HV59" s="158"/>
      <c r="HW59" s="158"/>
      <c r="HX59" s="158"/>
      <c r="HY59" s="158"/>
      <c r="HZ59" s="158"/>
      <c r="IA59" s="158"/>
      <c r="IB59" s="158"/>
      <c r="IC59" s="158"/>
    </row>
    <row r="60" spans="1:237" ht="15.3" x14ac:dyDescent="0.55000000000000004">
      <c r="A60" s="169"/>
      <c r="B60" s="158"/>
      <c r="C60" s="158"/>
      <c r="D60" s="158"/>
      <c r="E60" s="158"/>
      <c r="F60" s="158"/>
      <c r="G60" s="163"/>
      <c r="H60" s="206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60"/>
      <c r="V60" s="205"/>
      <c r="W60" s="284"/>
      <c r="X60" s="204"/>
      <c r="Y60" s="204"/>
      <c r="Z60" s="204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8"/>
      <c r="CY60" s="158"/>
      <c r="CZ60" s="158"/>
      <c r="DA60" s="158"/>
      <c r="DB60" s="158"/>
      <c r="DC60" s="158"/>
      <c r="DD60" s="158"/>
      <c r="DE60" s="158"/>
      <c r="DF60" s="158"/>
      <c r="DG60" s="158"/>
      <c r="DH60" s="158"/>
      <c r="DI60" s="158"/>
      <c r="DJ60" s="158"/>
      <c r="DK60" s="158"/>
      <c r="DL60" s="158"/>
      <c r="DM60" s="158"/>
      <c r="DN60" s="158"/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8"/>
      <c r="EF60" s="158"/>
      <c r="EG60" s="158"/>
      <c r="EH60" s="158"/>
      <c r="EI60" s="158"/>
      <c r="EJ60" s="158"/>
      <c r="EK60" s="158"/>
      <c r="EL60" s="158"/>
      <c r="EM60" s="158"/>
      <c r="EN60" s="158"/>
      <c r="EO60" s="158"/>
      <c r="EP60" s="158"/>
      <c r="EQ60" s="158"/>
      <c r="ER60" s="158"/>
      <c r="ES60" s="158"/>
      <c r="ET60" s="158"/>
      <c r="EU60" s="158"/>
      <c r="EV60" s="158"/>
      <c r="EW60" s="158"/>
      <c r="EX60" s="158"/>
      <c r="EY60" s="158"/>
      <c r="EZ60" s="158"/>
      <c r="FA60" s="158"/>
      <c r="FB60" s="158"/>
      <c r="FC60" s="158"/>
      <c r="FD60" s="158"/>
      <c r="FE60" s="158"/>
      <c r="FF60" s="158"/>
      <c r="FG60" s="158"/>
      <c r="FH60" s="158"/>
      <c r="FI60" s="158"/>
      <c r="FJ60" s="158"/>
      <c r="FK60" s="158"/>
      <c r="FL60" s="158"/>
      <c r="FM60" s="158"/>
      <c r="FN60" s="158"/>
      <c r="FO60" s="158"/>
      <c r="FP60" s="158"/>
      <c r="FQ60" s="158"/>
      <c r="FR60" s="158"/>
      <c r="FS60" s="158"/>
      <c r="FT60" s="158"/>
      <c r="FU60" s="158"/>
      <c r="FV60" s="158"/>
      <c r="FW60" s="158"/>
      <c r="FX60" s="158"/>
      <c r="FY60" s="158"/>
      <c r="FZ60" s="158"/>
      <c r="GA60" s="158"/>
      <c r="GB60" s="158"/>
      <c r="GC60" s="158"/>
      <c r="GD60" s="158"/>
      <c r="GE60" s="158"/>
      <c r="GF60" s="158"/>
      <c r="GG60" s="158"/>
      <c r="GH60" s="158"/>
      <c r="GI60" s="158"/>
      <c r="GJ60" s="158"/>
      <c r="GK60" s="158"/>
      <c r="GL60" s="158"/>
      <c r="GM60" s="158"/>
      <c r="GN60" s="158"/>
      <c r="GO60" s="158"/>
      <c r="GP60" s="158"/>
      <c r="GQ60" s="158"/>
      <c r="GR60" s="158"/>
      <c r="GS60" s="158"/>
      <c r="GT60" s="158"/>
      <c r="GU60" s="158"/>
      <c r="GV60" s="158"/>
      <c r="GW60" s="158"/>
      <c r="GX60" s="158"/>
      <c r="GY60" s="158"/>
      <c r="GZ60" s="158"/>
      <c r="HA60" s="158"/>
      <c r="HB60" s="158"/>
      <c r="HC60" s="158"/>
      <c r="HD60" s="158"/>
      <c r="HE60" s="158"/>
      <c r="HF60" s="158"/>
      <c r="HG60" s="158"/>
      <c r="HH60" s="158"/>
      <c r="HI60" s="158"/>
      <c r="HJ60" s="158"/>
      <c r="HK60" s="158"/>
      <c r="HL60" s="158"/>
      <c r="HM60" s="158"/>
      <c r="HN60" s="158"/>
      <c r="HO60" s="158"/>
      <c r="HP60" s="158"/>
      <c r="HQ60" s="158"/>
      <c r="HR60" s="158"/>
      <c r="HS60" s="158"/>
      <c r="HT60" s="158"/>
      <c r="HU60" s="158"/>
      <c r="HV60" s="158"/>
      <c r="HW60" s="158"/>
      <c r="HX60" s="158"/>
      <c r="HY60" s="158"/>
      <c r="HZ60" s="158"/>
      <c r="IA60" s="158"/>
      <c r="IB60" s="158"/>
      <c r="IC60" s="158"/>
    </row>
    <row r="61" spans="1:237" ht="15.3" x14ac:dyDescent="0.55000000000000004">
      <c r="A61" s="169"/>
      <c r="B61" s="158"/>
      <c r="C61" s="158"/>
      <c r="D61" s="158"/>
      <c r="E61" s="158"/>
      <c r="F61" s="158"/>
      <c r="G61" s="163"/>
      <c r="H61" s="206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60"/>
      <c r="V61" s="205"/>
      <c r="W61" s="284"/>
      <c r="X61" s="204"/>
      <c r="Y61" s="204"/>
      <c r="Z61" s="204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  <c r="CJ61" s="158"/>
      <c r="CK61" s="158"/>
      <c r="CL61" s="158"/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58"/>
      <c r="DG61" s="158"/>
      <c r="DH61" s="158"/>
      <c r="DI61" s="158"/>
      <c r="DJ61" s="158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/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8"/>
      <c r="EX61" s="158"/>
      <c r="EY61" s="158"/>
      <c r="EZ61" s="158"/>
      <c r="FA61" s="158"/>
      <c r="FB61" s="158"/>
      <c r="FC61" s="158"/>
      <c r="FD61" s="158"/>
      <c r="FE61" s="158"/>
      <c r="FF61" s="158"/>
      <c r="FG61" s="158"/>
      <c r="FH61" s="158"/>
      <c r="FI61" s="158"/>
      <c r="FJ61" s="158"/>
      <c r="FK61" s="158"/>
      <c r="FL61" s="158"/>
      <c r="FM61" s="158"/>
      <c r="FN61" s="158"/>
      <c r="FO61" s="158"/>
      <c r="FP61" s="158"/>
      <c r="FQ61" s="158"/>
      <c r="FR61" s="158"/>
      <c r="FS61" s="158"/>
      <c r="FT61" s="158"/>
      <c r="FU61" s="158"/>
      <c r="FV61" s="158"/>
      <c r="FW61" s="158"/>
      <c r="FX61" s="158"/>
      <c r="FY61" s="158"/>
      <c r="FZ61" s="158"/>
      <c r="GA61" s="158"/>
      <c r="GB61" s="158"/>
      <c r="GC61" s="158"/>
      <c r="GD61" s="158"/>
      <c r="GE61" s="158"/>
      <c r="GF61" s="158"/>
      <c r="GG61" s="158"/>
      <c r="GH61" s="158"/>
      <c r="GI61" s="158"/>
      <c r="GJ61" s="158"/>
      <c r="GK61" s="158"/>
      <c r="GL61" s="158"/>
      <c r="GM61" s="158"/>
      <c r="GN61" s="158"/>
      <c r="GO61" s="158"/>
      <c r="GP61" s="158"/>
      <c r="GQ61" s="158"/>
      <c r="GR61" s="158"/>
      <c r="GS61" s="158"/>
      <c r="GT61" s="158"/>
      <c r="GU61" s="158"/>
      <c r="GV61" s="158"/>
      <c r="GW61" s="158"/>
      <c r="GX61" s="158"/>
      <c r="GY61" s="158"/>
      <c r="GZ61" s="158"/>
      <c r="HA61" s="158"/>
      <c r="HB61" s="158"/>
      <c r="HC61" s="158"/>
      <c r="HD61" s="158"/>
      <c r="HE61" s="158"/>
      <c r="HF61" s="158"/>
      <c r="HG61" s="158"/>
      <c r="HH61" s="158"/>
      <c r="HI61" s="158"/>
      <c r="HJ61" s="158"/>
      <c r="HK61" s="158"/>
      <c r="HL61" s="158"/>
      <c r="HM61" s="158"/>
      <c r="HN61" s="158"/>
      <c r="HO61" s="158"/>
      <c r="HP61" s="158"/>
      <c r="HQ61" s="158"/>
      <c r="HR61" s="158"/>
      <c r="HS61" s="158"/>
      <c r="HT61" s="158"/>
      <c r="HU61" s="158"/>
      <c r="HV61" s="158"/>
      <c r="HW61" s="158"/>
      <c r="HX61" s="158"/>
      <c r="HY61" s="158"/>
      <c r="HZ61" s="158"/>
      <c r="IA61" s="158"/>
      <c r="IB61" s="158"/>
      <c r="IC61" s="158"/>
    </row>
    <row r="62" spans="1:237" ht="15.3" x14ac:dyDescent="0.55000000000000004">
      <c r="A62" s="169"/>
      <c r="B62" s="158"/>
      <c r="C62" s="158"/>
      <c r="D62" s="158"/>
      <c r="E62" s="158"/>
      <c r="F62" s="158"/>
      <c r="G62" s="163"/>
      <c r="H62" s="206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60"/>
      <c r="V62" s="205"/>
      <c r="W62" s="284"/>
      <c r="X62" s="204"/>
      <c r="Y62" s="204"/>
      <c r="Z62" s="204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/>
      <c r="ER62" s="158"/>
      <c r="ES62" s="158"/>
      <c r="ET62" s="158"/>
      <c r="EU62" s="158"/>
      <c r="EV62" s="158"/>
      <c r="EW62" s="158"/>
      <c r="EX62" s="158"/>
      <c r="EY62" s="158"/>
      <c r="EZ62" s="158"/>
      <c r="FA62" s="158"/>
      <c r="FB62" s="158"/>
      <c r="FC62" s="158"/>
      <c r="FD62" s="158"/>
      <c r="FE62" s="158"/>
      <c r="FF62" s="158"/>
      <c r="FG62" s="158"/>
      <c r="FH62" s="158"/>
      <c r="FI62" s="158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158"/>
      <c r="FV62" s="158"/>
      <c r="FW62" s="158"/>
      <c r="FX62" s="158"/>
      <c r="FY62" s="158"/>
      <c r="FZ62" s="158"/>
      <c r="GA62" s="158"/>
      <c r="GB62" s="158"/>
      <c r="GC62" s="158"/>
      <c r="GD62" s="158"/>
      <c r="GE62" s="158"/>
      <c r="GF62" s="158"/>
      <c r="GG62" s="158"/>
      <c r="GH62" s="158"/>
      <c r="GI62" s="158"/>
      <c r="GJ62" s="158"/>
      <c r="GK62" s="158"/>
      <c r="GL62" s="158"/>
      <c r="GM62" s="158"/>
      <c r="GN62" s="158"/>
      <c r="GO62" s="158"/>
      <c r="GP62" s="158"/>
      <c r="GQ62" s="158"/>
      <c r="GR62" s="158"/>
      <c r="GS62" s="158"/>
      <c r="GT62" s="158"/>
      <c r="GU62" s="158"/>
      <c r="GV62" s="158"/>
      <c r="GW62" s="158"/>
      <c r="GX62" s="158"/>
      <c r="GY62" s="158"/>
      <c r="GZ62" s="158"/>
      <c r="HA62" s="158"/>
      <c r="HB62" s="158"/>
      <c r="HC62" s="158"/>
      <c r="HD62" s="158"/>
      <c r="HE62" s="158"/>
      <c r="HF62" s="158"/>
      <c r="HG62" s="158"/>
      <c r="HH62" s="158"/>
      <c r="HI62" s="158"/>
      <c r="HJ62" s="158"/>
      <c r="HK62" s="158"/>
      <c r="HL62" s="158"/>
      <c r="HM62" s="158"/>
      <c r="HN62" s="158"/>
      <c r="HO62" s="158"/>
      <c r="HP62" s="158"/>
      <c r="HQ62" s="158"/>
      <c r="HR62" s="158"/>
      <c r="HS62" s="158"/>
      <c r="HT62" s="158"/>
      <c r="HU62" s="158"/>
      <c r="HV62" s="158"/>
      <c r="HW62" s="158"/>
      <c r="HX62" s="158"/>
      <c r="HY62" s="158"/>
      <c r="HZ62" s="158"/>
      <c r="IA62" s="158"/>
      <c r="IB62" s="158"/>
      <c r="IC62" s="158"/>
    </row>
    <row r="63" spans="1:237" ht="15.3" x14ac:dyDescent="0.55000000000000004">
      <c r="A63" s="169"/>
      <c r="B63" s="158"/>
      <c r="C63" s="158"/>
      <c r="D63" s="158"/>
      <c r="E63" s="158"/>
      <c r="F63" s="158"/>
      <c r="G63" s="163"/>
      <c r="H63" s="206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60"/>
      <c r="V63" s="205"/>
      <c r="W63" s="284"/>
      <c r="X63" s="204"/>
      <c r="Y63" s="204"/>
      <c r="Z63" s="204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58"/>
      <c r="EU63" s="158"/>
      <c r="EV63" s="158"/>
      <c r="EW63" s="158"/>
      <c r="EX63" s="158"/>
      <c r="EY63" s="158"/>
      <c r="EZ63" s="158"/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158"/>
      <c r="FV63" s="158"/>
      <c r="FW63" s="158"/>
      <c r="FX63" s="158"/>
      <c r="FY63" s="158"/>
      <c r="FZ63" s="158"/>
      <c r="GA63" s="158"/>
      <c r="GB63" s="158"/>
      <c r="GC63" s="158"/>
      <c r="GD63" s="158"/>
      <c r="GE63" s="158"/>
      <c r="GF63" s="158"/>
      <c r="GG63" s="158"/>
      <c r="GH63" s="158"/>
      <c r="GI63" s="158"/>
      <c r="GJ63" s="158"/>
      <c r="GK63" s="158"/>
      <c r="GL63" s="158"/>
      <c r="GM63" s="158"/>
      <c r="GN63" s="158"/>
      <c r="GO63" s="158"/>
      <c r="GP63" s="158"/>
      <c r="GQ63" s="158"/>
      <c r="GR63" s="158"/>
      <c r="GS63" s="158"/>
      <c r="GT63" s="158"/>
      <c r="GU63" s="158"/>
      <c r="GV63" s="158"/>
      <c r="GW63" s="158"/>
      <c r="GX63" s="158"/>
      <c r="GY63" s="158"/>
      <c r="GZ63" s="158"/>
      <c r="HA63" s="158"/>
      <c r="HB63" s="158"/>
      <c r="HC63" s="158"/>
      <c r="HD63" s="158"/>
      <c r="HE63" s="158"/>
      <c r="HF63" s="158"/>
      <c r="HG63" s="158"/>
      <c r="HH63" s="158"/>
      <c r="HI63" s="158"/>
      <c r="HJ63" s="158"/>
      <c r="HK63" s="158"/>
      <c r="HL63" s="158"/>
      <c r="HM63" s="158"/>
      <c r="HN63" s="158"/>
      <c r="HO63" s="158"/>
      <c r="HP63" s="158"/>
      <c r="HQ63" s="158"/>
      <c r="HR63" s="158"/>
      <c r="HS63" s="158"/>
      <c r="HT63" s="158"/>
      <c r="HU63" s="158"/>
      <c r="HV63" s="158"/>
      <c r="HW63" s="158"/>
      <c r="HX63" s="158"/>
      <c r="HY63" s="158"/>
      <c r="HZ63" s="158"/>
      <c r="IA63" s="158"/>
      <c r="IB63" s="158"/>
      <c r="IC63" s="158"/>
    </row>
    <row r="64" spans="1:237" ht="15.3" x14ac:dyDescent="0.55000000000000004">
      <c r="A64" s="169"/>
      <c r="B64" s="158"/>
      <c r="C64" s="158"/>
      <c r="D64" s="158"/>
      <c r="E64" s="158"/>
      <c r="F64" s="158"/>
      <c r="G64" s="163"/>
      <c r="H64" s="206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60"/>
      <c r="V64" s="205"/>
      <c r="W64" s="284"/>
      <c r="X64" s="204"/>
      <c r="Y64" s="204"/>
      <c r="Z64" s="204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58"/>
      <c r="DG64" s="158"/>
      <c r="DH64" s="158"/>
      <c r="DI64" s="158"/>
      <c r="DJ64" s="158"/>
      <c r="DK64" s="158"/>
      <c r="DL64" s="158"/>
      <c r="DM64" s="158"/>
      <c r="DN64" s="158"/>
      <c r="DO64" s="158"/>
      <c r="DP64" s="158"/>
      <c r="DQ64" s="158"/>
      <c r="DR64" s="158"/>
      <c r="DS64" s="158"/>
      <c r="DT64" s="158"/>
      <c r="DU64" s="158"/>
      <c r="DV64" s="158"/>
      <c r="DW64" s="158"/>
      <c r="DX64" s="158"/>
      <c r="DY64" s="158"/>
      <c r="DZ64" s="158"/>
      <c r="EA64" s="158"/>
      <c r="EB64" s="158"/>
      <c r="EC64" s="158"/>
      <c r="ED64" s="158"/>
      <c r="EE64" s="158"/>
      <c r="EF64" s="158"/>
      <c r="EG64" s="158"/>
      <c r="EH64" s="158"/>
      <c r="EI64" s="158"/>
      <c r="EJ64" s="158"/>
      <c r="EK64" s="158"/>
      <c r="EL64" s="158"/>
      <c r="EM64" s="158"/>
      <c r="EN64" s="158"/>
      <c r="EO64" s="158"/>
      <c r="EP64" s="158"/>
      <c r="EQ64" s="158"/>
      <c r="ER64" s="158"/>
      <c r="ES64" s="158"/>
      <c r="ET64" s="158"/>
      <c r="EU64" s="158"/>
      <c r="EV64" s="158"/>
      <c r="EW64" s="158"/>
      <c r="EX64" s="158"/>
      <c r="EY64" s="158"/>
      <c r="EZ64" s="158"/>
      <c r="FA64" s="158"/>
      <c r="FB64" s="158"/>
      <c r="FC64" s="158"/>
      <c r="FD64" s="158"/>
      <c r="FE64" s="158"/>
      <c r="FF64" s="158"/>
      <c r="FG64" s="158"/>
      <c r="FH64" s="158"/>
      <c r="FI64" s="158"/>
      <c r="FJ64" s="158"/>
      <c r="FK64" s="158"/>
      <c r="FL64" s="158"/>
      <c r="FM64" s="158"/>
      <c r="FN64" s="158"/>
      <c r="FO64" s="158"/>
      <c r="FP64" s="158"/>
      <c r="FQ64" s="158"/>
      <c r="FR64" s="158"/>
      <c r="FS64" s="158"/>
      <c r="FT64" s="158"/>
      <c r="FU64" s="158"/>
      <c r="FV64" s="158"/>
      <c r="FW64" s="158"/>
      <c r="FX64" s="158"/>
      <c r="FY64" s="158"/>
      <c r="FZ64" s="158"/>
      <c r="GA64" s="158"/>
      <c r="GB64" s="158"/>
      <c r="GC64" s="158"/>
      <c r="GD64" s="158"/>
      <c r="GE64" s="158"/>
      <c r="GF64" s="158"/>
      <c r="GG64" s="158"/>
      <c r="GH64" s="158"/>
      <c r="GI64" s="158"/>
      <c r="GJ64" s="158"/>
      <c r="GK64" s="158"/>
      <c r="GL64" s="158"/>
      <c r="GM64" s="158"/>
      <c r="GN64" s="158"/>
      <c r="GO64" s="158"/>
      <c r="GP64" s="158"/>
      <c r="GQ64" s="158"/>
      <c r="GR64" s="158"/>
      <c r="GS64" s="158"/>
      <c r="GT64" s="158"/>
      <c r="GU64" s="158"/>
      <c r="GV64" s="158"/>
      <c r="GW64" s="158"/>
      <c r="GX64" s="158"/>
      <c r="GY64" s="158"/>
      <c r="GZ64" s="158"/>
      <c r="HA64" s="158"/>
      <c r="HB64" s="158"/>
      <c r="HC64" s="158"/>
      <c r="HD64" s="158"/>
      <c r="HE64" s="158"/>
      <c r="HF64" s="158"/>
      <c r="HG64" s="158"/>
      <c r="HH64" s="158"/>
      <c r="HI64" s="158"/>
      <c r="HJ64" s="158"/>
      <c r="HK64" s="158"/>
      <c r="HL64" s="158"/>
      <c r="HM64" s="158"/>
      <c r="HN64" s="158"/>
      <c r="HO64" s="158"/>
      <c r="HP64" s="158"/>
      <c r="HQ64" s="158"/>
      <c r="HR64" s="158"/>
      <c r="HS64" s="158"/>
      <c r="HT64" s="158"/>
      <c r="HU64" s="158"/>
      <c r="HV64" s="158"/>
      <c r="HW64" s="158"/>
      <c r="HX64" s="158"/>
      <c r="HY64" s="158"/>
      <c r="HZ64" s="158"/>
      <c r="IA64" s="158"/>
      <c r="IB64" s="158"/>
      <c r="IC64" s="158"/>
    </row>
    <row r="65" spans="1:237" ht="15.3" x14ac:dyDescent="0.55000000000000004">
      <c r="A65" s="169"/>
      <c r="B65" s="158"/>
      <c r="C65" s="158"/>
      <c r="D65" s="158"/>
      <c r="E65" s="158"/>
      <c r="F65" s="158"/>
      <c r="G65" s="163"/>
      <c r="H65" s="206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60"/>
      <c r="V65" s="205"/>
      <c r="W65" s="284"/>
      <c r="X65" s="204"/>
      <c r="Y65" s="204"/>
      <c r="Z65" s="204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8"/>
      <c r="GD65" s="158"/>
      <c r="GE65" s="158"/>
      <c r="GF65" s="158"/>
      <c r="GG65" s="158"/>
      <c r="GH65" s="158"/>
      <c r="GI65" s="158"/>
      <c r="GJ65" s="158"/>
      <c r="GK65" s="158"/>
      <c r="GL65" s="158"/>
      <c r="GM65" s="158"/>
      <c r="GN65" s="158"/>
      <c r="GO65" s="158"/>
      <c r="GP65" s="158"/>
      <c r="GQ65" s="158"/>
      <c r="GR65" s="158"/>
      <c r="GS65" s="158"/>
      <c r="GT65" s="158"/>
      <c r="GU65" s="158"/>
      <c r="GV65" s="158"/>
      <c r="GW65" s="158"/>
      <c r="GX65" s="158"/>
      <c r="GY65" s="158"/>
      <c r="GZ65" s="158"/>
      <c r="HA65" s="158"/>
      <c r="HB65" s="158"/>
      <c r="HC65" s="158"/>
      <c r="HD65" s="158"/>
      <c r="HE65" s="158"/>
      <c r="HF65" s="158"/>
      <c r="HG65" s="158"/>
      <c r="HH65" s="158"/>
      <c r="HI65" s="158"/>
      <c r="HJ65" s="158"/>
      <c r="HK65" s="158"/>
      <c r="HL65" s="158"/>
      <c r="HM65" s="158"/>
      <c r="HN65" s="158"/>
      <c r="HO65" s="158"/>
      <c r="HP65" s="158"/>
      <c r="HQ65" s="158"/>
      <c r="HR65" s="158"/>
      <c r="HS65" s="158"/>
      <c r="HT65" s="158"/>
      <c r="HU65" s="158"/>
      <c r="HV65" s="158"/>
      <c r="HW65" s="158"/>
      <c r="HX65" s="158"/>
      <c r="HY65" s="158"/>
      <c r="HZ65" s="158"/>
      <c r="IA65" s="158"/>
      <c r="IB65" s="158"/>
      <c r="IC65" s="158"/>
    </row>
    <row r="66" spans="1:237" ht="15.3" x14ac:dyDescent="0.55000000000000004">
      <c r="A66" s="169"/>
      <c r="B66" s="158"/>
      <c r="C66" s="158"/>
      <c r="D66" s="158"/>
      <c r="E66" s="158"/>
      <c r="F66" s="158"/>
      <c r="G66" s="163"/>
      <c r="H66" s="206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60"/>
      <c r="V66" s="205"/>
      <c r="W66" s="284"/>
      <c r="X66" s="204"/>
      <c r="Y66" s="204"/>
      <c r="Z66" s="204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8"/>
      <c r="EF66" s="158"/>
      <c r="EG66" s="158"/>
      <c r="EH66" s="158"/>
      <c r="EI66" s="158"/>
      <c r="EJ66" s="158"/>
      <c r="EK66" s="158"/>
      <c r="EL66" s="158"/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8"/>
      <c r="FC66" s="158"/>
      <c r="FD66" s="158"/>
      <c r="FE66" s="158"/>
      <c r="FF66" s="158"/>
      <c r="FG66" s="158"/>
      <c r="FH66" s="158"/>
      <c r="FI66" s="158"/>
      <c r="FJ66" s="158"/>
      <c r="FK66" s="158"/>
      <c r="FL66" s="158"/>
      <c r="FM66" s="158"/>
      <c r="FN66" s="158"/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8"/>
      <c r="GD66" s="158"/>
      <c r="GE66" s="158"/>
      <c r="GF66" s="158"/>
      <c r="GG66" s="158"/>
      <c r="GH66" s="158"/>
      <c r="GI66" s="158"/>
      <c r="GJ66" s="158"/>
      <c r="GK66" s="158"/>
      <c r="GL66" s="158"/>
      <c r="GM66" s="158"/>
      <c r="GN66" s="158"/>
      <c r="GO66" s="158"/>
      <c r="GP66" s="158"/>
      <c r="GQ66" s="158"/>
      <c r="GR66" s="158"/>
      <c r="GS66" s="158"/>
      <c r="GT66" s="158"/>
      <c r="GU66" s="158"/>
      <c r="GV66" s="158"/>
      <c r="GW66" s="158"/>
      <c r="GX66" s="158"/>
      <c r="GY66" s="158"/>
      <c r="GZ66" s="158"/>
      <c r="HA66" s="158"/>
      <c r="HB66" s="158"/>
      <c r="HC66" s="158"/>
      <c r="HD66" s="158"/>
      <c r="HE66" s="158"/>
      <c r="HF66" s="158"/>
      <c r="HG66" s="158"/>
      <c r="HH66" s="158"/>
      <c r="HI66" s="158"/>
      <c r="HJ66" s="158"/>
      <c r="HK66" s="158"/>
      <c r="HL66" s="158"/>
      <c r="HM66" s="158"/>
      <c r="HN66" s="158"/>
      <c r="HO66" s="158"/>
      <c r="HP66" s="158"/>
      <c r="HQ66" s="158"/>
      <c r="HR66" s="158"/>
      <c r="HS66" s="158"/>
      <c r="HT66" s="158"/>
      <c r="HU66" s="158"/>
      <c r="HV66" s="158"/>
      <c r="HW66" s="158"/>
      <c r="HX66" s="158"/>
      <c r="HY66" s="158"/>
      <c r="HZ66" s="158"/>
      <c r="IA66" s="158"/>
      <c r="IB66" s="158"/>
      <c r="IC66" s="158"/>
    </row>
    <row r="67" spans="1:237" ht="15.3" x14ac:dyDescent="0.55000000000000004">
      <c r="A67" s="169"/>
      <c r="B67" s="158"/>
      <c r="C67" s="158"/>
      <c r="D67" s="158"/>
      <c r="E67" s="158"/>
      <c r="F67" s="158"/>
      <c r="G67" s="163"/>
      <c r="H67" s="206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60"/>
      <c r="V67" s="205"/>
      <c r="W67" s="284"/>
      <c r="X67" s="204"/>
      <c r="Y67" s="204"/>
      <c r="Z67" s="204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8"/>
      <c r="FC67" s="158"/>
      <c r="FD67" s="158"/>
      <c r="FE67" s="158"/>
      <c r="FF67" s="158"/>
      <c r="FG67" s="158"/>
      <c r="FH67" s="158"/>
      <c r="FI67" s="158"/>
      <c r="FJ67" s="158"/>
      <c r="FK67" s="158"/>
      <c r="FL67" s="158"/>
      <c r="FM67" s="158"/>
      <c r="FN67" s="158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  <c r="GD67" s="158"/>
      <c r="GE67" s="158"/>
      <c r="GF67" s="158"/>
      <c r="GG67" s="158"/>
      <c r="GH67" s="158"/>
      <c r="GI67" s="158"/>
      <c r="GJ67" s="158"/>
      <c r="GK67" s="158"/>
      <c r="GL67" s="158"/>
      <c r="GM67" s="158"/>
      <c r="GN67" s="158"/>
      <c r="GO67" s="158"/>
      <c r="GP67" s="158"/>
      <c r="GQ67" s="158"/>
      <c r="GR67" s="158"/>
      <c r="GS67" s="158"/>
      <c r="GT67" s="158"/>
      <c r="GU67" s="158"/>
      <c r="GV67" s="158"/>
      <c r="GW67" s="158"/>
      <c r="GX67" s="158"/>
      <c r="GY67" s="158"/>
      <c r="GZ67" s="158"/>
      <c r="HA67" s="158"/>
      <c r="HB67" s="158"/>
      <c r="HC67" s="158"/>
      <c r="HD67" s="158"/>
      <c r="HE67" s="158"/>
      <c r="HF67" s="158"/>
      <c r="HG67" s="158"/>
      <c r="HH67" s="158"/>
      <c r="HI67" s="158"/>
      <c r="HJ67" s="158"/>
      <c r="HK67" s="158"/>
      <c r="HL67" s="158"/>
      <c r="HM67" s="158"/>
      <c r="HN67" s="158"/>
      <c r="HO67" s="158"/>
      <c r="HP67" s="158"/>
      <c r="HQ67" s="158"/>
      <c r="HR67" s="158"/>
      <c r="HS67" s="158"/>
      <c r="HT67" s="158"/>
      <c r="HU67" s="158"/>
      <c r="HV67" s="158"/>
      <c r="HW67" s="158"/>
      <c r="HX67" s="158"/>
      <c r="HY67" s="158"/>
      <c r="HZ67" s="158"/>
      <c r="IA67" s="158"/>
      <c r="IB67" s="158"/>
      <c r="IC67" s="158"/>
    </row>
    <row r="68" spans="1:237" ht="15.3" x14ac:dyDescent="0.55000000000000004">
      <c r="A68" s="169"/>
      <c r="B68" s="158"/>
      <c r="C68" s="158"/>
      <c r="D68" s="158"/>
      <c r="E68" s="158"/>
      <c r="F68" s="158"/>
      <c r="G68" s="163"/>
      <c r="H68" s="206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60"/>
      <c r="V68" s="205"/>
      <c r="W68" s="284"/>
      <c r="X68" s="204"/>
      <c r="Y68" s="204"/>
      <c r="Z68" s="204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158"/>
      <c r="DK68" s="158"/>
      <c r="DL68" s="158"/>
      <c r="DM68" s="158"/>
      <c r="DN68" s="158"/>
      <c r="DO68" s="158"/>
      <c r="DP68" s="158"/>
      <c r="DQ68" s="158"/>
      <c r="DR68" s="158"/>
      <c r="DS68" s="158"/>
      <c r="DT68" s="158"/>
      <c r="DU68" s="158"/>
      <c r="DV68" s="158"/>
      <c r="DW68" s="158"/>
      <c r="DX68" s="158"/>
      <c r="DY68" s="158"/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8"/>
      <c r="EX68" s="158"/>
      <c r="EY68" s="158"/>
      <c r="EZ68" s="158"/>
      <c r="FA68" s="158"/>
      <c r="FB68" s="158"/>
      <c r="FC68" s="158"/>
      <c r="FD68" s="158"/>
      <c r="FE68" s="158"/>
      <c r="FF68" s="158"/>
      <c r="FG68" s="158"/>
      <c r="FH68" s="158"/>
      <c r="FI68" s="158"/>
      <c r="FJ68" s="158"/>
      <c r="FK68" s="158"/>
      <c r="FL68" s="158"/>
      <c r="FM68" s="158"/>
      <c r="FN68" s="158"/>
      <c r="FO68" s="158"/>
      <c r="FP68" s="158"/>
      <c r="FQ68" s="158"/>
      <c r="FR68" s="158"/>
      <c r="FS68" s="158"/>
      <c r="FT68" s="158"/>
      <c r="FU68" s="158"/>
      <c r="FV68" s="158"/>
      <c r="FW68" s="158"/>
      <c r="FX68" s="158"/>
      <c r="FY68" s="158"/>
      <c r="FZ68" s="158"/>
      <c r="GA68" s="158"/>
      <c r="GB68" s="158"/>
      <c r="GC68" s="158"/>
      <c r="GD68" s="158"/>
      <c r="GE68" s="158"/>
      <c r="GF68" s="158"/>
      <c r="GG68" s="158"/>
      <c r="GH68" s="158"/>
      <c r="GI68" s="158"/>
      <c r="GJ68" s="158"/>
      <c r="GK68" s="158"/>
      <c r="GL68" s="158"/>
      <c r="GM68" s="158"/>
      <c r="GN68" s="158"/>
      <c r="GO68" s="158"/>
      <c r="GP68" s="158"/>
      <c r="GQ68" s="158"/>
      <c r="GR68" s="158"/>
      <c r="GS68" s="158"/>
      <c r="GT68" s="158"/>
      <c r="GU68" s="158"/>
      <c r="GV68" s="158"/>
      <c r="GW68" s="158"/>
      <c r="GX68" s="158"/>
      <c r="GY68" s="158"/>
      <c r="GZ68" s="158"/>
      <c r="HA68" s="158"/>
      <c r="HB68" s="158"/>
      <c r="HC68" s="158"/>
      <c r="HD68" s="158"/>
      <c r="HE68" s="158"/>
      <c r="HF68" s="158"/>
      <c r="HG68" s="158"/>
      <c r="HH68" s="158"/>
      <c r="HI68" s="158"/>
      <c r="HJ68" s="158"/>
      <c r="HK68" s="158"/>
      <c r="HL68" s="158"/>
      <c r="HM68" s="158"/>
      <c r="HN68" s="158"/>
      <c r="HO68" s="158"/>
      <c r="HP68" s="158"/>
      <c r="HQ68" s="158"/>
      <c r="HR68" s="158"/>
      <c r="HS68" s="158"/>
      <c r="HT68" s="158"/>
      <c r="HU68" s="158"/>
      <c r="HV68" s="158"/>
      <c r="HW68" s="158"/>
      <c r="HX68" s="158"/>
      <c r="HY68" s="158"/>
      <c r="HZ68" s="158"/>
      <c r="IA68" s="158"/>
      <c r="IB68" s="158"/>
      <c r="IC68" s="158"/>
    </row>
    <row r="69" spans="1:237" ht="15.3" x14ac:dyDescent="0.55000000000000004">
      <c r="A69" s="169"/>
      <c r="B69" s="158"/>
      <c r="C69" s="158"/>
      <c r="D69" s="158"/>
      <c r="E69" s="158"/>
      <c r="F69" s="158"/>
      <c r="G69" s="163"/>
      <c r="H69" s="206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60"/>
      <c r="V69" s="205"/>
      <c r="W69" s="284"/>
      <c r="X69" s="204"/>
      <c r="Y69" s="204"/>
      <c r="Z69" s="204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8"/>
      <c r="DS69" s="158"/>
      <c r="DT69" s="158"/>
      <c r="DU69" s="158"/>
      <c r="DV69" s="158"/>
      <c r="DW69" s="158"/>
      <c r="DX69" s="158"/>
      <c r="DY69" s="158"/>
      <c r="DZ69" s="158"/>
      <c r="EA69" s="158"/>
      <c r="EB69" s="158"/>
      <c r="EC69" s="158"/>
      <c r="ED69" s="158"/>
      <c r="EE69" s="158"/>
      <c r="EF69" s="158"/>
      <c r="EG69" s="158"/>
      <c r="EH69" s="158"/>
      <c r="EI69" s="158"/>
      <c r="EJ69" s="158"/>
      <c r="EK69" s="158"/>
      <c r="EL69" s="158"/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8"/>
      <c r="EX69" s="158"/>
      <c r="EY69" s="158"/>
      <c r="EZ69" s="158"/>
      <c r="FA69" s="158"/>
      <c r="FB69" s="158"/>
      <c r="FC69" s="158"/>
      <c r="FD69" s="158"/>
      <c r="FE69" s="158"/>
      <c r="FF69" s="158"/>
      <c r="FG69" s="158"/>
      <c r="FH69" s="158"/>
      <c r="FI69" s="158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158"/>
      <c r="FV69" s="158"/>
      <c r="FW69" s="158"/>
      <c r="FX69" s="158"/>
      <c r="FY69" s="158"/>
      <c r="FZ69" s="158"/>
      <c r="GA69" s="158"/>
      <c r="GB69" s="158"/>
      <c r="GC69" s="158"/>
      <c r="GD69" s="158"/>
      <c r="GE69" s="158"/>
      <c r="GF69" s="158"/>
      <c r="GG69" s="158"/>
      <c r="GH69" s="158"/>
      <c r="GI69" s="158"/>
      <c r="GJ69" s="158"/>
      <c r="GK69" s="158"/>
      <c r="GL69" s="158"/>
      <c r="GM69" s="158"/>
      <c r="GN69" s="158"/>
      <c r="GO69" s="158"/>
      <c r="GP69" s="158"/>
      <c r="GQ69" s="158"/>
      <c r="GR69" s="158"/>
      <c r="GS69" s="158"/>
      <c r="GT69" s="158"/>
      <c r="GU69" s="158"/>
      <c r="GV69" s="158"/>
      <c r="GW69" s="158"/>
      <c r="GX69" s="158"/>
      <c r="GY69" s="158"/>
      <c r="GZ69" s="158"/>
      <c r="HA69" s="158"/>
      <c r="HB69" s="158"/>
      <c r="HC69" s="158"/>
      <c r="HD69" s="158"/>
      <c r="HE69" s="158"/>
      <c r="HF69" s="158"/>
      <c r="HG69" s="158"/>
      <c r="HH69" s="158"/>
      <c r="HI69" s="158"/>
      <c r="HJ69" s="158"/>
      <c r="HK69" s="158"/>
      <c r="HL69" s="158"/>
      <c r="HM69" s="158"/>
      <c r="HN69" s="158"/>
      <c r="HO69" s="158"/>
      <c r="HP69" s="158"/>
      <c r="HQ69" s="158"/>
      <c r="HR69" s="158"/>
      <c r="HS69" s="158"/>
      <c r="HT69" s="158"/>
      <c r="HU69" s="158"/>
      <c r="HV69" s="158"/>
      <c r="HW69" s="158"/>
      <c r="HX69" s="158"/>
      <c r="HY69" s="158"/>
      <c r="HZ69" s="158"/>
      <c r="IA69" s="158"/>
      <c r="IB69" s="158"/>
      <c r="IC69" s="158"/>
    </row>
    <row r="70" spans="1:237" ht="15.3" x14ac:dyDescent="0.55000000000000004">
      <c r="A70" s="169"/>
      <c r="B70" s="158"/>
      <c r="C70" s="158"/>
      <c r="D70" s="158"/>
      <c r="E70" s="158"/>
      <c r="F70" s="158"/>
      <c r="G70" s="163"/>
      <c r="H70" s="206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60"/>
      <c r="V70" s="205"/>
      <c r="W70" s="284"/>
      <c r="X70" s="204"/>
      <c r="Y70" s="204"/>
      <c r="Z70" s="204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158"/>
      <c r="DK70" s="158"/>
      <c r="DL70" s="158"/>
      <c r="DM70" s="158"/>
      <c r="DN70" s="158"/>
      <c r="DO70" s="158"/>
      <c r="DP70" s="158"/>
      <c r="DQ70" s="158"/>
      <c r="DR70" s="158"/>
      <c r="DS70" s="158"/>
      <c r="DT70" s="158"/>
      <c r="DU70" s="158"/>
      <c r="DV70" s="158"/>
      <c r="DW70" s="158"/>
      <c r="DX70" s="158"/>
      <c r="DY70" s="158"/>
      <c r="DZ70" s="158"/>
      <c r="EA70" s="158"/>
      <c r="EB70" s="158"/>
      <c r="EC70" s="158"/>
      <c r="ED70" s="158"/>
      <c r="EE70" s="158"/>
      <c r="EF70" s="158"/>
      <c r="EG70" s="158"/>
      <c r="EH70" s="158"/>
      <c r="EI70" s="158"/>
      <c r="EJ70" s="158"/>
      <c r="EK70" s="158"/>
      <c r="EL70" s="158"/>
      <c r="EM70" s="158"/>
      <c r="EN70" s="158"/>
      <c r="EO70" s="158"/>
      <c r="EP70" s="158"/>
      <c r="EQ70" s="158"/>
      <c r="ER70" s="158"/>
      <c r="ES70" s="158"/>
      <c r="ET70" s="158"/>
      <c r="EU70" s="158"/>
      <c r="EV70" s="158"/>
      <c r="EW70" s="158"/>
      <c r="EX70" s="158"/>
      <c r="EY70" s="158"/>
      <c r="EZ70" s="158"/>
      <c r="FA70" s="158"/>
      <c r="FB70" s="158"/>
      <c r="FC70" s="158"/>
      <c r="FD70" s="158"/>
      <c r="FE70" s="158"/>
      <c r="FF70" s="158"/>
      <c r="FG70" s="158"/>
      <c r="FH70" s="158"/>
      <c r="FI70" s="158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158"/>
      <c r="FV70" s="158"/>
      <c r="FW70" s="158"/>
      <c r="FX70" s="158"/>
      <c r="FY70" s="158"/>
      <c r="FZ70" s="158"/>
      <c r="GA70" s="158"/>
      <c r="GB70" s="158"/>
      <c r="GC70" s="158"/>
      <c r="GD70" s="158"/>
      <c r="GE70" s="158"/>
      <c r="GF70" s="158"/>
      <c r="GG70" s="158"/>
      <c r="GH70" s="158"/>
      <c r="GI70" s="158"/>
      <c r="GJ70" s="158"/>
      <c r="GK70" s="158"/>
      <c r="GL70" s="158"/>
      <c r="GM70" s="158"/>
      <c r="GN70" s="158"/>
      <c r="GO70" s="158"/>
      <c r="GP70" s="158"/>
      <c r="GQ70" s="158"/>
      <c r="GR70" s="158"/>
      <c r="GS70" s="158"/>
      <c r="GT70" s="158"/>
      <c r="GU70" s="158"/>
      <c r="GV70" s="158"/>
      <c r="GW70" s="158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58"/>
      <c r="HK70" s="158"/>
      <c r="HL70" s="158"/>
      <c r="HM70" s="158"/>
      <c r="HN70" s="158"/>
      <c r="HO70" s="158"/>
      <c r="HP70" s="158"/>
      <c r="HQ70" s="158"/>
      <c r="HR70" s="158"/>
      <c r="HS70" s="158"/>
      <c r="HT70" s="158"/>
      <c r="HU70" s="158"/>
      <c r="HV70" s="158"/>
      <c r="HW70" s="158"/>
      <c r="HX70" s="158"/>
      <c r="HY70" s="158"/>
      <c r="HZ70" s="158"/>
      <c r="IA70" s="158"/>
      <c r="IB70" s="158"/>
      <c r="IC70" s="158"/>
    </row>
    <row r="71" spans="1:237" ht="15.3" x14ac:dyDescent="0.55000000000000004">
      <c r="A71" s="169"/>
      <c r="B71" s="158"/>
      <c r="C71" s="158"/>
      <c r="D71" s="158"/>
      <c r="E71" s="158"/>
      <c r="F71" s="158"/>
      <c r="G71" s="163"/>
      <c r="H71" s="206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60"/>
      <c r="V71" s="205"/>
      <c r="W71" s="284"/>
      <c r="X71" s="204"/>
      <c r="Y71" s="204"/>
      <c r="Z71" s="204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8"/>
      <c r="DS71" s="158"/>
      <c r="DT71" s="158"/>
      <c r="DU71" s="158"/>
      <c r="DV71" s="158"/>
      <c r="DW71" s="158"/>
      <c r="DX71" s="158"/>
      <c r="DY71" s="158"/>
      <c r="DZ71" s="158"/>
      <c r="EA71" s="158"/>
      <c r="EB71" s="158"/>
      <c r="EC71" s="158"/>
      <c r="ED71" s="158"/>
      <c r="EE71" s="158"/>
      <c r="EF71" s="158"/>
      <c r="EG71" s="158"/>
      <c r="EH71" s="158"/>
      <c r="EI71" s="158"/>
      <c r="EJ71" s="158"/>
      <c r="EK71" s="158"/>
      <c r="EL71" s="158"/>
      <c r="EM71" s="158"/>
      <c r="EN71" s="158"/>
      <c r="EO71" s="158"/>
      <c r="EP71" s="158"/>
      <c r="EQ71" s="158"/>
      <c r="ER71" s="158"/>
      <c r="ES71" s="158"/>
      <c r="ET71" s="158"/>
      <c r="EU71" s="158"/>
      <c r="EV71" s="158"/>
      <c r="EW71" s="158"/>
      <c r="EX71" s="158"/>
      <c r="EY71" s="158"/>
      <c r="EZ71" s="158"/>
      <c r="FA71" s="158"/>
      <c r="FB71" s="158"/>
      <c r="FC71" s="158"/>
      <c r="FD71" s="158"/>
      <c r="FE71" s="158"/>
      <c r="FF71" s="158"/>
      <c r="FG71" s="158"/>
      <c r="FH71" s="158"/>
      <c r="FI71" s="158"/>
      <c r="FJ71" s="158"/>
      <c r="FK71" s="158"/>
      <c r="FL71" s="158"/>
      <c r="FM71" s="158"/>
      <c r="FN71" s="158"/>
      <c r="FO71" s="158"/>
      <c r="FP71" s="158"/>
      <c r="FQ71" s="158"/>
      <c r="FR71" s="158"/>
      <c r="FS71" s="158"/>
      <c r="FT71" s="158"/>
      <c r="FU71" s="158"/>
      <c r="FV71" s="158"/>
      <c r="FW71" s="158"/>
      <c r="FX71" s="158"/>
      <c r="FY71" s="158"/>
      <c r="FZ71" s="158"/>
      <c r="GA71" s="158"/>
      <c r="GB71" s="158"/>
      <c r="GC71" s="158"/>
      <c r="GD71" s="158"/>
      <c r="GE71" s="158"/>
      <c r="GF71" s="158"/>
      <c r="GG71" s="158"/>
      <c r="GH71" s="158"/>
      <c r="GI71" s="158"/>
      <c r="GJ71" s="158"/>
      <c r="GK71" s="158"/>
      <c r="GL71" s="158"/>
      <c r="GM71" s="158"/>
      <c r="GN71" s="158"/>
      <c r="GO71" s="158"/>
      <c r="GP71" s="158"/>
      <c r="GQ71" s="158"/>
      <c r="GR71" s="158"/>
      <c r="GS71" s="158"/>
      <c r="GT71" s="158"/>
      <c r="GU71" s="158"/>
      <c r="GV71" s="158"/>
      <c r="GW71" s="158"/>
      <c r="GX71" s="158"/>
      <c r="GY71" s="158"/>
      <c r="GZ71" s="158"/>
      <c r="HA71" s="158"/>
      <c r="HB71" s="158"/>
      <c r="HC71" s="158"/>
      <c r="HD71" s="158"/>
      <c r="HE71" s="158"/>
      <c r="HF71" s="158"/>
      <c r="HG71" s="158"/>
      <c r="HH71" s="158"/>
      <c r="HI71" s="158"/>
      <c r="HJ71" s="158"/>
      <c r="HK71" s="158"/>
      <c r="HL71" s="158"/>
      <c r="HM71" s="158"/>
      <c r="HN71" s="158"/>
      <c r="HO71" s="158"/>
      <c r="HP71" s="158"/>
      <c r="HQ71" s="158"/>
      <c r="HR71" s="158"/>
      <c r="HS71" s="158"/>
      <c r="HT71" s="158"/>
      <c r="HU71" s="158"/>
      <c r="HV71" s="158"/>
      <c r="HW71" s="158"/>
      <c r="HX71" s="158"/>
      <c r="HY71" s="158"/>
      <c r="HZ71" s="158"/>
      <c r="IA71" s="158"/>
      <c r="IB71" s="158"/>
      <c r="IC71" s="158"/>
    </row>
    <row r="72" spans="1:237" ht="15.3" x14ac:dyDescent="0.55000000000000004">
      <c r="A72" s="169"/>
      <c r="B72" s="158"/>
      <c r="C72" s="158"/>
      <c r="D72" s="158"/>
      <c r="E72" s="158"/>
      <c r="F72" s="158"/>
      <c r="G72" s="163"/>
      <c r="H72" s="206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60"/>
      <c r="V72" s="205"/>
      <c r="W72" s="284"/>
      <c r="X72" s="204"/>
      <c r="Y72" s="204"/>
      <c r="Z72" s="204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158"/>
      <c r="DK72" s="158"/>
      <c r="DL72" s="158"/>
      <c r="DM72" s="158"/>
      <c r="DN72" s="158"/>
      <c r="DO72" s="158"/>
      <c r="DP72" s="158"/>
      <c r="DQ72" s="158"/>
      <c r="DR72" s="158"/>
      <c r="DS72" s="158"/>
      <c r="DT72" s="158"/>
      <c r="DU72" s="158"/>
      <c r="DV72" s="158"/>
      <c r="DW72" s="158"/>
      <c r="DX72" s="158"/>
      <c r="DY72" s="158"/>
      <c r="DZ72" s="158"/>
      <c r="EA72" s="158"/>
      <c r="EB72" s="158"/>
      <c r="EC72" s="158"/>
      <c r="ED72" s="158"/>
      <c r="EE72" s="158"/>
      <c r="EF72" s="158"/>
      <c r="EG72" s="158"/>
      <c r="EH72" s="158"/>
      <c r="EI72" s="158"/>
      <c r="EJ72" s="158"/>
      <c r="EK72" s="158"/>
      <c r="EL72" s="158"/>
      <c r="EM72" s="158"/>
      <c r="EN72" s="158"/>
      <c r="EO72" s="158"/>
      <c r="EP72" s="158"/>
      <c r="EQ72" s="158"/>
      <c r="ER72" s="158"/>
      <c r="ES72" s="158"/>
      <c r="ET72" s="158"/>
      <c r="EU72" s="158"/>
      <c r="EV72" s="158"/>
      <c r="EW72" s="158"/>
      <c r="EX72" s="158"/>
      <c r="EY72" s="158"/>
      <c r="EZ72" s="158"/>
      <c r="FA72" s="158"/>
      <c r="FB72" s="158"/>
      <c r="FC72" s="158"/>
      <c r="FD72" s="158"/>
      <c r="FE72" s="158"/>
      <c r="FF72" s="158"/>
      <c r="FG72" s="158"/>
      <c r="FH72" s="158"/>
      <c r="FI72" s="158"/>
      <c r="FJ72" s="158"/>
      <c r="FK72" s="158"/>
      <c r="FL72" s="158"/>
      <c r="FM72" s="158"/>
      <c r="FN72" s="158"/>
      <c r="FO72" s="158"/>
      <c r="FP72" s="158"/>
      <c r="FQ72" s="158"/>
      <c r="FR72" s="158"/>
      <c r="FS72" s="158"/>
      <c r="FT72" s="158"/>
      <c r="FU72" s="158"/>
      <c r="FV72" s="158"/>
      <c r="FW72" s="158"/>
      <c r="FX72" s="158"/>
      <c r="FY72" s="158"/>
      <c r="FZ72" s="158"/>
      <c r="GA72" s="158"/>
      <c r="GB72" s="158"/>
      <c r="GC72" s="158"/>
      <c r="GD72" s="158"/>
      <c r="GE72" s="158"/>
      <c r="GF72" s="158"/>
      <c r="GG72" s="158"/>
      <c r="GH72" s="158"/>
      <c r="GI72" s="158"/>
      <c r="GJ72" s="158"/>
      <c r="GK72" s="158"/>
      <c r="GL72" s="158"/>
      <c r="GM72" s="158"/>
      <c r="GN72" s="158"/>
      <c r="GO72" s="158"/>
      <c r="GP72" s="158"/>
      <c r="GQ72" s="158"/>
      <c r="GR72" s="158"/>
      <c r="GS72" s="158"/>
      <c r="GT72" s="158"/>
      <c r="GU72" s="158"/>
      <c r="GV72" s="158"/>
      <c r="GW72" s="158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58"/>
      <c r="HK72" s="158"/>
      <c r="HL72" s="158"/>
      <c r="HM72" s="158"/>
      <c r="HN72" s="158"/>
      <c r="HO72" s="158"/>
      <c r="HP72" s="158"/>
      <c r="HQ72" s="158"/>
      <c r="HR72" s="158"/>
      <c r="HS72" s="158"/>
      <c r="HT72" s="158"/>
      <c r="HU72" s="158"/>
      <c r="HV72" s="158"/>
      <c r="HW72" s="158"/>
      <c r="HX72" s="158"/>
      <c r="HY72" s="158"/>
      <c r="HZ72" s="158"/>
      <c r="IA72" s="158"/>
      <c r="IB72" s="158"/>
      <c r="IC72" s="158"/>
    </row>
    <row r="73" spans="1:237" ht="15.3" x14ac:dyDescent="0.55000000000000004">
      <c r="A73" s="169"/>
      <c r="B73" s="158"/>
      <c r="C73" s="158"/>
      <c r="D73" s="158"/>
      <c r="E73" s="158"/>
      <c r="F73" s="158"/>
      <c r="G73" s="163"/>
      <c r="H73" s="206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60"/>
      <c r="V73" s="205"/>
      <c r="W73" s="284"/>
      <c r="X73" s="204"/>
      <c r="Y73" s="204"/>
      <c r="Z73" s="204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8"/>
      <c r="CG73" s="158"/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8"/>
      <c r="CY73" s="158"/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158"/>
      <c r="DK73" s="158"/>
      <c r="DL73" s="158"/>
      <c r="DM73" s="158"/>
      <c r="DN73" s="158"/>
      <c r="DO73" s="158"/>
      <c r="DP73" s="158"/>
      <c r="DQ73" s="158"/>
      <c r="DR73" s="158"/>
      <c r="DS73" s="158"/>
      <c r="DT73" s="158"/>
      <c r="DU73" s="158"/>
      <c r="DV73" s="158"/>
      <c r="DW73" s="158"/>
      <c r="DX73" s="158"/>
      <c r="DY73" s="158"/>
      <c r="DZ73" s="158"/>
      <c r="EA73" s="158"/>
      <c r="EB73" s="158"/>
      <c r="EC73" s="158"/>
      <c r="ED73" s="158"/>
      <c r="EE73" s="158"/>
      <c r="EF73" s="158"/>
      <c r="EG73" s="158"/>
      <c r="EH73" s="158"/>
      <c r="EI73" s="158"/>
      <c r="EJ73" s="158"/>
      <c r="EK73" s="158"/>
      <c r="EL73" s="158"/>
      <c r="EM73" s="158"/>
      <c r="EN73" s="158"/>
      <c r="EO73" s="158"/>
      <c r="EP73" s="158"/>
      <c r="EQ73" s="158"/>
      <c r="ER73" s="158"/>
      <c r="ES73" s="158"/>
      <c r="ET73" s="158"/>
      <c r="EU73" s="158"/>
      <c r="EV73" s="158"/>
      <c r="EW73" s="158"/>
      <c r="EX73" s="158"/>
      <c r="EY73" s="158"/>
      <c r="EZ73" s="158"/>
      <c r="FA73" s="158"/>
      <c r="FB73" s="158"/>
      <c r="FC73" s="158"/>
      <c r="FD73" s="158"/>
      <c r="FE73" s="158"/>
      <c r="FF73" s="158"/>
      <c r="FG73" s="158"/>
      <c r="FH73" s="158"/>
      <c r="FI73" s="158"/>
      <c r="FJ73" s="158"/>
      <c r="FK73" s="158"/>
      <c r="FL73" s="158"/>
      <c r="FM73" s="158"/>
      <c r="FN73" s="158"/>
      <c r="FO73" s="158"/>
      <c r="FP73" s="158"/>
      <c r="FQ73" s="158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8"/>
      <c r="GD73" s="158"/>
      <c r="GE73" s="158"/>
      <c r="GF73" s="158"/>
      <c r="GG73" s="158"/>
      <c r="GH73" s="158"/>
      <c r="GI73" s="158"/>
      <c r="GJ73" s="158"/>
      <c r="GK73" s="158"/>
      <c r="GL73" s="158"/>
      <c r="GM73" s="158"/>
      <c r="GN73" s="158"/>
      <c r="GO73" s="158"/>
      <c r="GP73" s="158"/>
      <c r="GQ73" s="158"/>
      <c r="GR73" s="158"/>
      <c r="GS73" s="158"/>
      <c r="GT73" s="158"/>
      <c r="GU73" s="158"/>
      <c r="GV73" s="158"/>
      <c r="GW73" s="158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58"/>
      <c r="HK73" s="158"/>
      <c r="HL73" s="158"/>
      <c r="HM73" s="158"/>
      <c r="HN73" s="158"/>
      <c r="HO73" s="158"/>
      <c r="HP73" s="158"/>
      <c r="HQ73" s="158"/>
      <c r="HR73" s="158"/>
      <c r="HS73" s="158"/>
      <c r="HT73" s="158"/>
      <c r="HU73" s="158"/>
      <c r="HV73" s="158"/>
      <c r="HW73" s="158"/>
      <c r="HX73" s="158"/>
      <c r="HY73" s="158"/>
      <c r="HZ73" s="158"/>
      <c r="IA73" s="158"/>
      <c r="IB73" s="158"/>
      <c r="IC73" s="158"/>
    </row>
    <row r="74" spans="1:237" ht="15.3" x14ac:dyDescent="0.55000000000000004">
      <c r="A74" s="169"/>
      <c r="B74" s="158"/>
      <c r="C74" s="158"/>
      <c r="D74" s="158"/>
      <c r="E74" s="158"/>
      <c r="F74" s="158"/>
      <c r="G74" s="163"/>
      <c r="H74" s="206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60"/>
      <c r="V74" s="205"/>
      <c r="W74" s="284"/>
      <c r="X74" s="204"/>
      <c r="Y74" s="204"/>
      <c r="Z74" s="204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8"/>
      <c r="DS74" s="158"/>
      <c r="DT74" s="158"/>
      <c r="DU74" s="158"/>
      <c r="DV74" s="158"/>
      <c r="DW74" s="158"/>
      <c r="DX74" s="158"/>
      <c r="DY74" s="158"/>
      <c r="DZ74" s="158"/>
      <c r="EA74" s="158"/>
      <c r="EB74" s="158"/>
      <c r="EC74" s="158"/>
      <c r="ED74" s="158"/>
      <c r="EE74" s="158"/>
      <c r="EF74" s="158"/>
      <c r="EG74" s="158"/>
      <c r="EH74" s="158"/>
      <c r="EI74" s="158"/>
      <c r="EJ74" s="158"/>
      <c r="EK74" s="158"/>
      <c r="EL74" s="158"/>
      <c r="EM74" s="158"/>
      <c r="EN74" s="158"/>
      <c r="EO74" s="158"/>
      <c r="EP74" s="158"/>
      <c r="EQ74" s="158"/>
      <c r="ER74" s="158"/>
      <c r="ES74" s="158"/>
      <c r="ET74" s="158"/>
      <c r="EU74" s="158"/>
      <c r="EV74" s="158"/>
      <c r="EW74" s="158"/>
      <c r="EX74" s="158"/>
      <c r="EY74" s="158"/>
      <c r="EZ74" s="158"/>
      <c r="FA74" s="158"/>
      <c r="FB74" s="158"/>
      <c r="FC74" s="158"/>
      <c r="FD74" s="158"/>
      <c r="FE74" s="158"/>
      <c r="FF74" s="158"/>
      <c r="FG74" s="158"/>
      <c r="FH74" s="158"/>
      <c r="FI74" s="158"/>
      <c r="FJ74" s="158"/>
      <c r="FK74" s="158"/>
      <c r="FL74" s="158"/>
      <c r="FM74" s="158"/>
      <c r="FN74" s="158"/>
      <c r="FO74" s="158"/>
      <c r="FP74" s="158"/>
      <c r="FQ74" s="158"/>
      <c r="FR74" s="158"/>
      <c r="FS74" s="158"/>
      <c r="FT74" s="158"/>
      <c r="FU74" s="158"/>
      <c r="FV74" s="158"/>
      <c r="FW74" s="158"/>
      <c r="FX74" s="158"/>
      <c r="FY74" s="158"/>
      <c r="FZ74" s="158"/>
      <c r="GA74" s="158"/>
      <c r="GB74" s="158"/>
      <c r="GC74" s="158"/>
      <c r="GD74" s="158"/>
      <c r="GE74" s="158"/>
      <c r="GF74" s="158"/>
      <c r="GG74" s="158"/>
      <c r="GH74" s="158"/>
      <c r="GI74" s="158"/>
      <c r="GJ74" s="158"/>
      <c r="GK74" s="158"/>
      <c r="GL74" s="158"/>
      <c r="GM74" s="158"/>
      <c r="GN74" s="158"/>
      <c r="GO74" s="158"/>
      <c r="GP74" s="158"/>
      <c r="GQ74" s="158"/>
      <c r="GR74" s="158"/>
      <c r="GS74" s="158"/>
      <c r="GT74" s="158"/>
      <c r="GU74" s="158"/>
      <c r="GV74" s="158"/>
      <c r="GW74" s="158"/>
      <c r="GX74" s="158"/>
      <c r="GY74" s="158"/>
      <c r="GZ74" s="158"/>
      <c r="HA74" s="158"/>
      <c r="HB74" s="158"/>
      <c r="HC74" s="158"/>
      <c r="HD74" s="158"/>
      <c r="HE74" s="158"/>
      <c r="HF74" s="158"/>
      <c r="HG74" s="158"/>
      <c r="HH74" s="158"/>
      <c r="HI74" s="158"/>
      <c r="HJ74" s="158"/>
      <c r="HK74" s="158"/>
      <c r="HL74" s="158"/>
      <c r="HM74" s="158"/>
      <c r="HN74" s="158"/>
      <c r="HO74" s="158"/>
      <c r="HP74" s="158"/>
      <c r="HQ74" s="158"/>
      <c r="HR74" s="158"/>
      <c r="HS74" s="158"/>
      <c r="HT74" s="158"/>
      <c r="HU74" s="158"/>
      <c r="HV74" s="158"/>
      <c r="HW74" s="158"/>
      <c r="HX74" s="158"/>
      <c r="HY74" s="158"/>
      <c r="HZ74" s="158"/>
      <c r="IA74" s="158"/>
      <c r="IB74" s="158"/>
      <c r="IC74" s="158"/>
    </row>
    <row r="75" spans="1:237" ht="15.3" x14ac:dyDescent="0.55000000000000004">
      <c r="A75" s="169"/>
      <c r="B75" s="158"/>
      <c r="C75" s="158"/>
      <c r="D75" s="158"/>
      <c r="E75" s="158"/>
      <c r="F75" s="158"/>
      <c r="G75" s="163"/>
      <c r="H75" s="206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60"/>
      <c r="V75" s="205"/>
      <c r="W75" s="284"/>
      <c r="X75" s="204"/>
      <c r="Y75" s="204"/>
      <c r="Z75" s="204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8"/>
      <c r="CG75" s="158"/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8"/>
      <c r="DM75" s="158"/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8"/>
      <c r="EF75" s="158"/>
      <c r="EG75" s="158"/>
      <c r="EH75" s="158"/>
      <c r="EI75" s="158"/>
      <c r="EJ75" s="158"/>
      <c r="EK75" s="158"/>
      <c r="EL75" s="158"/>
      <c r="EM75" s="158"/>
      <c r="EN75" s="158"/>
      <c r="EO75" s="158"/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8"/>
      <c r="FC75" s="158"/>
      <c r="FD75" s="158"/>
      <c r="FE75" s="158"/>
      <c r="FF75" s="158"/>
      <c r="FG75" s="158"/>
      <c r="FH75" s="158"/>
      <c r="FI75" s="158"/>
      <c r="FJ75" s="158"/>
      <c r="FK75" s="158"/>
      <c r="FL75" s="158"/>
      <c r="FM75" s="158"/>
      <c r="FN75" s="158"/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8"/>
      <c r="GD75" s="158"/>
      <c r="GE75" s="158"/>
      <c r="GF75" s="158"/>
      <c r="GG75" s="158"/>
      <c r="GH75" s="158"/>
      <c r="GI75" s="158"/>
      <c r="GJ75" s="158"/>
      <c r="GK75" s="158"/>
      <c r="GL75" s="158"/>
      <c r="GM75" s="158"/>
      <c r="GN75" s="158"/>
      <c r="GO75" s="158"/>
      <c r="GP75" s="158"/>
      <c r="GQ75" s="158"/>
      <c r="GR75" s="158"/>
      <c r="GS75" s="158"/>
      <c r="GT75" s="158"/>
      <c r="GU75" s="158"/>
      <c r="GV75" s="158"/>
      <c r="GW75" s="158"/>
      <c r="GX75" s="158"/>
      <c r="GY75" s="158"/>
      <c r="GZ75" s="158"/>
      <c r="HA75" s="158"/>
      <c r="HB75" s="158"/>
      <c r="HC75" s="158"/>
      <c r="HD75" s="158"/>
      <c r="HE75" s="158"/>
      <c r="HF75" s="158"/>
      <c r="HG75" s="158"/>
      <c r="HH75" s="158"/>
      <c r="HI75" s="158"/>
      <c r="HJ75" s="158"/>
      <c r="HK75" s="158"/>
      <c r="HL75" s="158"/>
      <c r="HM75" s="158"/>
      <c r="HN75" s="158"/>
      <c r="HO75" s="158"/>
      <c r="HP75" s="158"/>
      <c r="HQ75" s="158"/>
      <c r="HR75" s="158"/>
      <c r="HS75" s="158"/>
      <c r="HT75" s="158"/>
      <c r="HU75" s="158"/>
      <c r="HV75" s="158"/>
      <c r="HW75" s="158"/>
      <c r="HX75" s="158"/>
      <c r="HY75" s="158"/>
      <c r="HZ75" s="158"/>
      <c r="IA75" s="158"/>
      <c r="IB75" s="158"/>
      <c r="IC75" s="158"/>
    </row>
    <row r="76" spans="1:237" ht="15.3" x14ac:dyDescent="0.55000000000000004">
      <c r="A76" s="169"/>
      <c r="B76" s="158"/>
      <c r="C76" s="158"/>
      <c r="D76" s="158"/>
      <c r="E76" s="158"/>
      <c r="F76" s="158"/>
      <c r="G76" s="163"/>
      <c r="H76" s="206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60"/>
      <c r="V76" s="205"/>
      <c r="W76" s="284"/>
      <c r="X76" s="204"/>
      <c r="Y76" s="204"/>
      <c r="Z76" s="204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8"/>
      <c r="CY76" s="158"/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8"/>
      <c r="DM76" s="158"/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8"/>
      <c r="EF76" s="158"/>
      <c r="EG76" s="158"/>
      <c r="EH76" s="158"/>
      <c r="EI76" s="158"/>
      <c r="EJ76" s="158"/>
      <c r="EK76" s="158"/>
      <c r="EL76" s="158"/>
      <c r="EM76" s="158"/>
      <c r="EN76" s="158"/>
      <c r="EO76" s="158"/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8"/>
      <c r="FC76" s="158"/>
      <c r="FD76" s="158"/>
      <c r="FE76" s="158"/>
      <c r="FF76" s="158"/>
      <c r="FG76" s="158"/>
      <c r="FH76" s="158"/>
      <c r="FI76" s="158"/>
      <c r="FJ76" s="158"/>
      <c r="FK76" s="158"/>
      <c r="FL76" s="158"/>
      <c r="FM76" s="158"/>
      <c r="FN76" s="158"/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8"/>
      <c r="GD76" s="158"/>
      <c r="GE76" s="158"/>
      <c r="GF76" s="158"/>
      <c r="GG76" s="158"/>
      <c r="GH76" s="158"/>
      <c r="GI76" s="158"/>
      <c r="GJ76" s="158"/>
      <c r="GK76" s="158"/>
      <c r="GL76" s="158"/>
      <c r="GM76" s="158"/>
      <c r="GN76" s="158"/>
      <c r="GO76" s="158"/>
      <c r="GP76" s="158"/>
      <c r="GQ76" s="158"/>
      <c r="GR76" s="158"/>
      <c r="GS76" s="158"/>
      <c r="GT76" s="158"/>
      <c r="GU76" s="158"/>
      <c r="GV76" s="158"/>
      <c r="GW76" s="158"/>
      <c r="GX76" s="158"/>
      <c r="GY76" s="158"/>
      <c r="GZ76" s="158"/>
      <c r="HA76" s="158"/>
      <c r="HB76" s="158"/>
      <c r="HC76" s="158"/>
      <c r="HD76" s="158"/>
      <c r="HE76" s="158"/>
      <c r="HF76" s="158"/>
      <c r="HG76" s="158"/>
      <c r="HH76" s="158"/>
      <c r="HI76" s="158"/>
      <c r="HJ76" s="158"/>
      <c r="HK76" s="158"/>
      <c r="HL76" s="158"/>
      <c r="HM76" s="158"/>
      <c r="HN76" s="158"/>
      <c r="HO76" s="158"/>
      <c r="HP76" s="158"/>
      <c r="HQ76" s="158"/>
      <c r="HR76" s="158"/>
      <c r="HS76" s="158"/>
      <c r="HT76" s="158"/>
      <c r="HU76" s="158"/>
      <c r="HV76" s="158"/>
      <c r="HW76" s="158"/>
      <c r="HX76" s="158"/>
      <c r="HY76" s="158"/>
      <c r="HZ76" s="158"/>
      <c r="IA76" s="158"/>
      <c r="IB76" s="158"/>
      <c r="IC76" s="158"/>
    </row>
    <row r="77" spans="1:237" ht="15.3" x14ac:dyDescent="0.55000000000000004">
      <c r="A77" s="169"/>
      <c r="B77" s="158"/>
      <c r="C77" s="158"/>
      <c r="D77" s="158"/>
      <c r="E77" s="158"/>
      <c r="F77" s="158"/>
      <c r="G77" s="163"/>
      <c r="H77" s="206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60"/>
      <c r="V77" s="205"/>
      <c r="W77" s="284"/>
      <c r="X77" s="204"/>
      <c r="Y77" s="204"/>
      <c r="Z77" s="204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8"/>
      <c r="CN77" s="158"/>
      <c r="CO77" s="158"/>
      <c r="CP77" s="158"/>
      <c r="CQ77" s="158"/>
      <c r="CR77" s="158"/>
      <c r="CS77" s="158"/>
      <c r="CT77" s="158"/>
      <c r="CU77" s="158"/>
      <c r="CV77" s="158"/>
      <c r="CW77" s="158"/>
      <c r="CX77" s="158"/>
      <c r="CY77" s="158"/>
      <c r="CZ77" s="158"/>
      <c r="DA77" s="158"/>
      <c r="DB77" s="158"/>
      <c r="DC77" s="158"/>
      <c r="DD77" s="158"/>
      <c r="DE77" s="158"/>
      <c r="DF77" s="158"/>
      <c r="DG77" s="158"/>
      <c r="DH77" s="158"/>
      <c r="DI77" s="158"/>
      <c r="DJ77" s="158"/>
      <c r="DK77" s="158"/>
      <c r="DL77" s="158"/>
      <c r="DM77" s="158"/>
      <c r="DN77" s="158"/>
      <c r="DO77" s="158"/>
      <c r="DP77" s="158"/>
      <c r="DQ77" s="158"/>
      <c r="DR77" s="158"/>
      <c r="DS77" s="158"/>
      <c r="DT77" s="158"/>
      <c r="DU77" s="158"/>
      <c r="DV77" s="158"/>
      <c r="DW77" s="158"/>
      <c r="DX77" s="158"/>
      <c r="DY77" s="158"/>
      <c r="DZ77" s="158"/>
      <c r="EA77" s="158"/>
      <c r="EB77" s="158"/>
      <c r="EC77" s="158"/>
      <c r="ED77" s="158"/>
      <c r="EE77" s="158"/>
      <c r="EF77" s="158"/>
      <c r="EG77" s="158"/>
      <c r="EH77" s="158"/>
      <c r="EI77" s="158"/>
      <c r="EJ77" s="158"/>
      <c r="EK77" s="158"/>
      <c r="EL77" s="158"/>
      <c r="EM77" s="158"/>
      <c r="EN77" s="158"/>
      <c r="EO77" s="158"/>
      <c r="EP77" s="158"/>
      <c r="EQ77" s="158"/>
      <c r="ER77" s="158"/>
      <c r="ES77" s="158"/>
      <c r="ET77" s="158"/>
      <c r="EU77" s="158"/>
      <c r="EV77" s="158"/>
      <c r="EW77" s="158"/>
      <c r="EX77" s="158"/>
      <c r="EY77" s="158"/>
      <c r="EZ77" s="158"/>
      <c r="FA77" s="158"/>
      <c r="FB77" s="158"/>
      <c r="FC77" s="158"/>
      <c r="FD77" s="158"/>
      <c r="FE77" s="158"/>
      <c r="FF77" s="158"/>
      <c r="FG77" s="158"/>
      <c r="FH77" s="158"/>
      <c r="FI77" s="158"/>
      <c r="FJ77" s="158"/>
      <c r="FK77" s="158"/>
      <c r="FL77" s="158"/>
      <c r="FM77" s="158"/>
      <c r="FN77" s="158"/>
      <c r="FO77" s="158"/>
      <c r="FP77" s="158"/>
      <c r="FQ77" s="158"/>
      <c r="FR77" s="158"/>
      <c r="FS77" s="158"/>
      <c r="FT77" s="158"/>
      <c r="FU77" s="158"/>
      <c r="FV77" s="158"/>
      <c r="FW77" s="158"/>
      <c r="FX77" s="158"/>
      <c r="FY77" s="158"/>
      <c r="FZ77" s="158"/>
      <c r="GA77" s="158"/>
      <c r="GB77" s="158"/>
      <c r="GC77" s="158"/>
      <c r="GD77" s="158"/>
      <c r="GE77" s="158"/>
      <c r="GF77" s="158"/>
      <c r="GG77" s="158"/>
      <c r="GH77" s="158"/>
      <c r="GI77" s="158"/>
      <c r="GJ77" s="158"/>
      <c r="GK77" s="158"/>
      <c r="GL77" s="158"/>
      <c r="GM77" s="158"/>
      <c r="GN77" s="158"/>
      <c r="GO77" s="158"/>
      <c r="GP77" s="158"/>
      <c r="GQ77" s="158"/>
      <c r="GR77" s="158"/>
      <c r="GS77" s="158"/>
      <c r="GT77" s="158"/>
      <c r="GU77" s="158"/>
      <c r="GV77" s="158"/>
      <c r="GW77" s="158"/>
      <c r="GX77" s="158"/>
      <c r="GY77" s="158"/>
      <c r="GZ77" s="158"/>
      <c r="HA77" s="158"/>
      <c r="HB77" s="158"/>
      <c r="HC77" s="158"/>
      <c r="HD77" s="158"/>
      <c r="HE77" s="158"/>
      <c r="HF77" s="158"/>
      <c r="HG77" s="158"/>
      <c r="HH77" s="158"/>
      <c r="HI77" s="158"/>
      <c r="HJ77" s="158"/>
      <c r="HK77" s="158"/>
      <c r="HL77" s="158"/>
      <c r="HM77" s="158"/>
      <c r="HN77" s="158"/>
      <c r="HO77" s="158"/>
      <c r="HP77" s="158"/>
      <c r="HQ77" s="158"/>
      <c r="HR77" s="158"/>
      <c r="HS77" s="158"/>
      <c r="HT77" s="158"/>
      <c r="HU77" s="158"/>
      <c r="HV77" s="158"/>
      <c r="HW77" s="158"/>
      <c r="HX77" s="158"/>
      <c r="HY77" s="158"/>
      <c r="HZ77" s="158"/>
      <c r="IA77" s="158"/>
      <c r="IB77" s="158"/>
      <c r="IC77" s="158"/>
    </row>
    <row r="78" spans="1:237" ht="15.3" x14ac:dyDescent="0.55000000000000004">
      <c r="A78" s="169"/>
      <c r="B78" s="158"/>
      <c r="C78" s="158"/>
      <c r="D78" s="158"/>
      <c r="E78" s="158"/>
      <c r="F78" s="158"/>
      <c r="G78" s="163"/>
      <c r="H78" s="206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60"/>
      <c r="V78" s="205"/>
      <c r="W78" s="284"/>
      <c r="X78" s="204"/>
      <c r="Y78" s="204"/>
      <c r="Z78" s="204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8"/>
      <c r="DJ78" s="158"/>
      <c r="DK78" s="158"/>
      <c r="DL78" s="158"/>
      <c r="DM78" s="158"/>
      <c r="DN78" s="158"/>
      <c r="DO78" s="158"/>
      <c r="DP78" s="158"/>
      <c r="DQ78" s="158"/>
      <c r="DR78" s="158"/>
      <c r="DS78" s="158"/>
      <c r="DT78" s="158"/>
      <c r="DU78" s="158"/>
      <c r="DV78" s="158"/>
      <c r="DW78" s="158"/>
      <c r="DX78" s="158"/>
      <c r="DY78" s="158"/>
      <c r="DZ78" s="158"/>
      <c r="EA78" s="158"/>
      <c r="EB78" s="158"/>
      <c r="EC78" s="158"/>
      <c r="ED78" s="158"/>
      <c r="EE78" s="158"/>
      <c r="EF78" s="158"/>
      <c r="EG78" s="158"/>
      <c r="EH78" s="158"/>
      <c r="EI78" s="158"/>
      <c r="EJ78" s="158"/>
      <c r="EK78" s="158"/>
      <c r="EL78" s="158"/>
      <c r="EM78" s="158"/>
      <c r="EN78" s="158"/>
      <c r="EO78" s="158"/>
      <c r="EP78" s="158"/>
      <c r="EQ78" s="158"/>
      <c r="ER78" s="158"/>
      <c r="ES78" s="158"/>
      <c r="ET78" s="158"/>
      <c r="EU78" s="158"/>
      <c r="EV78" s="158"/>
      <c r="EW78" s="158"/>
      <c r="EX78" s="158"/>
      <c r="EY78" s="158"/>
      <c r="EZ78" s="158"/>
      <c r="FA78" s="158"/>
      <c r="FB78" s="158"/>
      <c r="FC78" s="158"/>
      <c r="FD78" s="158"/>
      <c r="FE78" s="158"/>
      <c r="FF78" s="158"/>
      <c r="FG78" s="158"/>
      <c r="FH78" s="158"/>
      <c r="FI78" s="158"/>
      <c r="FJ78" s="158"/>
      <c r="FK78" s="158"/>
      <c r="FL78" s="158"/>
      <c r="FM78" s="158"/>
      <c r="FN78" s="158"/>
      <c r="FO78" s="158"/>
      <c r="FP78" s="158"/>
      <c r="FQ78" s="158"/>
      <c r="FR78" s="158"/>
      <c r="FS78" s="158"/>
      <c r="FT78" s="158"/>
      <c r="FU78" s="158"/>
      <c r="FV78" s="158"/>
      <c r="FW78" s="158"/>
      <c r="FX78" s="158"/>
      <c r="FY78" s="158"/>
      <c r="FZ78" s="158"/>
      <c r="GA78" s="158"/>
      <c r="GB78" s="158"/>
      <c r="GC78" s="158"/>
      <c r="GD78" s="158"/>
      <c r="GE78" s="158"/>
      <c r="GF78" s="158"/>
      <c r="GG78" s="158"/>
      <c r="GH78" s="158"/>
      <c r="GI78" s="158"/>
      <c r="GJ78" s="158"/>
      <c r="GK78" s="158"/>
      <c r="GL78" s="158"/>
      <c r="GM78" s="158"/>
      <c r="GN78" s="158"/>
      <c r="GO78" s="158"/>
      <c r="GP78" s="158"/>
      <c r="GQ78" s="158"/>
      <c r="GR78" s="158"/>
      <c r="GS78" s="158"/>
      <c r="GT78" s="158"/>
      <c r="GU78" s="158"/>
      <c r="GV78" s="158"/>
      <c r="GW78" s="158"/>
      <c r="GX78" s="158"/>
      <c r="GY78" s="158"/>
      <c r="GZ78" s="158"/>
      <c r="HA78" s="158"/>
      <c r="HB78" s="158"/>
      <c r="HC78" s="158"/>
      <c r="HD78" s="158"/>
      <c r="HE78" s="158"/>
      <c r="HF78" s="158"/>
      <c r="HG78" s="158"/>
      <c r="HH78" s="158"/>
      <c r="HI78" s="158"/>
      <c r="HJ78" s="158"/>
      <c r="HK78" s="158"/>
      <c r="HL78" s="158"/>
      <c r="HM78" s="158"/>
      <c r="HN78" s="158"/>
      <c r="HO78" s="158"/>
      <c r="HP78" s="158"/>
      <c r="HQ78" s="158"/>
      <c r="HR78" s="158"/>
      <c r="HS78" s="158"/>
      <c r="HT78" s="158"/>
      <c r="HU78" s="158"/>
      <c r="HV78" s="158"/>
      <c r="HW78" s="158"/>
      <c r="HX78" s="158"/>
      <c r="HY78" s="158"/>
      <c r="HZ78" s="158"/>
      <c r="IA78" s="158"/>
      <c r="IB78" s="158"/>
      <c r="IC78" s="158"/>
    </row>
    <row r="79" spans="1:237" ht="15.3" x14ac:dyDescent="0.55000000000000004">
      <c r="A79" s="169"/>
      <c r="B79" s="158"/>
      <c r="C79" s="158"/>
      <c r="D79" s="158"/>
      <c r="E79" s="158"/>
      <c r="F79" s="158"/>
      <c r="G79" s="163"/>
      <c r="H79" s="206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60"/>
      <c r="V79" s="205"/>
      <c r="W79" s="284"/>
      <c r="X79" s="204"/>
      <c r="Y79" s="204"/>
      <c r="Z79" s="204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158"/>
      <c r="BU79" s="158"/>
      <c r="BV79" s="158"/>
      <c r="BW79" s="158"/>
      <c r="BX79" s="158"/>
      <c r="BY79" s="158"/>
      <c r="BZ79" s="158"/>
      <c r="CA79" s="158"/>
      <c r="CB79" s="158"/>
      <c r="CC79" s="158"/>
      <c r="CD79" s="158"/>
      <c r="CE79" s="158"/>
      <c r="CF79" s="158"/>
      <c r="CG79" s="158"/>
      <c r="CH79" s="158"/>
      <c r="CI79" s="158"/>
      <c r="CJ79" s="158"/>
      <c r="CK79" s="158"/>
      <c r="CL79" s="158"/>
      <c r="CM79" s="158"/>
      <c r="CN79" s="158"/>
      <c r="CO79" s="158"/>
      <c r="CP79" s="158"/>
      <c r="CQ79" s="158"/>
      <c r="CR79" s="158"/>
      <c r="CS79" s="158"/>
      <c r="CT79" s="158"/>
      <c r="CU79" s="158"/>
      <c r="CV79" s="158"/>
      <c r="CW79" s="158"/>
      <c r="CX79" s="158"/>
      <c r="CY79" s="158"/>
      <c r="CZ79" s="158"/>
      <c r="DA79" s="158"/>
      <c r="DB79" s="158"/>
      <c r="DC79" s="158"/>
      <c r="DD79" s="158"/>
      <c r="DE79" s="158"/>
      <c r="DF79" s="158"/>
      <c r="DG79" s="158"/>
      <c r="DH79" s="158"/>
      <c r="DI79" s="158"/>
      <c r="DJ79" s="158"/>
      <c r="DK79" s="158"/>
      <c r="DL79" s="158"/>
      <c r="DM79" s="158"/>
      <c r="DN79" s="158"/>
      <c r="DO79" s="158"/>
      <c r="DP79" s="158"/>
      <c r="DQ79" s="158"/>
      <c r="DR79" s="158"/>
      <c r="DS79" s="158"/>
      <c r="DT79" s="158"/>
      <c r="DU79" s="158"/>
      <c r="DV79" s="158"/>
      <c r="DW79" s="158"/>
      <c r="DX79" s="158"/>
      <c r="DY79" s="158"/>
      <c r="DZ79" s="158"/>
      <c r="EA79" s="158"/>
      <c r="EB79" s="158"/>
      <c r="EC79" s="158"/>
      <c r="ED79" s="158"/>
      <c r="EE79" s="158"/>
      <c r="EF79" s="158"/>
      <c r="EG79" s="158"/>
      <c r="EH79" s="158"/>
      <c r="EI79" s="158"/>
      <c r="EJ79" s="158"/>
      <c r="EK79" s="158"/>
      <c r="EL79" s="158"/>
      <c r="EM79" s="158"/>
      <c r="EN79" s="158"/>
      <c r="EO79" s="158"/>
      <c r="EP79" s="158"/>
      <c r="EQ79" s="158"/>
      <c r="ER79" s="158"/>
      <c r="ES79" s="158"/>
      <c r="ET79" s="158"/>
      <c r="EU79" s="158"/>
      <c r="EV79" s="158"/>
      <c r="EW79" s="158"/>
      <c r="EX79" s="158"/>
      <c r="EY79" s="158"/>
      <c r="EZ79" s="158"/>
      <c r="FA79" s="158"/>
      <c r="FB79" s="158"/>
      <c r="FC79" s="158"/>
      <c r="FD79" s="158"/>
      <c r="FE79" s="158"/>
      <c r="FF79" s="158"/>
      <c r="FG79" s="158"/>
      <c r="FH79" s="158"/>
      <c r="FI79" s="158"/>
      <c r="FJ79" s="158"/>
      <c r="FK79" s="158"/>
      <c r="FL79" s="158"/>
      <c r="FM79" s="158"/>
      <c r="FN79" s="158"/>
      <c r="FO79" s="158"/>
      <c r="FP79" s="158"/>
      <c r="FQ79" s="158"/>
      <c r="FR79" s="158"/>
      <c r="FS79" s="158"/>
      <c r="FT79" s="158"/>
      <c r="FU79" s="158"/>
      <c r="FV79" s="158"/>
      <c r="FW79" s="158"/>
      <c r="FX79" s="158"/>
      <c r="FY79" s="158"/>
      <c r="FZ79" s="158"/>
      <c r="GA79" s="158"/>
      <c r="GB79" s="158"/>
      <c r="GC79" s="158"/>
      <c r="GD79" s="158"/>
      <c r="GE79" s="158"/>
      <c r="GF79" s="158"/>
      <c r="GG79" s="158"/>
      <c r="GH79" s="158"/>
      <c r="GI79" s="158"/>
      <c r="GJ79" s="158"/>
      <c r="GK79" s="158"/>
      <c r="GL79" s="158"/>
      <c r="GM79" s="158"/>
      <c r="GN79" s="158"/>
      <c r="GO79" s="158"/>
      <c r="GP79" s="158"/>
      <c r="GQ79" s="158"/>
      <c r="GR79" s="158"/>
      <c r="GS79" s="158"/>
      <c r="GT79" s="158"/>
      <c r="GU79" s="158"/>
      <c r="GV79" s="158"/>
      <c r="GW79" s="158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58"/>
      <c r="HK79" s="158"/>
      <c r="HL79" s="158"/>
      <c r="HM79" s="158"/>
      <c r="HN79" s="158"/>
      <c r="HO79" s="158"/>
      <c r="HP79" s="158"/>
      <c r="HQ79" s="158"/>
      <c r="HR79" s="158"/>
      <c r="HS79" s="158"/>
      <c r="HT79" s="158"/>
      <c r="HU79" s="158"/>
      <c r="HV79" s="158"/>
      <c r="HW79" s="158"/>
      <c r="HX79" s="158"/>
      <c r="HY79" s="158"/>
      <c r="HZ79" s="158"/>
      <c r="IA79" s="158"/>
      <c r="IB79" s="158"/>
      <c r="IC79" s="158"/>
    </row>
    <row r="80" spans="1:237" ht="15.3" x14ac:dyDescent="0.55000000000000004">
      <c r="A80" s="169"/>
      <c r="B80" s="158"/>
      <c r="C80" s="158"/>
      <c r="D80" s="158"/>
      <c r="E80" s="158"/>
      <c r="F80" s="158"/>
      <c r="G80" s="163"/>
      <c r="H80" s="206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60"/>
      <c r="V80" s="205"/>
      <c r="W80" s="284"/>
      <c r="X80" s="204"/>
      <c r="Y80" s="204"/>
      <c r="Z80" s="204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58"/>
      <c r="DG80" s="158"/>
      <c r="DH80" s="158"/>
      <c r="DI80" s="158"/>
      <c r="DJ80" s="158"/>
      <c r="DK80" s="158"/>
      <c r="DL80" s="158"/>
      <c r="DM80" s="158"/>
      <c r="DN80" s="158"/>
      <c r="DO80" s="158"/>
      <c r="DP80" s="158"/>
      <c r="DQ80" s="158"/>
      <c r="DR80" s="158"/>
      <c r="DS80" s="158"/>
      <c r="DT80" s="158"/>
      <c r="DU80" s="158"/>
      <c r="DV80" s="158"/>
      <c r="DW80" s="158"/>
      <c r="DX80" s="158"/>
      <c r="DY80" s="158"/>
      <c r="DZ80" s="158"/>
      <c r="EA80" s="158"/>
      <c r="EB80" s="158"/>
      <c r="EC80" s="158"/>
      <c r="ED80" s="158"/>
      <c r="EE80" s="158"/>
      <c r="EF80" s="158"/>
      <c r="EG80" s="158"/>
      <c r="EH80" s="158"/>
      <c r="EI80" s="158"/>
      <c r="EJ80" s="158"/>
      <c r="EK80" s="158"/>
      <c r="EL80" s="158"/>
      <c r="EM80" s="158"/>
      <c r="EN80" s="158"/>
      <c r="EO80" s="158"/>
      <c r="EP80" s="158"/>
      <c r="EQ80" s="158"/>
      <c r="ER80" s="158"/>
      <c r="ES80" s="158"/>
      <c r="ET80" s="158"/>
      <c r="EU80" s="158"/>
      <c r="EV80" s="158"/>
      <c r="EW80" s="158"/>
      <c r="EX80" s="158"/>
      <c r="EY80" s="158"/>
      <c r="EZ80" s="158"/>
      <c r="FA80" s="158"/>
      <c r="FB80" s="158"/>
      <c r="FC80" s="158"/>
      <c r="FD80" s="158"/>
      <c r="FE80" s="158"/>
      <c r="FF80" s="158"/>
      <c r="FG80" s="158"/>
      <c r="FH80" s="158"/>
      <c r="FI80" s="158"/>
      <c r="FJ80" s="158"/>
      <c r="FK80" s="158"/>
      <c r="FL80" s="158"/>
      <c r="FM80" s="158"/>
      <c r="FN80" s="158"/>
      <c r="FO80" s="158"/>
      <c r="FP80" s="158"/>
      <c r="FQ80" s="158"/>
      <c r="FR80" s="158"/>
      <c r="FS80" s="158"/>
      <c r="FT80" s="158"/>
      <c r="FU80" s="158"/>
      <c r="FV80" s="158"/>
      <c r="FW80" s="158"/>
      <c r="FX80" s="158"/>
      <c r="FY80" s="158"/>
      <c r="FZ80" s="158"/>
      <c r="GA80" s="158"/>
      <c r="GB80" s="158"/>
      <c r="GC80" s="158"/>
      <c r="GD80" s="158"/>
      <c r="GE80" s="158"/>
      <c r="GF80" s="158"/>
      <c r="GG80" s="158"/>
      <c r="GH80" s="158"/>
      <c r="GI80" s="158"/>
      <c r="GJ80" s="158"/>
      <c r="GK80" s="158"/>
      <c r="GL80" s="158"/>
      <c r="GM80" s="158"/>
      <c r="GN80" s="158"/>
      <c r="GO80" s="158"/>
      <c r="GP80" s="158"/>
      <c r="GQ80" s="158"/>
      <c r="GR80" s="158"/>
      <c r="GS80" s="158"/>
      <c r="GT80" s="158"/>
      <c r="GU80" s="158"/>
      <c r="GV80" s="158"/>
      <c r="GW80" s="158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58"/>
      <c r="HK80" s="158"/>
      <c r="HL80" s="158"/>
      <c r="HM80" s="158"/>
      <c r="HN80" s="158"/>
      <c r="HO80" s="158"/>
      <c r="HP80" s="158"/>
      <c r="HQ80" s="158"/>
      <c r="HR80" s="158"/>
      <c r="HS80" s="158"/>
      <c r="HT80" s="158"/>
      <c r="HU80" s="158"/>
      <c r="HV80" s="158"/>
      <c r="HW80" s="158"/>
      <c r="HX80" s="158"/>
      <c r="HY80" s="158"/>
      <c r="HZ80" s="158"/>
      <c r="IA80" s="158"/>
      <c r="IB80" s="158"/>
      <c r="IC80" s="158"/>
    </row>
    <row r="81" spans="1:237" ht="15.3" x14ac:dyDescent="0.55000000000000004">
      <c r="A81" s="169"/>
      <c r="B81" s="158"/>
      <c r="C81" s="158"/>
      <c r="D81" s="158"/>
      <c r="E81" s="158"/>
      <c r="F81" s="158"/>
      <c r="G81" s="163"/>
      <c r="H81" s="206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60"/>
      <c r="V81" s="205"/>
      <c r="W81" s="284"/>
      <c r="X81" s="204"/>
      <c r="Y81" s="204"/>
      <c r="Z81" s="204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8"/>
      <c r="CE81" s="158"/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8"/>
      <c r="CV81" s="158"/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158"/>
      <c r="DK81" s="158"/>
      <c r="DL81" s="158"/>
      <c r="DM81" s="158"/>
      <c r="DN81" s="158"/>
      <c r="DO81" s="158"/>
      <c r="DP81" s="158"/>
      <c r="DQ81" s="158"/>
      <c r="DR81" s="158"/>
      <c r="DS81" s="158"/>
      <c r="DT81" s="158"/>
      <c r="DU81" s="158"/>
      <c r="DV81" s="158"/>
      <c r="DW81" s="158"/>
      <c r="DX81" s="158"/>
      <c r="DY81" s="158"/>
      <c r="DZ81" s="158"/>
      <c r="EA81" s="158"/>
      <c r="EB81" s="158"/>
      <c r="EC81" s="158"/>
      <c r="ED81" s="158"/>
      <c r="EE81" s="158"/>
      <c r="EF81" s="158"/>
      <c r="EG81" s="158"/>
      <c r="EH81" s="158"/>
      <c r="EI81" s="158"/>
      <c r="EJ81" s="158"/>
      <c r="EK81" s="158"/>
      <c r="EL81" s="158"/>
      <c r="EM81" s="158"/>
      <c r="EN81" s="158"/>
      <c r="EO81" s="158"/>
      <c r="EP81" s="158"/>
      <c r="EQ81" s="158"/>
      <c r="ER81" s="158"/>
      <c r="ES81" s="158"/>
      <c r="ET81" s="158"/>
      <c r="EU81" s="158"/>
      <c r="EV81" s="158"/>
      <c r="EW81" s="158"/>
      <c r="EX81" s="158"/>
      <c r="EY81" s="158"/>
      <c r="EZ81" s="158"/>
      <c r="FA81" s="158"/>
      <c r="FB81" s="158"/>
      <c r="FC81" s="158"/>
      <c r="FD81" s="158"/>
      <c r="FE81" s="158"/>
      <c r="FF81" s="158"/>
      <c r="FG81" s="158"/>
      <c r="FH81" s="158"/>
      <c r="FI81" s="158"/>
      <c r="FJ81" s="158"/>
      <c r="FK81" s="158"/>
      <c r="FL81" s="158"/>
      <c r="FM81" s="158"/>
      <c r="FN81" s="158"/>
      <c r="FO81" s="158"/>
      <c r="FP81" s="158"/>
      <c r="FQ81" s="158"/>
      <c r="FR81" s="158"/>
      <c r="FS81" s="158"/>
      <c r="FT81" s="158"/>
      <c r="FU81" s="158"/>
      <c r="FV81" s="158"/>
      <c r="FW81" s="158"/>
      <c r="FX81" s="158"/>
      <c r="FY81" s="158"/>
      <c r="FZ81" s="158"/>
      <c r="GA81" s="158"/>
      <c r="GB81" s="158"/>
      <c r="GC81" s="158"/>
      <c r="GD81" s="158"/>
      <c r="GE81" s="158"/>
      <c r="GF81" s="158"/>
      <c r="GG81" s="158"/>
      <c r="GH81" s="158"/>
      <c r="GI81" s="158"/>
      <c r="GJ81" s="158"/>
      <c r="GK81" s="158"/>
      <c r="GL81" s="158"/>
      <c r="GM81" s="158"/>
      <c r="GN81" s="158"/>
      <c r="GO81" s="158"/>
      <c r="GP81" s="158"/>
      <c r="GQ81" s="158"/>
      <c r="GR81" s="158"/>
      <c r="GS81" s="158"/>
      <c r="GT81" s="158"/>
      <c r="GU81" s="158"/>
      <c r="GV81" s="158"/>
      <c r="GW81" s="158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58"/>
      <c r="HK81" s="158"/>
      <c r="HL81" s="158"/>
      <c r="HM81" s="158"/>
      <c r="HN81" s="158"/>
      <c r="HO81" s="158"/>
      <c r="HP81" s="158"/>
      <c r="HQ81" s="158"/>
      <c r="HR81" s="158"/>
      <c r="HS81" s="158"/>
      <c r="HT81" s="158"/>
      <c r="HU81" s="158"/>
      <c r="HV81" s="158"/>
      <c r="HW81" s="158"/>
      <c r="HX81" s="158"/>
      <c r="HY81" s="158"/>
      <c r="HZ81" s="158"/>
      <c r="IA81" s="158"/>
      <c r="IB81" s="158"/>
      <c r="IC81" s="158"/>
    </row>
    <row r="82" spans="1:237" ht="15.3" x14ac:dyDescent="0.55000000000000004">
      <c r="A82" s="169"/>
      <c r="B82" s="158"/>
      <c r="C82" s="158"/>
      <c r="D82" s="158"/>
      <c r="E82" s="158"/>
      <c r="F82" s="158"/>
      <c r="G82" s="163"/>
      <c r="H82" s="206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60"/>
      <c r="V82" s="205"/>
      <c r="W82" s="284"/>
      <c r="X82" s="204"/>
      <c r="Y82" s="204"/>
      <c r="Z82" s="204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8"/>
      <c r="CV82" s="158"/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8"/>
      <c r="DL82" s="158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8"/>
      <c r="EB82" s="158"/>
      <c r="EC82" s="158"/>
      <c r="ED82" s="158"/>
      <c r="EE82" s="158"/>
      <c r="EF82" s="158"/>
      <c r="EG82" s="158"/>
      <c r="EH82" s="158"/>
      <c r="EI82" s="158"/>
      <c r="EJ82" s="158"/>
      <c r="EK82" s="158"/>
      <c r="EL82" s="158"/>
      <c r="EM82" s="158"/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8"/>
      <c r="FA82" s="158"/>
      <c r="FB82" s="158"/>
      <c r="FC82" s="158"/>
      <c r="FD82" s="158"/>
      <c r="FE82" s="158"/>
      <c r="FF82" s="158"/>
      <c r="FG82" s="158"/>
      <c r="FH82" s="158"/>
      <c r="FI82" s="158"/>
      <c r="FJ82" s="158"/>
      <c r="FK82" s="158"/>
      <c r="FL82" s="158"/>
      <c r="FM82" s="158"/>
      <c r="FN82" s="158"/>
      <c r="FO82" s="158"/>
      <c r="FP82" s="158"/>
      <c r="FQ82" s="158"/>
      <c r="FR82" s="158"/>
      <c r="FS82" s="158"/>
      <c r="FT82" s="158"/>
      <c r="FU82" s="158"/>
      <c r="FV82" s="158"/>
      <c r="FW82" s="158"/>
      <c r="FX82" s="158"/>
      <c r="FY82" s="158"/>
      <c r="FZ82" s="158"/>
      <c r="GA82" s="158"/>
      <c r="GB82" s="158"/>
      <c r="GC82" s="158"/>
      <c r="GD82" s="158"/>
      <c r="GE82" s="158"/>
      <c r="GF82" s="158"/>
      <c r="GG82" s="158"/>
      <c r="GH82" s="158"/>
      <c r="GI82" s="158"/>
      <c r="GJ82" s="158"/>
      <c r="GK82" s="158"/>
      <c r="GL82" s="158"/>
      <c r="GM82" s="158"/>
      <c r="GN82" s="158"/>
      <c r="GO82" s="158"/>
      <c r="GP82" s="158"/>
      <c r="GQ82" s="158"/>
      <c r="GR82" s="158"/>
      <c r="GS82" s="158"/>
      <c r="GT82" s="158"/>
      <c r="GU82" s="158"/>
      <c r="GV82" s="158"/>
      <c r="GW82" s="158"/>
      <c r="GX82" s="158"/>
      <c r="GY82" s="158"/>
      <c r="GZ82" s="158"/>
      <c r="HA82" s="158"/>
      <c r="HB82" s="158"/>
      <c r="HC82" s="158"/>
      <c r="HD82" s="158"/>
      <c r="HE82" s="158"/>
      <c r="HF82" s="158"/>
      <c r="HG82" s="158"/>
      <c r="HH82" s="158"/>
      <c r="HI82" s="158"/>
      <c r="HJ82" s="158"/>
      <c r="HK82" s="158"/>
      <c r="HL82" s="158"/>
      <c r="HM82" s="158"/>
      <c r="HN82" s="158"/>
      <c r="HO82" s="158"/>
      <c r="HP82" s="158"/>
      <c r="HQ82" s="158"/>
      <c r="HR82" s="158"/>
      <c r="HS82" s="158"/>
      <c r="HT82" s="158"/>
      <c r="HU82" s="158"/>
      <c r="HV82" s="158"/>
      <c r="HW82" s="158"/>
      <c r="HX82" s="158"/>
      <c r="HY82" s="158"/>
      <c r="HZ82" s="158"/>
      <c r="IA82" s="158"/>
      <c r="IB82" s="158"/>
      <c r="IC82" s="158"/>
    </row>
    <row r="83" spans="1:237" ht="15.3" x14ac:dyDescent="0.55000000000000004">
      <c r="A83" s="169"/>
      <c r="B83" s="158"/>
      <c r="C83" s="158"/>
      <c r="D83" s="158"/>
      <c r="E83" s="158"/>
      <c r="F83" s="158"/>
      <c r="G83" s="163"/>
      <c r="H83" s="206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60"/>
      <c r="V83" s="205"/>
      <c r="W83" s="284"/>
      <c r="X83" s="204"/>
      <c r="Y83" s="204"/>
      <c r="Z83" s="204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158"/>
      <c r="FV83" s="158"/>
      <c r="FW83" s="158"/>
      <c r="FX83" s="158"/>
      <c r="FY83" s="158"/>
      <c r="FZ83" s="158"/>
      <c r="GA83" s="158"/>
      <c r="GB83" s="158"/>
      <c r="GC83" s="158"/>
      <c r="GD83" s="158"/>
      <c r="GE83" s="158"/>
      <c r="GF83" s="158"/>
      <c r="GG83" s="158"/>
      <c r="GH83" s="158"/>
      <c r="GI83" s="158"/>
      <c r="GJ83" s="158"/>
      <c r="GK83" s="158"/>
      <c r="GL83" s="158"/>
      <c r="GM83" s="158"/>
      <c r="GN83" s="158"/>
      <c r="GO83" s="158"/>
      <c r="GP83" s="158"/>
      <c r="GQ83" s="158"/>
      <c r="GR83" s="158"/>
      <c r="GS83" s="158"/>
      <c r="GT83" s="158"/>
      <c r="GU83" s="158"/>
      <c r="GV83" s="158"/>
      <c r="GW83" s="158"/>
      <c r="GX83" s="158"/>
      <c r="GY83" s="158"/>
      <c r="GZ83" s="158"/>
      <c r="HA83" s="158"/>
      <c r="HB83" s="158"/>
      <c r="HC83" s="158"/>
      <c r="HD83" s="158"/>
      <c r="HE83" s="158"/>
      <c r="HF83" s="158"/>
      <c r="HG83" s="158"/>
      <c r="HH83" s="158"/>
      <c r="HI83" s="158"/>
      <c r="HJ83" s="158"/>
      <c r="HK83" s="158"/>
      <c r="HL83" s="158"/>
      <c r="HM83" s="158"/>
      <c r="HN83" s="158"/>
      <c r="HO83" s="158"/>
      <c r="HP83" s="158"/>
      <c r="HQ83" s="158"/>
      <c r="HR83" s="158"/>
      <c r="HS83" s="158"/>
      <c r="HT83" s="158"/>
      <c r="HU83" s="158"/>
      <c r="HV83" s="158"/>
      <c r="HW83" s="158"/>
      <c r="HX83" s="158"/>
      <c r="HY83" s="158"/>
      <c r="HZ83" s="158"/>
      <c r="IA83" s="158"/>
      <c r="IB83" s="158"/>
      <c r="IC83" s="158"/>
    </row>
    <row r="84" spans="1:237" ht="15.3" x14ac:dyDescent="0.55000000000000004">
      <c r="A84" s="169"/>
      <c r="B84" s="158"/>
      <c r="C84" s="158"/>
      <c r="D84" s="158"/>
      <c r="E84" s="158"/>
      <c r="F84" s="158"/>
      <c r="G84" s="163"/>
      <c r="H84" s="206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60"/>
      <c r="V84" s="205"/>
      <c r="W84" s="284"/>
      <c r="X84" s="204"/>
      <c r="Y84" s="204"/>
      <c r="Z84" s="204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158"/>
      <c r="FV84" s="158"/>
      <c r="FW84" s="158"/>
      <c r="FX84" s="158"/>
      <c r="FY84" s="158"/>
      <c r="FZ84" s="158"/>
      <c r="GA84" s="158"/>
      <c r="GB84" s="158"/>
      <c r="GC84" s="158"/>
      <c r="GD84" s="158"/>
      <c r="GE84" s="158"/>
      <c r="GF84" s="158"/>
      <c r="GG84" s="158"/>
      <c r="GH84" s="158"/>
      <c r="GI84" s="158"/>
      <c r="GJ84" s="158"/>
      <c r="GK84" s="158"/>
      <c r="GL84" s="158"/>
      <c r="GM84" s="158"/>
      <c r="GN84" s="158"/>
      <c r="GO84" s="158"/>
      <c r="GP84" s="158"/>
      <c r="GQ84" s="158"/>
      <c r="GR84" s="158"/>
      <c r="GS84" s="158"/>
      <c r="GT84" s="158"/>
      <c r="GU84" s="158"/>
      <c r="GV84" s="158"/>
      <c r="GW84" s="158"/>
      <c r="GX84" s="158"/>
      <c r="GY84" s="158"/>
      <c r="GZ84" s="158"/>
      <c r="HA84" s="158"/>
      <c r="HB84" s="158"/>
      <c r="HC84" s="158"/>
      <c r="HD84" s="158"/>
      <c r="HE84" s="158"/>
      <c r="HF84" s="158"/>
      <c r="HG84" s="158"/>
      <c r="HH84" s="158"/>
      <c r="HI84" s="158"/>
      <c r="HJ84" s="158"/>
      <c r="HK84" s="158"/>
      <c r="HL84" s="158"/>
      <c r="HM84" s="158"/>
      <c r="HN84" s="158"/>
      <c r="HO84" s="158"/>
      <c r="HP84" s="158"/>
      <c r="HQ84" s="158"/>
      <c r="HR84" s="158"/>
      <c r="HS84" s="158"/>
      <c r="HT84" s="158"/>
      <c r="HU84" s="158"/>
      <c r="HV84" s="158"/>
      <c r="HW84" s="158"/>
      <c r="HX84" s="158"/>
      <c r="HY84" s="158"/>
      <c r="HZ84" s="158"/>
      <c r="IA84" s="158"/>
      <c r="IB84" s="158"/>
      <c r="IC84" s="158"/>
    </row>
    <row r="85" spans="1:237" ht="15.3" x14ac:dyDescent="0.55000000000000004">
      <c r="A85" s="169"/>
      <c r="B85" s="158"/>
      <c r="C85" s="158"/>
      <c r="D85" s="158"/>
      <c r="E85" s="158"/>
      <c r="F85" s="158"/>
      <c r="G85" s="163"/>
      <c r="H85" s="206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60"/>
      <c r="V85" s="205"/>
      <c r="W85" s="284"/>
      <c r="X85" s="204"/>
      <c r="Y85" s="204"/>
      <c r="Z85" s="204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</row>
    <row r="86" spans="1:237" ht="15.3" x14ac:dyDescent="0.55000000000000004">
      <c r="A86" s="169"/>
      <c r="B86" s="158"/>
      <c r="C86" s="158"/>
      <c r="D86" s="158"/>
      <c r="E86" s="158"/>
      <c r="F86" s="158"/>
      <c r="G86" s="163"/>
      <c r="H86" s="206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60"/>
      <c r="V86" s="205"/>
      <c r="W86" s="284"/>
      <c r="X86" s="204"/>
      <c r="Y86" s="204"/>
      <c r="Z86" s="204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58"/>
      <c r="EH86" s="158"/>
      <c r="EI86" s="158"/>
      <c r="EJ86" s="158"/>
      <c r="EK86" s="158"/>
      <c r="EL86" s="158"/>
      <c r="EM86" s="158"/>
      <c r="EN86" s="158"/>
      <c r="EO86" s="158"/>
      <c r="EP86" s="158"/>
      <c r="EQ86" s="158"/>
      <c r="ER86" s="158"/>
      <c r="ES86" s="158"/>
      <c r="ET86" s="158"/>
      <c r="EU86" s="158"/>
      <c r="EV86" s="158"/>
      <c r="EW86" s="158"/>
      <c r="EX86" s="158"/>
      <c r="EY86" s="158"/>
      <c r="EZ86" s="158"/>
      <c r="FA86" s="158"/>
      <c r="FB86" s="158"/>
      <c r="FC86" s="158"/>
      <c r="FD86" s="158"/>
      <c r="FE86" s="158"/>
      <c r="FF86" s="158"/>
      <c r="FG86" s="158"/>
      <c r="FH86" s="158"/>
      <c r="FI86" s="158"/>
      <c r="FJ86" s="158"/>
      <c r="FK86" s="158"/>
      <c r="FL86" s="158"/>
      <c r="FM86" s="158"/>
      <c r="FN86" s="158"/>
      <c r="FO86" s="158"/>
      <c r="FP86" s="158"/>
      <c r="FQ86" s="158"/>
      <c r="FR86" s="158"/>
      <c r="FS86" s="158"/>
      <c r="FT86" s="158"/>
      <c r="FU86" s="158"/>
      <c r="FV86" s="158"/>
      <c r="FW86" s="158"/>
      <c r="FX86" s="158"/>
      <c r="FY86" s="158"/>
      <c r="FZ86" s="158"/>
      <c r="GA86" s="158"/>
      <c r="GB86" s="158"/>
      <c r="GC86" s="158"/>
      <c r="GD86" s="158"/>
      <c r="GE86" s="158"/>
      <c r="GF86" s="158"/>
      <c r="GG86" s="158"/>
      <c r="GH86" s="158"/>
      <c r="GI86" s="158"/>
      <c r="GJ86" s="158"/>
      <c r="GK86" s="158"/>
      <c r="GL86" s="158"/>
      <c r="GM86" s="158"/>
      <c r="GN86" s="158"/>
      <c r="GO86" s="158"/>
      <c r="GP86" s="158"/>
      <c r="GQ86" s="158"/>
      <c r="GR86" s="158"/>
      <c r="GS86" s="158"/>
      <c r="GT86" s="158"/>
      <c r="GU86" s="158"/>
      <c r="GV86" s="158"/>
      <c r="GW86" s="158"/>
      <c r="GX86" s="158"/>
      <c r="GY86" s="158"/>
      <c r="GZ86" s="158"/>
      <c r="HA86" s="158"/>
      <c r="HB86" s="158"/>
      <c r="HC86" s="158"/>
      <c r="HD86" s="158"/>
      <c r="HE86" s="158"/>
      <c r="HF86" s="158"/>
      <c r="HG86" s="158"/>
      <c r="HH86" s="158"/>
      <c r="HI86" s="158"/>
      <c r="HJ86" s="158"/>
      <c r="HK86" s="158"/>
      <c r="HL86" s="158"/>
      <c r="HM86" s="158"/>
      <c r="HN86" s="158"/>
      <c r="HO86" s="158"/>
      <c r="HP86" s="158"/>
      <c r="HQ86" s="158"/>
      <c r="HR86" s="158"/>
      <c r="HS86" s="158"/>
      <c r="HT86" s="158"/>
      <c r="HU86" s="158"/>
      <c r="HV86" s="158"/>
      <c r="HW86" s="158"/>
      <c r="HX86" s="158"/>
      <c r="HY86" s="158"/>
      <c r="HZ86" s="158"/>
      <c r="IA86" s="158"/>
      <c r="IB86" s="158"/>
      <c r="IC86" s="158"/>
    </row>
    <row r="87" spans="1:237" ht="15.3" x14ac:dyDescent="0.55000000000000004">
      <c r="A87" s="169"/>
      <c r="B87" s="158"/>
      <c r="C87" s="158"/>
      <c r="D87" s="158"/>
      <c r="E87" s="158"/>
      <c r="F87" s="158"/>
      <c r="G87" s="163"/>
      <c r="H87" s="206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60"/>
      <c r="V87" s="205"/>
      <c r="W87" s="284"/>
      <c r="X87" s="204"/>
      <c r="Y87" s="204"/>
      <c r="Z87" s="204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58"/>
      <c r="EH87" s="158"/>
      <c r="EI87" s="158"/>
      <c r="EJ87" s="158"/>
      <c r="EK87" s="158"/>
      <c r="EL87" s="158"/>
      <c r="EM87" s="158"/>
      <c r="EN87" s="158"/>
      <c r="EO87" s="158"/>
      <c r="EP87" s="158"/>
      <c r="EQ87" s="158"/>
      <c r="ER87" s="158"/>
      <c r="ES87" s="158"/>
      <c r="ET87" s="158"/>
      <c r="EU87" s="158"/>
      <c r="EV87" s="158"/>
      <c r="EW87" s="158"/>
      <c r="EX87" s="158"/>
      <c r="EY87" s="158"/>
      <c r="EZ87" s="158"/>
      <c r="FA87" s="158"/>
      <c r="FB87" s="158"/>
      <c r="FC87" s="158"/>
      <c r="FD87" s="158"/>
      <c r="FE87" s="158"/>
      <c r="FF87" s="158"/>
      <c r="FG87" s="158"/>
      <c r="FH87" s="158"/>
      <c r="FI87" s="158"/>
      <c r="FJ87" s="158"/>
      <c r="FK87" s="158"/>
      <c r="FL87" s="158"/>
      <c r="FM87" s="158"/>
      <c r="FN87" s="158"/>
      <c r="FO87" s="158"/>
      <c r="FP87" s="158"/>
      <c r="FQ87" s="158"/>
      <c r="FR87" s="158"/>
      <c r="FS87" s="158"/>
      <c r="FT87" s="158"/>
      <c r="FU87" s="158"/>
      <c r="FV87" s="158"/>
      <c r="FW87" s="158"/>
      <c r="FX87" s="158"/>
      <c r="FY87" s="158"/>
      <c r="FZ87" s="158"/>
      <c r="GA87" s="158"/>
      <c r="GB87" s="158"/>
      <c r="GC87" s="158"/>
      <c r="GD87" s="158"/>
      <c r="GE87" s="158"/>
      <c r="GF87" s="158"/>
      <c r="GG87" s="158"/>
      <c r="GH87" s="158"/>
      <c r="GI87" s="158"/>
      <c r="GJ87" s="158"/>
      <c r="GK87" s="158"/>
      <c r="GL87" s="158"/>
      <c r="GM87" s="158"/>
      <c r="GN87" s="158"/>
      <c r="GO87" s="158"/>
      <c r="GP87" s="158"/>
      <c r="GQ87" s="158"/>
      <c r="GR87" s="158"/>
      <c r="GS87" s="158"/>
      <c r="GT87" s="158"/>
      <c r="GU87" s="158"/>
      <c r="GV87" s="158"/>
      <c r="GW87" s="158"/>
      <c r="GX87" s="158"/>
      <c r="GY87" s="158"/>
      <c r="GZ87" s="158"/>
      <c r="HA87" s="158"/>
      <c r="HB87" s="158"/>
      <c r="HC87" s="158"/>
      <c r="HD87" s="158"/>
      <c r="HE87" s="158"/>
      <c r="HF87" s="158"/>
      <c r="HG87" s="158"/>
      <c r="HH87" s="158"/>
      <c r="HI87" s="158"/>
      <c r="HJ87" s="158"/>
      <c r="HK87" s="158"/>
      <c r="HL87" s="158"/>
      <c r="HM87" s="158"/>
      <c r="HN87" s="158"/>
      <c r="HO87" s="158"/>
      <c r="HP87" s="158"/>
      <c r="HQ87" s="158"/>
      <c r="HR87" s="158"/>
      <c r="HS87" s="158"/>
      <c r="HT87" s="158"/>
      <c r="HU87" s="158"/>
      <c r="HV87" s="158"/>
      <c r="HW87" s="158"/>
      <c r="HX87" s="158"/>
      <c r="HY87" s="158"/>
      <c r="HZ87" s="158"/>
      <c r="IA87" s="158"/>
      <c r="IB87" s="158"/>
      <c r="IC87" s="158"/>
    </row>
    <row r="88" spans="1:237" ht="15.3" x14ac:dyDescent="0.55000000000000004">
      <c r="A88" s="169"/>
      <c r="B88" s="158"/>
      <c r="C88" s="158"/>
      <c r="D88" s="158"/>
      <c r="E88" s="158"/>
      <c r="F88" s="158"/>
      <c r="G88" s="163"/>
      <c r="H88" s="206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60"/>
      <c r="V88" s="205"/>
      <c r="W88" s="284"/>
      <c r="X88" s="204"/>
      <c r="Y88" s="204"/>
      <c r="Z88" s="204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/>
      <c r="FD88" s="158"/>
      <c r="FE88" s="158"/>
      <c r="FF88" s="158"/>
      <c r="FG88" s="158"/>
      <c r="FH88" s="158"/>
      <c r="FI88" s="158"/>
      <c r="FJ88" s="158"/>
      <c r="FK88" s="158"/>
      <c r="FL88" s="158"/>
      <c r="FM88" s="158"/>
      <c r="FN88" s="158"/>
      <c r="FO88" s="158"/>
      <c r="FP88" s="158"/>
      <c r="FQ88" s="158"/>
      <c r="FR88" s="158"/>
      <c r="FS88" s="158"/>
      <c r="FT88" s="158"/>
      <c r="FU88" s="158"/>
      <c r="FV88" s="158"/>
      <c r="FW88" s="158"/>
      <c r="FX88" s="158"/>
      <c r="FY88" s="158"/>
      <c r="FZ88" s="158"/>
      <c r="GA88" s="158"/>
      <c r="GB88" s="158"/>
      <c r="GC88" s="158"/>
      <c r="GD88" s="158"/>
      <c r="GE88" s="158"/>
      <c r="GF88" s="158"/>
      <c r="GG88" s="158"/>
      <c r="GH88" s="158"/>
      <c r="GI88" s="158"/>
      <c r="GJ88" s="158"/>
      <c r="GK88" s="158"/>
      <c r="GL88" s="158"/>
      <c r="GM88" s="158"/>
      <c r="GN88" s="158"/>
      <c r="GO88" s="158"/>
      <c r="GP88" s="158"/>
      <c r="GQ88" s="158"/>
      <c r="GR88" s="158"/>
      <c r="GS88" s="158"/>
      <c r="GT88" s="158"/>
      <c r="GU88" s="158"/>
      <c r="GV88" s="158"/>
      <c r="GW88" s="158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58"/>
      <c r="HK88" s="158"/>
      <c r="HL88" s="158"/>
      <c r="HM88" s="158"/>
      <c r="HN88" s="158"/>
      <c r="HO88" s="158"/>
      <c r="HP88" s="158"/>
      <c r="HQ88" s="158"/>
      <c r="HR88" s="158"/>
      <c r="HS88" s="158"/>
      <c r="HT88" s="158"/>
      <c r="HU88" s="158"/>
      <c r="HV88" s="158"/>
      <c r="HW88" s="158"/>
      <c r="HX88" s="158"/>
      <c r="HY88" s="158"/>
      <c r="HZ88" s="158"/>
      <c r="IA88" s="158"/>
      <c r="IB88" s="158"/>
      <c r="IC88" s="158"/>
    </row>
    <row r="89" spans="1:237" ht="15.3" x14ac:dyDescent="0.55000000000000004">
      <c r="A89" s="169"/>
      <c r="B89" s="158"/>
      <c r="C89" s="158"/>
      <c r="D89" s="158"/>
      <c r="E89" s="158"/>
      <c r="F89" s="158"/>
      <c r="G89" s="163"/>
      <c r="H89" s="206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60"/>
      <c r="V89" s="205"/>
      <c r="W89" s="284"/>
      <c r="X89" s="204"/>
      <c r="Y89" s="204"/>
      <c r="Z89" s="204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8"/>
      <c r="EX89" s="158"/>
      <c r="EY89" s="158"/>
      <c r="EZ89" s="158"/>
      <c r="FA89" s="158"/>
      <c r="FB89" s="158"/>
      <c r="FC89" s="158"/>
      <c r="FD89" s="158"/>
      <c r="FE89" s="158"/>
      <c r="FF89" s="158"/>
      <c r="FG89" s="158"/>
      <c r="FH89" s="158"/>
      <c r="FI89" s="158"/>
      <c r="FJ89" s="158"/>
      <c r="FK89" s="158"/>
      <c r="FL89" s="158"/>
      <c r="FM89" s="158"/>
      <c r="FN89" s="158"/>
      <c r="FO89" s="158"/>
      <c r="FP89" s="158"/>
      <c r="FQ89" s="158"/>
      <c r="FR89" s="158"/>
      <c r="FS89" s="158"/>
      <c r="FT89" s="158"/>
      <c r="FU89" s="158"/>
      <c r="FV89" s="158"/>
      <c r="FW89" s="158"/>
      <c r="FX89" s="158"/>
      <c r="FY89" s="158"/>
      <c r="FZ89" s="158"/>
      <c r="GA89" s="158"/>
      <c r="GB89" s="158"/>
      <c r="GC89" s="158"/>
      <c r="GD89" s="158"/>
      <c r="GE89" s="158"/>
      <c r="GF89" s="158"/>
      <c r="GG89" s="158"/>
      <c r="GH89" s="158"/>
      <c r="GI89" s="158"/>
      <c r="GJ89" s="158"/>
      <c r="GK89" s="158"/>
      <c r="GL89" s="158"/>
      <c r="GM89" s="158"/>
      <c r="GN89" s="158"/>
      <c r="GO89" s="158"/>
      <c r="GP89" s="158"/>
      <c r="GQ89" s="158"/>
      <c r="GR89" s="158"/>
      <c r="GS89" s="158"/>
      <c r="GT89" s="158"/>
      <c r="GU89" s="158"/>
      <c r="GV89" s="158"/>
      <c r="GW89" s="158"/>
      <c r="GX89" s="158"/>
      <c r="GY89" s="158"/>
      <c r="GZ89" s="158"/>
      <c r="HA89" s="158"/>
      <c r="HB89" s="158"/>
      <c r="HC89" s="158"/>
      <c r="HD89" s="158"/>
      <c r="HE89" s="158"/>
      <c r="HF89" s="158"/>
      <c r="HG89" s="158"/>
      <c r="HH89" s="158"/>
      <c r="HI89" s="158"/>
      <c r="HJ89" s="158"/>
      <c r="HK89" s="158"/>
      <c r="HL89" s="158"/>
      <c r="HM89" s="158"/>
      <c r="HN89" s="158"/>
      <c r="HO89" s="158"/>
      <c r="HP89" s="158"/>
      <c r="HQ89" s="158"/>
      <c r="HR89" s="158"/>
      <c r="HS89" s="158"/>
      <c r="HT89" s="158"/>
      <c r="HU89" s="158"/>
      <c r="HV89" s="158"/>
      <c r="HW89" s="158"/>
      <c r="HX89" s="158"/>
      <c r="HY89" s="158"/>
      <c r="HZ89" s="158"/>
      <c r="IA89" s="158"/>
      <c r="IB89" s="158"/>
      <c r="IC89" s="158"/>
    </row>
    <row r="90" spans="1:237" ht="15.3" x14ac:dyDescent="0.55000000000000004">
      <c r="A90" s="169"/>
      <c r="B90" s="158"/>
      <c r="C90" s="158"/>
      <c r="D90" s="158"/>
      <c r="E90" s="158"/>
      <c r="F90" s="158"/>
      <c r="G90" s="163"/>
      <c r="H90" s="206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60"/>
      <c r="V90" s="205"/>
      <c r="W90" s="284"/>
      <c r="X90" s="204"/>
      <c r="Y90" s="204"/>
      <c r="Z90" s="204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8"/>
      <c r="HF90" s="158"/>
      <c r="HG90" s="158"/>
      <c r="HH90" s="158"/>
      <c r="HI90" s="158"/>
      <c r="HJ90" s="158"/>
      <c r="HK90" s="158"/>
      <c r="HL90" s="158"/>
      <c r="HM90" s="158"/>
      <c r="HN90" s="158"/>
      <c r="HO90" s="158"/>
      <c r="HP90" s="158"/>
      <c r="HQ90" s="158"/>
      <c r="HR90" s="158"/>
      <c r="HS90" s="158"/>
      <c r="HT90" s="158"/>
      <c r="HU90" s="158"/>
      <c r="HV90" s="158"/>
      <c r="HW90" s="158"/>
      <c r="HX90" s="158"/>
      <c r="HY90" s="158"/>
      <c r="HZ90" s="158"/>
      <c r="IA90" s="158"/>
      <c r="IB90" s="158"/>
      <c r="IC90" s="158"/>
    </row>
    <row r="91" spans="1:237" ht="15.3" x14ac:dyDescent="0.55000000000000004">
      <c r="A91" s="169"/>
      <c r="B91" s="158"/>
      <c r="C91" s="158"/>
      <c r="D91" s="158"/>
      <c r="E91" s="158"/>
      <c r="F91" s="158"/>
      <c r="G91" s="163"/>
      <c r="H91" s="206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60"/>
      <c r="V91" s="205"/>
      <c r="W91" s="284"/>
      <c r="X91" s="204"/>
      <c r="Y91" s="204"/>
      <c r="Z91" s="204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8"/>
      <c r="EZ91" s="158"/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  <c r="GD91" s="158"/>
      <c r="GE91" s="158"/>
      <c r="GF91" s="158"/>
      <c r="GG91" s="158"/>
      <c r="GH91" s="158"/>
      <c r="GI91" s="158"/>
      <c r="GJ91" s="158"/>
      <c r="GK91" s="158"/>
      <c r="GL91" s="158"/>
      <c r="GM91" s="158"/>
      <c r="GN91" s="158"/>
      <c r="GO91" s="158"/>
      <c r="GP91" s="158"/>
      <c r="GQ91" s="158"/>
      <c r="GR91" s="158"/>
      <c r="GS91" s="158"/>
      <c r="GT91" s="158"/>
      <c r="GU91" s="158"/>
      <c r="GV91" s="158"/>
      <c r="GW91" s="158"/>
      <c r="GX91" s="158"/>
      <c r="GY91" s="158"/>
      <c r="GZ91" s="158"/>
      <c r="HA91" s="158"/>
      <c r="HB91" s="158"/>
      <c r="HC91" s="158"/>
      <c r="HD91" s="158"/>
      <c r="HE91" s="158"/>
      <c r="HF91" s="158"/>
      <c r="HG91" s="158"/>
      <c r="HH91" s="158"/>
      <c r="HI91" s="158"/>
      <c r="HJ91" s="158"/>
      <c r="HK91" s="158"/>
      <c r="HL91" s="158"/>
      <c r="HM91" s="158"/>
      <c r="HN91" s="158"/>
      <c r="HO91" s="158"/>
      <c r="HP91" s="158"/>
      <c r="HQ91" s="158"/>
      <c r="HR91" s="158"/>
      <c r="HS91" s="158"/>
      <c r="HT91" s="158"/>
      <c r="HU91" s="158"/>
      <c r="HV91" s="158"/>
      <c r="HW91" s="158"/>
      <c r="HX91" s="158"/>
      <c r="HY91" s="158"/>
      <c r="HZ91" s="158"/>
      <c r="IA91" s="158"/>
      <c r="IB91" s="158"/>
      <c r="IC91" s="158"/>
    </row>
    <row r="92" spans="1:237" ht="15.3" x14ac:dyDescent="0.55000000000000004">
      <c r="A92" s="169"/>
      <c r="B92" s="158"/>
      <c r="C92" s="158"/>
      <c r="D92" s="158"/>
      <c r="E92" s="158"/>
      <c r="F92" s="158"/>
      <c r="G92" s="163"/>
      <c r="H92" s="206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60"/>
      <c r="V92" s="205"/>
      <c r="W92" s="284"/>
      <c r="X92" s="204"/>
      <c r="Y92" s="204"/>
      <c r="Z92" s="204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8"/>
      <c r="EZ92" s="158"/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8"/>
      <c r="FQ92" s="158"/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8"/>
      <c r="GL92" s="158"/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58"/>
      <c r="HK92" s="158"/>
      <c r="HL92" s="158"/>
      <c r="HM92" s="158"/>
      <c r="HN92" s="158"/>
      <c r="HO92" s="158"/>
      <c r="HP92" s="158"/>
      <c r="HQ92" s="158"/>
      <c r="HR92" s="158"/>
      <c r="HS92" s="158"/>
      <c r="HT92" s="158"/>
      <c r="HU92" s="158"/>
      <c r="HV92" s="158"/>
      <c r="HW92" s="158"/>
      <c r="HX92" s="158"/>
      <c r="HY92" s="158"/>
      <c r="HZ92" s="158"/>
      <c r="IA92" s="158"/>
      <c r="IB92" s="158"/>
      <c r="IC92" s="158"/>
    </row>
    <row r="93" spans="1:237" ht="15.3" x14ac:dyDescent="0.55000000000000004">
      <c r="A93" s="169"/>
      <c r="B93" s="158"/>
      <c r="C93" s="158"/>
      <c r="D93" s="158"/>
      <c r="E93" s="158"/>
      <c r="F93" s="158"/>
      <c r="G93" s="163"/>
      <c r="H93" s="206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60"/>
      <c r="V93" s="205"/>
      <c r="W93" s="284"/>
      <c r="X93" s="204"/>
      <c r="Y93" s="204"/>
      <c r="Z93" s="204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8"/>
      <c r="EK93" s="158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8"/>
      <c r="EZ93" s="158"/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8"/>
      <c r="FQ93" s="158"/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8"/>
      <c r="GL93" s="158"/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8"/>
      <c r="GZ93" s="158"/>
      <c r="HA93" s="158"/>
      <c r="HB93" s="158"/>
      <c r="HC93" s="158"/>
      <c r="HD93" s="158"/>
      <c r="HE93" s="158"/>
      <c r="HF93" s="158"/>
      <c r="HG93" s="158"/>
      <c r="HH93" s="158"/>
      <c r="HI93" s="158"/>
      <c r="HJ93" s="158"/>
      <c r="HK93" s="158"/>
      <c r="HL93" s="158"/>
      <c r="HM93" s="158"/>
      <c r="HN93" s="158"/>
      <c r="HO93" s="158"/>
      <c r="HP93" s="158"/>
      <c r="HQ93" s="158"/>
      <c r="HR93" s="158"/>
      <c r="HS93" s="158"/>
      <c r="HT93" s="158"/>
      <c r="HU93" s="158"/>
      <c r="HV93" s="158"/>
      <c r="HW93" s="158"/>
      <c r="HX93" s="158"/>
      <c r="HY93" s="158"/>
      <c r="HZ93" s="158"/>
      <c r="IA93" s="158"/>
      <c r="IB93" s="158"/>
      <c r="IC93" s="158"/>
    </row>
    <row r="94" spans="1:237" ht="15.3" x14ac:dyDescent="0.55000000000000004">
      <c r="A94" s="169"/>
      <c r="B94" s="158"/>
      <c r="C94" s="158"/>
      <c r="D94" s="158"/>
      <c r="E94" s="158"/>
      <c r="F94" s="158"/>
      <c r="G94" s="163"/>
      <c r="H94" s="206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60"/>
      <c r="V94" s="205"/>
      <c r="W94" s="284"/>
      <c r="X94" s="204"/>
      <c r="Y94" s="204"/>
      <c r="Z94" s="204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158"/>
      <c r="DK94" s="158"/>
      <c r="DL94" s="158"/>
      <c r="DM94" s="158"/>
      <c r="DN94" s="158"/>
      <c r="DO94" s="158"/>
      <c r="DP94" s="158"/>
      <c r="DQ94" s="158"/>
      <c r="DR94" s="158"/>
      <c r="DS94" s="158"/>
      <c r="DT94" s="158"/>
      <c r="DU94" s="158"/>
      <c r="DV94" s="158"/>
      <c r="DW94" s="158"/>
      <c r="DX94" s="158"/>
      <c r="DY94" s="158"/>
      <c r="DZ94" s="158"/>
      <c r="EA94" s="158"/>
      <c r="EB94" s="158"/>
      <c r="EC94" s="158"/>
      <c r="ED94" s="158"/>
      <c r="EE94" s="158"/>
      <c r="EF94" s="158"/>
      <c r="EG94" s="158"/>
      <c r="EH94" s="158"/>
      <c r="EI94" s="158"/>
      <c r="EJ94" s="158"/>
      <c r="EK94" s="158"/>
      <c r="EL94" s="158"/>
      <c r="EM94" s="158"/>
      <c r="EN94" s="158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/>
      <c r="FD94" s="158"/>
      <c r="FE94" s="158"/>
      <c r="FF94" s="158"/>
      <c r="FG94" s="158"/>
      <c r="FH94" s="158"/>
      <c r="FI94" s="158"/>
      <c r="FJ94" s="158"/>
      <c r="FK94" s="158"/>
      <c r="FL94" s="158"/>
      <c r="FM94" s="158"/>
      <c r="FN94" s="158"/>
      <c r="FO94" s="158"/>
      <c r="FP94" s="158"/>
      <c r="FQ94" s="158"/>
      <c r="FR94" s="158"/>
      <c r="FS94" s="158"/>
      <c r="FT94" s="158"/>
      <c r="FU94" s="158"/>
      <c r="FV94" s="158"/>
      <c r="FW94" s="158"/>
      <c r="FX94" s="158"/>
      <c r="FY94" s="158"/>
      <c r="FZ94" s="158"/>
      <c r="GA94" s="158"/>
      <c r="GB94" s="158"/>
      <c r="GC94" s="158"/>
      <c r="GD94" s="158"/>
      <c r="GE94" s="158"/>
      <c r="GF94" s="158"/>
      <c r="GG94" s="158"/>
      <c r="GH94" s="158"/>
      <c r="GI94" s="158"/>
      <c r="GJ94" s="158"/>
      <c r="GK94" s="158"/>
      <c r="GL94" s="158"/>
      <c r="GM94" s="158"/>
      <c r="GN94" s="158"/>
      <c r="GO94" s="158"/>
      <c r="GP94" s="158"/>
      <c r="GQ94" s="158"/>
      <c r="GR94" s="158"/>
      <c r="GS94" s="158"/>
      <c r="GT94" s="158"/>
      <c r="GU94" s="158"/>
      <c r="GV94" s="158"/>
      <c r="GW94" s="158"/>
      <c r="GX94" s="158"/>
      <c r="GY94" s="158"/>
      <c r="GZ94" s="158"/>
      <c r="HA94" s="158"/>
      <c r="HB94" s="158"/>
      <c r="HC94" s="158"/>
      <c r="HD94" s="158"/>
      <c r="HE94" s="158"/>
      <c r="HF94" s="158"/>
      <c r="HG94" s="158"/>
      <c r="HH94" s="158"/>
      <c r="HI94" s="158"/>
      <c r="HJ94" s="158"/>
      <c r="HK94" s="158"/>
      <c r="HL94" s="158"/>
      <c r="HM94" s="158"/>
      <c r="HN94" s="158"/>
      <c r="HO94" s="158"/>
      <c r="HP94" s="158"/>
      <c r="HQ94" s="158"/>
      <c r="HR94" s="158"/>
      <c r="HS94" s="158"/>
      <c r="HT94" s="158"/>
      <c r="HU94" s="158"/>
      <c r="HV94" s="158"/>
      <c r="HW94" s="158"/>
      <c r="HX94" s="158"/>
      <c r="HY94" s="158"/>
      <c r="HZ94" s="158"/>
      <c r="IA94" s="158"/>
      <c r="IB94" s="158"/>
      <c r="IC94" s="158"/>
    </row>
    <row r="95" spans="1:237" ht="15.3" x14ac:dyDescent="0.55000000000000004">
      <c r="A95" s="169"/>
      <c r="B95" s="158"/>
      <c r="C95" s="158"/>
      <c r="D95" s="158"/>
      <c r="E95" s="158"/>
      <c r="F95" s="158"/>
      <c r="G95" s="163"/>
      <c r="H95" s="206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60"/>
      <c r="V95" s="205"/>
      <c r="W95" s="284"/>
      <c r="X95" s="204"/>
      <c r="Y95" s="204"/>
      <c r="Z95" s="204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158"/>
      <c r="DK95" s="158"/>
      <c r="DL95" s="158"/>
      <c r="DM95" s="158"/>
      <c r="DN95" s="158"/>
      <c r="DO95" s="158"/>
      <c r="DP95" s="158"/>
      <c r="DQ95" s="158"/>
      <c r="DR95" s="158"/>
      <c r="DS95" s="158"/>
      <c r="DT95" s="158"/>
      <c r="DU95" s="158"/>
      <c r="DV95" s="158"/>
      <c r="DW95" s="158"/>
      <c r="DX95" s="158"/>
      <c r="DY95" s="158"/>
      <c r="DZ95" s="158"/>
      <c r="EA95" s="158"/>
      <c r="EB95" s="158"/>
      <c r="EC95" s="158"/>
      <c r="ED95" s="158"/>
      <c r="EE95" s="158"/>
      <c r="EF95" s="158"/>
      <c r="EG95" s="158"/>
      <c r="EH95" s="158"/>
      <c r="EI95" s="158"/>
      <c r="EJ95" s="158"/>
      <c r="EK95" s="158"/>
      <c r="EL95" s="158"/>
      <c r="EM95" s="158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/>
      <c r="FD95" s="158"/>
      <c r="FE95" s="158"/>
      <c r="FF95" s="158"/>
      <c r="FG95" s="158"/>
      <c r="FH95" s="158"/>
      <c r="FI95" s="158"/>
      <c r="FJ95" s="158"/>
      <c r="FK95" s="158"/>
      <c r="FL95" s="158"/>
      <c r="FM95" s="158"/>
      <c r="FN95" s="158"/>
      <c r="FO95" s="158"/>
      <c r="FP95" s="158"/>
      <c r="FQ95" s="158"/>
      <c r="FR95" s="158"/>
      <c r="FS95" s="158"/>
      <c r="FT95" s="158"/>
      <c r="FU95" s="158"/>
      <c r="FV95" s="158"/>
      <c r="FW95" s="158"/>
      <c r="FX95" s="158"/>
      <c r="FY95" s="158"/>
      <c r="FZ95" s="158"/>
      <c r="GA95" s="158"/>
      <c r="GB95" s="158"/>
      <c r="GC95" s="158"/>
      <c r="GD95" s="158"/>
      <c r="GE95" s="158"/>
      <c r="GF95" s="158"/>
      <c r="GG95" s="158"/>
      <c r="GH95" s="158"/>
      <c r="GI95" s="158"/>
      <c r="GJ95" s="158"/>
      <c r="GK95" s="158"/>
      <c r="GL95" s="158"/>
      <c r="GM95" s="158"/>
      <c r="GN95" s="158"/>
      <c r="GO95" s="158"/>
      <c r="GP95" s="158"/>
      <c r="GQ95" s="158"/>
      <c r="GR95" s="158"/>
      <c r="GS95" s="158"/>
      <c r="GT95" s="158"/>
      <c r="GU95" s="158"/>
      <c r="GV95" s="158"/>
      <c r="GW95" s="158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58"/>
      <c r="HK95" s="158"/>
      <c r="HL95" s="158"/>
      <c r="HM95" s="158"/>
      <c r="HN95" s="158"/>
      <c r="HO95" s="158"/>
      <c r="HP95" s="158"/>
      <c r="HQ95" s="158"/>
      <c r="HR95" s="158"/>
      <c r="HS95" s="158"/>
      <c r="HT95" s="158"/>
      <c r="HU95" s="158"/>
      <c r="HV95" s="158"/>
      <c r="HW95" s="158"/>
      <c r="HX95" s="158"/>
      <c r="HY95" s="158"/>
      <c r="HZ95" s="158"/>
      <c r="IA95" s="158"/>
      <c r="IB95" s="158"/>
      <c r="IC95" s="158"/>
    </row>
    <row r="96" spans="1:237" ht="15.3" x14ac:dyDescent="0.55000000000000004">
      <c r="A96" s="169"/>
      <c r="B96" s="158"/>
      <c r="C96" s="158"/>
      <c r="D96" s="158"/>
      <c r="E96" s="158"/>
      <c r="F96" s="158"/>
      <c r="G96" s="163"/>
      <c r="H96" s="206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60"/>
      <c r="V96" s="205"/>
      <c r="W96" s="284"/>
      <c r="X96" s="204"/>
      <c r="Y96" s="204"/>
      <c r="Z96" s="204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B96" s="158"/>
      <c r="FC96" s="158"/>
      <c r="FD96" s="158"/>
      <c r="FE96" s="158"/>
      <c r="FF96" s="158"/>
      <c r="FG96" s="158"/>
      <c r="FH96" s="158"/>
      <c r="FI96" s="158"/>
      <c r="FJ96" s="158"/>
      <c r="FK96" s="158"/>
      <c r="FL96" s="158"/>
      <c r="FM96" s="158"/>
      <c r="FN96" s="158"/>
      <c r="FO96" s="158"/>
      <c r="FP96" s="158"/>
      <c r="FQ96" s="158"/>
      <c r="FR96" s="158"/>
      <c r="FS96" s="158"/>
      <c r="FT96" s="158"/>
      <c r="FU96" s="158"/>
      <c r="FV96" s="158"/>
      <c r="FW96" s="158"/>
      <c r="FX96" s="158"/>
      <c r="FY96" s="158"/>
      <c r="FZ96" s="158"/>
      <c r="GA96" s="158"/>
      <c r="GB96" s="158"/>
      <c r="GC96" s="158"/>
      <c r="GD96" s="158"/>
      <c r="GE96" s="158"/>
      <c r="GF96" s="158"/>
      <c r="GG96" s="158"/>
      <c r="GH96" s="158"/>
      <c r="GI96" s="158"/>
      <c r="GJ96" s="158"/>
      <c r="GK96" s="158"/>
      <c r="GL96" s="158"/>
      <c r="GM96" s="158"/>
      <c r="GN96" s="158"/>
      <c r="GO96" s="158"/>
      <c r="GP96" s="158"/>
      <c r="GQ96" s="158"/>
      <c r="GR96" s="158"/>
      <c r="GS96" s="158"/>
      <c r="GT96" s="158"/>
      <c r="GU96" s="158"/>
      <c r="GV96" s="158"/>
      <c r="GW96" s="158"/>
      <c r="GX96" s="158"/>
      <c r="GY96" s="158"/>
      <c r="GZ96" s="158"/>
      <c r="HA96" s="158"/>
      <c r="HB96" s="158"/>
      <c r="HC96" s="158"/>
      <c r="HD96" s="158"/>
      <c r="HE96" s="158"/>
      <c r="HF96" s="158"/>
      <c r="HG96" s="158"/>
      <c r="HH96" s="158"/>
      <c r="HI96" s="158"/>
      <c r="HJ96" s="158"/>
      <c r="HK96" s="158"/>
      <c r="HL96" s="158"/>
      <c r="HM96" s="158"/>
      <c r="HN96" s="158"/>
      <c r="HO96" s="158"/>
      <c r="HP96" s="158"/>
      <c r="HQ96" s="158"/>
      <c r="HR96" s="158"/>
      <c r="HS96" s="158"/>
      <c r="HT96" s="158"/>
      <c r="HU96" s="158"/>
      <c r="HV96" s="158"/>
      <c r="HW96" s="158"/>
      <c r="HX96" s="158"/>
      <c r="HY96" s="158"/>
      <c r="HZ96" s="158"/>
      <c r="IA96" s="158"/>
      <c r="IB96" s="158"/>
      <c r="IC96" s="158"/>
    </row>
    <row r="97" spans="1:237" ht="15.3" x14ac:dyDescent="0.55000000000000004">
      <c r="A97" s="169"/>
      <c r="B97" s="158"/>
      <c r="C97" s="158"/>
      <c r="D97" s="158"/>
      <c r="E97" s="158"/>
      <c r="F97" s="158"/>
      <c r="G97" s="163"/>
      <c r="H97" s="206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60"/>
      <c r="V97" s="205"/>
      <c r="W97" s="284"/>
      <c r="X97" s="204"/>
      <c r="Y97" s="204"/>
      <c r="Z97" s="204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  <c r="CH97" s="158"/>
      <c r="CI97" s="158"/>
      <c r="CJ97" s="158"/>
      <c r="CK97" s="158"/>
      <c r="CL97" s="158"/>
      <c r="CM97" s="158"/>
      <c r="CN97" s="158"/>
      <c r="CO97" s="158"/>
      <c r="CP97" s="158"/>
      <c r="CQ97" s="158"/>
      <c r="CR97" s="158"/>
      <c r="CS97" s="158"/>
      <c r="CT97" s="158"/>
      <c r="CU97" s="158"/>
      <c r="CV97" s="158"/>
      <c r="CW97" s="158"/>
      <c r="CX97" s="158"/>
      <c r="CY97" s="158"/>
      <c r="CZ97" s="158"/>
      <c r="DA97" s="158"/>
      <c r="DB97" s="158"/>
      <c r="DC97" s="158"/>
      <c r="DD97" s="158"/>
      <c r="DE97" s="158"/>
      <c r="DF97" s="158"/>
      <c r="DG97" s="158"/>
      <c r="DH97" s="158"/>
      <c r="DI97" s="158"/>
      <c r="DJ97" s="158"/>
      <c r="DK97" s="158"/>
      <c r="DL97" s="158"/>
      <c r="DM97" s="158"/>
      <c r="DN97" s="158"/>
      <c r="DO97" s="158"/>
      <c r="DP97" s="158"/>
      <c r="DQ97" s="158"/>
      <c r="DR97" s="158"/>
      <c r="DS97" s="158"/>
      <c r="DT97" s="158"/>
      <c r="DU97" s="158"/>
      <c r="DV97" s="158"/>
      <c r="DW97" s="158"/>
      <c r="DX97" s="158"/>
      <c r="DY97" s="158"/>
      <c r="DZ97" s="158"/>
      <c r="EA97" s="158"/>
      <c r="EB97" s="158"/>
      <c r="EC97" s="158"/>
      <c r="ED97" s="158"/>
      <c r="EE97" s="158"/>
      <c r="EF97" s="158"/>
      <c r="EG97" s="158"/>
      <c r="EH97" s="158"/>
      <c r="EI97" s="158"/>
      <c r="EJ97" s="158"/>
      <c r="EK97" s="158"/>
      <c r="EL97" s="158"/>
      <c r="EM97" s="158"/>
      <c r="EN97" s="158"/>
      <c r="EO97" s="158"/>
      <c r="EP97" s="158"/>
      <c r="EQ97" s="158"/>
      <c r="ER97" s="158"/>
      <c r="ES97" s="158"/>
      <c r="ET97" s="158"/>
      <c r="EU97" s="158"/>
      <c r="EV97" s="158"/>
      <c r="EW97" s="158"/>
      <c r="EX97" s="158"/>
      <c r="EY97" s="158"/>
      <c r="EZ97" s="158"/>
      <c r="FA97" s="158"/>
      <c r="FB97" s="158"/>
      <c r="FC97" s="158"/>
      <c r="FD97" s="158"/>
      <c r="FE97" s="158"/>
      <c r="FF97" s="158"/>
      <c r="FG97" s="158"/>
      <c r="FH97" s="158"/>
      <c r="FI97" s="158"/>
      <c r="FJ97" s="158"/>
      <c r="FK97" s="158"/>
      <c r="FL97" s="158"/>
      <c r="FM97" s="158"/>
      <c r="FN97" s="158"/>
      <c r="FO97" s="158"/>
      <c r="FP97" s="158"/>
      <c r="FQ97" s="158"/>
      <c r="FR97" s="158"/>
      <c r="FS97" s="158"/>
      <c r="FT97" s="158"/>
      <c r="FU97" s="158"/>
      <c r="FV97" s="158"/>
      <c r="FW97" s="158"/>
      <c r="FX97" s="158"/>
      <c r="FY97" s="158"/>
      <c r="FZ97" s="158"/>
      <c r="GA97" s="158"/>
      <c r="GB97" s="158"/>
      <c r="GC97" s="158"/>
      <c r="GD97" s="158"/>
      <c r="GE97" s="158"/>
      <c r="GF97" s="158"/>
      <c r="GG97" s="158"/>
      <c r="GH97" s="158"/>
      <c r="GI97" s="158"/>
      <c r="GJ97" s="158"/>
      <c r="GK97" s="158"/>
      <c r="GL97" s="158"/>
      <c r="GM97" s="158"/>
      <c r="GN97" s="158"/>
      <c r="GO97" s="158"/>
      <c r="GP97" s="158"/>
      <c r="GQ97" s="158"/>
      <c r="GR97" s="158"/>
      <c r="GS97" s="158"/>
      <c r="GT97" s="158"/>
      <c r="GU97" s="158"/>
      <c r="GV97" s="158"/>
      <c r="GW97" s="158"/>
      <c r="GX97" s="158"/>
      <c r="GY97" s="158"/>
      <c r="GZ97" s="158"/>
      <c r="HA97" s="158"/>
      <c r="HB97" s="158"/>
      <c r="HC97" s="158"/>
      <c r="HD97" s="158"/>
      <c r="HE97" s="158"/>
      <c r="HF97" s="158"/>
      <c r="HG97" s="158"/>
      <c r="HH97" s="158"/>
      <c r="HI97" s="158"/>
      <c r="HJ97" s="158"/>
      <c r="HK97" s="158"/>
      <c r="HL97" s="158"/>
      <c r="HM97" s="158"/>
      <c r="HN97" s="158"/>
      <c r="HO97" s="158"/>
      <c r="HP97" s="158"/>
      <c r="HQ97" s="158"/>
      <c r="HR97" s="158"/>
      <c r="HS97" s="158"/>
      <c r="HT97" s="158"/>
      <c r="HU97" s="158"/>
      <c r="HV97" s="158"/>
      <c r="HW97" s="158"/>
      <c r="HX97" s="158"/>
      <c r="HY97" s="158"/>
      <c r="HZ97" s="158"/>
      <c r="IA97" s="158"/>
      <c r="IB97" s="158"/>
      <c r="IC97" s="158"/>
    </row>
    <row r="98" spans="1:237" ht="15.3" x14ac:dyDescent="0.55000000000000004">
      <c r="A98" s="169"/>
      <c r="B98" s="158"/>
      <c r="C98" s="158"/>
      <c r="D98" s="158"/>
      <c r="E98" s="158"/>
      <c r="F98" s="158"/>
      <c r="G98" s="163"/>
      <c r="H98" s="206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60"/>
      <c r="V98" s="205"/>
      <c r="W98" s="284"/>
      <c r="X98" s="204"/>
      <c r="Y98" s="204"/>
      <c r="Z98" s="204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158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/>
      <c r="DW98" s="158"/>
      <c r="DX98" s="158"/>
      <c r="DY98" s="158"/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8"/>
      <c r="EX98" s="158"/>
      <c r="EY98" s="158"/>
      <c r="EZ98" s="158"/>
      <c r="FA98" s="158"/>
      <c r="FB98" s="158"/>
      <c r="FC98" s="158"/>
      <c r="FD98" s="158"/>
      <c r="FE98" s="158"/>
      <c r="FF98" s="158"/>
      <c r="FG98" s="158"/>
      <c r="FH98" s="158"/>
      <c r="FI98" s="158"/>
      <c r="FJ98" s="158"/>
      <c r="FK98" s="158"/>
      <c r="FL98" s="158"/>
      <c r="FM98" s="158"/>
      <c r="FN98" s="158"/>
      <c r="FO98" s="158"/>
      <c r="FP98" s="158"/>
      <c r="FQ98" s="158"/>
      <c r="FR98" s="158"/>
      <c r="FS98" s="158"/>
      <c r="FT98" s="158"/>
      <c r="FU98" s="158"/>
      <c r="FV98" s="158"/>
      <c r="FW98" s="158"/>
      <c r="FX98" s="158"/>
      <c r="FY98" s="158"/>
      <c r="FZ98" s="158"/>
      <c r="GA98" s="158"/>
      <c r="GB98" s="158"/>
      <c r="GC98" s="158"/>
      <c r="GD98" s="158"/>
      <c r="GE98" s="158"/>
      <c r="GF98" s="158"/>
      <c r="GG98" s="158"/>
      <c r="GH98" s="158"/>
      <c r="GI98" s="158"/>
      <c r="GJ98" s="158"/>
      <c r="GK98" s="158"/>
      <c r="GL98" s="158"/>
      <c r="GM98" s="158"/>
      <c r="GN98" s="158"/>
      <c r="GO98" s="158"/>
      <c r="GP98" s="158"/>
      <c r="GQ98" s="158"/>
      <c r="GR98" s="158"/>
      <c r="GS98" s="158"/>
      <c r="GT98" s="158"/>
      <c r="GU98" s="158"/>
      <c r="GV98" s="158"/>
      <c r="GW98" s="158"/>
      <c r="GX98" s="158"/>
      <c r="GY98" s="158"/>
      <c r="GZ98" s="158"/>
      <c r="HA98" s="158"/>
      <c r="HB98" s="158"/>
      <c r="HC98" s="158"/>
      <c r="HD98" s="158"/>
      <c r="HE98" s="158"/>
      <c r="HF98" s="158"/>
      <c r="HG98" s="158"/>
      <c r="HH98" s="158"/>
      <c r="HI98" s="158"/>
      <c r="HJ98" s="158"/>
      <c r="HK98" s="158"/>
      <c r="HL98" s="158"/>
      <c r="HM98" s="158"/>
      <c r="HN98" s="158"/>
      <c r="HO98" s="158"/>
      <c r="HP98" s="158"/>
      <c r="HQ98" s="158"/>
      <c r="HR98" s="158"/>
      <c r="HS98" s="158"/>
      <c r="HT98" s="158"/>
      <c r="HU98" s="158"/>
      <c r="HV98" s="158"/>
      <c r="HW98" s="158"/>
      <c r="HX98" s="158"/>
      <c r="HY98" s="158"/>
      <c r="HZ98" s="158"/>
      <c r="IA98" s="158"/>
      <c r="IB98" s="158"/>
      <c r="IC98" s="158"/>
    </row>
    <row r="99" spans="1:237" ht="15.3" x14ac:dyDescent="0.55000000000000004">
      <c r="A99" s="169"/>
      <c r="B99" s="158"/>
      <c r="C99" s="158"/>
      <c r="D99" s="158"/>
      <c r="E99" s="158"/>
      <c r="F99" s="158"/>
      <c r="G99" s="163"/>
      <c r="H99" s="206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60"/>
      <c r="V99" s="205"/>
      <c r="W99" s="284"/>
      <c r="X99" s="204"/>
      <c r="Y99" s="204"/>
      <c r="Z99" s="204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8"/>
      <c r="GQ99" s="158"/>
      <c r="GR99" s="158"/>
      <c r="GS99" s="158"/>
      <c r="GT99" s="158"/>
      <c r="GU99" s="158"/>
      <c r="GV99" s="158"/>
      <c r="GW99" s="158"/>
      <c r="GX99" s="158"/>
      <c r="GY99" s="158"/>
      <c r="GZ99" s="158"/>
      <c r="HA99" s="158"/>
      <c r="HB99" s="158"/>
      <c r="HC99" s="158"/>
      <c r="HD99" s="158"/>
      <c r="HE99" s="158"/>
      <c r="HF99" s="158"/>
      <c r="HG99" s="158"/>
      <c r="HH99" s="158"/>
      <c r="HI99" s="158"/>
      <c r="HJ99" s="158"/>
      <c r="HK99" s="158"/>
      <c r="HL99" s="158"/>
      <c r="HM99" s="158"/>
      <c r="HN99" s="158"/>
      <c r="HO99" s="158"/>
      <c r="HP99" s="158"/>
      <c r="HQ99" s="158"/>
      <c r="HR99" s="158"/>
      <c r="HS99" s="158"/>
      <c r="HT99" s="158"/>
      <c r="HU99" s="158"/>
      <c r="HV99" s="158"/>
      <c r="HW99" s="158"/>
      <c r="HX99" s="158"/>
      <c r="HY99" s="158"/>
      <c r="HZ99" s="158"/>
      <c r="IA99" s="158"/>
      <c r="IB99" s="158"/>
      <c r="IC99" s="158"/>
    </row>
    <row r="100" spans="1:237" ht="15.3" x14ac:dyDescent="0.55000000000000004">
      <c r="A100" s="169"/>
      <c r="B100" s="158"/>
      <c r="C100" s="158"/>
      <c r="D100" s="158"/>
      <c r="E100" s="158"/>
      <c r="F100" s="158"/>
      <c r="G100" s="163"/>
      <c r="H100" s="206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60"/>
      <c r="V100" s="205"/>
      <c r="W100" s="284"/>
      <c r="X100" s="204"/>
      <c r="Y100" s="204"/>
      <c r="Z100" s="204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8"/>
      <c r="FY100" s="158"/>
      <c r="FZ100" s="158"/>
      <c r="GA100" s="158"/>
      <c r="GB100" s="158"/>
      <c r="GC100" s="158"/>
      <c r="GD100" s="158"/>
      <c r="GE100" s="158"/>
      <c r="GF100" s="158"/>
      <c r="GG100" s="158"/>
      <c r="GH100" s="158"/>
      <c r="GI100" s="158"/>
      <c r="GJ100" s="158"/>
      <c r="GK100" s="158"/>
      <c r="GL100" s="158"/>
      <c r="GM100" s="158"/>
      <c r="GN100" s="158"/>
      <c r="GO100" s="158"/>
      <c r="GP100" s="158"/>
      <c r="GQ100" s="158"/>
      <c r="GR100" s="158"/>
      <c r="GS100" s="158"/>
      <c r="GT100" s="158"/>
      <c r="GU100" s="158"/>
      <c r="GV100" s="158"/>
      <c r="GW100" s="158"/>
      <c r="GX100" s="158"/>
      <c r="GY100" s="158"/>
      <c r="GZ100" s="158"/>
      <c r="HA100" s="158"/>
      <c r="HB100" s="158"/>
      <c r="HC100" s="158"/>
      <c r="HD100" s="158"/>
      <c r="HE100" s="158"/>
      <c r="HF100" s="158"/>
      <c r="HG100" s="158"/>
      <c r="HH100" s="158"/>
      <c r="HI100" s="158"/>
      <c r="HJ100" s="158"/>
      <c r="HK100" s="158"/>
      <c r="HL100" s="158"/>
      <c r="HM100" s="158"/>
      <c r="HN100" s="158"/>
      <c r="HO100" s="158"/>
      <c r="HP100" s="158"/>
      <c r="HQ100" s="158"/>
      <c r="HR100" s="158"/>
      <c r="HS100" s="158"/>
      <c r="HT100" s="158"/>
      <c r="HU100" s="158"/>
      <c r="HV100" s="158"/>
      <c r="HW100" s="158"/>
      <c r="HX100" s="158"/>
      <c r="HY100" s="158"/>
      <c r="HZ100" s="158"/>
      <c r="IA100" s="158"/>
      <c r="IB100" s="158"/>
      <c r="IC100" s="158"/>
    </row>
    <row r="101" spans="1:237" ht="15.3" x14ac:dyDescent="0.55000000000000004">
      <c r="A101" s="169"/>
      <c r="B101" s="158"/>
      <c r="C101" s="158"/>
      <c r="D101" s="158"/>
      <c r="E101" s="158"/>
      <c r="F101" s="158"/>
      <c r="G101" s="163"/>
      <c r="H101" s="206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60"/>
      <c r="V101" s="205"/>
      <c r="W101" s="284"/>
      <c r="X101" s="204"/>
      <c r="Y101" s="204"/>
      <c r="Z101" s="204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  <c r="GD101" s="158"/>
      <c r="GE101" s="158"/>
      <c r="GF101" s="158"/>
      <c r="GG101" s="158"/>
      <c r="GH101" s="158"/>
      <c r="GI101" s="158"/>
      <c r="GJ101" s="158"/>
      <c r="GK101" s="158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</row>
    <row r="102" spans="1:237" ht="15.3" x14ac:dyDescent="0.55000000000000004">
      <c r="A102" s="169"/>
      <c r="B102" s="158"/>
      <c r="C102" s="158"/>
      <c r="D102" s="158"/>
      <c r="E102" s="158"/>
      <c r="F102" s="158"/>
      <c r="G102" s="163"/>
      <c r="H102" s="206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60"/>
      <c r="V102" s="205"/>
      <c r="W102" s="284"/>
      <c r="X102" s="204"/>
      <c r="Y102" s="204"/>
      <c r="Z102" s="204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8"/>
      <c r="DD102" s="158"/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8"/>
      <c r="DS102" s="158"/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8"/>
      <c r="EI102" s="158"/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8"/>
      <c r="EV102" s="158"/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8"/>
      <c r="FL102" s="158"/>
      <c r="FM102" s="158"/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8"/>
      <c r="FY102" s="158"/>
      <c r="FZ102" s="158"/>
      <c r="GA102" s="158"/>
      <c r="GB102" s="158"/>
      <c r="GC102" s="158"/>
      <c r="GD102" s="158"/>
      <c r="GE102" s="158"/>
      <c r="GF102" s="158"/>
      <c r="GG102" s="158"/>
      <c r="GH102" s="158"/>
      <c r="GI102" s="158"/>
      <c r="GJ102" s="158"/>
      <c r="GK102" s="158"/>
      <c r="GL102" s="158"/>
      <c r="GM102" s="158"/>
      <c r="GN102" s="158"/>
      <c r="GO102" s="158"/>
      <c r="GP102" s="158"/>
      <c r="GQ102" s="158"/>
      <c r="GR102" s="158"/>
      <c r="GS102" s="158"/>
      <c r="GT102" s="158"/>
      <c r="GU102" s="158"/>
      <c r="GV102" s="158"/>
      <c r="GW102" s="158"/>
      <c r="GX102" s="158"/>
      <c r="GY102" s="158"/>
      <c r="GZ102" s="158"/>
      <c r="HA102" s="158"/>
      <c r="HB102" s="158"/>
      <c r="HC102" s="158"/>
      <c r="HD102" s="158"/>
      <c r="HE102" s="158"/>
      <c r="HF102" s="158"/>
      <c r="HG102" s="158"/>
      <c r="HH102" s="158"/>
      <c r="HI102" s="158"/>
      <c r="HJ102" s="158"/>
      <c r="HK102" s="158"/>
      <c r="HL102" s="158"/>
      <c r="HM102" s="158"/>
      <c r="HN102" s="158"/>
      <c r="HO102" s="158"/>
      <c r="HP102" s="158"/>
      <c r="HQ102" s="158"/>
      <c r="HR102" s="158"/>
      <c r="HS102" s="158"/>
      <c r="HT102" s="158"/>
      <c r="HU102" s="158"/>
      <c r="HV102" s="158"/>
      <c r="HW102" s="158"/>
      <c r="HX102" s="158"/>
      <c r="HY102" s="158"/>
      <c r="HZ102" s="158"/>
      <c r="IA102" s="158"/>
      <c r="IB102" s="158"/>
      <c r="IC102" s="158"/>
    </row>
    <row r="103" spans="1:237" ht="15.3" x14ac:dyDescent="0.55000000000000004">
      <c r="A103" s="169"/>
      <c r="B103" s="158"/>
      <c r="C103" s="158"/>
      <c r="D103" s="158"/>
      <c r="E103" s="158"/>
      <c r="F103" s="158"/>
      <c r="G103" s="163"/>
      <c r="H103" s="206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60"/>
      <c r="V103" s="205"/>
      <c r="W103" s="284"/>
      <c r="X103" s="204"/>
      <c r="Y103" s="204"/>
      <c r="Z103" s="204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8"/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158"/>
      <c r="DE103" s="158"/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8"/>
      <c r="EI103" s="158"/>
      <c r="EJ103" s="158"/>
      <c r="EK103" s="158"/>
      <c r="EL103" s="158"/>
      <c r="EM103" s="158"/>
      <c r="EN103" s="158"/>
      <c r="EO103" s="158"/>
      <c r="EP103" s="158"/>
      <c r="EQ103" s="158"/>
      <c r="ER103" s="158"/>
      <c r="ES103" s="158"/>
      <c r="ET103" s="158"/>
      <c r="EU103" s="158"/>
      <c r="EV103" s="158"/>
      <c r="EW103" s="158"/>
      <c r="EX103" s="158"/>
      <c r="EY103" s="158"/>
      <c r="EZ103" s="158"/>
      <c r="FA103" s="158"/>
      <c r="FB103" s="158"/>
      <c r="FC103" s="158"/>
      <c r="FD103" s="158"/>
      <c r="FE103" s="158"/>
      <c r="FF103" s="158"/>
      <c r="FG103" s="158"/>
      <c r="FH103" s="158"/>
      <c r="FI103" s="158"/>
      <c r="FJ103" s="158"/>
      <c r="FK103" s="158"/>
      <c r="FL103" s="158"/>
      <c r="FM103" s="158"/>
      <c r="FN103" s="158"/>
      <c r="FO103" s="158"/>
      <c r="FP103" s="158"/>
      <c r="FQ103" s="158"/>
      <c r="FR103" s="158"/>
      <c r="FS103" s="158"/>
      <c r="FT103" s="158"/>
      <c r="FU103" s="158"/>
      <c r="FV103" s="158"/>
      <c r="FW103" s="158"/>
      <c r="FX103" s="158"/>
      <c r="FY103" s="158"/>
      <c r="FZ103" s="158"/>
      <c r="GA103" s="158"/>
      <c r="GB103" s="158"/>
      <c r="GC103" s="158"/>
      <c r="GD103" s="158"/>
      <c r="GE103" s="158"/>
      <c r="GF103" s="158"/>
      <c r="GG103" s="158"/>
      <c r="GH103" s="158"/>
      <c r="GI103" s="158"/>
      <c r="GJ103" s="158"/>
      <c r="GK103" s="158"/>
      <c r="GL103" s="158"/>
      <c r="GM103" s="158"/>
      <c r="GN103" s="158"/>
      <c r="GO103" s="158"/>
      <c r="GP103" s="158"/>
      <c r="GQ103" s="158"/>
      <c r="GR103" s="158"/>
      <c r="GS103" s="158"/>
      <c r="GT103" s="158"/>
      <c r="GU103" s="158"/>
      <c r="GV103" s="158"/>
      <c r="GW103" s="158"/>
      <c r="GX103" s="158"/>
      <c r="GY103" s="158"/>
      <c r="GZ103" s="158"/>
      <c r="HA103" s="158"/>
      <c r="HB103" s="158"/>
      <c r="HC103" s="158"/>
      <c r="HD103" s="158"/>
      <c r="HE103" s="158"/>
      <c r="HF103" s="158"/>
      <c r="HG103" s="158"/>
      <c r="HH103" s="158"/>
      <c r="HI103" s="158"/>
      <c r="HJ103" s="158"/>
      <c r="HK103" s="158"/>
      <c r="HL103" s="158"/>
      <c r="HM103" s="158"/>
      <c r="HN103" s="158"/>
      <c r="HO103" s="158"/>
      <c r="HP103" s="158"/>
      <c r="HQ103" s="158"/>
      <c r="HR103" s="158"/>
      <c r="HS103" s="158"/>
      <c r="HT103" s="158"/>
      <c r="HU103" s="158"/>
      <c r="HV103" s="158"/>
      <c r="HW103" s="158"/>
      <c r="HX103" s="158"/>
      <c r="HY103" s="158"/>
      <c r="HZ103" s="158"/>
      <c r="IA103" s="158"/>
      <c r="IB103" s="158"/>
      <c r="IC103" s="158"/>
    </row>
  </sheetData>
  <sheetCalcPr fullCalcOnLoad="1"/>
  <autoFilter ref="A2:IC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A61"/>
  <sheetViews>
    <sheetView topLeftCell="AI1" zoomScale="107" zoomScaleNormal="107" workbookViewId="0">
      <selection activeCell="AP28" sqref="AP28"/>
    </sheetView>
  </sheetViews>
  <sheetFormatPr defaultRowHeight="14.4" x14ac:dyDescent="0.55000000000000004"/>
  <cols>
    <col min="1" max="1" width="14.41796875" hidden="1" customWidth="1"/>
    <col min="2" max="2" width="13.15625" customWidth="1"/>
    <col min="3" max="3" width="17.83984375" style="338" customWidth="1"/>
    <col min="4" max="4" width="9" style="338" customWidth="1"/>
    <col min="5" max="6" width="15.26171875" style="338" customWidth="1"/>
    <col min="7" max="7" width="12.15625" style="338" bestFit="1" customWidth="1"/>
    <col min="8" max="8" width="16.26171875" style="338" customWidth="1"/>
    <col min="9" max="9" width="9.15625" customWidth="1"/>
    <col min="10" max="10" width="27.83984375" hidden="1" customWidth="1"/>
    <col min="11" max="11" width="27.83984375" style="277" hidden="1" customWidth="1"/>
    <col min="12" max="12" width="31.578125" style="277" hidden="1" customWidth="1"/>
    <col min="13" max="13" width="13.15625" hidden="1" customWidth="1"/>
    <col min="14" max="14" width="17.83984375" hidden="1" customWidth="1"/>
    <col min="15" max="15" width="9" hidden="1" customWidth="1"/>
    <col min="16" max="17" width="15.26171875" hidden="1" customWidth="1"/>
    <col min="18" max="18" width="12.15625" hidden="1" customWidth="1"/>
    <col min="19" max="19" width="16.26171875" hidden="1" customWidth="1"/>
    <col min="20" max="20" width="14.83984375" customWidth="1"/>
    <col min="21" max="21" width="13.15625" customWidth="1"/>
    <col min="22" max="22" width="17" customWidth="1"/>
    <col min="23" max="23" width="14.26171875" bestFit="1" customWidth="1"/>
    <col min="24" max="24" width="12.15625" customWidth="1"/>
    <col min="25" max="25" width="13.15625" customWidth="1"/>
    <col min="26" max="26" width="9.83984375" bestFit="1" customWidth="1"/>
    <col min="27" max="27" width="12.578125" customWidth="1"/>
    <col min="28" max="28" width="8.15625" bestFit="1" customWidth="1"/>
    <col min="29" max="29" width="13.15625" customWidth="1"/>
    <col min="30" max="30" width="17.83984375" customWidth="1"/>
    <col min="31" max="31" width="13.68359375" customWidth="1"/>
    <col min="32" max="32" width="8.15625" bestFit="1" customWidth="1"/>
    <col min="33" max="33" width="13.15625" customWidth="1"/>
    <col min="34" max="34" width="10.578125" customWidth="1"/>
    <col min="35" max="35" width="16.26171875" bestFit="1" customWidth="1"/>
    <col min="36" max="36" width="14.26171875" bestFit="1" customWidth="1"/>
    <col min="37" max="37" width="13.15625" customWidth="1"/>
    <col min="38" max="38" width="8.68359375" customWidth="1"/>
    <col min="39" max="39" width="15.26171875" customWidth="1"/>
    <col min="40" max="40" width="12.15625" bestFit="1" customWidth="1"/>
    <col min="41" max="41" width="12" customWidth="1"/>
    <col min="42" max="42" width="20.26171875" bestFit="1" customWidth="1"/>
    <col min="43" max="43" width="21" bestFit="1" customWidth="1"/>
    <col min="44" max="45" width="12" customWidth="1"/>
    <col min="46" max="48" width="12" style="92" customWidth="1"/>
    <col min="49" max="49" width="12" customWidth="1"/>
    <col min="50" max="50" width="13.15625" customWidth="1"/>
    <col min="51" max="51" width="10.578125" customWidth="1"/>
    <col min="52" max="52" width="16.26171875" bestFit="1" customWidth="1"/>
    <col min="53" max="54" width="7.83984375" customWidth="1"/>
    <col min="55" max="55" width="7.15625" customWidth="1"/>
    <col min="56" max="56" width="9.83984375" bestFit="1" customWidth="1"/>
    <col min="57" max="57" width="14.68359375" bestFit="1" customWidth="1"/>
    <col min="58" max="83" width="12" bestFit="1" customWidth="1"/>
    <col min="84" max="84" width="14.26171875" bestFit="1" customWidth="1"/>
    <col min="85" max="110" width="12" bestFit="1" customWidth="1"/>
    <col min="111" max="111" width="12.578125" bestFit="1" customWidth="1"/>
    <col min="112" max="116" width="7" customWidth="1"/>
    <col min="117" max="117" width="9.83984375" bestFit="1" customWidth="1"/>
    <col min="118" max="129" width="7" customWidth="1"/>
    <col min="130" max="130" width="9.83984375" bestFit="1" customWidth="1"/>
    <col min="131" max="136" width="7" customWidth="1"/>
    <col min="137" max="137" width="9.83984375" bestFit="1" customWidth="1"/>
    <col min="138" max="138" width="19.578125" bestFit="1" customWidth="1"/>
    <col min="139" max="139" width="18.578125" bestFit="1" customWidth="1"/>
    <col min="140" max="140" width="19.68359375" bestFit="1" customWidth="1"/>
    <col min="141" max="141" width="19.26171875" bestFit="1" customWidth="1"/>
    <col min="142" max="142" width="17.68359375" bestFit="1" customWidth="1"/>
  </cols>
  <sheetData>
    <row r="1" spans="1:53" x14ac:dyDescent="0.55000000000000004">
      <c r="A1" t="s">
        <v>436</v>
      </c>
      <c r="B1" t="s">
        <v>436</v>
      </c>
      <c r="M1" t="s">
        <v>436</v>
      </c>
      <c r="U1" t="s">
        <v>306</v>
      </c>
      <c r="Y1" t="s">
        <v>481</v>
      </c>
      <c r="AC1" t="s">
        <v>583</v>
      </c>
      <c r="AG1" t="s">
        <v>584</v>
      </c>
      <c r="AK1" t="s">
        <v>483</v>
      </c>
      <c r="AS1" t="s">
        <v>435</v>
      </c>
      <c r="AT1" s="92" t="s" vm="7">
        <v>475</v>
      </c>
    </row>
    <row r="2" spans="1:53" x14ac:dyDescent="0.55000000000000004">
      <c r="Y2" s="1" t="s">
        <v>435</v>
      </c>
      <c r="Z2" t="s" vm="2">
        <v>475</v>
      </c>
      <c r="AC2" s="1" t="s">
        <v>435</v>
      </c>
      <c r="AD2" t="s" vm="6">
        <v>51</v>
      </c>
      <c r="AG2" s="1" t="s">
        <v>435</v>
      </c>
      <c r="AH2" t="s" vm="2">
        <v>475</v>
      </c>
      <c r="AK2" s="1" t="s">
        <v>435</v>
      </c>
      <c r="AL2" t="s" vm="2">
        <v>475</v>
      </c>
      <c r="AS2" t="s">
        <v>623</v>
      </c>
      <c r="AT2" s="92" t="s" vm="8">
        <v>624</v>
      </c>
    </row>
    <row r="3" spans="1:53" x14ac:dyDescent="0.55000000000000004">
      <c r="A3" t="s">
        <v>435</v>
      </c>
      <c r="B3" s="1" t="s">
        <v>435</v>
      </c>
      <c r="C3" s="338" t="s" vm="4">
        <v>51</v>
      </c>
      <c r="D3" s="369"/>
      <c r="M3" s="1" t="s">
        <v>435</v>
      </c>
      <c r="N3" t="s" vm="4">
        <v>51</v>
      </c>
      <c r="O3" s="92"/>
      <c r="U3" s="1" t="s">
        <v>435</v>
      </c>
      <c r="V3" t="s" vm="3">
        <v>478</v>
      </c>
      <c r="W3" s="92"/>
      <c r="Y3" s="1" t="s">
        <v>2</v>
      </c>
      <c r="Z3" t="s" vm="5">
        <v>482</v>
      </c>
      <c r="AA3" s="92"/>
      <c r="AC3" s="1" t="s">
        <v>2</v>
      </c>
      <c r="AD3" t="s" vm="1">
        <v>475</v>
      </c>
      <c r="AE3" s="92"/>
      <c r="AG3" s="1" t="s">
        <v>2</v>
      </c>
      <c r="AH3" t="s" vm="1">
        <v>475</v>
      </c>
      <c r="AI3" s="92"/>
      <c r="AK3" s="1" t="s">
        <v>2</v>
      </c>
      <c r="AL3" t="s" vm="1">
        <v>475</v>
      </c>
      <c r="AM3" s="92"/>
      <c r="AS3" t="s">
        <v>625</v>
      </c>
      <c r="AT3" s="92" t="s" vm="9">
        <v>626</v>
      </c>
      <c r="AZ3" s="92"/>
    </row>
    <row r="4" spans="1:53" x14ac:dyDescent="0.55000000000000004">
      <c r="C4" s="370"/>
      <c r="D4" s="369"/>
      <c r="N4" s="319"/>
      <c r="O4" s="92"/>
      <c r="V4" s="319"/>
      <c r="W4" s="92"/>
      <c r="Z4" s="319"/>
      <c r="AA4" s="92"/>
      <c r="AD4" s="319"/>
      <c r="AE4" s="92"/>
      <c r="AH4" s="319"/>
      <c r="AI4" s="92"/>
      <c r="AL4" s="319"/>
      <c r="AM4" s="92"/>
      <c r="AS4" t="s">
        <v>627</v>
      </c>
      <c r="AT4" s="92" t="s" vm="10">
        <v>51</v>
      </c>
      <c r="AX4" t="s">
        <v>639</v>
      </c>
      <c r="AY4" s="319"/>
      <c r="AZ4" s="92"/>
    </row>
    <row r="5" spans="1:53" x14ac:dyDescent="0.55000000000000004">
      <c r="C5" s="338" t="s">
        <v>3</v>
      </c>
      <c r="N5" t="s">
        <v>3</v>
      </c>
      <c r="U5" t="s">
        <v>0</v>
      </c>
      <c r="V5" t="s">
        <v>477</v>
      </c>
      <c r="W5" t="s">
        <v>476</v>
      </c>
      <c r="Y5" t="s">
        <v>0</v>
      </c>
      <c r="Z5" t="s">
        <v>477</v>
      </c>
      <c r="AA5" t="s">
        <v>476</v>
      </c>
      <c r="AC5" t="s">
        <v>0</v>
      </c>
      <c r="AD5" t="s">
        <v>477</v>
      </c>
      <c r="AE5" t="s">
        <v>476</v>
      </c>
      <c r="AG5" t="s">
        <v>0</v>
      </c>
      <c r="AH5" t="s">
        <v>477</v>
      </c>
      <c r="AI5" t="s">
        <v>476</v>
      </c>
      <c r="AK5" t="s">
        <v>0</v>
      </c>
      <c r="AL5" t="s">
        <v>477</v>
      </c>
      <c r="AM5" t="s">
        <v>476</v>
      </c>
      <c r="AP5" s="92"/>
      <c r="AQ5" s="92"/>
      <c r="AS5" t="s">
        <v>2</v>
      </c>
      <c r="AT5" s="92" t="s" vm="12">
        <v>630</v>
      </c>
      <c r="AX5" t="s">
        <v>0</v>
      </c>
      <c r="AY5" t="s">
        <v>477</v>
      </c>
      <c r="AZ5" t="s">
        <v>476</v>
      </c>
      <c r="BA5" t="s">
        <v>638</v>
      </c>
    </row>
    <row r="6" spans="1:53" x14ac:dyDescent="0.55000000000000004">
      <c r="C6" s="338" t="s">
        <v>477</v>
      </c>
      <c r="E6" s="338" t="s">
        <v>476</v>
      </c>
      <c r="G6" s="338" t="s">
        <v>479</v>
      </c>
      <c r="H6" s="338" t="s">
        <v>480</v>
      </c>
      <c r="N6" t="s">
        <v>477</v>
      </c>
      <c r="P6" t="s">
        <v>476</v>
      </c>
      <c r="R6" t="s">
        <v>479</v>
      </c>
      <c r="S6" t="s">
        <v>480</v>
      </c>
      <c r="U6">
        <v>210001</v>
      </c>
      <c r="V6" s="92">
        <f>IFERROR(VLOOKUP($U6,'[14]Oncoloy Drugs'!$A:$IV,2,FALSE),0)</f>
        <v>2387.1211114879993</v>
      </c>
      <c r="W6" s="92">
        <f>IFERROR(VLOOKUP($U6,'[14]Oncoloy Drugs'!$A:$IV,3,FALSE),0)</f>
        <v>20798536.559999999</v>
      </c>
      <c r="Y6">
        <v>210029</v>
      </c>
      <c r="Z6" s="92">
        <f>IFERROR(VLOOKUP($Y6,[14]Chronic!$A:$IV,2,FALSE),0)</f>
        <v>212.39623699999999</v>
      </c>
      <c r="AA6" s="92">
        <f>IFERROR(VLOOKUP($Y6,[14]Chronic!$A:$IV,3,FALSE),0)</f>
        <v>11010014.49</v>
      </c>
      <c r="AC6">
        <v>210002</v>
      </c>
      <c r="AD6" s="92">
        <f>VLOOKUP(AC6,'[14]Innovation and Categoricals'!$A$14:$C$17,2,FALSE)</f>
        <v>10170.629116</v>
      </c>
      <c r="AE6" s="92">
        <f>VLOOKUP(AC6,'[14]Innovation and Categoricals'!$A$14:$C$17,3,FALSE)</f>
        <v>309778883.31</v>
      </c>
      <c r="AG6">
        <v>210001</v>
      </c>
      <c r="AH6" s="92">
        <f>VLOOKUP($AG6,'[14]Hospital Total (FY)'!$A:$IV,2,FALSE)</f>
        <v>31623.718335406957</v>
      </c>
      <c r="AI6" s="92">
        <f>VLOOKUP($AG6,'[14]Hospital Total (FY)'!$A:$IV,3,FALSE)</f>
        <v>428440467.56999999</v>
      </c>
      <c r="AJ6" s="92"/>
      <c r="AK6">
        <v>210002</v>
      </c>
      <c r="AL6" s="92">
        <f>VLOOKUP($AK6,'[14]Hospital Total (FY)'!$A:$IV,2,FALSE)</f>
        <v>73328.827395536166</v>
      </c>
      <c r="AM6" s="92">
        <f>VLOOKUP($AK6,'[14]Hospital Total (FY)'!$A:$IV,3,FALSE)</f>
        <v>1764276891.6700001</v>
      </c>
      <c r="AP6" s="92"/>
      <c r="AQ6" s="92"/>
      <c r="AS6" t="s">
        <v>628</v>
      </c>
      <c r="AT6" s="92" t="s" vm="11">
        <v>629</v>
      </c>
      <c r="AX6">
        <v>210001</v>
      </c>
      <c r="AY6" s="92"/>
      <c r="AZ6" s="92"/>
      <c r="BA6" s="92">
        <f>IFERROR(VLOOKUP(AX6,B:H,7,FALSE)/VLOOKUP(AX6,B:G,6,FALSE),0)</f>
        <v>13938.835071634043</v>
      </c>
    </row>
    <row r="7" spans="1:53" x14ac:dyDescent="0.55000000000000004">
      <c r="A7" t="s">
        <v>0</v>
      </c>
      <c r="B7" t="s">
        <v>0</v>
      </c>
      <c r="C7" s="338" t="s">
        <v>441</v>
      </c>
      <c r="D7" s="338" t="s">
        <v>442</v>
      </c>
      <c r="E7" s="338" t="s">
        <v>441</v>
      </c>
      <c r="F7" s="338" t="s">
        <v>442</v>
      </c>
      <c r="J7" s="127" t="s">
        <v>358</v>
      </c>
      <c r="K7" s="277" t="s">
        <v>437</v>
      </c>
      <c r="L7" s="277" t="s">
        <v>443</v>
      </c>
      <c r="M7" t="s">
        <v>0</v>
      </c>
      <c r="N7" t="s">
        <v>441</v>
      </c>
      <c r="O7" t="s">
        <v>442</v>
      </c>
      <c r="P7" t="s">
        <v>441</v>
      </c>
      <c r="Q7" t="s">
        <v>442</v>
      </c>
      <c r="U7">
        <v>210002</v>
      </c>
      <c r="V7" s="92">
        <f>IFERROR(VLOOKUP($U7,'[14]Oncoloy Drugs'!$A:$IV,2,FALSE),0)</f>
        <v>9056.3757111309969</v>
      </c>
      <c r="W7" s="92">
        <f>IFERROR(VLOOKUP($U7,'[14]Oncoloy Drugs'!$A:$IV,3,FALSE),0)</f>
        <v>185318832.72</v>
      </c>
      <c r="Y7">
        <v>210038</v>
      </c>
      <c r="Z7" s="92">
        <f>IFERROR(VLOOKUP($Y7,[14]Chronic!$A:$IV,2,FALSE),0)</f>
        <v>353.11728200000005</v>
      </c>
      <c r="AA7" s="92">
        <f>IFERROR(VLOOKUP($Y7,[14]Chronic!$A:$IV,3,FALSE),0)</f>
        <v>17819418.710000001</v>
      </c>
      <c r="AC7">
        <v>210009</v>
      </c>
      <c r="AD7" s="92">
        <f>VLOOKUP(AC7,'[14]Innovation and Categoricals'!$A$14:$C$17,2,FALSE)</f>
        <v>9858.1055330000036</v>
      </c>
      <c r="AE7" s="92">
        <f>VLOOKUP(AC7,'[14]Innovation and Categoricals'!$A$14:$C$17,3,FALSE)</f>
        <v>283218941.56</v>
      </c>
      <c r="AG7">
        <v>210002</v>
      </c>
      <c r="AH7" s="92">
        <f>VLOOKUP($AG7,'[14]Hospital Total (FY)'!$A:$IV,2,FALSE)</f>
        <v>73328.827395536166</v>
      </c>
      <c r="AI7" s="92">
        <f>VLOOKUP($AG7,'[14]Hospital Total (FY)'!$A:$IV,3,FALSE)</f>
        <v>1764276891.6700001</v>
      </c>
      <c r="AJ7" s="92"/>
      <c r="AK7">
        <v>218992</v>
      </c>
      <c r="AL7" s="92">
        <f>VLOOKUP($AK7,'[14]Hospital Total (FY)'!$A:$IV,2,FALSE)</f>
        <v>10474.143168839011</v>
      </c>
      <c r="AM7" s="92">
        <f>VLOOKUP($AK7,'[14]Hospital Total (FY)'!$A:$IV,3,FALSE)</f>
        <v>295521080.48000002</v>
      </c>
      <c r="AO7" t="s">
        <v>637</v>
      </c>
      <c r="AP7" s="92"/>
      <c r="AQ7" s="92"/>
      <c r="AX7">
        <v>210002</v>
      </c>
      <c r="AY7" s="92"/>
      <c r="AZ7" s="92"/>
      <c r="BA7" s="92">
        <f t="shared" ref="BA7:BA60" si="0">IFERROR(VLOOKUP(AX7,B:H,7,FALSE)/VLOOKUP(AX7,B:G,6,FALSE),0)</f>
        <v>23441.032810798813</v>
      </c>
    </row>
    <row r="8" spans="1:53" x14ac:dyDescent="0.55000000000000004">
      <c r="A8">
        <v>210001</v>
      </c>
      <c r="B8">
        <v>210001</v>
      </c>
      <c r="C8" s="338">
        <f>VLOOKUP($B8,'[14]Hospital ICC (FY)'!$A:$IV,2,FALSE)</f>
        <v>18151.548756999957</v>
      </c>
      <c r="D8" s="338">
        <f>VLOOKUP($B8,'[14]Hospital ICC (FY)'!$A:$IV,3,FALSE)</f>
        <v>11085.048466918999</v>
      </c>
      <c r="E8" s="338">
        <f>VLOOKUP($B8,'[14]Hospital ICC (FY)'!$A:$IV,4,FALSE)</f>
        <v>262709609.03999999</v>
      </c>
      <c r="F8" s="338">
        <f>VLOOKUP($B8,'[14]Hospital ICC (FY)'!$A:$IV,5,FALSE)</f>
        <v>144814497.72</v>
      </c>
      <c r="G8" s="338">
        <f>VLOOKUP($B8,'[14]Hospital ICC (FY)'!$A:$IV,6,FALSE)</f>
        <v>29236.597223918954</v>
      </c>
      <c r="H8" s="338">
        <f>VLOOKUP($B8,'[14]Hospital ICC (FY)'!$A:$IV,7,FALSE)</f>
        <v>407524106.75999999</v>
      </c>
      <c r="J8" s="92">
        <f>G8</f>
        <v>29236.597223918954</v>
      </c>
      <c r="K8" s="95">
        <f>G8/R8</f>
        <v>0.99999999999999989</v>
      </c>
      <c r="L8" s="95">
        <f>C8/N8</f>
        <v>1</v>
      </c>
      <c r="M8">
        <f>B8</f>
        <v>210001</v>
      </c>
      <c r="N8" s="338">
        <f>C8</f>
        <v>18151.548756999957</v>
      </c>
      <c r="O8" s="338">
        <f>D8</f>
        <v>11085.048466918999</v>
      </c>
      <c r="P8" s="338">
        <f>E8</f>
        <v>262709609.03999999</v>
      </c>
      <c r="Q8" s="338">
        <f>F8</f>
        <v>144814497.72</v>
      </c>
      <c r="R8" s="338">
        <f>N8+O8</f>
        <v>29236.597223918958</v>
      </c>
      <c r="S8" s="338">
        <f>P8+Q8</f>
        <v>407524106.75999999</v>
      </c>
      <c r="U8">
        <v>210003</v>
      </c>
      <c r="V8" s="92">
        <f>IFERROR(VLOOKUP($U8,'[14]Oncoloy Drugs'!$A:$IV,2,FALSE),0)</f>
        <v>12.507943640999999</v>
      </c>
      <c r="W8" s="92">
        <f>IFERROR(VLOOKUP($U8,'[14]Oncoloy Drugs'!$A:$IV,3,FALSE),0)</f>
        <v>477804.64</v>
      </c>
      <c r="Y8">
        <v>210055</v>
      </c>
      <c r="Z8" s="92">
        <f>IFERROR(VLOOKUP($Y8,[14]Chronic!$A:$IV,2,FALSE),0)</f>
        <v>0</v>
      </c>
      <c r="AA8" s="92">
        <f>IFERROR(VLOOKUP($Y8,[14]Chronic!$A:$IV,3,FALSE),0)</f>
        <v>0</v>
      </c>
      <c r="AC8">
        <v>210029</v>
      </c>
      <c r="AD8" s="92">
        <f>VLOOKUP(AC8,'[14]Innovation and Categoricals'!$A$14:$C$17,2,FALSE)</f>
        <v>419.97501200000028</v>
      </c>
      <c r="AE8" s="92">
        <f>VLOOKUP(AC8,'[14]Innovation and Categoricals'!$A$14:$C$17,3,FALSE)</f>
        <v>20263860.219999999</v>
      </c>
      <c r="AG8">
        <v>210003</v>
      </c>
      <c r="AH8" s="92">
        <f>VLOOKUP($AG8,'[14]Hospital Total (FY)'!$A:$IV,2,FALSE)</f>
        <v>16691.920474072991</v>
      </c>
      <c r="AI8" s="92">
        <f>VLOOKUP($AG8,'[14]Hospital Total (FY)'!$A:$IV,3,FALSE)</f>
        <v>389265489.22000003</v>
      </c>
      <c r="AJ8" s="92"/>
      <c r="AK8" t="s">
        <v>1</v>
      </c>
      <c r="AL8" s="92">
        <f>SUM(AL6:AL7)</f>
        <v>83802.97056437518</v>
      </c>
      <c r="AM8" s="92">
        <f>SUM(AM6:AM7)</f>
        <v>2059797972.1500001</v>
      </c>
      <c r="AO8" t="s">
        <v>0</v>
      </c>
      <c r="AP8" s="92" t="s">
        <v>632</v>
      </c>
      <c r="AQ8" s="92" t="s">
        <v>633</v>
      </c>
      <c r="AS8" t="s">
        <v>0</v>
      </c>
      <c r="AT8" s="92" t="s">
        <v>631</v>
      </c>
      <c r="AU8" s="92" t="s">
        <v>632</v>
      </c>
      <c r="AV8" s="92" t="s">
        <v>633</v>
      </c>
      <c r="AX8">
        <v>210003</v>
      </c>
      <c r="AY8" s="92"/>
      <c r="AZ8" s="92"/>
      <c r="BA8" s="92">
        <f t="shared" si="0"/>
        <v>23302.642910885144</v>
      </c>
    </row>
    <row r="9" spans="1:53" x14ac:dyDescent="0.55000000000000004">
      <c r="A9">
        <v>210002</v>
      </c>
      <c r="B9">
        <v>210002</v>
      </c>
      <c r="C9" s="338">
        <f>VLOOKUP($B9,'[14]Hospital ICC (FY)'!$A:$IV,2,FALSE)</f>
        <v>33258.543709000107</v>
      </c>
      <c r="D9" s="338">
        <f>VLOOKUP($B9,'[14]Hospital ICC (FY)'!$A:$IV,3,FALSE)</f>
        <v>20843.278859405014</v>
      </c>
      <c r="E9" s="338">
        <f>VLOOKUP($B9,'[14]Hospital ICC (FY)'!$A:$IV,4,FALSE)</f>
        <v>871286435.58000004</v>
      </c>
      <c r="F9" s="338">
        <f>VLOOKUP($B9,'[14]Hospital ICC (FY)'!$A:$IV,5,FALSE)</f>
        <v>396916162.37</v>
      </c>
      <c r="G9" s="338">
        <f>VLOOKUP($B9,'[14]Hospital ICC (FY)'!$A:$IV,6,FALSE)</f>
        <v>54101.822568405114</v>
      </c>
      <c r="H9" s="338">
        <f>VLOOKUP($B9,'[14]Hospital ICC (FY)'!$A:$IV,7,FALSE)</f>
        <v>1268202597.95</v>
      </c>
      <c r="J9" s="92">
        <f t="shared" ref="J9:J54" si="1">G9</f>
        <v>54101.822568405114</v>
      </c>
      <c r="K9" s="95">
        <f t="shared" ref="K9:K54" si="2">G9/R9</f>
        <v>0.99999999999999989</v>
      </c>
      <c r="L9" s="95">
        <f t="shared" ref="L9:L54" si="3">C9/N9</f>
        <v>1</v>
      </c>
      <c r="M9">
        <f t="shared" ref="M9:M55" si="4">B9</f>
        <v>210002</v>
      </c>
      <c r="N9" s="338">
        <f t="shared" ref="N9:N54" si="5">C9</f>
        <v>33258.543709000107</v>
      </c>
      <c r="O9" s="338">
        <f t="shared" ref="O9:O54" si="6">D9</f>
        <v>20843.278859405014</v>
      </c>
      <c r="P9" s="338">
        <f t="shared" ref="P9:P54" si="7">E9</f>
        <v>871286435.58000004</v>
      </c>
      <c r="Q9" s="338">
        <f t="shared" ref="Q9:Q54" si="8">F9</f>
        <v>396916162.37</v>
      </c>
      <c r="R9" s="338">
        <f t="shared" ref="R9:R54" si="9">N9+O9</f>
        <v>54101.822568405121</v>
      </c>
      <c r="S9" s="338">
        <f t="shared" ref="S9:S54" si="10">P9+Q9</f>
        <v>1268202597.95</v>
      </c>
      <c r="U9">
        <v>210004</v>
      </c>
      <c r="V9" s="92">
        <f>IFERROR(VLOOKUP($U9,'[14]Oncoloy Drugs'!$A:$IV,2,FALSE),0)</f>
        <v>103.419484264</v>
      </c>
      <c r="W9" s="92">
        <f>IFERROR(VLOOKUP($U9,'[14]Oncoloy Drugs'!$A:$IV,3,FALSE),0)</f>
        <v>2579060.92</v>
      </c>
      <c r="Y9">
        <v>210058</v>
      </c>
      <c r="Z9" s="92">
        <f>IFERROR(VLOOKUP($Y9,[14]Chronic!$A:$IV,2,FALSE),0)</f>
        <v>659.3582869999999</v>
      </c>
      <c r="AA9" s="92">
        <f>IFERROR(VLOOKUP($Y9,[14]Chronic!$A:$IV,3,FALSE),0)</f>
        <v>17564928.510000002</v>
      </c>
      <c r="AC9" t="s">
        <v>1</v>
      </c>
      <c r="AD9" s="92">
        <f>SUM(AD6:AD8)</f>
        <v>20448.709661000004</v>
      </c>
      <c r="AE9" s="92">
        <f>SUM(AE6:AE8)</f>
        <v>613261685.09000003</v>
      </c>
      <c r="AG9">
        <v>210004</v>
      </c>
      <c r="AH9" s="92">
        <f>VLOOKUP($AG9,'[14]Hospital Total (FY)'!$A:$IV,2,FALSE)</f>
        <v>35580.146459358883</v>
      </c>
      <c r="AI9" s="92">
        <f>VLOOKUP($AG9,'[14]Hospital Total (FY)'!$A:$IV,3,FALSE)</f>
        <v>576069470.96000004</v>
      </c>
      <c r="AJ9" s="92"/>
      <c r="AO9">
        <v>210001</v>
      </c>
      <c r="AP9" s="92"/>
      <c r="AQ9" s="92"/>
      <c r="AS9">
        <v>210001</v>
      </c>
      <c r="AT9" s="92">
        <v>57</v>
      </c>
      <c r="AU9" s="92">
        <v>2.5769687399999999</v>
      </c>
      <c r="AV9" s="92">
        <v>32584.23</v>
      </c>
      <c r="AX9">
        <v>210004</v>
      </c>
      <c r="AY9" s="92"/>
      <c r="AZ9" s="92"/>
      <c r="BA9" s="92">
        <f t="shared" si="0"/>
        <v>16116.7348527216</v>
      </c>
    </row>
    <row r="10" spans="1:53" x14ac:dyDescent="0.55000000000000004">
      <c r="A10">
        <v>210003</v>
      </c>
      <c r="B10">
        <v>210003</v>
      </c>
      <c r="C10" s="338">
        <f>VLOOKUP($B10,'[14]Hospital ICC (FY)'!$A:$IV,2,FALSE)</f>
        <v>13377.440997</v>
      </c>
      <c r="D10" s="338">
        <f>VLOOKUP($B10,'[14]Hospital ICC (FY)'!$A:$IV,3,FALSE)</f>
        <v>3301.9715334319935</v>
      </c>
      <c r="E10" s="338">
        <f>VLOOKUP($B10,'[14]Hospital ICC (FY)'!$A:$IV,4,FALSE)</f>
        <v>312598634.89999998</v>
      </c>
      <c r="F10" s="338">
        <f>VLOOKUP($B10,'[14]Hospital ICC (FY)'!$A:$IV,5,FALSE)</f>
        <v>76075759.260000005</v>
      </c>
      <c r="G10" s="338">
        <f>VLOOKUP($B10,'[14]Hospital ICC (FY)'!$A:$IV,6,FALSE)</f>
        <v>16679.412530431997</v>
      </c>
      <c r="H10" s="338">
        <f>VLOOKUP($B10,'[14]Hospital ICC (FY)'!$A:$IV,7,FALSE)</f>
        <v>388674394.16000003</v>
      </c>
      <c r="J10" s="92">
        <f t="shared" si="1"/>
        <v>16679.412530431997</v>
      </c>
      <c r="K10" s="95">
        <f t="shared" si="2"/>
        <v>1.0000000000000002</v>
      </c>
      <c r="L10" s="95">
        <f t="shared" si="3"/>
        <v>1</v>
      </c>
      <c r="M10">
        <f t="shared" si="4"/>
        <v>210003</v>
      </c>
      <c r="N10" s="338">
        <f t="shared" si="5"/>
        <v>13377.440997</v>
      </c>
      <c r="O10" s="338">
        <f t="shared" si="6"/>
        <v>3301.9715334319935</v>
      </c>
      <c r="P10" s="338">
        <f t="shared" si="7"/>
        <v>312598634.89999998</v>
      </c>
      <c r="Q10" s="338">
        <f t="shared" si="8"/>
        <v>76075759.260000005</v>
      </c>
      <c r="R10" s="338">
        <f t="shared" si="9"/>
        <v>16679.412530431993</v>
      </c>
      <c r="S10" s="338">
        <f t="shared" si="10"/>
        <v>388674394.15999997</v>
      </c>
      <c r="U10">
        <v>210005</v>
      </c>
      <c r="V10" s="92">
        <f>IFERROR(VLOOKUP($U10,'[14]Oncoloy Drugs'!$A:$IV,2,FALSE),0)</f>
        <v>1.4912944150000003</v>
      </c>
      <c r="W10" s="92">
        <f>IFERROR(VLOOKUP($U10,'[14]Oncoloy Drugs'!$A:$IV,3,FALSE),0)</f>
        <v>37035.07</v>
      </c>
      <c r="Y10" t="s">
        <v>1</v>
      </c>
      <c r="Z10" s="92">
        <f>SUM(Z6:Z9)</f>
        <v>1224.8718060000001</v>
      </c>
      <c r="AA10" s="92">
        <f>SUM(AA6:AA9)</f>
        <v>46394361.710000008</v>
      </c>
      <c r="AG10">
        <v>210005</v>
      </c>
      <c r="AH10" s="92">
        <f>VLOOKUP($AG10,'[14]Hospital Total (FY)'!$A:$IV,2,FALSE)</f>
        <v>24679.635436322013</v>
      </c>
      <c r="AI10" s="92">
        <f>VLOOKUP($AG10,'[14]Hospital Total (FY)'!$A:$IV,3,FALSE)</f>
        <v>395399477.69</v>
      </c>
      <c r="AJ10" s="92"/>
      <c r="AO10">
        <v>210002</v>
      </c>
      <c r="AP10" s="92"/>
      <c r="AQ10" s="92"/>
      <c r="AS10">
        <v>210002</v>
      </c>
      <c r="AT10" s="92">
        <v>9951</v>
      </c>
      <c r="AU10" s="92">
        <v>695.71002309800019</v>
      </c>
      <c r="AV10" s="92">
        <v>6364897.6500000004</v>
      </c>
      <c r="AX10">
        <v>210005</v>
      </c>
      <c r="AY10" s="92"/>
      <c r="AZ10" s="92"/>
      <c r="BA10" s="92">
        <f t="shared" si="0"/>
        <v>16002.485354617227</v>
      </c>
    </row>
    <row r="11" spans="1:53" x14ac:dyDescent="0.55000000000000004">
      <c r="A11">
        <v>210004</v>
      </c>
      <c r="B11">
        <v>210004</v>
      </c>
      <c r="C11" s="338">
        <f>VLOOKUP($B11,'[14]Hospital ICC (FY)'!$A:$IV,2,FALSE)</f>
        <v>26572.949642999898</v>
      </c>
      <c r="D11" s="338">
        <f>VLOOKUP($B11,'[14]Hospital ICC (FY)'!$A:$IV,3,FALSE)</f>
        <v>8903.7773320949964</v>
      </c>
      <c r="E11" s="338">
        <f>VLOOKUP($B11,'[14]Hospital ICC (FY)'!$A:$IV,4,FALSE)</f>
        <v>424777484.39999998</v>
      </c>
      <c r="F11" s="338">
        <f>VLOOKUP($B11,'[14]Hospital ICC (FY)'!$A:$IV,5,FALSE)</f>
        <v>146991517.69999999</v>
      </c>
      <c r="G11" s="338">
        <f>VLOOKUP($B11,'[14]Hospital ICC (FY)'!$A:$IV,6,FALSE)</f>
        <v>35476.726975094869</v>
      </c>
      <c r="H11" s="338">
        <f>VLOOKUP($B11,'[14]Hospital ICC (FY)'!$A:$IV,7,FALSE)</f>
        <v>571769002.10000002</v>
      </c>
      <c r="J11" s="92">
        <f t="shared" si="1"/>
        <v>35476.726975094869</v>
      </c>
      <c r="K11" s="95">
        <f t="shared" si="2"/>
        <v>0.99999999999999933</v>
      </c>
      <c r="L11" s="95">
        <f t="shared" si="3"/>
        <v>1</v>
      </c>
      <c r="M11">
        <f t="shared" si="4"/>
        <v>210004</v>
      </c>
      <c r="N11" s="338">
        <f t="shared" si="5"/>
        <v>26572.949642999898</v>
      </c>
      <c r="O11" s="338">
        <f t="shared" si="6"/>
        <v>8903.7773320949964</v>
      </c>
      <c r="P11" s="338">
        <f t="shared" si="7"/>
        <v>424777484.39999998</v>
      </c>
      <c r="Q11" s="338">
        <f t="shared" si="8"/>
        <v>146991517.69999999</v>
      </c>
      <c r="R11" s="338">
        <f t="shared" si="9"/>
        <v>35476.726975094891</v>
      </c>
      <c r="S11" s="338">
        <f t="shared" si="10"/>
        <v>571769002.0999999</v>
      </c>
      <c r="U11">
        <v>210006</v>
      </c>
      <c r="V11" s="92">
        <f>IFERROR(VLOOKUP($U11,'[14]Oncoloy Drugs'!$A:$IV,2,FALSE),0)</f>
        <v>18.005656446</v>
      </c>
      <c r="W11" s="92">
        <f>IFERROR(VLOOKUP($U11,'[14]Oncoloy Drugs'!$A:$IV,3,FALSE),0)</f>
        <v>850768.73</v>
      </c>
      <c r="AG11">
        <v>210006</v>
      </c>
      <c r="AH11" s="92">
        <f>VLOOKUP($AG11,'[14]Hospital Total (FY)'!$A:$IV,2,FALSE)</f>
        <v>6428.5974975520039</v>
      </c>
      <c r="AI11" s="92">
        <f>VLOOKUP($AG11,'[14]Hospital Total (FY)'!$A:$IV,3,FALSE)</f>
        <v>119042126.78</v>
      </c>
      <c r="AJ11" s="92"/>
      <c r="AO11">
        <v>210003</v>
      </c>
      <c r="AP11" s="92"/>
      <c r="AQ11" s="92"/>
      <c r="AS11">
        <v>210003</v>
      </c>
      <c r="AT11" s="92">
        <v>1151</v>
      </c>
      <c r="AU11" s="92">
        <v>57.051006751999999</v>
      </c>
      <c r="AV11" s="92">
        <v>262645.56</v>
      </c>
      <c r="AX11">
        <v>210006</v>
      </c>
      <c r="AY11" s="92"/>
      <c r="AZ11" s="92"/>
      <c r="BA11" s="92">
        <f t="shared" si="0"/>
        <v>18430.817205110885</v>
      </c>
    </row>
    <row r="12" spans="1:53" x14ac:dyDescent="0.55000000000000004">
      <c r="A12">
        <v>210005</v>
      </c>
      <c r="B12">
        <v>210005</v>
      </c>
      <c r="C12" s="338">
        <f>VLOOKUP($B12,'[14]Hospital ICC (FY)'!$A:$IV,2,FALSE)</f>
        <v>17282.606574000012</v>
      </c>
      <c r="D12" s="338">
        <f>VLOOKUP($B12,'[14]Hospital ICC (FY)'!$A:$IV,3,FALSE)</f>
        <v>7395.5375679070012</v>
      </c>
      <c r="E12" s="338">
        <f>VLOOKUP($B12,'[14]Hospital ICC (FY)'!$A:$IV,4,FALSE)</f>
        <v>281006497.08999997</v>
      </c>
      <c r="F12" s="338">
        <f>VLOOKUP($B12,'[14]Hospital ICC (FY)'!$A:$IV,5,FALSE)</f>
        <v>113905143.12</v>
      </c>
      <c r="G12" s="338">
        <f>VLOOKUP($B12,'[14]Hospital ICC (FY)'!$A:$IV,6,FALSE)</f>
        <v>24678.144141907018</v>
      </c>
      <c r="H12" s="338">
        <f>VLOOKUP($B12,'[14]Hospital ICC (FY)'!$A:$IV,7,FALSE)</f>
        <v>394911640.20999998</v>
      </c>
      <c r="J12" s="92">
        <f t="shared" si="1"/>
        <v>24678.144141907018</v>
      </c>
      <c r="K12" s="95">
        <f t="shared" si="2"/>
        <v>1.0000000000000002</v>
      </c>
      <c r="L12" s="95">
        <f t="shared" si="3"/>
        <v>1</v>
      </c>
      <c r="M12">
        <f t="shared" si="4"/>
        <v>210005</v>
      </c>
      <c r="N12" s="338">
        <f t="shared" si="5"/>
        <v>17282.606574000012</v>
      </c>
      <c r="O12" s="338">
        <f t="shared" si="6"/>
        <v>7395.5375679070012</v>
      </c>
      <c r="P12" s="338">
        <f t="shared" si="7"/>
        <v>281006497.08999997</v>
      </c>
      <c r="Q12" s="338">
        <f t="shared" si="8"/>
        <v>113905143.12</v>
      </c>
      <c r="R12" s="338">
        <f t="shared" si="9"/>
        <v>24678.144141907014</v>
      </c>
      <c r="S12" s="338">
        <f t="shared" si="10"/>
        <v>394911640.20999998</v>
      </c>
      <c r="U12">
        <v>210008</v>
      </c>
      <c r="V12" s="92">
        <f>IFERROR(VLOOKUP($U12,'[14]Oncoloy Drugs'!$A:$IV,2,FALSE),0)</f>
        <v>1992.5569214080006</v>
      </c>
      <c r="W12" s="92">
        <f>IFERROR(VLOOKUP($U12,'[14]Oncoloy Drugs'!$A:$IV,3,FALSE),0)</f>
        <v>31782394.100000001</v>
      </c>
      <c r="AG12">
        <v>210008</v>
      </c>
      <c r="AH12" s="92">
        <f>VLOOKUP($AG12,'[14]Hospital Total (FY)'!$A:$IV,2,FALSE)</f>
        <v>39213.994149452934</v>
      </c>
      <c r="AI12" s="92">
        <f>VLOOKUP($AG12,'[14]Hospital Total (FY)'!$A:$IV,3,FALSE)</f>
        <v>627665746.37</v>
      </c>
      <c r="AJ12" s="92"/>
      <c r="AO12">
        <v>210004</v>
      </c>
      <c r="AP12" s="92"/>
      <c r="AQ12" s="92"/>
      <c r="AS12">
        <v>210004</v>
      </c>
      <c r="AT12" s="92">
        <v>1595</v>
      </c>
      <c r="AU12" s="92">
        <v>87.553986318</v>
      </c>
      <c r="AV12" s="92">
        <v>558227.29</v>
      </c>
      <c r="AX12">
        <v>210008</v>
      </c>
      <c r="AY12" s="92"/>
      <c r="AZ12" s="92"/>
      <c r="BA12" s="92">
        <f t="shared" si="0"/>
        <v>15955.740009214967</v>
      </c>
    </row>
    <row r="13" spans="1:53" x14ac:dyDescent="0.55000000000000004">
      <c r="A13">
        <v>210006</v>
      </c>
      <c r="B13">
        <v>210006</v>
      </c>
      <c r="C13" s="338">
        <f>VLOOKUP($B13,'[14]Hospital ICC (FY)'!$A:$IV,2,FALSE)</f>
        <v>4277.7990450000043</v>
      </c>
      <c r="D13" s="338">
        <f>VLOOKUP($B13,'[14]Hospital ICC (FY)'!$A:$IV,3,FALSE)</f>
        <v>2132.7927961059995</v>
      </c>
      <c r="E13" s="338">
        <f>VLOOKUP($B13,'[14]Hospital ICC (FY)'!$A:$IV,4,FALSE)</f>
        <v>81509290.120000005</v>
      </c>
      <c r="F13" s="338">
        <f>VLOOKUP($B13,'[14]Hospital ICC (FY)'!$A:$IV,5,FALSE)</f>
        <v>36643156.280000001</v>
      </c>
      <c r="G13" s="338">
        <f>VLOOKUP($B13,'[14]Hospital ICC (FY)'!$A:$IV,6,FALSE)</f>
        <v>6410.5918411060038</v>
      </c>
      <c r="H13" s="338">
        <f>VLOOKUP($B13,'[14]Hospital ICC (FY)'!$A:$IV,7,FALSE)</f>
        <v>118152446.40000001</v>
      </c>
      <c r="J13" s="92">
        <f t="shared" si="1"/>
        <v>6410.5918411060038</v>
      </c>
      <c r="K13" s="95">
        <f t="shared" si="2"/>
        <v>1</v>
      </c>
      <c r="L13" s="95">
        <f t="shared" si="3"/>
        <v>1</v>
      </c>
      <c r="M13">
        <f t="shared" si="4"/>
        <v>210006</v>
      </c>
      <c r="N13" s="338">
        <f t="shared" si="5"/>
        <v>4277.7990450000043</v>
      </c>
      <c r="O13" s="338">
        <f t="shared" si="6"/>
        <v>2132.7927961059995</v>
      </c>
      <c r="P13" s="338">
        <f t="shared" si="7"/>
        <v>81509290.120000005</v>
      </c>
      <c r="Q13" s="338">
        <f t="shared" si="8"/>
        <v>36643156.280000001</v>
      </c>
      <c r="R13" s="338">
        <f t="shared" si="9"/>
        <v>6410.5918411060038</v>
      </c>
      <c r="S13" s="338">
        <f t="shared" si="10"/>
        <v>118152446.40000001</v>
      </c>
      <c r="U13">
        <v>210009</v>
      </c>
      <c r="V13" s="92">
        <f>IFERROR(VLOOKUP($U13,'[14]Oncoloy Drugs'!$A:$IV,2,FALSE),0)</f>
        <v>11284.072982439</v>
      </c>
      <c r="W13" s="92">
        <f>IFERROR(VLOOKUP($U13,'[14]Oncoloy Drugs'!$A:$IV,3,FALSE),0)</f>
        <v>255951316.00999999</v>
      </c>
      <c r="AG13">
        <v>210009</v>
      </c>
      <c r="AH13" s="92">
        <f>VLOOKUP($AG13,'[14]Hospital Total (FY)'!$A:$IV,2,FALSE)</f>
        <v>126804.76062676703</v>
      </c>
      <c r="AI13" s="92">
        <f>VLOOKUP($AG13,'[14]Hospital Total (FY)'!$A:$IV,3,FALSE)</f>
        <v>2801201920.5100002</v>
      </c>
      <c r="AJ13" s="92"/>
      <c r="AO13">
        <v>210005</v>
      </c>
      <c r="AP13" s="92"/>
      <c r="AQ13" s="92"/>
      <c r="AS13">
        <v>210005</v>
      </c>
      <c r="AT13" s="92">
        <v>304</v>
      </c>
      <c r="AU13" s="92">
        <v>16.344893018</v>
      </c>
      <c r="AV13" s="92">
        <v>143892.82999999999</v>
      </c>
      <c r="AX13">
        <v>210009</v>
      </c>
      <c r="AY13" s="92"/>
      <c r="AZ13" s="92"/>
      <c r="BA13" s="92">
        <f t="shared" si="0"/>
        <v>21401.42721448373</v>
      </c>
    </row>
    <row r="14" spans="1:53" x14ac:dyDescent="0.55000000000000004">
      <c r="A14">
        <v>210008</v>
      </c>
      <c r="B14">
        <v>210008</v>
      </c>
      <c r="C14" s="338">
        <f>VLOOKUP($B14,'[14]Hospital ICC (FY)'!$A:$IV,2,FALSE)</f>
        <v>13943.138108999965</v>
      </c>
      <c r="D14" s="338">
        <f>VLOOKUP($B14,'[14]Hospital ICC (FY)'!$A:$IV,3,FALSE)</f>
        <v>23278.299119044968</v>
      </c>
      <c r="E14" s="338">
        <f>VLOOKUP($B14,'[14]Hospital ICC (FY)'!$A:$IV,4,FALSE)</f>
        <v>233296486.86000001</v>
      </c>
      <c r="F14" s="338">
        <f>VLOOKUP($B14,'[14]Hospital ICC (FY)'!$A:$IV,5,FALSE)</f>
        <v>360599088.31999999</v>
      </c>
      <c r="G14" s="338">
        <f>VLOOKUP($B14,'[14]Hospital ICC (FY)'!$A:$IV,6,FALSE)</f>
        <v>37221.437228044932</v>
      </c>
      <c r="H14" s="338">
        <f>VLOOKUP($B14,'[14]Hospital ICC (FY)'!$A:$IV,7,FALSE)</f>
        <v>593895575.17999995</v>
      </c>
      <c r="J14" s="92">
        <f t="shared" si="1"/>
        <v>37221.437228044932</v>
      </c>
      <c r="K14" s="95">
        <f t="shared" si="2"/>
        <v>1</v>
      </c>
      <c r="L14" s="95">
        <f t="shared" si="3"/>
        <v>1</v>
      </c>
      <c r="M14">
        <f t="shared" si="4"/>
        <v>210008</v>
      </c>
      <c r="N14" s="338">
        <f t="shared" si="5"/>
        <v>13943.138108999965</v>
      </c>
      <c r="O14" s="338">
        <f t="shared" si="6"/>
        <v>23278.299119044968</v>
      </c>
      <c r="P14" s="338">
        <f t="shared" si="7"/>
        <v>233296486.86000001</v>
      </c>
      <c r="Q14" s="338">
        <f t="shared" si="8"/>
        <v>360599088.31999999</v>
      </c>
      <c r="R14" s="338">
        <f t="shared" si="9"/>
        <v>37221.437228044932</v>
      </c>
      <c r="S14" s="338">
        <f t="shared" si="10"/>
        <v>593895575.18000007</v>
      </c>
      <c r="U14">
        <v>210010</v>
      </c>
      <c r="V14" s="92">
        <f>IFERROR(VLOOKUP($U14,'[14]Oncoloy Drugs'!$A:$IV,2,FALSE),0)</f>
        <v>0.46038607200000004</v>
      </c>
      <c r="W14" s="92">
        <f>IFERROR(VLOOKUP($U14,'[14]Oncoloy Drugs'!$A:$IV,3,FALSE),0)</f>
        <v>17679.89</v>
      </c>
      <c r="AG14">
        <v>210010</v>
      </c>
      <c r="AH14" s="92">
        <f>VLOOKUP($AG14,'[14]Hospital Total (FY)'!$A:$IV,2,FALSE)</f>
        <v>1186.6877829750006</v>
      </c>
      <c r="AI14" s="92">
        <f>VLOOKUP($AG14,'[14]Hospital Total (FY)'!$A:$IV,3,FALSE)</f>
        <v>21861750.18</v>
      </c>
      <c r="AJ14" s="92"/>
      <c r="AO14">
        <v>210006</v>
      </c>
      <c r="AP14" s="92"/>
      <c r="AQ14" s="92"/>
      <c r="AS14">
        <v>210006</v>
      </c>
      <c r="AT14" s="92">
        <v>155</v>
      </c>
      <c r="AU14" s="92">
        <v>6.0359708049999998</v>
      </c>
      <c r="AV14" s="92">
        <v>35191.370000000003</v>
      </c>
      <c r="AX14">
        <v>210010</v>
      </c>
      <c r="AY14" s="92"/>
      <c r="AZ14" s="92"/>
      <c r="BA14" s="92">
        <f t="shared" si="0"/>
        <v>18401.54685938765</v>
      </c>
    </row>
    <row r="15" spans="1:53" x14ac:dyDescent="0.55000000000000004">
      <c r="A15">
        <v>210009</v>
      </c>
      <c r="B15">
        <v>210009</v>
      </c>
      <c r="C15" s="338">
        <f>VLOOKUP($B15,'[14]Hospital ICC (FY)'!$A:$IV,2,FALSE)</f>
        <v>56184.437650000153</v>
      </c>
      <c r="D15" s="338">
        <f>VLOOKUP($B15,'[14]Hospital ICC (FY)'!$A:$IV,3,FALSE)</f>
        <v>49478.144461327975</v>
      </c>
      <c r="E15" s="338">
        <f>VLOOKUP($B15,'[14]Hospital ICC (FY)'!$A:$IV,4,FALSE)</f>
        <v>1433691606.6800001</v>
      </c>
      <c r="F15" s="338">
        <f>VLOOKUP($B15,'[14]Hospital ICC (FY)'!$A:$IV,5,FALSE)</f>
        <v>827638453.66999996</v>
      </c>
      <c r="G15" s="338">
        <f>VLOOKUP($B15,'[14]Hospital ICC (FY)'!$A:$IV,6,FALSE)</f>
        <v>105662.58211132814</v>
      </c>
      <c r="H15" s="338">
        <f>VLOOKUP($B15,'[14]Hospital ICC (FY)'!$A:$IV,7,FALSE)</f>
        <v>2261330060.3499999</v>
      </c>
      <c r="J15" s="92">
        <f t="shared" si="1"/>
        <v>105662.58211132814</v>
      </c>
      <c r="K15" s="95">
        <f t="shared" si="2"/>
        <v>1.0000000000000002</v>
      </c>
      <c r="L15" s="95">
        <f t="shared" si="3"/>
        <v>1</v>
      </c>
      <c r="M15">
        <f t="shared" si="4"/>
        <v>210009</v>
      </c>
      <c r="N15" s="338">
        <f t="shared" si="5"/>
        <v>56184.437650000153</v>
      </c>
      <c r="O15" s="338">
        <f t="shared" si="6"/>
        <v>49478.144461327975</v>
      </c>
      <c r="P15" s="338">
        <f t="shared" si="7"/>
        <v>1433691606.6800001</v>
      </c>
      <c r="Q15" s="338">
        <f t="shared" si="8"/>
        <v>827638453.66999996</v>
      </c>
      <c r="R15" s="338">
        <f t="shared" si="9"/>
        <v>105662.58211132813</v>
      </c>
      <c r="S15" s="338">
        <f t="shared" si="10"/>
        <v>2261330060.3499999</v>
      </c>
      <c r="U15">
        <v>210011</v>
      </c>
      <c r="V15" s="92">
        <f>IFERROR(VLOOKUP($U15,'[14]Oncoloy Drugs'!$A:$IV,2,FALSE),0)</f>
        <v>1369.9473065960001</v>
      </c>
      <c r="W15" s="92">
        <f>IFERROR(VLOOKUP($U15,'[14]Oncoloy Drugs'!$A:$IV,3,FALSE),0)</f>
        <v>30675981.280000001</v>
      </c>
      <c r="AG15">
        <v>210011</v>
      </c>
      <c r="AH15" s="92">
        <f>VLOOKUP($AG15,'[14]Hospital Total (FY)'!$A:$IV,2,FALSE)</f>
        <v>25612.561942375025</v>
      </c>
      <c r="AI15" s="92">
        <f>VLOOKUP($AG15,'[14]Hospital Total (FY)'!$A:$IV,3,FALSE)</f>
        <v>465580404.66000003</v>
      </c>
      <c r="AJ15" s="92"/>
      <c r="AO15">
        <v>210008</v>
      </c>
      <c r="AP15" s="92"/>
      <c r="AQ15" s="92"/>
      <c r="AS15">
        <v>210008</v>
      </c>
      <c r="AT15" s="92">
        <v>924</v>
      </c>
      <c r="AU15" s="92">
        <v>33.753047251999973</v>
      </c>
      <c r="AV15" s="92">
        <v>785078.4</v>
      </c>
      <c r="AX15">
        <v>210011</v>
      </c>
      <c r="AY15" s="92"/>
      <c r="AZ15" s="92"/>
      <c r="BA15" s="92">
        <f t="shared" si="0"/>
        <v>17919.864930692947</v>
      </c>
    </row>
    <row r="16" spans="1:53" x14ac:dyDescent="0.55000000000000004">
      <c r="A16">
        <v>210010</v>
      </c>
      <c r="B16">
        <v>210010</v>
      </c>
      <c r="C16" s="338">
        <f>VLOOKUP($B16,'[14]Hospital ICC (FY)'!$A:$IV,2,FALSE)</f>
        <v>87.130389999999935</v>
      </c>
      <c r="D16" s="338">
        <f>VLOOKUP($B16,'[14]Hospital ICC (FY)'!$A:$IV,3,FALSE)</f>
        <v>1099.0970069030009</v>
      </c>
      <c r="E16" s="338">
        <f>VLOOKUP($B16,'[14]Hospital ICC (FY)'!$A:$IV,4,FALSE)</f>
        <v>1500350.92</v>
      </c>
      <c r="F16" s="338">
        <f>VLOOKUP($B16,'[14]Hospital ICC (FY)'!$A:$IV,5,FALSE)</f>
        <v>20328068.109999999</v>
      </c>
      <c r="G16" s="338">
        <f>VLOOKUP($B16,'[14]Hospital ICC (FY)'!$A:$IV,6,FALSE)</f>
        <v>1186.2273969030007</v>
      </c>
      <c r="H16" s="338">
        <f>VLOOKUP($B16,'[14]Hospital ICC (FY)'!$A:$IV,7,FALSE)</f>
        <v>21828419.030000001</v>
      </c>
      <c r="J16" s="92">
        <f t="shared" si="1"/>
        <v>1186.2273969030007</v>
      </c>
      <c r="K16" s="95">
        <f t="shared" si="2"/>
        <v>0.99999999999999978</v>
      </c>
      <c r="L16" s="95">
        <f t="shared" si="3"/>
        <v>1</v>
      </c>
      <c r="M16">
        <f t="shared" si="4"/>
        <v>210010</v>
      </c>
      <c r="N16" s="338">
        <f t="shared" si="5"/>
        <v>87.130389999999935</v>
      </c>
      <c r="O16" s="338">
        <f t="shared" si="6"/>
        <v>1099.0970069030009</v>
      </c>
      <c r="P16" s="338">
        <f t="shared" si="7"/>
        <v>1500350.92</v>
      </c>
      <c r="Q16" s="338">
        <f t="shared" si="8"/>
        <v>20328068.109999999</v>
      </c>
      <c r="R16" s="338">
        <f t="shared" si="9"/>
        <v>1186.2273969030009</v>
      </c>
      <c r="S16" s="338">
        <f t="shared" si="10"/>
        <v>21828419.030000001</v>
      </c>
      <c r="U16">
        <v>210012</v>
      </c>
      <c r="V16" s="92">
        <f>IFERROR(VLOOKUP($U16,'[14]Oncoloy Drugs'!$A:$IV,2,FALSE),0)</f>
        <v>3285.5938259259997</v>
      </c>
      <c r="W16" s="92">
        <f>IFERROR(VLOOKUP($U16,'[14]Oncoloy Drugs'!$A:$IV,3,FALSE),0)</f>
        <v>66383951.57</v>
      </c>
      <c r="AG16">
        <v>210012</v>
      </c>
      <c r="AH16" s="92">
        <f>VLOOKUP($AG16,'[14]Hospital Total (FY)'!$A:$IV,2,FALSE)</f>
        <v>43206.251628994971</v>
      </c>
      <c r="AI16" s="92">
        <f>VLOOKUP($AG16,'[14]Hospital Total (FY)'!$A:$IV,3,FALSE)</f>
        <v>935895781.27999997</v>
      </c>
      <c r="AJ16" s="92"/>
      <c r="AO16">
        <v>210009</v>
      </c>
      <c r="AP16" s="92"/>
      <c r="AQ16" s="92"/>
      <c r="AS16">
        <v>210009</v>
      </c>
      <c r="AT16" s="92">
        <v>29270</v>
      </c>
      <c r="AU16" s="92">
        <v>1550.7593445010002</v>
      </c>
      <c r="AV16" s="92">
        <v>5147277.33</v>
      </c>
      <c r="AX16">
        <v>210012</v>
      </c>
      <c r="AY16" s="92"/>
      <c r="AZ16" s="92"/>
      <c r="BA16" s="92">
        <f t="shared" si="0"/>
        <v>21765.715774683438</v>
      </c>
    </row>
    <row r="17" spans="1:53" x14ac:dyDescent="0.55000000000000004">
      <c r="A17">
        <v>210011</v>
      </c>
      <c r="B17">
        <v>210011</v>
      </c>
      <c r="C17" s="338">
        <f>VLOOKUP($B17,'[14]Hospital ICC (FY)'!$A:$IV,2,FALSE)</f>
        <v>14198.487575000025</v>
      </c>
      <c r="D17" s="338">
        <f>VLOOKUP($B17,'[14]Hospital ICC (FY)'!$A:$IV,3,FALSE)</f>
        <v>10044.127060778996</v>
      </c>
      <c r="E17" s="338">
        <f>VLOOKUP($B17,'[14]Hospital ICC (FY)'!$A:$IV,4,FALSE)</f>
        <v>260314315.25</v>
      </c>
      <c r="F17" s="338">
        <f>VLOOKUP($B17,'[14]Hospital ICC (FY)'!$A:$IV,5,FALSE)</f>
        <v>174110064.59</v>
      </c>
      <c r="G17" s="338">
        <f>VLOOKUP($B17,'[14]Hospital ICC (FY)'!$A:$IV,6,FALSE)</f>
        <v>24242.614635779017</v>
      </c>
      <c r="H17" s="338">
        <f>VLOOKUP($B17,'[14]Hospital ICC (FY)'!$A:$IV,7,FALSE)</f>
        <v>434424379.83999997</v>
      </c>
      <c r="J17" s="92">
        <f t="shared" si="1"/>
        <v>24242.614635779017</v>
      </c>
      <c r="K17" s="95">
        <f t="shared" si="2"/>
        <v>0.99999999999999989</v>
      </c>
      <c r="L17" s="95">
        <f t="shared" si="3"/>
        <v>1</v>
      </c>
      <c r="M17">
        <f t="shared" si="4"/>
        <v>210011</v>
      </c>
      <c r="N17" s="338">
        <f t="shared" si="5"/>
        <v>14198.487575000025</v>
      </c>
      <c r="O17" s="338">
        <f t="shared" si="6"/>
        <v>10044.127060778996</v>
      </c>
      <c r="P17" s="338">
        <f t="shared" si="7"/>
        <v>260314315.25</v>
      </c>
      <c r="Q17" s="338">
        <f t="shared" si="8"/>
        <v>174110064.59</v>
      </c>
      <c r="R17" s="338">
        <f t="shared" si="9"/>
        <v>24242.61463577902</v>
      </c>
      <c r="S17" s="338">
        <f t="shared" si="10"/>
        <v>434424379.84000003</v>
      </c>
      <c r="U17">
        <v>210013</v>
      </c>
      <c r="V17" s="92">
        <f>IFERROR(VLOOKUP($U17,'[14]Oncoloy Drugs'!$A:$IV,2,FALSE),0)</f>
        <v>1.917530776</v>
      </c>
      <c r="W17" s="92">
        <f>IFERROR(VLOOKUP($U17,'[14]Oncoloy Drugs'!$A:$IV,3,FALSE),0)</f>
        <v>66828.929999999993</v>
      </c>
      <c r="AG17">
        <v>210013</v>
      </c>
      <c r="AH17" s="92">
        <f>VLOOKUP($AG17,'[14]Hospital Total (FY)'!$A:$IV,2,FALSE)</f>
        <v>1612.6049203259993</v>
      </c>
      <c r="AI17" s="92">
        <f>VLOOKUP($AG17,'[14]Hospital Total (FY)'!$A:$IV,3,FALSE)</f>
        <v>34372644.210000001</v>
      </c>
      <c r="AJ17" s="92"/>
      <c r="AO17">
        <v>210011</v>
      </c>
      <c r="AP17" s="92"/>
      <c r="AQ17" s="92"/>
      <c r="AS17">
        <v>210010</v>
      </c>
      <c r="AT17" s="92">
        <v>32</v>
      </c>
      <c r="AU17" s="92">
        <v>0.737485897</v>
      </c>
      <c r="AV17" s="92">
        <v>15643.38</v>
      </c>
      <c r="AX17">
        <v>210013</v>
      </c>
      <c r="AY17" s="92"/>
      <c r="AZ17" s="92"/>
      <c r="BA17" s="92">
        <f t="shared" si="0"/>
        <v>21063.625840814879</v>
      </c>
    </row>
    <row r="18" spans="1:53" x14ac:dyDescent="0.55000000000000004">
      <c r="A18">
        <v>210012</v>
      </c>
      <c r="B18">
        <v>210012</v>
      </c>
      <c r="C18" s="338">
        <f>VLOOKUP($B18,'[14]Hospital ICC (FY)'!$A:$IV,2,FALSE)</f>
        <v>23210.702706999975</v>
      </c>
      <c r="D18" s="338">
        <f>VLOOKUP($B18,'[14]Hospital ICC (FY)'!$A:$IV,3,FALSE)</f>
        <v>16709.955096069112</v>
      </c>
      <c r="E18" s="338">
        <f>VLOOKUP($B18,'[14]Hospital ICC (FY)'!$A:$IV,4,FALSE)</f>
        <v>538130313.53999996</v>
      </c>
      <c r="F18" s="338">
        <f>VLOOKUP($B18,'[14]Hospital ICC (FY)'!$A:$IV,5,FALSE)</f>
        <v>330771377.74000001</v>
      </c>
      <c r="G18" s="338">
        <f>VLOOKUP($B18,'[14]Hospital ICC (FY)'!$A:$IV,6,FALSE)</f>
        <v>39920.657803069073</v>
      </c>
      <c r="H18" s="338">
        <f>VLOOKUP($B18,'[14]Hospital ICC (FY)'!$A:$IV,7,FALSE)</f>
        <v>868901691.27999997</v>
      </c>
      <c r="J18" s="92">
        <f t="shared" si="1"/>
        <v>39920.657803069073</v>
      </c>
      <c r="K18" s="95">
        <f t="shared" si="2"/>
        <v>0.99999999999999967</v>
      </c>
      <c r="L18" s="95">
        <f t="shared" si="3"/>
        <v>1</v>
      </c>
      <c r="M18">
        <f t="shared" si="4"/>
        <v>210012</v>
      </c>
      <c r="N18" s="338">
        <f t="shared" si="5"/>
        <v>23210.702706999975</v>
      </c>
      <c r="O18" s="338">
        <f t="shared" si="6"/>
        <v>16709.955096069112</v>
      </c>
      <c r="P18" s="338">
        <f t="shared" si="7"/>
        <v>538130313.53999996</v>
      </c>
      <c r="Q18" s="338">
        <f t="shared" si="8"/>
        <v>330771377.74000001</v>
      </c>
      <c r="R18" s="338">
        <f t="shared" si="9"/>
        <v>39920.657803069087</v>
      </c>
      <c r="S18" s="338">
        <f t="shared" si="10"/>
        <v>868901691.27999997</v>
      </c>
      <c r="U18">
        <v>210015</v>
      </c>
      <c r="V18" s="92">
        <f>IFERROR(VLOOKUP($U18,'[14]Oncoloy Drugs'!$A:$IV,2,FALSE),0)</f>
        <v>3274.1604688440007</v>
      </c>
      <c r="W18" s="92">
        <f>IFERROR(VLOOKUP($U18,'[14]Oncoloy Drugs'!$A:$IV,3,FALSE),0)</f>
        <v>54673908.729999997</v>
      </c>
      <c r="AG18">
        <v>210015</v>
      </c>
      <c r="AH18" s="92">
        <f>VLOOKUP($AG18,'[14]Hospital Total (FY)'!$A:$IV,2,FALSE)</f>
        <v>40196.110824007985</v>
      </c>
      <c r="AI18" s="92">
        <f>VLOOKUP($AG18,'[14]Hospital Total (FY)'!$A:$IV,3,FALSE)</f>
        <v>608313462.71000004</v>
      </c>
      <c r="AJ18" s="92"/>
      <c r="AO18">
        <v>210012</v>
      </c>
      <c r="AP18" s="92"/>
      <c r="AQ18" s="92"/>
      <c r="AS18">
        <v>210011</v>
      </c>
      <c r="AT18" s="92">
        <v>62</v>
      </c>
      <c r="AU18" s="92">
        <v>2.9347376590000001</v>
      </c>
      <c r="AV18" s="92">
        <v>94051.58</v>
      </c>
      <c r="AX18">
        <v>210015</v>
      </c>
      <c r="AY18" s="92"/>
      <c r="AZ18" s="92"/>
      <c r="BA18" s="92">
        <f t="shared" si="0"/>
        <v>14980.810054976924</v>
      </c>
    </row>
    <row r="19" spans="1:53" x14ac:dyDescent="0.55000000000000004">
      <c r="A19">
        <v>210013</v>
      </c>
      <c r="B19">
        <v>210013</v>
      </c>
      <c r="C19" s="338">
        <f>VLOOKUP($B19,'[14]Hospital ICC (FY)'!$A:$IV,2,FALSE)</f>
        <v>213.33211900000009</v>
      </c>
      <c r="D19" s="338">
        <f>VLOOKUP($B19,'[14]Hospital ICC (FY)'!$A:$IV,3,FALSE)</f>
        <v>1397.3552705499981</v>
      </c>
      <c r="E19" s="338">
        <f>VLOOKUP($B19,'[14]Hospital ICC (FY)'!$A:$IV,4,FALSE)</f>
        <v>2137490.83</v>
      </c>
      <c r="F19" s="338">
        <f>VLOOKUP($B19,'[14]Hospital ICC (FY)'!$A:$IV,5,FALSE)</f>
        <v>31789425.690000001</v>
      </c>
      <c r="G19" s="338">
        <f>VLOOKUP($B19,'[14]Hospital ICC (FY)'!$A:$IV,6,FALSE)</f>
        <v>1610.6873895499982</v>
      </c>
      <c r="H19" s="338">
        <f>VLOOKUP($B19,'[14]Hospital ICC (FY)'!$A:$IV,7,FALSE)</f>
        <v>33926916.520000003</v>
      </c>
      <c r="J19" s="92">
        <f t="shared" si="1"/>
        <v>1610.6873895499982</v>
      </c>
      <c r="K19" s="95">
        <f t="shared" si="2"/>
        <v>1</v>
      </c>
      <c r="L19" s="95">
        <f t="shared" si="3"/>
        <v>1</v>
      </c>
      <c r="M19">
        <f t="shared" si="4"/>
        <v>210013</v>
      </c>
      <c r="N19" s="338">
        <f t="shared" si="5"/>
        <v>213.33211900000009</v>
      </c>
      <c r="O19" s="338">
        <f t="shared" si="6"/>
        <v>1397.3552705499981</v>
      </c>
      <c r="P19" s="338">
        <f t="shared" si="7"/>
        <v>2137490.83</v>
      </c>
      <c r="Q19" s="338">
        <f t="shared" si="8"/>
        <v>31789425.690000001</v>
      </c>
      <c r="R19" s="338">
        <f t="shared" si="9"/>
        <v>1610.6873895499982</v>
      </c>
      <c r="S19" s="338">
        <f t="shared" si="10"/>
        <v>33926916.520000003</v>
      </c>
      <c r="U19">
        <v>210016</v>
      </c>
      <c r="V19" s="92">
        <f>IFERROR(VLOOKUP($U19,'[14]Oncoloy Drugs'!$A:$IV,2,FALSE),0)</f>
        <v>104.94383635299999</v>
      </c>
      <c r="W19" s="92">
        <f>IFERROR(VLOOKUP($U19,'[14]Oncoloy Drugs'!$A:$IV,3,FALSE),0)</f>
        <v>900257.87</v>
      </c>
      <c r="AG19">
        <v>210016</v>
      </c>
      <c r="AH19" s="92">
        <f>VLOOKUP($AG19,'[14]Hospital Total (FY)'!$A:$IV,2,FALSE)</f>
        <v>19618.523454216054</v>
      </c>
      <c r="AI19" s="92">
        <f>VLOOKUP($AG19,'[14]Hospital Total (FY)'!$A:$IV,3,FALSE)</f>
        <v>340970877.32999998</v>
      </c>
      <c r="AJ19" s="92"/>
      <c r="AO19">
        <v>210013</v>
      </c>
      <c r="AP19" s="92"/>
      <c r="AQ19" s="92"/>
      <c r="AS19">
        <v>210012</v>
      </c>
      <c r="AT19" s="92">
        <v>13422</v>
      </c>
      <c r="AU19" s="92">
        <v>687.22627039599945</v>
      </c>
      <c r="AV19" s="92">
        <v>1894918.58</v>
      </c>
      <c r="AX19">
        <v>210016</v>
      </c>
      <c r="AY19" s="92"/>
      <c r="AZ19" s="92"/>
      <c r="BA19" s="92">
        <f t="shared" si="0"/>
        <v>17417.873340822811</v>
      </c>
    </row>
    <row r="20" spans="1:53" x14ac:dyDescent="0.55000000000000004">
      <c r="A20">
        <v>210015</v>
      </c>
      <c r="B20">
        <v>210015</v>
      </c>
      <c r="C20" s="338">
        <f>VLOOKUP($B20,'[14]Hospital ICC (FY)'!$A:$IV,2,FALSE)</f>
        <v>23947.916111999948</v>
      </c>
      <c r="D20" s="338">
        <f>VLOOKUP($B20,'[14]Hospital ICC (FY)'!$A:$IV,3,FALSE)</f>
        <v>12974.034243164077</v>
      </c>
      <c r="E20" s="338">
        <f>VLOOKUP($B20,'[14]Hospital ICC (FY)'!$A:$IV,4,FALSE)</f>
        <v>375271223.91000003</v>
      </c>
      <c r="F20" s="338">
        <f>VLOOKUP($B20,'[14]Hospital ICC (FY)'!$A:$IV,5,FALSE)</f>
        <v>177849501.22</v>
      </c>
      <c r="G20" s="338">
        <f>VLOOKUP($B20,'[14]Hospital ICC (FY)'!$A:$IV,6,FALSE)</f>
        <v>36921.950355164023</v>
      </c>
      <c r="H20" s="338">
        <f>VLOOKUP($B20,'[14]Hospital ICC (FY)'!$A:$IV,7,FALSE)</f>
        <v>553120725.13</v>
      </c>
      <c r="J20" s="92">
        <f t="shared" si="1"/>
        <v>36921.950355164023</v>
      </c>
      <c r="K20" s="95">
        <f t="shared" si="2"/>
        <v>1</v>
      </c>
      <c r="L20" s="95">
        <f t="shared" si="3"/>
        <v>1</v>
      </c>
      <c r="M20">
        <f t="shared" si="4"/>
        <v>210015</v>
      </c>
      <c r="N20" s="338">
        <f t="shared" si="5"/>
        <v>23947.916111999948</v>
      </c>
      <c r="O20" s="338">
        <f t="shared" si="6"/>
        <v>12974.034243164077</v>
      </c>
      <c r="P20" s="338">
        <f t="shared" si="7"/>
        <v>375271223.91000003</v>
      </c>
      <c r="Q20" s="338">
        <f t="shared" si="8"/>
        <v>177849501.22</v>
      </c>
      <c r="R20" s="338">
        <f t="shared" si="9"/>
        <v>36921.950355164023</v>
      </c>
      <c r="S20" s="338">
        <f t="shared" si="10"/>
        <v>553120725.13</v>
      </c>
      <c r="U20">
        <v>210017</v>
      </c>
      <c r="V20" s="92">
        <f>IFERROR(VLOOKUP($U20,'[14]Oncoloy Drugs'!$A:$IV,2,FALSE),0)</f>
        <v>536.96862582699987</v>
      </c>
      <c r="W20" s="92">
        <f>IFERROR(VLOOKUP($U20,'[14]Oncoloy Drugs'!$A:$IV,3,FALSE),0)</f>
        <v>5506419.46</v>
      </c>
      <c r="AG20">
        <v>210017</v>
      </c>
      <c r="AH20" s="92">
        <f>VLOOKUP($AG20,'[14]Hospital Total (FY)'!$A:$IV,2,FALSE)</f>
        <v>6239.5698150800026</v>
      </c>
      <c r="AI20" s="92">
        <f>VLOOKUP($AG20,'[14]Hospital Total (FY)'!$A:$IV,3,FALSE)</f>
        <v>70503452.930000007</v>
      </c>
      <c r="AJ20" s="92"/>
      <c r="AO20">
        <v>210015</v>
      </c>
      <c r="AP20" s="92"/>
      <c r="AQ20" s="92"/>
      <c r="AS20">
        <v>210013</v>
      </c>
      <c r="AT20" s="92">
        <v>59</v>
      </c>
      <c r="AU20" s="92">
        <v>2.1608282800000005</v>
      </c>
      <c r="AV20" s="92">
        <v>14285.46</v>
      </c>
      <c r="AX20">
        <v>210017</v>
      </c>
      <c r="AY20" s="92"/>
      <c r="AZ20" s="92"/>
      <c r="BA20" s="92">
        <f t="shared" si="0"/>
        <v>11394.004806517292</v>
      </c>
    </row>
    <row r="21" spans="1:53" x14ac:dyDescent="0.55000000000000004">
      <c r="A21">
        <v>210016</v>
      </c>
      <c r="B21">
        <v>210016</v>
      </c>
      <c r="C21" s="338">
        <f>VLOOKUP($B21,'[14]Hospital ICC (FY)'!$A:$IV,2,FALSE)</f>
        <v>13048.423082000038</v>
      </c>
      <c r="D21" s="338">
        <f>VLOOKUP($B21,'[14]Hospital ICC (FY)'!$A:$IV,3,FALSE)</f>
        <v>6465.156535862996</v>
      </c>
      <c r="E21" s="338">
        <f>VLOOKUP($B21,'[14]Hospital ICC (FY)'!$A:$IV,4,FALSE)</f>
        <v>245956362.50999999</v>
      </c>
      <c r="F21" s="338">
        <f>VLOOKUP($B21,'[14]Hospital ICC (FY)'!$A:$IV,5,FALSE)</f>
        <v>93928695.700000003</v>
      </c>
      <c r="G21" s="338">
        <f>VLOOKUP($B21,'[14]Hospital ICC (FY)'!$A:$IV,6,FALSE)</f>
        <v>19513.579617863037</v>
      </c>
      <c r="H21" s="338">
        <f>VLOOKUP($B21,'[14]Hospital ICC (FY)'!$A:$IV,7,FALSE)</f>
        <v>339885058.20999998</v>
      </c>
      <c r="J21" s="92">
        <f t="shared" si="1"/>
        <v>19513.579617863037</v>
      </c>
      <c r="K21" s="95">
        <f t="shared" si="2"/>
        <v>1.0000000000000002</v>
      </c>
      <c r="L21" s="95">
        <f t="shared" si="3"/>
        <v>1</v>
      </c>
      <c r="M21">
        <f t="shared" si="4"/>
        <v>210016</v>
      </c>
      <c r="N21" s="338">
        <f t="shared" si="5"/>
        <v>13048.423082000038</v>
      </c>
      <c r="O21" s="338">
        <f t="shared" si="6"/>
        <v>6465.156535862996</v>
      </c>
      <c r="P21" s="338">
        <f t="shared" si="7"/>
        <v>245956362.50999999</v>
      </c>
      <c r="Q21" s="338">
        <f t="shared" si="8"/>
        <v>93928695.700000003</v>
      </c>
      <c r="R21" s="338">
        <f t="shared" si="9"/>
        <v>19513.579617863033</v>
      </c>
      <c r="S21" s="338">
        <f t="shared" si="10"/>
        <v>339885058.20999998</v>
      </c>
      <c r="U21">
        <v>210018</v>
      </c>
      <c r="V21" s="92">
        <f>IFERROR(VLOOKUP($U21,'[14]Oncoloy Drugs'!$A:$IV,2,FALSE),0)</f>
        <v>607.01942981400032</v>
      </c>
      <c r="W21" s="92">
        <f>IFERROR(VLOOKUP($U21,'[14]Oncoloy Drugs'!$A:$IV,3,FALSE),0)</f>
        <v>13381626.49</v>
      </c>
      <c r="AG21">
        <v>210018</v>
      </c>
      <c r="AH21" s="92">
        <f>VLOOKUP($AG21,'[14]Hospital Total (FY)'!$A:$IV,2,FALSE)</f>
        <v>12443.738462462003</v>
      </c>
      <c r="AI21" s="92">
        <f>VLOOKUP($AG21,'[14]Hospital Total (FY)'!$A:$IV,3,FALSE)</f>
        <v>191779220.71000001</v>
      </c>
      <c r="AJ21" s="92"/>
      <c r="AO21">
        <v>210016</v>
      </c>
      <c r="AP21" s="92"/>
      <c r="AQ21" s="92"/>
      <c r="AS21">
        <v>210015</v>
      </c>
      <c r="AT21" s="92">
        <v>523</v>
      </c>
      <c r="AU21" s="92">
        <v>25.170067258999993</v>
      </c>
      <c r="AV21" s="92">
        <v>277642.2</v>
      </c>
      <c r="AX21">
        <v>210018</v>
      </c>
      <c r="AY21" s="92"/>
      <c r="AZ21" s="92"/>
      <c r="BA21" s="92">
        <f t="shared" si="0"/>
        <v>15056.037212546036</v>
      </c>
    </row>
    <row r="22" spans="1:53" x14ac:dyDescent="0.55000000000000004">
      <c r="A22">
        <v>210017</v>
      </c>
      <c r="B22">
        <v>210017</v>
      </c>
      <c r="C22" s="338">
        <f>VLOOKUP($B22,'[14]Hospital ICC (FY)'!$A:$IV,2,FALSE)</f>
        <v>2053.5804660000026</v>
      </c>
      <c r="D22" s="338">
        <f>VLOOKUP($B22,'[14]Hospital ICC (FY)'!$A:$IV,3,FALSE)</f>
        <v>3649.0207232530047</v>
      </c>
      <c r="E22" s="338">
        <f>VLOOKUP($B22,'[14]Hospital ICC (FY)'!$A:$IV,4,FALSE)</f>
        <v>27747852.52</v>
      </c>
      <c r="F22" s="338">
        <f>VLOOKUP($B22,'[14]Hospital ICC (FY)'!$A:$IV,5,FALSE)</f>
        <v>37227612.840000004</v>
      </c>
      <c r="G22" s="338">
        <f>VLOOKUP($B22,'[14]Hospital ICC (FY)'!$A:$IV,6,FALSE)</f>
        <v>5702.6011892530078</v>
      </c>
      <c r="H22" s="338">
        <f>VLOOKUP($B22,'[14]Hospital ICC (FY)'!$A:$IV,7,FALSE)</f>
        <v>64975465.359999999</v>
      </c>
      <c r="J22" s="92">
        <f t="shared" si="1"/>
        <v>5702.6011892530078</v>
      </c>
      <c r="K22" s="95">
        <f t="shared" si="2"/>
        <v>1</v>
      </c>
      <c r="L22" s="95">
        <f t="shared" si="3"/>
        <v>1</v>
      </c>
      <c r="M22">
        <f t="shared" si="4"/>
        <v>210017</v>
      </c>
      <c r="N22" s="338">
        <f t="shared" si="5"/>
        <v>2053.5804660000026</v>
      </c>
      <c r="O22" s="338">
        <f t="shared" si="6"/>
        <v>3649.0207232530047</v>
      </c>
      <c r="P22" s="338">
        <f t="shared" si="7"/>
        <v>27747852.52</v>
      </c>
      <c r="Q22" s="338">
        <f t="shared" si="8"/>
        <v>37227612.840000004</v>
      </c>
      <c r="R22" s="338">
        <f t="shared" si="9"/>
        <v>5702.6011892530078</v>
      </c>
      <c r="S22" s="338">
        <f t="shared" si="10"/>
        <v>64975465.359999999</v>
      </c>
      <c r="U22">
        <v>210019</v>
      </c>
      <c r="V22" s="92">
        <f>IFERROR(VLOOKUP($U22,'[14]Oncoloy Drugs'!$A:$IV,2,FALSE),0)</f>
        <v>1372.3108036979997</v>
      </c>
      <c r="W22" s="92">
        <f>IFERROR(VLOOKUP($U22,'[14]Oncoloy Drugs'!$A:$IV,3,FALSE),0)</f>
        <v>16908895.199999999</v>
      </c>
      <c r="AG22">
        <v>210019</v>
      </c>
      <c r="AH22" s="92">
        <f>VLOOKUP($AG22,'[14]Hospital Total (FY)'!$A:$IV,2,FALSE)</f>
        <v>36994.034626080036</v>
      </c>
      <c r="AI22" s="92">
        <f>VLOOKUP($AG22,'[14]Hospital Total (FY)'!$A:$IV,3,FALSE)</f>
        <v>519451696.60000002</v>
      </c>
      <c r="AJ22" s="92"/>
      <c r="AO22">
        <v>210017</v>
      </c>
      <c r="AP22" s="92"/>
      <c r="AQ22" s="92"/>
      <c r="AS22">
        <v>210016</v>
      </c>
      <c r="AT22" s="92">
        <v>153</v>
      </c>
      <c r="AU22" s="92">
        <v>10.076127561999998</v>
      </c>
      <c r="AV22" s="92">
        <v>77346.5</v>
      </c>
      <c r="AX22">
        <v>210019</v>
      </c>
      <c r="AY22" s="92"/>
      <c r="AZ22" s="92"/>
      <c r="BA22" s="92">
        <f t="shared" si="0"/>
        <v>14091.842594506796</v>
      </c>
    </row>
    <row r="23" spans="1:53" x14ac:dyDescent="0.55000000000000004">
      <c r="A23">
        <v>210018</v>
      </c>
      <c r="B23">
        <v>210018</v>
      </c>
      <c r="C23" s="338">
        <f>VLOOKUP($B23,'[14]Hospital ICC (FY)'!$A:$IV,2,FALSE)</f>
        <v>6798.9200949999995</v>
      </c>
      <c r="D23" s="338">
        <f>VLOOKUP($B23,'[14]Hospital ICC (FY)'!$A:$IV,3,FALSE)</f>
        <v>5037.7989376479854</v>
      </c>
      <c r="E23" s="338">
        <f>VLOOKUP($B23,'[14]Hospital ICC (FY)'!$A:$IV,4,FALSE)</f>
        <v>100743224.31</v>
      </c>
      <c r="F23" s="338">
        <f>VLOOKUP($B23,'[14]Hospital ICC (FY)'!$A:$IV,5,FALSE)</f>
        <v>77470857.920000002</v>
      </c>
      <c r="G23" s="338">
        <f>VLOOKUP($B23,'[14]Hospital ICC (FY)'!$A:$IV,6,FALSE)</f>
        <v>11836.719032647985</v>
      </c>
      <c r="H23" s="338">
        <f>VLOOKUP($B23,'[14]Hospital ICC (FY)'!$A:$IV,7,FALSE)</f>
        <v>178214082.22999999</v>
      </c>
      <c r="J23" s="92">
        <f t="shared" si="1"/>
        <v>11836.719032647985</v>
      </c>
      <c r="K23" s="95">
        <f t="shared" si="2"/>
        <v>1</v>
      </c>
      <c r="L23" s="95">
        <f t="shared" si="3"/>
        <v>1</v>
      </c>
      <c r="M23">
        <f t="shared" si="4"/>
        <v>210018</v>
      </c>
      <c r="N23" s="338">
        <f t="shared" si="5"/>
        <v>6798.9200949999995</v>
      </c>
      <c r="O23" s="338">
        <f t="shared" si="6"/>
        <v>5037.7989376479854</v>
      </c>
      <c r="P23" s="338">
        <f t="shared" si="7"/>
        <v>100743224.31</v>
      </c>
      <c r="Q23" s="338">
        <f t="shared" si="8"/>
        <v>77470857.920000002</v>
      </c>
      <c r="R23" s="338">
        <f t="shared" si="9"/>
        <v>11836.719032647985</v>
      </c>
      <c r="S23" s="338">
        <f t="shared" si="10"/>
        <v>178214082.23000002</v>
      </c>
      <c r="U23">
        <v>210022</v>
      </c>
      <c r="V23" s="92">
        <f>IFERROR(VLOOKUP($U23,'[14]Oncoloy Drugs'!$A:$IV,2,FALSE),0)</f>
        <v>2.8635705559999995</v>
      </c>
      <c r="W23" s="92">
        <f>IFERROR(VLOOKUP($U23,'[14]Oncoloy Drugs'!$A:$IV,3,FALSE),0)</f>
        <v>47002.21</v>
      </c>
      <c r="AG23">
        <v>210022</v>
      </c>
      <c r="AH23" s="92">
        <f>VLOOKUP($AG23,'[14]Hospital Total (FY)'!$A:$IV,2,FALSE)</f>
        <v>25347.754348235998</v>
      </c>
      <c r="AI23" s="92">
        <f>VLOOKUP($AG23,'[14]Hospital Total (FY)'!$A:$IV,3,FALSE)</f>
        <v>391434960.41000003</v>
      </c>
      <c r="AJ23" s="92"/>
      <c r="AO23">
        <v>210018</v>
      </c>
      <c r="AP23" s="92"/>
      <c r="AQ23" s="92"/>
      <c r="AS23">
        <v>210017</v>
      </c>
      <c r="AT23" s="92">
        <v>914</v>
      </c>
      <c r="AU23" s="92">
        <v>40.842180043999996</v>
      </c>
      <c r="AV23" s="92">
        <v>176022.86</v>
      </c>
      <c r="AX23">
        <v>210022</v>
      </c>
      <c r="AY23" s="92"/>
      <c r="AZ23" s="92"/>
      <c r="BA23" s="92">
        <f t="shared" si="0"/>
        <v>15414.284083798342</v>
      </c>
    </row>
    <row r="24" spans="1:53" x14ac:dyDescent="0.55000000000000004">
      <c r="A24">
        <v>210019</v>
      </c>
      <c r="B24">
        <v>210019</v>
      </c>
      <c r="C24" s="338">
        <f>VLOOKUP($B24,'[14]Hospital ICC (FY)'!$A:$IV,2,FALSE)</f>
        <v>21452.376572000045</v>
      </c>
      <c r="D24" s="338">
        <f>VLOOKUP($B24,'[14]Hospital ICC (FY)'!$A:$IV,3,FALSE)</f>
        <v>14169.34725038195</v>
      </c>
      <c r="E24" s="338">
        <f>VLOOKUP($B24,'[14]Hospital ICC (FY)'!$A:$IV,4,FALSE)</f>
        <v>322948308.88</v>
      </c>
      <c r="F24" s="338">
        <f>VLOOKUP($B24,'[14]Hospital ICC (FY)'!$A:$IV,5,FALSE)</f>
        <v>179027416.16999999</v>
      </c>
      <c r="G24" s="338">
        <f>VLOOKUP($B24,'[14]Hospital ICC (FY)'!$A:$IV,6,FALSE)</f>
        <v>35621.723822381995</v>
      </c>
      <c r="H24" s="338">
        <f>VLOOKUP($B24,'[14]Hospital ICC (FY)'!$A:$IV,7,FALSE)</f>
        <v>501975725.05000001</v>
      </c>
      <c r="J24" s="92">
        <f t="shared" si="1"/>
        <v>35621.723822381995</v>
      </c>
      <c r="K24" s="95">
        <f t="shared" si="2"/>
        <v>1</v>
      </c>
      <c r="L24" s="95">
        <f t="shared" si="3"/>
        <v>1</v>
      </c>
      <c r="M24">
        <f t="shared" si="4"/>
        <v>210019</v>
      </c>
      <c r="N24" s="338">
        <f t="shared" si="5"/>
        <v>21452.376572000045</v>
      </c>
      <c r="O24" s="338">
        <f t="shared" si="6"/>
        <v>14169.34725038195</v>
      </c>
      <c r="P24" s="338">
        <f t="shared" si="7"/>
        <v>322948308.88</v>
      </c>
      <c r="Q24" s="338">
        <f t="shared" si="8"/>
        <v>179027416.16999999</v>
      </c>
      <c r="R24" s="338">
        <f t="shared" si="9"/>
        <v>35621.723822381995</v>
      </c>
      <c r="S24" s="338">
        <f t="shared" si="10"/>
        <v>501975725.04999995</v>
      </c>
      <c r="U24">
        <v>210023</v>
      </c>
      <c r="V24" s="92">
        <f>IFERROR(VLOOKUP($U24,'[14]Oncoloy Drugs'!$A:$IV,2,FALSE),0)</f>
        <v>1716.7215974149992</v>
      </c>
      <c r="W24" s="92">
        <f>IFERROR(VLOOKUP($U24,'[14]Oncoloy Drugs'!$A:$IV,3,FALSE),0)</f>
        <v>35107304.43</v>
      </c>
      <c r="AG24">
        <v>210023</v>
      </c>
      <c r="AH24" s="92">
        <f>VLOOKUP($AG24,'[14]Hospital Total (FY)'!$A:$IV,2,FALSE)</f>
        <v>49528.580089216863</v>
      </c>
      <c r="AI24" s="92">
        <f>VLOOKUP($AG24,'[14]Hospital Total (FY)'!$A:$IV,3,FALSE)</f>
        <v>722271838.95000005</v>
      </c>
      <c r="AJ24" s="92"/>
      <c r="AO24">
        <v>210019</v>
      </c>
      <c r="AP24" s="92"/>
      <c r="AQ24" s="92"/>
      <c r="AS24">
        <v>210018</v>
      </c>
      <c r="AT24" s="92">
        <v>120</v>
      </c>
      <c r="AU24" s="92">
        <v>8.0890565639999981</v>
      </c>
      <c r="AV24" s="92">
        <v>96613.6</v>
      </c>
      <c r="AX24">
        <v>210023</v>
      </c>
      <c r="AY24" s="92"/>
      <c r="AZ24" s="92"/>
      <c r="BA24" s="92">
        <f t="shared" si="0"/>
        <v>14363.074120152645</v>
      </c>
    </row>
    <row r="25" spans="1:53" x14ac:dyDescent="0.55000000000000004">
      <c r="A25">
        <v>210022</v>
      </c>
      <c r="B25">
        <v>210022</v>
      </c>
      <c r="C25" s="338">
        <f>VLOOKUP($B25,'[14]Hospital ICC (FY)'!$A:$IV,2,FALSE)</f>
        <v>16567.712772000003</v>
      </c>
      <c r="D25" s="338">
        <f>VLOOKUP($B25,'[14]Hospital ICC (FY)'!$A:$IV,3,FALSE)</f>
        <v>8777.1780056799871</v>
      </c>
      <c r="E25" s="338">
        <f>VLOOKUP($B25,'[14]Hospital ICC (FY)'!$A:$IV,4,FALSE)</f>
        <v>256531788.72999999</v>
      </c>
      <c r="F25" s="338">
        <f>VLOOKUP($B25,'[14]Hospital ICC (FY)'!$A:$IV,5,FALSE)</f>
        <v>134141557.79000001</v>
      </c>
      <c r="G25" s="338">
        <f>VLOOKUP($B25,'[14]Hospital ICC (FY)'!$A:$IV,6,FALSE)</f>
        <v>25344.890777679986</v>
      </c>
      <c r="H25" s="338">
        <f>VLOOKUP($B25,'[14]Hospital ICC (FY)'!$A:$IV,7,FALSE)</f>
        <v>390673346.51999998</v>
      </c>
      <c r="J25" s="92">
        <f t="shared" si="1"/>
        <v>25344.890777679986</v>
      </c>
      <c r="K25" s="95">
        <f t="shared" si="2"/>
        <v>0.99999999999999989</v>
      </c>
      <c r="L25" s="95">
        <f t="shared" si="3"/>
        <v>1</v>
      </c>
      <c r="M25">
        <f t="shared" si="4"/>
        <v>210022</v>
      </c>
      <c r="N25" s="338">
        <f t="shared" si="5"/>
        <v>16567.712772000003</v>
      </c>
      <c r="O25" s="338">
        <f t="shared" si="6"/>
        <v>8777.1780056799871</v>
      </c>
      <c r="P25" s="338">
        <f t="shared" si="7"/>
        <v>256531788.72999999</v>
      </c>
      <c r="Q25" s="338">
        <f t="shared" si="8"/>
        <v>134141557.79000001</v>
      </c>
      <c r="R25" s="338">
        <f t="shared" si="9"/>
        <v>25344.89077767999</v>
      </c>
      <c r="S25" s="338">
        <f t="shared" si="10"/>
        <v>390673346.51999998</v>
      </c>
      <c r="U25">
        <v>210024</v>
      </c>
      <c r="V25" s="92">
        <f>IFERROR(VLOOKUP($U25,'[14]Oncoloy Drugs'!$A:$IV,2,FALSE),0)</f>
        <v>3.3810549730000004</v>
      </c>
      <c r="W25" s="92">
        <f>IFERROR(VLOOKUP($U25,'[14]Oncoloy Drugs'!$A:$IV,3,FALSE),0)</f>
        <v>151865.18</v>
      </c>
      <c r="AG25">
        <v>210024</v>
      </c>
      <c r="AH25" s="92">
        <f>VLOOKUP($AG25,'[14]Hospital Total (FY)'!$A:$IV,2,FALSE)</f>
        <v>27024.84999533301</v>
      </c>
      <c r="AI25" s="92">
        <f>VLOOKUP($AG25,'[14]Hospital Total (FY)'!$A:$IV,3,FALSE)</f>
        <v>440966331.88999999</v>
      </c>
      <c r="AJ25" s="92"/>
      <c r="AO25">
        <v>210022</v>
      </c>
      <c r="AP25" s="92"/>
      <c r="AQ25" s="92"/>
      <c r="AS25">
        <v>210019</v>
      </c>
      <c r="AT25" s="92">
        <v>963</v>
      </c>
      <c r="AU25" s="92">
        <v>46.427259768999996</v>
      </c>
      <c r="AV25" s="92">
        <v>263434</v>
      </c>
      <c r="AX25">
        <v>210024</v>
      </c>
      <c r="AY25" s="92"/>
      <c r="AZ25" s="92"/>
      <c r="BA25" s="92">
        <f t="shared" si="0"/>
        <v>16286.728745255803</v>
      </c>
    </row>
    <row r="26" spans="1:53" x14ac:dyDescent="0.55000000000000004">
      <c r="A26">
        <v>210023</v>
      </c>
      <c r="B26">
        <v>210023</v>
      </c>
      <c r="C26" s="338">
        <f>VLOOKUP($B26,'[14]Hospital ICC (FY)'!$A:$IV,2,FALSE)</f>
        <v>27903.127565999941</v>
      </c>
      <c r="D26" s="338">
        <f>VLOOKUP($B26,'[14]Hospital ICC (FY)'!$A:$IV,3,FALSE)</f>
        <v>19908.730925801945</v>
      </c>
      <c r="E26" s="338">
        <f>VLOOKUP($B26,'[14]Hospital ICC (FY)'!$A:$IV,4,FALSE)</f>
        <v>402177283.30000001</v>
      </c>
      <c r="F26" s="338">
        <f>VLOOKUP($B26,'[14]Hospital ICC (FY)'!$A:$IV,5,FALSE)</f>
        <v>284547984.04000002</v>
      </c>
      <c r="G26" s="338">
        <f>VLOOKUP($B26,'[14]Hospital ICC (FY)'!$A:$IV,6,FALSE)</f>
        <v>47811.858491801875</v>
      </c>
      <c r="H26" s="338">
        <f>VLOOKUP($B26,'[14]Hospital ICC (FY)'!$A:$IV,7,FALSE)</f>
        <v>686725267.34000003</v>
      </c>
      <c r="J26" s="92">
        <f t="shared" si="1"/>
        <v>47811.858491801875</v>
      </c>
      <c r="K26" s="95">
        <f t="shared" si="2"/>
        <v>0.99999999999999967</v>
      </c>
      <c r="L26" s="95">
        <f t="shared" si="3"/>
        <v>1</v>
      </c>
      <c r="M26">
        <f t="shared" si="4"/>
        <v>210023</v>
      </c>
      <c r="N26" s="338">
        <f t="shared" si="5"/>
        <v>27903.127565999941</v>
      </c>
      <c r="O26" s="338">
        <f t="shared" si="6"/>
        <v>19908.730925801945</v>
      </c>
      <c r="P26" s="338">
        <f t="shared" si="7"/>
        <v>402177283.30000001</v>
      </c>
      <c r="Q26" s="338">
        <f t="shared" si="8"/>
        <v>284547984.04000002</v>
      </c>
      <c r="R26" s="338">
        <f t="shared" si="9"/>
        <v>47811.85849180189</v>
      </c>
      <c r="S26" s="338">
        <f t="shared" si="10"/>
        <v>686725267.34000003</v>
      </c>
      <c r="U26">
        <v>210027</v>
      </c>
      <c r="V26" s="92">
        <f>IFERROR(VLOOKUP($U26,'[14]Oncoloy Drugs'!$A:$IV,2,FALSE),0)</f>
        <v>1601.2823825540002</v>
      </c>
      <c r="W26" s="92">
        <f>IFERROR(VLOOKUP($U26,'[14]Oncoloy Drugs'!$A:$IV,3,FALSE),0)</f>
        <v>36164018</v>
      </c>
      <c r="AG26">
        <v>210027</v>
      </c>
      <c r="AH26" s="92">
        <f>VLOOKUP($AG26,'[14]Hospital Total (FY)'!$A:$IV,2,FALSE)</f>
        <v>24325.099394108009</v>
      </c>
      <c r="AI26" s="92">
        <f>VLOOKUP($AG26,'[14]Hospital Total (FY)'!$A:$IV,3,FALSE)</f>
        <v>361916515.41000003</v>
      </c>
      <c r="AJ26" s="92"/>
      <c r="AO26">
        <v>210023</v>
      </c>
      <c r="AP26" s="92"/>
      <c r="AQ26" s="92"/>
      <c r="AS26">
        <v>210022</v>
      </c>
      <c r="AT26" s="92">
        <v>8357</v>
      </c>
      <c r="AU26" s="92">
        <v>435.80554030400003</v>
      </c>
      <c r="AV26" s="92">
        <v>891008.93</v>
      </c>
      <c r="AX26">
        <v>210027</v>
      </c>
      <c r="AY26" s="92"/>
      <c r="AZ26" s="92"/>
      <c r="BA26" s="92">
        <f t="shared" si="0"/>
        <v>14304.607663172292</v>
      </c>
    </row>
    <row r="27" spans="1:53" x14ac:dyDescent="0.55000000000000004">
      <c r="A27">
        <v>210024</v>
      </c>
      <c r="B27">
        <v>210024</v>
      </c>
      <c r="C27" s="338">
        <f>VLOOKUP($B27,'[14]Hospital ICC (FY)'!$A:$IV,2,FALSE)</f>
        <v>15389.945081000013</v>
      </c>
      <c r="D27" s="338">
        <f>VLOOKUP($B27,'[14]Hospital ICC (FY)'!$A:$IV,3,FALSE)</f>
        <v>11631.52385936011</v>
      </c>
      <c r="E27" s="338">
        <f>VLOOKUP($B27,'[14]Hospital ICC (FY)'!$A:$IV,4,FALSE)</f>
        <v>273123175.50999999</v>
      </c>
      <c r="F27" s="338">
        <f>VLOOKUP($B27,'[14]Hospital ICC (FY)'!$A:$IV,5,FALSE)</f>
        <v>166968159.41999999</v>
      </c>
      <c r="G27" s="338">
        <f>VLOOKUP($B27,'[14]Hospital ICC (FY)'!$A:$IV,6,FALSE)</f>
        <v>27021.468940360119</v>
      </c>
      <c r="H27" s="338">
        <f>VLOOKUP($B27,'[14]Hospital ICC (FY)'!$A:$IV,7,FALSE)</f>
        <v>440091334.93000001</v>
      </c>
      <c r="J27" s="92">
        <f t="shared" si="1"/>
        <v>27021.468940360119</v>
      </c>
      <c r="K27" s="95">
        <f t="shared" si="2"/>
        <v>0.99999999999999989</v>
      </c>
      <c r="L27" s="95">
        <f t="shared" si="3"/>
        <v>1</v>
      </c>
      <c r="M27">
        <f t="shared" si="4"/>
        <v>210024</v>
      </c>
      <c r="N27" s="338">
        <f t="shared" si="5"/>
        <v>15389.945081000013</v>
      </c>
      <c r="O27" s="338">
        <f t="shared" si="6"/>
        <v>11631.52385936011</v>
      </c>
      <c r="P27" s="338">
        <f t="shared" si="7"/>
        <v>273123175.50999999</v>
      </c>
      <c r="Q27" s="338">
        <f t="shared" si="8"/>
        <v>166968159.41999999</v>
      </c>
      <c r="R27" s="338">
        <f t="shared" si="9"/>
        <v>27021.468940360122</v>
      </c>
      <c r="S27" s="338">
        <f t="shared" si="10"/>
        <v>440091334.92999995</v>
      </c>
      <c r="U27">
        <v>210028</v>
      </c>
      <c r="V27" s="92">
        <f>IFERROR(VLOOKUP($U27,'[14]Oncoloy Drugs'!$A:$IV,2,FALSE),0)</f>
        <v>499.46700191299999</v>
      </c>
      <c r="W27" s="92">
        <f>IFERROR(VLOOKUP($U27,'[14]Oncoloy Drugs'!$A:$IV,3,FALSE),0)</f>
        <v>12138116.07</v>
      </c>
      <c r="AG27">
        <v>210028</v>
      </c>
      <c r="AH27" s="92">
        <f>VLOOKUP($AG27,'[14]Hospital Total (FY)'!$A:$IV,2,FALSE)</f>
        <v>15205.591653996004</v>
      </c>
      <c r="AI27" s="92">
        <f>VLOOKUP($AG27,'[14]Hospital Total (FY)'!$A:$IV,3,FALSE)</f>
        <v>204496807.53</v>
      </c>
      <c r="AJ27" s="92"/>
      <c r="AO27">
        <v>210024</v>
      </c>
      <c r="AP27" s="92"/>
      <c r="AQ27" s="92"/>
      <c r="AS27">
        <v>210023</v>
      </c>
      <c r="AT27" s="92">
        <v>264</v>
      </c>
      <c r="AU27" s="92">
        <v>11.827779101999997</v>
      </c>
      <c r="AV27" s="92">
        <v>237753.52</v>
      </c>
      <c r="AX27">
        <v>210028</v>
      </c>
      <c r="AY27" s="92"/>
      <c r="AZ27" s="92"/>
      <c r="BA27" s="92">
        <f t="shared" si="0"/>
        <v>13037.743033331519</v>
      </c>
    </row>
    <row r="28" spans="1:53" x14ac:dyDescent="0.55000000000000004">
      <c r="A28">
        <v>210027</v>
      </c>
      <c r="B28">
        <v>210027</v>
      </c>
      <c r="C28" s="338">
        <f>VLOOKUP($B28,'[14]Hospital ICC (FY)'!$A:$IV,2,FALSE)</f>
        <v>13362.610494000002</v>
      </c>
      <c r="D28" s="338">
        <f>VLOOKUP($B28,'[14]Hospital ICC (FY)'!$A:$IV,3,FALSE)</f>
        <v>9361.2065175539828</v>
      </c>
      <c r="E28" s="338">
        <f>VLOOKUP($B28,'[14]Hospital ICC (FY)'!$A:$IV,4,FALSE)</f>
        <v>205528500.46000001</v>
      </c>
      <c r="F28" s="338">
        <f>VLOOKUP($B28,'[14]Hospital ICC (FY)'!$A:$IV,5,FALSE)</f>
        <v>119526786.5</v>
      </c>
      <c r="G28" s="338">
        <f>VLOOKUP($B28,'[14]Hospital ICC (FY)'!$A:$IV,6,FALSE)</f>
        <v>22723.817011553983</v>
      </c>
      <c r="H28" s="338">
        <f>VLOOKUP($B28,'[14]Hospital ICC (FY)'!$A:$IV,7,FALSE)</f>
        <v>325055286.95999998</v>
      </c>
      <c r="J28" s="92">
        <f t="shared" si="1"/>
        <v>22723.817011553983</v>
      </c>
      <c r="K28" s="95">
        <f t="shared" si="2"/>
        <v>1</v>
      </c>
      <c r="L28" s="95">
        <f t="shared" si="3"/>
        <v>1</v>
      </c>
      <c r="M28">
        <f t="shared" si="4"/>
        <v>210027</v>
      </c>
      <c r="N28" s="338">
        <f t="shared" si="5"/>
        <v>13362.610494000002</v>
      </c>
      <c r="O28" s="338">
        <f t="shared" si="6"/>
        <v>9361.2065175539828</v>
      </c>
      <c r="P28" s="338">
        <f t="shared" si="7"/>
        <v>205528500.46000001</v>
      </c>
      <c r="Q28" s="338">
        <f t="shared" si="8"/>
        <v>119526786.5</v>
      </c>
      <c r="R28" s="338">
        <f t="shared" si="9"/>
        <v>22723.817011553983</v>
      </c>
      <c r="S28" s="338">
        <f t="shared" si="10"/>
        <v>325055286.96000004</v>
      </c>
      <c r="U28">
        <v>210029</v>
      </c>
      <c r="V28" s="92">
        <f>IFERROR(VLOOKUP($U28,'[14]Oncoloy Drugs'!$A:$IV,2,FALSE),0)</f>
        <v>2546.4120123169996</v>
      </c>
      <c r="W28" s="92">
        <f>IFERROR(VLOOKUP($U28,'[14]Oncoloy Drugs'!$A:$IV,3,FALSE),0)</f>
        <v>60983645.93</v>
      </c>
      <c r="AG28">
        <v>210029</v>
      </c>
      <c r="AH28" s="92">
        <f>VLOOKUP($AG28,'[14]Hospital Total (FY)'!$A:$IV,2,FALSE)</f>
        <v>39380.839934114985</v>
      </c>
      <c r="AI28" s="92">
        <f>VLOOKUP($AG28,'[14]Hospital Total (FY)'!$A:$IV,3,FALSE)</f>
        <v>780812247.20000005</v>
      </c>
      <c r="AJ28" s="92"/>
      <c r="AO28">
        <v>210027</v>
      </c>
      <c r="AP28" s="92"/>
      <c r="AQ28" s="92"/>
      <c r="AS28">
        <v>210024</v>
      </c>
      <c r="AT28" s="92">
        <v>491</v>
      </c>
      <c r="AU28" s="92">
        <v>22.207054932999995</v>
      </c>
      <c r="AV28" s="92">
        <v>79936.38</v>
      </c>
      <c r="AX28">
        <v>210029</v>
      </c>
      <c r="AY28" s="92"/>
      <c r="AZ28" s="92"/>
      <c r="BA28" s="92">
        <f t="shared" si="0"/>
        <v>18977.918391201132</v>
      </c>
    </row>
    <row r="29" spans="1:53" x14ac:dyDescent="0.55000000000000004">
      <c r="A29">
        <v>210028</v>
      </c>
      <c r="B29">
        <v>210028</v>
      </c>
      <c r="C29" s="338">
        <f>VLOOKUP($B29,'[14]Hospital ICC (FY)'!$A:$IV,2,FALSE)</f>
        <v>7495.1566430000094</v>
      </c>
      <c r="D29" s="338">
        <f>VLOOKUP($B29,'[14]Hospital ICC (FY)'!$A:$IV,3,FALSE)</f>
        <v>7210.9680090829861</v>
      </c>
      <c r="E29" s="338">
        <f>VLOOKUP($B29,'[14]Hospital ICC (FY)'!$A:$IV,4,FALSE)</f>
        <v>102823683.23999999</v>
      </c>
      <c r="F29" s="338">
        <f>VLOOKUP($B29,'[14]Hospital ICC (FY)'!$A:$IV,5,FALSE)</f>
        <v>88910990.989999995</v>
      </c>
      <c r="G29" s="338">
        <f>VLOOKUP($B29,'[14]Hospital ICC (FY)'!$A:$IV,6,FALSE)</f>
        <v>14706.124652082995</v>
      </c>
      <c r="H29" s="338">
        <f>VLOOKUP($B29,'[14]Hospital ICC (FY)'!$A:$IV,7,FALSE)</f>
        <v>191734674.22999999</v>
      </c>
      <c r="J29" s="92">
        <f t="shared" si="1"/>
        <v>14706.124652082995</v>
      </c>
      <c r="K29" s="95">
        <f t="shared" si="2"/>
        <v>1</v>
      </c>
      <c r="L29" s="95">
        <f t="shared" si="3"/>
        <v>1</v>
      </c>
      <c r="M29">
        <f t="shared" si="4"/>
        <v>210028</v>
      </c>
      <c r="N29" s="338">
        <f t="shared" si="5"/>
        <v>7495.1566430000094</v>
      </c>
      <c r="O29" s="338">
        <f t="shared" si="6"/>
        <v>7210.9680090829861</v>
      </c>
      <c r="P29" s="338">
        <f t="shared" si="7"/>
        <v>102823683.23999999</v>
      </c>
      <c r="Q29" s="338">
        <f t="shared" si="8"/>
        <v>88910990.989999995</v>
      </c>
      <c r="R29" s="338">
        <f t="shared" si="9"/>
        <v>14706.124652082995</v>
      </c>
      <c r="S29" s="338">
        <f t="shared" si="10"/>
        <v>191734674.22999999</v>
      </c>
      <c r="U29">
        <v>210030</v>
      </c>
      <c r="V29" s="92">
        <f>IFERROR(VLOOKUP($U29,'[14]Oncoloy Drugs'!$A:$IV,2,FALSE),0)</f>
        <v>18.703194198000002</v>
      </c>
      <c r="W29" s="92">
        <f>IFERROR(VLOOKUP($U29,'[14]Oncoloy Drugs'!$A:$IV,3,FALSE),0)</f>
        <v>732495.17</v>
      </c>
      <c r="AG29">
        <v>210030</v>
      </c>
      <c r="AH29" s="92">
        <f>VLOOKUP($AG29,'[14]Hospital Total (FY)'!$A:$IV,2,FALSE)</f>
        <v>2198.8372439419982</v>
      </c>
      <c r="AI29" s="92">
        <f>VLOOKUP($AG29,'[14]Hospital Total (FY)'!$A:$IV,3,FALSE)</f>
        <v>52352200.579999998</v>
      </c>
      <c r="AJ29" s="92"/>
      <c r="AO29">
        <v>210028</v>
      </c>
      <c r="AP29" s="92"/>
      <c r="AQ29" s="92"/>
      <c r="AS29">
        <v>210027</v>
      </c>
      <c r="AT29" s="92">
        <v>650</v>
      </c>
      <c r="AU29" s="92">
        <v>31.035420977000005</v>
      </c>
      <c r="AV29" s="92">
        <v>253376.98</v>
      </c>
      <c r="AX29">
        <v>210030</v>
      </c>
      <c r="AY29" s="92"/>
      <c r="AZ29" s="92"/>
      <c r="BA29" s="92">
        <f t="shared" si="0"/>
        <v>23677.031651361671</v>
      </c>
    </row>
    <row r="30" spans="1:53" x14ac:dyDescent="0.55000000000000004">
      <c r="A30">
        <v>210029</v>
      </c>
      <c r="B30">
        <v>210029</v>
      </c>
      <c r="C30" s="338">
        <f>VLOOKUP($B30,'[14]Hospital ICC (FY)'!$A:$IV,2,FALSE)</f>
        <v>19973.96585099999</v>
      </c>
      <c r="D30" s="338">
        <f>VLOOKUP($B30,'[14]Hospital ICC (FY)'!$A:$IV,3,FALSE)</f>
        <v>16228.090821798072</v>
      </c>
      <c r="E30" s="338">
        <f>VLOOKUP($B30,'[14]Hospital ICC (FY)'!$A:$IV,4,FALSE)</f>
        <v>452817955.29000002</v>
      </c>
      <c r="F30" s="338">
        <f>VLOOKUP($B30,'[14]Hospital ICC (FY)'!$A:$IV,5,FALSE)</f>
        <v>234221721.84</v>
      </c>
      <c r="G30" s="338">
        <f>VLOOKUP($B30,'[14]Hospital ICC (FY)'!$A:$IV,6,FALSE)</f>
        <v>36202.056672798062</v>
      </c>
      <c r="H30" s="338">
        <f>VLOOKUP($B30,'[14]Hospital ICC (FY)'!$A:$IV,7,FALSE)</f>
        <v>687039677.13</v>
      </c>
      <c r="J30" s="92">
        <f t="shared" si="1"/>
        <v>36202.056672798062</v>
      </c>
      <c r="K30" s="95">
        <f t="shared" si="2"/>
        <v>1</v>
      </c>
      <c r="L30" s="95">
        <f t="shared" si="3"/>
        <v>1</v>
      </c>
      <c r="M30">
        <f t="shared" si="4"/>
        <v>210029</v>
      </c>
      <c r="N30" s="338">
        <f t="shared" si="5"/>
        <v>19973.96585099999</v>
      </c>
      <c r="O30" s="338">
        <f t="shared" si="6"/>
        <v>16228.090821798072</v>
      </c>
      <c r="P30" s="338">
        <f t="shared" si="7"/>
        <v>452817955.29000002</v>
      </c>
      <c r="Q30" s="338">
        <f t="shared" si="8"/>
        <v>234221721.84</v>
      </c>
      <c r="R30" s="338">
        <f t="shared" si="9"/>
        <v>36202.056672798062</v>
      </c>
      <c r="S30" s="338">
        <f t="shared" si="10"/>
        <v>687039677.13</v>
      </c>
      <c r="U30">
        <v>210032</v>
      </c>
      <c r="V30" s="92">
        <f>IFERROR(VLOOKUP($U30,'[14]Oncoloy Drugs'!$A:$IV,2,FALSE),0)</f>
        <v>656.95397500800004</v>
      </c>
      <c r="W30" s="92">
        <f>IFERROR(VLOOKUP($U30,'[14]Oncoloy Drugs'!$A:$IV,3,FALSE),0)</f>
        <v>12246496.039999999</v>
      </c>
      <c r="AG30">
        <v>210032</v>
      </c>
      <c r="AH30" s="92">
        <f>VLOOKUP($AG30,'[14]Hospital Total (FY)'!$A:$IV,2,FALSE)</f>
        <v>11585.575139715011</v>
      </c>
      <c r="AI30" s="92">
        <f>VLOOKUP($AG30,'[14]Hospital Total (FY)'!$A:$IV,3,FALSE)</f>
        <v>178274624.69999999</v>
      </c>
      <c r="AJ30" s="92"/>
      <c r="AO30">
        <v>210029</v>
      </c>
      <c r="AP30" s="92"/>
      <c r="AQ30" s="92"/>
      <c r="AS30">
        <v>210028</v>
      </c>
      <c r="AT30" s="92">
        <v>636</v>
      </c>
      <c r="AU30" s="92">
        <v>33.549074615999999</v>
      </c>
      <c r="AV30" s="92">
        <v>232010.56</v>
      </c>
      <c r="AX30">
        <v>210032</v>
      </c>
      <c r="AY30" s="92"/>
      <c r="AZ30" s="92"/>
      <c r="BA30" s="92">
        <f t="shared" si="0"/>
        <v>15082.359406171156</v>
      </c>
    </row>
    <row r="31" spans="1:53" x14ac:dyDescent="0.55000000000000004">
      <c r="A31">
        <v>210030</v>
      </c>
      <c r="B31">
        <v>210030</v>
      </c>
      <c r="C31" s="338">
        <f>VLOOKUP($B31,'[14]Hospital ICC (FY)'!$A:$IV,2,FALSE)</f>
        <v>393.25339200000002</v>
      </c>
      <c r="D31" s="338">
        <f>VLOOKUP($B31,'[14]Hospital ICC (FY)'!$A:$IV,3,FALSE)</f>
        <v>1786.8806577440005</v>
      </c>
      <c r="E31" s="338">
        <f>VLOOKUP($B31,'[14]Hospital ICC (FY)'!$A:$IV,4,FALSE)</f>
        <v>11221231.02</v>
      </c>
      <c r="F31" s="338">
        <f>VLOOKUP($B31,'[14]Hospital ICC (FY)'!$A:$IV,5,FALSE)</f>
        <v>40397871.880000003</v>
      </c>
      <c r="G31" s="338">
        <f>VLOOKUP($B31,'[14]Hospital ICC (FY)'!$A:$IV,6,FALSE)</f>
        <v>2180.1340497440005</v>
      </c>
      <c r="H31" s="338">
        <f>VLOOKUP($B31,'[14]Hospital ICC (FY)'!$A:$IV,7,FALSE)</f>
        <v>51619102.899999999</v>
      </c>
      <c r="J31" s="92">
        <f t="shared" si="1"/>
        <v>2180.1340497440005</v>
      </c>
      <c r="K31" s="95">
        <f t="shared" si="2"/>
        <v>1</v>
      </c>
      <c r="L31" s="95">
        <f t="shared" si="3"/>
        <v>1</v>
      </c>
      <c r="M31">
        <f t="shared" si="4"/>
        <v>210030</v>
      </c>
      <c r="N31" s="338">
        <f t="shared" si="5"/>
        <v>393.25339200000002</v>
      </c>
      <c r="O31" s="338">
        <f t="shared" si="6"/>
        <v>1786.8806577440005</v>
      </c>
      <c r="P31" s="338">
        <f t="shared" si="7"/>
        <v>11221231.02</v>
      </c>
      <c r="Q31" s="338">
        <f t="shared" si="8"/>
        <v>40397871.880000003</v>
      </c>
      <c r="R31" s="338">
        <f t="shared" si="9"/>
        <v>2180.1340497440005</v>
      </c>
      <c r="S31" s="338">
        <f t="shared" si="10"/>
        <v>51619102.900000006</v>
      </c>
      <c r="U31">
        <v>210033</v>
      </c>
      <c r="V31" s="92">
        <f>IFERROR(VLOOKUP($U31,'[14]Oncoloy Drugs'!$A:$IV,2,FALSE),0)</f>
        <v>10.527949625</v>
      </c>
      <c r="W31" s="92">
        <f>IFERROR(VLOOKUP($U31,'[14]Oncoloy Drugs'!$A:$IV,3,FALSE),0)</f>
        <v>132035.15</v>
      </c>
      <c r="AG31">
        <v>210033</v>
      </c>
      <c r="AH31" s="92">
        <f>VLOOKUP($AG31,'[14]Hospital Total (FY)'!$A:$IV,2,FALSE)</f>
        <v>16476.621894403012</v>
      </c>
      <c r="AI31" s="92">
        <f>VLOOKUP($AG31,'[14]Hospital Total (FY)'!$A:$IV,3,FALSE)</f>
        <v>257385670.19999999</v>
      </c>
      <c r="AJ31" s="92"/>
      <c r="AO31">
        <v>210030</v>
      </c>
      <c r="AP31" s="92"/>
      <c r="AQ31" s="92"/>
      <c r="AS31">
        <v>210029</v>
      </c>
      <c r="AT31" s="92">
        <v>12691</v>
      </c>
      <c r="AU31" s="92">
        <v>661.25673896599949</v>
      </c>
      <c r="AV31" s="92">
        <v>1569939.89</v>
      </c>
      <c r="AX31">
        <v>210033</v>
      </c>
      <c r="AY31" s="92"/>
      <c r="AZ31" s="92"/>
      <c r="BA31" s="92">
        <f t="shared" si="0"/>
        <v>15593.910677366897</v>
      </c>
    </row>
    <row r="32" spans="1:53" x14ac:dyDescent="0.55000000000000004">
      <c r="A32">
        <v>210032</v>
      </c>
      <c r="B32">
        <v>210032</v>
      </c>
      <c r="C32" s="338">
        <f>VLOOKUP($B32,'[14]Hospital ICC (FY)'!$A:$IV,2,FALSE)</f>
        <v>6105.5437250000223</v>
      </c>
      <c r="D32" s="338">
        <f>VLOOKUP($B32,'[14]Hospital ICC (FY)'!$A:$IV,3,FALSE)</f>
        <v>4823.0774397069899</v>
      </c>
      <c r="E32" s="338">
        <f>VLOOKUP($B32,'[14]Hospital ICC (FY)'!$A:$IV,4,FALSE)</f>
        <v>100928673.29000001</v>
      </c>
      <c r="F32" s="338">
        <f>VLOOKUP($B32,'[14]Hospital ICC (FY)'!$A:$IV,5,FALSE)</f>
        <v>63900718.93</v>
      </c>
      <c r="G32" s="338">
        <f>VLOOKUP($B32,'[14]Hospital ICC (FY)'!$A:$IV,6,FALSE)</f>
        <v>10928.621164707014</v>
      </c>
      <c r="H32" s="338">
        <f>VLOOKUP($B32,'[14]Hospital ICC (FY)'!$A:$IV,7,FALSE)</f>
        <v>164829392.22</v>
      </c>
      <c r="J32" s="92">
        <f t="shared" si="1"/>
        <v>10928.621164707014</v>
      </c>
      <c r="K32" s="95">
        <f t="shared" si="2"/>
        <v>1.0000000000000002</v>
      </c>
      <c r="L32" s="95">
        <f t="shared" si="3"/>
        <v>1</v>
      </c>
      <c r="M32">
        <f t="shared" si="4"/>
        <v>210032</v>
      </c>
      <c r="N32" s="338">
        <f t="shared" si="5"/>
        <v>6105.5437250000223</v>
      </c>
      <c r="O32" s="338">
        <f t="shared" si="6"/>
        <v>4823.0774397069899</v>
      </c>
      <c r="P32" s="338">
        <f t="shared" si="7"/>
        <v>100928673.29000001</v>
      </c>
      <c r="Q32" s="338">
        <f t="shared" si="8"/>
        <v>63900718.93</v>
      </c>
      <c r="R32" s="338">
        <f t="shared" si="9"/>
        <v>10928.621164707012</v>
      </c>
      <c r="S32" s="338">
        <f t="shared" si="10"/>
        <v>164829392.22</v>
      </c>
      <c r="U32">
        <v>210034</v>
      </c>
      <c r="V32" s="92">
        <f>IFERROR(VLOOKUP($U32,'[14]Oncoloy Drugs'!$A:$IV,2,FALSE),0)</f>
        <v>35.537127052000002</v>
      </c>
      <c r="W32" s="92">
        <f>IFERROR(VLOOKUP($U32,'[14]Oncoloy Drugs'!$A:$IV,3,FALSE),0)</f>
        <v>1284294.96</v>
      </c>
      <c r="AG32">
        <v>210034</v>
      </c>
      <c r="AH32" s="92">
        <f>VLOOKUP($AG32,'[14]Hospital Total (FY)'!$A:$IV,2,FALSE)</f>
        <v>11688.854737428017</v>
      </c>
      <c r="AI32" s="92">
        <f>VLOOKUP($AG32,'[14]Hospital Total (FY)'!$A:$IV,3,FALSE)</f>
        <v>201446777.34</v>
      </c>
      <c r="AJ32" s="92"/>
      <c r="AO32">
        <v>210032</v>
      </c>
      <c r="AP32" s="92"/>
      <c r="AQ32" s="92"/>
      <c r="AS32">
        <v>210030</v>
      </c>
      <c r="AT32" s="92">
        <v>260</v>
      </c>
      <c r="AU32" s="92">
        <v>4.9099018830000007</v>
      </c>
      <c r="AV32" s="92">
        <v>249634.57</v>
      </c>
      <c r="AX32">
        <v>210034</v>
      </c>
      <c r="AY32" s="92"/>
      <c r="AZ32" s="92"/>
      <c r="BA32" s="92">
        <f t="shared" si="0"/>
        <v>17148.380135290245</v>
      </c>
    </row>
    <row r="33" spans="1:53" x14ac:dyDescent="0.55000000000000004">
      <c r="A33">
        <v>210033</v>
      </c>
      <c r="B33">
        <v>210033</v>
      </c>
      <c r="C33" s="338">
        <f>VLOOKUP($B33,'[14]Hospital ICC (FY)'!$A:$IV,2,FALSE)</f>
        <v>11063.19863800002</v>
      </c>
      <c r="D33" s="338">
        <f>VLOOKUP($B33,'[14]Hospital ICC (FY)'!$A:$IV,3,FALSE)</f>
        <v>5402.8953067779785</v>
      </c>
      <c r="E33" s="338">
        <f>VLOOKUP($B33,'[14]Hospital ICC (FY)'!$A:$IV,4,FALSE)</f>
        <v>169955085.99000001</v>
      </c>
      <c r="F33" s="338">
        <f>VLOOKUP($B33,'[14]Hospital ICC (FY)'!$A:$IV,5,FALSE)</f>
        <v>86815712.189999998</v>
      </c>
      <c r="G33" s="338">
        <f>VLOOKUP($B33,'[14]Hospital ICC (FY)'!$A:$IV,6,FALSE)</f>
        <v>16466.093944777997</v>
      </c>
      <c r="H33" s="338">
        <f>VLOOKUP($B33,'[14]Hospital ICC (FY)'!$A:$IV,7,FALSE)</f>
        <v>256770798.18000001</v>
      </c>
      <c r="J33" s="92">
        <f t="shared" si="1"/>
        <v>16466.093944777997</v>
      </c>
      <c r="K33" s="95">
        <f t="shared" si="2"/>
        <v>1</v>
      </c>
      <c r="L33" s="95">
        <f t="shared" si="3"/>
        <v>1</v>
      </c>
      <c r="M33">
        <f t="shared" si="4"/>
        <v>210033</v>
      </c>
      <c r="N33" s="338">
        <f t="shared" si="5"/>
        <v>11063.19863800002</v>
      </c>
      <c r="O33" s="338">
        <f t="shared" si="6"/>
        <v>5402.8953067779785</v>
      </c>
      <c r="P33" s="338">
        <f t="shared" si="7"/>
        <v>169955085.99000001</v>
      </c>
      <c r="Q33" s="338">
        <f t="shared" si="8"/>
        <v>86815712.189999998</v>
      </c>
      <c r="R33" s="338">
        <f t="shared" si="9"/>
        <v>16466.093944777997</v>
      </c>
      <c r="S33" s="338">
        <f t="shared" si="10"/>
        <v>256770798.18000001</v>
      </c>
      <c r="U33">
        <v>210035</v>
      </c>
      <c r="V33" s="92">
        <f>IFERROR(VLOOKUP($U33,'[14]Oncoloy Drugs'!$A:$IV,2,FALSE),0)</f>
        <v>36.128924332999993</v>
      </c>
      <c r="W33" s="92">
        <f>IFERROR(VLOOKUP($U33,'[14]Oncoloy Drugs'!$A:$IV,3,FALSE),0)</f>
        <v>453732.47</v>
      </c>
      <c r="AG33">
        <v>210035</v>
      </c>
      <c r="AH33" s="92">
        <f>VLOOKUP($AG33,'[14]Hospital Total (FY)'!$A:$IV,2,FALSE)</f>
        <v>12334.938520336003</v>
      </c>
      <c r="AI33" s="92">
        <f>VLOOKUP($AG33,'[14]Hospital Total (FY)'!$A:$IV,3,FALSE)</f>
        <v>175266910.41999999</v>
      </c>
      <c r="AJ33" s="92"/>
      <c r="AO33">
        <v>210033</v>
      </c>
      <c r="AP33" s="92"/>
      <c r="AQ33" s="92"/>
      <c r="AS33">
        <v>210032</v>
      </c>
      <c r="AT33" s="92">
        <v>134</v>
      </c>
      <c r="AU33" s="92">
        <v>2.1859494379999997</v>
      </c>
      <c r="AV33" s="92">
        <v>41007.300000000003</v>
      </c>
      <c r="AX33">
        <v>210035</v>
      </c>
      <c r="AY33" s="92"/>
      <c r="AZ33" s="92"/>
      <c r="BA33" s="92">
        <f t="shared" si="0"/>
        <v>14185.964290942558</v>
      </c>
    </row>
    <row r="34" spans="1:53" x14ac:dyDescent="0.55000000000000004">
      <c r="A34">
        <v>210034</v>
      </c>
      <c r="B34">
        <v>210034</v>
      </c>
      <c r="C34" s="338">
        <f>VLOOKUP($B34,'[14]Hospital ICC (FY)'!$A:$IV,2,FALSE)</f>
        <v>7547.2695840000251</v>
      </c>
      <c r="D34" s="338">
        <f>VLOOKUP($B34,'[14]Hospital ICC (FY)'!$A:$IV,3,FALSE)</f>
        <v>4106.04802637599</v>
      </c>
      <c r="E34" s="338">
        <f>VLOOKUP($B34,'[14]Hospital ICC (FY)'!$A:$IV,4,FALSE)</f>
        <v>137791731.03999999</v>
      </c>
      <c r="F34" s="338">
        <f>VLOOKUP($B34,'[14]Hospital ICC (FY)'!$A:$IV,5,FALSE)</f>
        <v>62043789.18</v>
      </c>
      <c r="G34" s="338">
        <f>VLOOKUP($B34,'[14]Hospital ICC (FY)'!$A:$IV,6,FALSE)</f>
        <v>11653.317610376012</v>
      </c>
      <c r="H34" s="338">
        <f>VLOOKUP($B34,'[14]Hospital ICC (FY)'!$A:$IV,7,FALSE)</f>
        <v>199835520.22</v>
      </c>
      <c r="J34" s="92">
        <f t="shared" si="1"/>
        <v>11653.317610376012</v>
      </c>
      <c r="K34" s="95">
        <f t="shared" si="2"/>
        <v>0.99999999999999967</v>
      </c>
      <c r="L34" s="95">
        <f t="shared" si="3"/>
        <v>1</v>
      </c>
      <c r="M34">
        <f t="shared" si="4"/>
        <v>210034</v>
      </c>
      <c r="N34" s="338">
        <f t="shared" si="5"/>
        <v>7547.2695840000251</v>
      </c>
      <c r="O34" s="338">
        <f t="shared" si="6"/>
        <v>4106.04802637599</v>
      </c>
      <c r="P34" s="338">
        <f t="shared" si="7"/>
        <v>137791731.03999999</v>
      </c>
      <c r="Q34" s="338">
        <f t="shared" si="8"/>
        <v>62043789.18</v>
      </c>
      <c r="R34" s="338">
        <f t="shared" si="9"/>
        <v>11653.317610376016</v>
      </c>
      <c r="S34" s="338">
        <f t="shared" si="10"/>
        <v>199835520.22</v>
      </c>
      <c r="U34">
        <v>210037</v>
      </c>
      <c r="V34" s="92">
        <f>IFERROR(VLOOKUP($U34,'[14]Oncoloy Drugs'!$A:$IV,2,FALSE),0)</f>
        <v>627.85031204200004</v>
      </c>
      <c r="W34" s="92">
        <f>IFERROR(VLOOKUP($U34,'[14]Oncoloy Drugs'!$A:$IV,3,FALSE),0)</f>
        <v>17082714.57</v>
      </c>
      <c r="AG34">
        <v>210037</v>
      </c>
      <c r="AH34" s="92">
        <f>VLOOKUP($AG34,'[14]Hospital Total (FY)'!$A:$IV,2,FALSE)</f>
        <v>14965.427151758027</v>
      </c>
      <c r="AI34" s="92">
        <f>VLOOKUP($AG34,'[14]Hospital Total (FY)'!$A:$IV,3,FALSE)</f>
        <v>287354593.13999999</v>
      </c>
      <c r="AJ34" s="92"/>
      <c r="AO34">
        <v>210034</v>
      </c>
      <c r="AP34" s="92"/>
      <c r="AQ34" s="92"/>
      <c r="AS34">
        <v>210033</v>
      </c>
      <c r="AT34" s="92">
        <v>74</v>
      </c>
      <c r="AU34" s="92">
        <v>3.2170158600000001</v>
      </c>
      <c r="AV34" s="92">
        <v>21965.53</v>
      </c>
      <c r="AX34">
        <v>210037</v>
      </c>
      <c r="AY34" s="92"/>
      <c r="AZ34" s="92"/>
      <c r="BA34" s="92">
        <f t="shared" si="0"/>
        <v>18841.439829057697</v>
      </c>
    </row>
    <row r="35" spans="1:53" x14ac:dyDescent="0.55000000000000004">
      <c r="A35">
        <v>210035</v>
      </c>
      <c r="B35">
        <v>210035</v>
      </c>
      <c r="C35" s="338">
        <f>VLOOKUP($B35,'[14]Hospital ICC (FY)'!$A:$IV,2,FALSE)</f>
        <v>7051.1743930000066</v>
      </c>
      <c r="D35" s="338">
        <f>VLOOKUP($B35,'[14]Hospital ICC (FY)'!$A:$IV,3,FALSE)</f>
        <v>5247.6352030029811</v>
      </c>
      <c r="E35" s="338">
        <f>VLOOKUP($B35,'[14]Hospital ICC (FY)'!$A:$IV,4,FALSE)</f>
        <v>103620139.31</v>
      </c>
      <c r="F35" s="338">
        <f>VLOOKUP($B35,'[14]Hospital ICC (FY)'!$A:$IV,5,FALSE)</f>
        <v>70850334.439999998</v>
      </c>
      <c r="G35" s="338">
        <f>VLOOKUP($B35,'[14]Hospital ICC (FY)'!$A:$IV,6,FALSE)</f>
        <v>12298.809596002984</v>
      </c>
      <c r="H35" s="338">
        <f>VLOOKUP($B35,'[14]Hospital ICC (FY)'!$A:$IV,7,FALSE)</f>
        <v>174470473.75</v>
      </c>
      <c r="J35" s="92">
        <f t="shared" si="1"/>
        <v>12298.809596002984</v>
      </c>
      <c r="K35" s="95">
        <f t="shared" si="2"/>
        <v>0.99999999999999967</v>
      </c>
      <c r="L35" s="95">
        <f t="shared" si="3"/>
        <v>1</v>
      </c>
      <c r="M35">
        <f t="shared" si="4"/>
        <v>210035</v>
      </c>
      <c r="N35" s="338">
        <f t="shared" si="5"/>
        <v>7051.1743930000066</v>
      </c>
      <c r="O35" s="338">
        <f t="shared" si="6"/>
        <v>5247.6352030029811</v>
      </c>
      <c r="P35" s="338">
        <f t="shared" si="7"/>
        <v>103620139.31</v>
      </c>
      <c r="Q35" s="338">
        <f t="shared" si="8"/>
        <v>70850334.439999998</v>
      </c>
      <c r="R35" s="338">
        <f t="shared" si="9"/>
        <v>12298.809596002988</v>
      </c>
      <c r="S35" s="338">
        <f t="shared" si="10"/>
        <v>174470473.75</v>
      </c>
      <c r="U35">
        <v>210038</v>
      </c>
      <c r="V35" s="92">
        <f>IFERROR(VLOOKUP($U35,'[14]Oncoloy Drugs'!$A:$IV,2,FALSE),0)</f>
        <v>88.257720864000007</v>
      </c>
      <c r="W35" s="92">
        <f>IFERROR(VLOOKUP($U35,'[14]Oncoloy Drugs'!$A:$IV,3,FALSE),0)</f>
        <v>489842.6</v>
      </c>
      <c r="AG35">
        <v>210038</v>
      </c>
      <c r="AH35" s="92">
        <f>VLOOKUP($AG35,'[14]Hospital Total (FY)'!$A:$IV,2,FALSE)</f>
        <v>11100.536268111015</v>
      </c>
      <c r="AI35" s="92">
        <f>VLOOKUP($AG35,'[14]Hospital Total (FY)'!$A:$IV,3,FALSE)</f>
        <v>242290219</v>
      </c>
      <c r="AJ35" s="92"/>
      <c r="AO35">
        <v>210035</v>
      </c>
      <c r="AP35" s="92"/>
      <c r="AQ35" s="92"/>
      <c r="AS35">
        <v>210034</v>
      </c>
      <c r="AT35" s="92">
        <v>324</v>
      </c>
      <c r="AU35" s="92">
        <v>16.219452053000001</v>
      </c>
      <c r="AV35" s="92">
        <v>210336.22</v>
      </c>
      <c r="AX35">
        <v>210038</v>
      </c>
      <c r="AY35" s="92"/>
      <c r="AZ35" s="92"/>
      <c r="BA35" s="92">
        <f t="shared" si="0"/>
        <v>20945.682935478722</v>
      </c>
    </row>
    <row r="36" spans="1:53" x14ac:dyDescent="0.55000000000000004">
      <c r="A36">
        <v>210037</v>
      </c>
      <c r="B36">
        <v>210037</v>
      </c>
      <c r="C36" s="338">
        <f>VLOOKUP($B36,'[14]Hospital ICC (FY)'!$A:$IV,2,FALSE)</f>
        <v>7526.6709260000125</v>
      </c>
      <c r="D36" s="338">
        <f>VLOOKUP($B36,'[14]Hospital ICC (FY)'!$A:$IV,3,FALSE)</f>
        <v>6810.9059137159702</v>
      </c>
      <c r="E36" s="338">
        <f>VLOOKUP($B36,'[14]Hospital ICC (FY)'!$A:$IV,4,FALSE)</f>
        <v>145898543.49000001</v>
      </c>
      <c r="F36" s="338">
        <f>VLOOKUP($B36,'[14]Hospital ICC (FY)'!$A:$IV,5,FALSE)</f>
        <v>124242047.83</v>
      </c>
      <c r="G36" s="338">
        <f>VLOOKUP($B36,'[14]Hospital ICC (FY)'!$A:$IV,6,FALSE)</f>
        <v>14337.576839715988</v>
      </c>
      <c r="H36" s="338">
        <f>VLOOKUP($B36,'[14]Hospital ICC (FY)'!$A:$IV,7,FALSE)</f>
        <v>270140591.31999999</v>
      </c>
      <c r="J36" s="92">
        <f t="shared" si="1"/>
        <v>14337.576839715988</v>
      </c>
      <c r="K36" s="95">
        <f t="shared" si="2"/>
        <v>1.0000000000000004</v>
      </c>
      <c r="L36" s="95">
        <f t="shared" si="3"/>
        <v>1</v>
      </c>
      <c r="M36">
        <f t="shared" si="4"/>
        <v>210037</v>
      </c>
      <c r="N36" s="338">
        <f t="shared" si="5"/>
        <v>7526.6709260000125</v>
      </c>
      <c r="O36" s="338">
        <f t="shared" si="6"/>
        <v>6810.9059137159702</v>
      </c>
      <c r="P36" s="338">
        <f t="shared" si="7"/>
        <v>145898543.49000001</v>
      </c>
      <c r="Q36" s="338">
        <f t="shared" si="8"/>
        <v>124242047.83</v>
      </c>
      <c r="R36" s="338">
        <f t="shared" si="9"/>
        <v>14337.576839715983</v>
      </c>
      <c r="S36" s="338">
        <f t="shared" si="10"/>
        <v>270140591.31999999</v>
      </c>
      <c r="U36">
        <v>210039</v>
      </c>
      <c r="V36" s="92">
        <f>IFERROR(VLOOKUP($U36,'[14]Oncoloy Drugs'!$A:$IV,2,FALSE),0)</f>
        <v>564.01151828399998</v>
      </c>
      <c r="W36" s="92">
        <f>IFERROR(VLOOKUP($U36,'[14]Oncoloy Drugs'!$A:$IV,3,FALSE),0)</f>
        <v>12806734.630000001</v>
      </c>
      <c r="AG36">
        <v>210039</v>
      </c>
      <c r="AH36" s="92">
        <f>VLOOKUP($AG36,'[14]Hospital Total (FY)'!$A:$IV,2,FALSE)</f>
        <v>10983.462528887996</v>
      </c>
      <c r="AI36" s="92">
        <f>VLOOKUP($AG36,'[14]Hospital Total (FY)'!$A:$IV,3,FALSE)</f>
        <v>170282074.96000001</v>
      </c>
      <c r="AJ36" s="92"/>
      <c r="AO36">
        <v>210037</v>
      </c>
      <c r="AP36" s="92"/>
      <c r="AQ36" s="92"/>
      <c r="AS36">
        <v>210035</v>
      </c>
      <c r="AT36" s="92">
        <v>3301</v>
      </c>
      <c r="AU36" s="92">
        <v>164.70287259</v>
      </c>
      <c r="AV36" s="92">
        <v>369692.17</v>
      </c>
      <c r="AX36">
        <v>210039</v>
      </c>
      <c r="AY36" s="92"/>
      <c r="AZ36" s="92"/>
      <c r="BA36" s="92">
        <f t="shared" si="0"/>
        <v>15106.128176025306</v>
      </c>
    </row>
    <row r="37" spans="1:53" x14ac:dyDescent="0.55000000000000004">
      <c r="A37">
        <v>210038</v>
      </c>
      <c r="B37">
        <v>210038</v>
      </c>
      <c r="C37" s="338">
        <f>VLOOKUP($B37,'[14]Hospital ICC (FY)'!$A:$IV,2,FALSE)</f>
        <v>5298.4710580000101</v>
      </c>
      <c r="D37" s="338">
        <f>VLOOKUP($B37,'[14]Hospital ICC (FY)'!$A:$IV,3,FALSE)</f>
        <v>5360.6902072469984</v>
      </c>
      <c r="E37" s="338">
        <f>VLOOKUP($B37,'[14]Hospital ICC (FY)'!$A:$IV,4,FALSE)</f>
        <v>118666048.83</v>
      </c>
      <c r="F37" s="338">
        <f>VLOOKUP($B37,'[14]Hospital ICC (FY)'!$A:$IV,5,FALSE)</f>
        <v>104597363.39</v>
      </c>
      <c r="G37" s="338">
        <f>VLOOKUP($B37,'[14]Hospital ICC (FY)'!$A:$IV,6,FALSE)</f>
        <v>10659.161265247007</v>
      </c>
      <c r="H37" s="338">
        <f>VLOOKUP($B37,'[14]Hospital ICC (FY)'!$A:$IV,7,FALSE)</f>
        <v>223263412.22</v>
      </c>
      <c r="J37" s="92">
        <f t="shared" si="1"/>
        <v>10659.161265247007</v>
      </c>
      <c r="K37" s="95">
        <f t="shared" si="2"/>
        <v>0.99999999999999978</v>
      </c>
      <c r="L37" s="95">
        <f t="shared" si="3"/>
        <v>1</v>
      </c>
      <c r="M37">
        <f t="shared" si="4"/>
        <v>210038</v>
      </c>
      <c r="N37" s="338">
        <f t="shared" si="5"/>
        <v>5298.4710580000101</v>
      </c>
      <c r="O37" s="338">
        <f t="shared" si="6"/>
        <v>5360.6902072469984</v>
      </c>
      <c r="P37" s="338">
        <f t="shared" si="7"/>
        <v>118666048.83</v>
      </c>
      <c r="Q37" s="338">
        <f t="shared" si="8"/>
        <v>104597363.39</v>
      </c>
      <c r="R37" s="338">
        <f t="shared" si="9"/>
        <v>10659.161265247008</v>
      </c>
      <c r="S37" s="338">
        <f t="shared" si="10"/>
        <v>223263412.22</v>
      </c>
      <c r="U37">
        <v>210040</v>
      </c>
      <c r="V37" s="92">
        <f>IFERROR(VLOOKUP($U37,'[14]Oncoloy Drugs'!$A:$IV,2,FALSE),0)</f>
        <v>508.90651739799989</v>
      </c>
      <c r="W37" s="92">
        <f>IFERROR(VLOOKUP($U37,'[14]Oncoloy Drugs'!$A:$IV,3,FALSE),0)</f>
        <v>15028431.33</v>
      </c>
      <c r="AG37">
        <v>210040</v>
      </c>
      <c r="AH37" s="92">
        <f>VLOOKUP($AG37,'[14]Hospital Total (FY)'!$A:$IV,2,FALSE)</f>
        <v>16487.127439533015</v>
      </c>
      <c r="AI37" s="92">
        <f>VLOOKUP($AG37,'[14]Hospital Total (FY)'!$A:$IV,3,FALSE)</f>
        <v>301284044.13</v>
      </c>
      <c r="AJ37" s="92"/>
      <c r="AO37">
        <v>210038</v>
      </c>
      <c r="AP37" s="92"/>
      <c r="AQ37" s="92"/>
      <c r="AS37">
        <v>210037</v>
      </c>
      <c r="AT37" s="92">
        <v>69</v>
      </c>
      <c r="AU37" s="92">
        <v>2.7846799669999998</v>
      </c>
      <c r="AV37" s="92">
        <v>17091.810000000001</v>
      </c>
      <c r="AX37">
        <v>210040</v>
      </c>
      <c r="AY37" s="92"/>
      <c r="AZ37" s="92"/>
      <c r="BA37" s="92">
        <f t="shared" si="0"/>
        <v>17899.105159686671</v>
      </c>
    </row>
    <row r="38" spans="1:53" x14ac:dyDescent="0.55000000000000004">
      <c r="A38">
        <v>210039</v>
      </c>
      <c r="B38">
        <v>210039</v>
      </c>
      <c r="C38" s="338">
        <f>VLOOKUP($B38,'[14]Hospital ICC (FY)'!$A:$IV,2,FALSE)</f>
        <v>6114.6285870000047</v>
      </c>
      <c r="D38" s="338">
        <f>VLOOKUP($B38,'[14]Hospital ICC (FY)'!$A:$IV,3,FALSE)</f>
        <v>4304.8224236039687</v>
      </c>
      <c r="E38" s="338">
        <f>VLOOKUP($B38,'[14]Hospital ICC (FY)'!$A:$IV,4,FALSE)</f>
        <v>87070931.420000002</v>
      </c>
      <c r="F38" s="338">
        <f>VLOOKUP($B38,'[14]Hospital ICC (FY)'!$A:$IV,5,FALSE)</f>
        <v>70326631.069999993</v>
      </c>
      <c r="G38" s="338">
        <f>VLOOKUP($B38,'[14]Hospital ICC (FY)'!$A:$IV,6,FALSE)</f>
        <v>10419.451010603972</v>
      </c>
      <c r="H38" s="338">
        <f>VLOOKUP($B38,'[14]Hospital ICC (FY)'!$A:$IV,7,FALSE)</f>
        <v>157397562.49000001</v>
      </c>
      <c r="J38" s="92">
        <f t="shared" si="1"/>
        <v>10419.451010603972</v>
      </c>
      <c r="K38" s="95">
        <f t="shared" si="2"/>
        <v>0.99999999999999978</v>
      </c>
      <c r="L38" s="95">
        <f t="shared" si="3"/>
        <v>1</v>
      </c>
      <c r="M38">
        <f t="shared" si="4"/>
        <v>210039</v>
      </c>
      <c r="N38" s="338">
        <f t="shared" si="5"/>
        <v>6114.6285870000047</v>
      </c>
      <c r="O38" s="338">
        <f t="shared" si="6"/>
        <v>4304.8224236039687</v>
      </c>
      <c r="P38" s="338">
        <f t="shared" si="7"/>
        <v>87070931.420000002</v>
      </c>
      <c r="Q38" s="338">
        <f t="shared" si="8"/>
        <v>70326631.069999993</v>
      </c>
      <c r="R38" s="338">
        <f t="shared" si="9"/>
        <v>10419.451010603974</v>
      </c>
      <c r="S38" s="338">
        <f t="shared" si="10"/>
        <v>157397562.49000001</v>
      </c>
      <c r="U38">
        <v>210043</v>
      </c>
      <c r="V38" s="92">
        <f>IFERROR(VLOOKUP($U38,'[14]Oncoloy Drugs'!$A:$IV,2,FALSE),0)</f>
        <v>97.144678573000007</v>
      </c>
      <c r="W38" s="92">
        <f>IFERROR(VLOOKUP($U38,'[14]Oncoloy Drugs'!$A:$IV,3,FALSE),0)</f>
        <v>1551707.96</v>
      </c>
      <c r="AG38">
        <v>210043</v>
      </c>
      <c r="AH38" s="92">
        <f>VLOOKUP($AG38,'[14]Hospital Total (FY)'!$A:$IV,2,FALSE)</f>
        <v>31371.817887967023</v>
      </c>
      <c r="AI38" s="92">
        <f>VLOOKUP($AG38,'[14]Hospital Total (FY)'!$A:$IV,3,FALSE)</f>
        <v>511630556.13</v>
      </c>
      <c r="AJ38" s="92"/>
      <c r="AO38">
        <v>210039</v>
      </c>
      <c r="AP38" s="92"/>
      <c r="AQ38" s="92"/>
      <c r="AS38">
        <v>210038</v>
      </c>
      <c r="AT38" s="92">
        <v>21</v>
      </c>
      <c r="AU38" s="92">
        <v>0.76305380299999992</v>
      </c>
      <c r="AV38" s="92">
        <v>3986.82</v>
      </c>
      <c r="AX38">
        <v>210043</v>
      </c>
      <c r="AY38" s="92"/>
      <c r="AZ38" s="92"/>
      <c r="BA38" s="92">
        <f t="shared" si="0"/>
        <v>16303.381895509159</v>
      </c>
    </row>
    <row r="39" spans="1:53" x14ac:dyDescent="0.55000000000000004">
      <c r="A39">
        <v>210040</v>
      </c>
      <c r="B39">
        <v>210040</v>
      </c>
      <c r="C39" s="338">
        <f>VLOOKUP($B39,'[14]Hospital ICC (FY)'!$A:$IV,2,FALSE)</f>
        <v>9375.41693700002</v>
      </c>
      <c r="D39" s="338">
        <f>VLOOKUP($B39,'[14]Hospital ICC (FY)'!$A:$IV,3,FALSE)</f>
        <v>6602.8039851349731</v>
      </c>
      <c r="E39" s="338">
        <f>VLOOKUP($B39,'[14]Hospital ICC (FY)'!$A:$IV,4,FALSE)</f>
        <v>169180311.59999999</v>
      </c>
      <c r="F39" s="338">
        <f>VLOOKUP($B39,'[14]Hospital ICC (FY)'!$A:$IV,5,FALSE)</f>
        <v>116815544.95</v>
      </c>
      <c r="G39" s="338">
        <f>VLOOKUP($B39,'[14]Hospital ICC (FY)'!$A:$IV,6,FALSE)</f>
        <v>15978.220922134995</v>
      </c>
      <c r="H39" s="338">
        <f>VLOOKUP($B39,'[14]Hospital ICC (FY)'!$A:$IV,7,FALSE)</f>
        <v>285995856.55000001</v>
      </c>
      <c r="J39" s="92">
        <f t="shared" si="1"/>
        <v>15978.220922134995</v>
      </c>
      <c r="K39" s="95">
        <f t="shared" si="2"/>
        <v>1.0000000000000002</v>
      </c>
      <c r="L39" s="95">
        <f t="shared" si="3"/>
        <v>1</v>
      </c>
      <c r="M39">
        <f t="shared" si="4"/>
        <v>210040</v>
      </c>
      <c r="N39" s="338">
        <f t="shared" si="5"/>
        <v>9375.41693700002</v>
      </c>
      <c r="O39" s="338">
        <f t="shared" si="6"/>
        <v>6602.8039851349731</v>
      </c>
      <c r="P39" s="338">
        <f t="shared" si="7"/>
        <v>169180311.59999999</v>
      </c>
      <c r="Q39" s="338">
        <f t="shared" si="8"/>
        <v>116815544.95</v>
      </c>
      <c r="R39" s="338">
        <f t="shared" si="9"/>
        <v>15978.220922134993</v>
      </c>
      <c r="S39" s="338">
        <f t="shared" si="10"/>
        <v>285995856.55000001</v>
      </c>
      <c r="U39">
        <v>210044</v>
      </c>
      <c r="V39" s="92">
        <f>IFERROR(VLOOKUP($U39,'[14]Oncoloy Drugs'!$A:$IV,2,FALSE),0)</f>
        <v>18.693389369000002</v>
      </c>
      <c r="W39" s="92">
        <f>IFERROR(VLOOKUP($U39,'[14]Oncoloy Drugs'!$A:$IV,3,FALSE),0)</f>
        <v>246423.97</v>
      </c>
      <c r="AG39">
        <v>210044</v>
      </c>
      <c r="AH39" s="92">
        <f>VLOOKUP($AG39,'[14]Hospital Total (FY)'!$A:$IV,2,FALSE)</f>
        <v>31646.050151308027</v>
      </c>
      <c r="AI39" s="92">
        <f>VLOOKUP($AG39,'[14]Hospital Total (FY)'!$A:$IV,3,FALSE)</f>
        <v>492220623.76999998</v>
      </c>
      <c r="AJ39" s="92"/>
      <c r="AO39">
        <v>210040</v>
      </c>
      <c r="AP39" s="92"/>
      <c r="AQ39" s="92"/>
      <c r="AS39">
        <v>210039</v>
      </c>
      <c r="AT39" s="92">
        <v>78</v>
      </c>
      <c r="AU39" s="92">
        <v>6.8568725710000002</v>
      </c>
      <c r="AV39" s="92">
        <v>115403.94</v>
      </c>
      <c r="AX39">
        <v>210044</v>
      </c>
      <c r="AY39" s="92"/>
      <c r="AZ39" s="92"/>
      <c r="BA39" s="92">
        <f t="shared" si="0"/>
        <v>15554.780319233931</v>
      </c>
    </row>
    <row r="40" spans="1:53" x14ac:dyDescent="0.55000000000000004">
      <c r="A40">
        <v>210043</v>
      </c>
      <c r="B40">
        <v>210043</v>
      </c>
      <c r="C40" s="338">
        <f>VLOOKUP($B40,'[14]Hospital ICC (FY)'!$A:$IV,2,FALSE)</f>
        <v>20785.753339999981</v>
      </c>
      <c r="D40" s="338">
        <f>VLOOKUP($B40,'[14]Hospital ICC (FY)'!$A:$IV,3,FALSE)</f>
        <v>10488.919869394065</v>
      </c>
      <c r="E40" s="338">
        <f>VLOOKUP($B40,'[14]Hospital ICC (FY)'!$A:$IV,4,FALSE)</f>
        <v>359639664.22000003</v>
      </c>
      <c r="F40" s="338">
        <f>VLOOKUP($B40,'[14]Hospital ICC (FY)'!$A:$IV,5,FALSE)</f>
        <v>150243276.77000001</v>
      </c>
      <c r="G40" s="338">
        <f>VLOOKUP($B40,'[14]Hospital ICC (FY)'!$A:$IV,6,FALSE)</f>
        <v>31274.673209394034</v>
      </c>
      <c r="H40" s="338">
        <f>VLOOKUP($B40,'[14]Hospital ICC (FY)'!$A:$IV,7,FALSE)</f>
        <v>509882940.99000001</v>
      </c>
      <c r="J40" s="92">
        <f t="shared" si="1"/>
        <v>31274.673209394034</v>
      </c>
      <c r="K40" s="95">
        <f t="shared" si="2"/>
        <v>0.99999999999999967</v>
      </c>
      <c r="L40" s="95">
        <f t="shared" si="3"/>
        <v>1</v>
      </c>
      <c r="M40">
        <f t="shared" si="4"/>
        <v>210043</v>
      </c>
      <c r="N40" s="338">
        <f t="shared" si="5"/>
        <v>20785.753339999981</v>
      </c>
      <c r="O40" s="338">
        <f t="shared" si="6"/>
        <v>10488.919869394065</v>
      </c>
      <c r="P40" s="338">
        <f t="shared" si="7"/>
        <v>359639664.22000003</v>
      </c>
      <c r="Q40" s="338">
        <f t="shared" si="8"/>
        <v>150243276.77000001</v>
      </c>
      <c r="R40" s="338">
        <f t="shared" si="9"/>
        <v>31274.673209394045</v>
      </c>
      <c r="S40" s="338">
        <f t="shared" si="10"/>
        <v>509882940.99000001</v>
      </c>
      <c r="U40">
        <v>210045</v>
      </c>
      <c r="V40" s="92">
        <f>IFERROR(VLOOKUP($U40,'[14]Oncoloy Drugs'!$A:$IV,2,FALSE),0)</f>
        <v>17.352316863000002</v>
      </c>
      <c r="W40" s="92">
        <f>IFERROR(VLOOKUP($U40,'[14]Oncoloy Drugs'!$A:$IV,3,FALSE),0)</f>
        <v>285452.75</v>
      </c>
      <c r="AG40">
        <v>210045</v>
      </c>
      <c r="AH40" s="92">
        <f>VLOOKUP($AG40,'[14]Hospital Total (FY)'!$A:$IV,2,FALSE)</f>
        <v>601.37826428800031</v>
      </c>
      <c r="AI40" s="92">
        <f>VLOOKUP($AG40,'[14]Hospital Total (FY)'!$A:$IV,3,FALSE)</f>
        <v>5228782.72</v>
      </c>
      <c r="AJ40" s="92"/>
      <c r="AO40">
        <v>210043</v>
      </c>
      <c r="AP40" s="92"/>
      <c r="AQ40" s="92"/>
      <c r="AS40">
        <v>210040</v>
      </c>
      <c r="AT40" s="92">
        <v>377</v>
      </c>
      <c r="AU40" s="92">
        <v>12.495078806999999</v>
      </c>
      <c r="AV40" s="92">
        <v>94592.97</v>
      </c>
      <c r="AX40">
        <v>210045</v>
      </c>
      <c r="AY40" s="92"/>
      <c r="AZ40" s="92"/>
      <c r="BA40" s="92">
        <f t="shared" si="0"/>
        <v>8443.6170032210357</v>
      </c>
    </row>
    <row r="41" spans="1:53" x14ac:dyDescent="0.55000000000000004">
      <c r="A41">
        <v>210044</v>
      </c>
      <c r="B41">
        <v>210044</v>
      </c>
      <c r="C41" s="338">
        <f>VLOOKUP($B41,'[14]Hospital ICC (FY)'!$A:$IV,2,FALSE)</f>
        <v>17479.191817000006</v>
      </c>
      <c r="D41" s="338">
        <f>VLOOKUP($B41,'[14]Hospital ICC (FY)'!$A:$IV,3,FALSE)</f>
        <v>14148.164944939057</v>
      </c>
      <c r="E41" s="338">
        <f>VLOOKUP($B41,'[14]Hospital ICC (FY)'!$A:$IV,4,FALSE)</f>
        <v>287118334.54000002</v>
      </c>
      <c r="F41" s="338">
        <f>VLOOKUP($B41,'[14]Hospital ICC (FY)'!$A:$IV,5,FALSE)</f>
        <v>204838251.97</v>
      </c>
      <c r="G41" s="338">
        <f>VLOOKUP($B41,'[14]Hospital ICC (FY)'!$A:$IV,6,FALSE)</f>
        <v>31627.356761939067</v>
      </c>
      <c r="H41" s="338">
        <f>VLOOKUP($B41,'[14]Hospital ICC (FY)'!$A:$IV,7,FALSE)</f>
        <v>491956586.50999999</v>
      </c>
      <c r="J41" s="92">
        <f t="shared" si="1"/>
        <v>31627.356761939067</v>
      </c>
      <c r="K41" s="95">
        <f t="shared" si="2"/>
        <v>1.0000000000000002</v>
      </c>
      <c r="L41" s="95">
        <f t="shared" si="3"/>
        <v>1</v>
      </c>
      <c r="M41">
        <f t="shared" si="4"/>
        <v>210044</v>
      </c>
      <c r="N41" s="338">
        <f t="shared" si="5"/>
        <v>17479.191817000006</v>
      </c>
      <c r="O41" s="338">
        <f t="shared" si="6"/>
        <v>14148.164944939057</v>
      </c>
      <c r="P41" s="338">
        <f t="shared" si="7"/>
        <v>287118334.54000002</v>
      </c>
      <c r="Q41" s="338">
        <f t="shared" si="8"/>
        <v>204838251.97</v>
      </c>
      <c r="R41" s="338">
        <f t="shared" si="9"/>
        <v>31627.356761939063</v>
      </c>
      <c r="S41" s="338">
        <f t="shared" si="10"/>
        <v>491956586.50999999</v>
      </c>
      <c r="U41">
        <v>210048</v>
      </c>
      <c r="V41" s="92">
        <f>IFERROR(VLOOKUP($U41,'[14]Oncoloy Drugs'!$A:$IV,2,FALSE),0)</f>
        <v>3.6102208940000011</v>
      </c>
      <c r="W41" s="92">
        <f>IFERROR(VLOOKUP($U41,'[14]Oncoloy Drugs'!$A:$IV,3,FALSE),0)</f>
        <v>91871.360000000001</v>
      </c>
      <c r="AG41">
        <v>210048</v>
      </c>
      <c r="AH41" s="92">
        <f>VLOOKUP($AG41,'[14]Hospital Total (FY)'!$A:$IV,2,FALSE)</f>
        <v>25295.747481695998</v>
      </c>
      <c r="AI41" s="92">
        <f>VLOOKUP($AG41,'[14]Hospital Total (FY)'!$A:$IV,3,FALSE)</f>
        <v>345110522.88999999</v>
      </c>
      <c r="AJ41" s="92"/>
      <c r="AO41">
        <v>210044</v>
      </c>
      <c r="AP41" s="92"/>
      <c r="AQ41" s="92"/>
      <c r="AS41">
        <v>210043</v>
      </c>
      <c r="AT41" s="92">
        <v>6421</v>
      </c>
      <c r="AU41" s="92">
        <v>331.15659827999997</v>
      </c>
      <c r="AV41" s="92">
        <v>599128.84</v>
      </c>
      <c r="AX41">
        <v>210048</v>
      </c>
      <c r="AY41" s="92"/>
      <c r="AZ41" s="92"/>
      <c r="BA41" s="92">
        <f t="shared" si="0"/>
        <v>13638.625338895592</v>
      </c>
    </row>
    <row r="42" spans="1:53" x14ac:dyDescent="0.55000000000000004">
      <c r="A42">
        <v>210045</v>
      </c>
      <c r="B42">
        <v>210045</v>
      </c>
      <c r="C42" s="338">
        <f>VLOOKUP($B42,'[14]Hospital ICC (FY)'!$A:$IV,2,FALSE)</f>
        <v>0</v>
      </c>
      <c r="D42" s="338">
        <f>VLOOKUP($B42,'[14]Hospital ICC (FY)'!$A:$IV,3,FALSE)</f>
        <v>584.02594742499934</v>
      </c>
      <c r="E42" s="338">
        <f>VLOOKUP($B42,'[14]Hospital ICC (FY)'!$A:$IV,4,FALSE)</f>
        <v>0</v>
      </c>
      <c r="F42" s="338">
        <f>VLOOKUP($B42,'[14]Hospital ICC (FY)'!$A:$IV,5,FALSE)</f>
        <v>4931291.42</v>
      </c>
      <c r="G42" s="338">
        <f>VLOOKUP($B42,'[14]Hospital ICC (FY)'!$A:$IV,6,FALSE)</f>
        <v>584.02594742499946</v>
      </c>
      <c r="H42" s="338">
        <f>VLOOKUP($B42,'[14]Hospital ICC (FY)'!$A:$IV,7,FALSE)</f>
        <v>4931291.42</v>
      </c>
      <c r="J42" s="92">
        <f t="shared" si="1"/>
        <v>584.02594742499946</v>
      </c>
      <c r="K42" s="95">
        <f t="shared" si="2"/>
        <v>1.0000000000000002</v>
      </c>
      <c r="L42" s="95" t="e">
        <f>C42/N42</f>
        <v>#DIV/0!</v>
      </c>
      <c r="M42">
        <f t="shared" si="4"/>
        <v>210045</v>
      </c>
      <c r="N42" s="338">
        <f t="shared" si="5"/>
        <v>0</v>
      </c>
      <c r="O42" s="338">
        <f t="shared" si="6"/>
        <v>584.02594742499934</v>
      </c>
      <c r="P42" s="338">
        <f t="shared" si="7"/>
        <v>0</v>
      </c>
      <c r="Q42" s="338">
        <f t="shared" si="8"/>
        <v>4931291.42</v>
      </c>
      <c r="R42" s="338">
        <f t="shared" si="9"/>
        <v>584.02594742499934</v>
      </c>
      <c r="S42" s="338">
        <f t="shared" si="10"/>
        <v>4931291.42</v>
      </c>
      <c r="U42">
        <v>210049</v>
      </c>
      <c r="V42" s="92">
        <f>IFERROR(VLOOKUP($U42,'[14]Oncoloy Drugs'!$A:$IV,2,FALSE),0)</f>
        <v>7.4970791999999991</v>
      </c>
      <c r="W42" s="92">
        <f>IFERROR(VLOOKUP($U42,'[14]Oncoloy Drugs'!$A:$IV,3,FALSE),0)</f>
        <v>142682.85999999999</v>
      </c>
      <c r="AG42">
        <v>210049</v>
      </c>
      <c r="AH42" s="92">
        <f>VLOOKUP($AG42,'[14]Hospital Total (FY)'!$A:$IV,2,FALSE)</f>
        <v>24336.68762479402</v>
      </c>
      <c r="AI42" s="92">
        <f>VLOOKUP($AG42,'[14]Hospital Total (FY)'!$A:$IV,3,FALSE)</f>
        <v>366648303.98000002</v>
      </c>
      <c r="AJ42" s="92"/>
      <c r="AO42">
        <v>210048</v>
      </c>
      <c r="AP42" s="92"/>
      <c r="AQ42" s="92"/>
      <c r="AS42">
        <v>210044</v>
      </c>
      <c r="AT42" s="92">
        <v>700</v>
      </c>
      <c r="AU42" s="92">
        <v>30.434638222999983</v>
      </c>
      <c r="AV42" s="92">
        <v>154379.75</v>
      </c>
      <c r="AX42">
        <v>210049</v>
      </c>
      <c r="AY42" s="92"/>
      <c r="AZ42" s="92"/>
      <c r="BA42" s="92">
        <f t="shared" si="0"/>
        <v>15055.146510262022</v>
      </c>
    </row>
    <row r="43" spans="1:53" x14ac:dyDescent="0.55000000000000004">
      <c r="A43">
        <v>210048</v>
      </c>
      <c r="B43">
        <v>210048</v>
      </c>
      <c r="C43" s="338">
        <f>VLOOKUP($B43,'[14]Hospital ICC (FY)'!$A:$IV,2,FALSE)</f>
        <v>16340.183832000006</v>
      </c>
      <c r="D43" s="338">
        <f>VLOOKUP($B43,'[14]Hospital ICC (FY)'!$A:$IV,3,FALSE)</f>
        <v>8951.9534288020459</v>
      </c>
      <c r="E43" s="338">
        <f>VLOOKUP($B43,'[14]Hospital ICC (FY)'!$A:$IV,4,FALSE)</f>
        <v>231499516.25</v>
      </c>
      <c r="F43" s="338">
        <f>VLOOKUP($B43,'[14]Hospital ICC (FY)'!$A:$IV,5,FALSE)</f>
        <v>113450467.87</v>
      </c>
      <c r="G43" s="338">
        <f>VLOOKUP($B43,'[14]Hospital ICC (FY)'!$A:$IV,6,FALSE)</f>
        <v>25292.137260802036</v>
      </c>
      <c r="H43" s="338">
        <f>VLOOKUP($B43,'[14]Hospital ICC (FY)'!$A:$IV,7,FALSE)</f>
        <v>344949984.12</v>
      </c>
      <c r="J43" s="92">
        <f t="shared" si="1"/>
        <v>25292.137260802036</v>
      </c>
      <c r="K43" s="95">
        <f t="shared" si="2"/>
        <v>0.99999999999999933</v>
      </c>
      <c r="L43" s="95">
        <f t="shared" si="3"/>
        <v>1</v>
      </c>
      <c r="M43">
        <f t="shared" si="4"/>
        <v>210048</v>
      </c>
      <c r="N43" s="338">
        <f t="shared" si="5"/>
        <v>16340.183832000006</v>
      </c>
      <c r="O43" s="338">
        <f t="shared" si="6"/>
        <v>8951.9534288020459</v>
      </c>
      <c r="P43" s="338">
        <f t="shared" si="7"/>
        <v>231499516.25</v>
      </c>
      <c r="Q43" s="338">
        <f t="shared" si="8"/>
        <v>113450467.87</v>
      </c>
      <c r="R43" s="338">
        <f t="shared" si="9"/>
        <v>25292.137260802054</v>
      </c>
      <c r="S43" s="338">
        <f t="shared" si="10"/>
        <v>344949984.12</v>
      </c>
      <c r="U43">
        <v>210051</v>
      </c>
      <c r="V43" s="92">
        <f>IFERROR(VLOOKUP($U43,'[14]Oncoloy Drugs'!$A:$IV,2,FALSE),0)</f>
        <v>13.612637969999998</v>
      </c>
      <c r="W43" s="92">
        <f>IFERROR(VLOOKUP($U43,'[14]Oncoloy Drugs'!$A:$IV,3,FALSE),0)</f>
        <v>348359.66</v>
      </c>
      <c r="AG43">
        <v>210051</v>
      </c>
      <c r="AH43" s="92">
        <f>VLOOKUP($AG43,'[14]Hospital Total (FY)'!$A:$IV,2,FALSE)</f>
        <v>16087.659476919027</v>
      </c>
      <c r="AI43" s="92">
        <f>VLOOKUP($AG43,'[14]Hospital Total (FY)'!$A:$IV,3,FALSE)</f>
        <v>259241775.94</v>
      </c>
      <c r="AJ43" s="92"/>
      <c r="AO43">
        <v>210049</v>
      </c>
      <c r="AP43" s="92"/>
      <c r="AQ43" s="92"/>
      <c r="AS43">
        <v>210045</v>
      </c>
      <c r="AT43" s="92">
        <v>363</v>
      </c>
      <c r="AU43" s="92">
        <v>17.497217976999998</v>
      </c>
      <c r="AV43" s="92">
        <v>42357.97</v>
      </c>
      <c r="AX43">
        <v>210051</v>
      </c>
      <c r="AY43" s="92"/>
      <c r="AZ43" s="92"/>
      <c r="BA43" s="92">
        <f t="shared" si="0"/>
        <v>16078.800519838378</v>
      </c>
    </row>
    <row r="44" spans="1:53" x14ac:dyDescent="0.55000000000000004">
      <c r="A44">
        <v>210049</v>
      </c>
      <c r="B44">
        <v>210049</v>
      </c>
      <c r="C44" s="338">
        <f>VLOOKUP($B44,'[14]Hospital ICC (FY)'!$A:$IV,2,FALSE)</f>
        <v>14906.412014000036</v>
      </c>
      <c r="D44" s="338">
        <f>VLOOKUP($B44,'[14]Hospital ICC (FY)'!$A:$IV,3,FALSE)</f>
        <v>9422.77853159402</v>
      </c>
      <c r="E44" s="338">
        <f>VLOOKUP($B44,'[14]Hospital ICC (FY)'!$A:$IV,4,FALSE)</f>
        <v>234019151.83000001</v>
      </c>
      <c r="F44" s="338">
        <f>VLOOKUP($B44,'[14]Hospital ICC (FY)'!$A:$IV,5,FALSE)</f>
        <v>132260376.31</v>
      </c>
      <c r="G44" s="338">
        <f>VLOOKUP($B44,'[14]Hospital ICC (FY)'!$A:$IV,6,FALSE)</f>
        <v>24329.190545594047</v>
      </c>
      <c r="H44" s="338">
        <f>VLOOKUP($B44,'[14]Hospital ICC (FY)'!$A:$IV,7,FALSE)</f>
        <v>366279528.13999999</v>
      </c>
      <c r="J44" s="92">
        <f t="shared" si="1"/>
        <v>24329.190545594047</v>
      </c>
      <c r="K44" s="95">
        <f t="shared" si="2"/>
        <v>0.99999999999999956</v>
      </c>
      <c r="L44" s="95">
        <f t="shared" si="3"/>
        <v>1</v>
      </c>
      <c r="M44">
        <f t="shared" si="4"/>
        <v>210049</v>
      </c>
      <c r="N44" s="338">
        <f t="shared" si="5"/>
        <v>14906.412014000036</v>
      </c>
      <c r="O44" s="338">
        <f t="shared" si="6"/>
        <v>9422.77853159402</v>
      </c>
      <c r="P44" s="338">
        <f t="shared" si="7"/>
        <v>234019151.83000001</v>
      </c>
      <c r="Q44" s="338">
        <f t="shared" si="8"/>
        <v>132260376.31</v>
      </c>
      <c r="R44" s="338">
        <f t="shared" si="9"/>
        <v>24329.190545594058</v>
      </c>
      <c r="S44" s="338">
        <f t="shared" si="10"/>
        <v>366279528.13999999</v>
      </c>
      <c r="U44">
        <v>210055</v>
      </c>
      <c r="V44" s="92">
        <f>IFERROR(VLOOKUP($U44,'[14]Oncoloy Drugs'!$A:$IV,2,FALSE),0)</f>
        <v>0.50084198400000002</v>
      </c>
      <c r="W44" s="92">
        <f>IFERROR(VLOOKUP($U44,'[14]Oncoloy Drugs'!$A:$IV,3,FALSE),0)</f>
        <v>21825</v>
      </c>
      <c r="AG44">
        <v>210055</v>
      </c>
      <c r="AH44" s="92">
        <f>VLOOKUP($AG44,'[14]Hospital Total (FY)'!$A:$IV,2,FALSE)</f>
        <v>1986.7155552619963</v>
      </c>
      <c r="AI44" s="92">
        <f>VLOOKUP($AG44,'[14]Hospital Total (FY)'!$A:$IV,3,FALSE)</f>
        <v>34096100.859999999</v>
      </c>
      <c r="AJ44" s="92"/>
      <c r="AO44">
        <v>210051</v>
      </c>
      <c r="AP44" s="92"/>
      <c r="AQ44" s="92"/>
      <c r="AS44">
        <v>210048</v>
      </c>
      <c r="AT44" s="92">
        <v>14022</v>
      </c>
      <c r="AU44" s="92">
        <v>732.99119497299887</v>
      </c>
      <c r="AV44" s="92">
        <v>1536712.75</v>
      </c>
      <c r="AX44">
        <v>210055</v>
      </c>
      <c r="AY44" s="92"/>
      <c r="AZ44" s="92"/>
      <c r="BA44" s="92">
        <f t="shared" si="0"/>
        <v>15804.837624121614</v>
      </c>
    </row>
    <row r="45" spans="1:53" x14ac:dyDescent="0.55000000000000004">
      <c r="A45">
        <v>210051</v>
      </c>
      <c r="B45">
        <v>210051</v>
      </c>
      <c r="C45" s="338">
        <f>VLOOKUP($B45,'[14]Hospital ICC (FY)'!$A:$IV,2,FALSE)</f>
        <v>10718.562947000013</v>
      </c>
      <c r="D45" s="338">
        <f>VLOOKUP($B45,'[14]Hospital ICC (FY)'!$A:$IV,3,FALSE)</f>
        <v>5355.4838919490039</v>
      </c>
      <c r="E45" s="338">
        <f>VLOOKUP($B45,'[14]Hospital ICC (FY)'!$A:$IV,4,FALSE)</f>
        <v>170492256.06999999</v>
      </c>
      <c r="F45" s="338">
        <f>VLOOKUP($B45,'[14]Hospital ICC (FY)'!$A:$IV,5,FALSE)</f>
        <v>87959136.599999994</v>
      </c>
      <c r="G45" s="338">
        <f>VLOOKUP($B45,'[14]Hospital ICC (FY)'!$A:$IV,6,FALSE)</f>
        <v>16074.046838949023</v>
      </c>
      <c r="H45" s="338">
        <f>VLOOKUP($B45,'[14]Hospital ICC (FY)'!$A:$IV,7,FALSE)</f>
        <v>258451392.66999999</v>
      </c>
      <c r="J45" s="92">
        <f t="shared" si="1"/>
        <v>16074.046838949023</v>
      </c>
      <c r="K45" s="95">
        <f t="shared" si="2"/>
        <v>1.0000000000000004</v>
      </c>
      <c r="L45" s="95">
        <f t="shared" si="3"/>
        <v>1</v>
      </c>
      <c r="M45">
        <f t="shared" si="4"/>
        <v>210051</v>
      </c>
      <c r="N45" s="338">
        <f t="shared" si="5"/>
        <v>10718.562947000013</v>
      </c>
      <c r="O45" s="338">
        <f t="shared" si="6"/>
        <v>5355.4838919490039</v>
      </c>
      <c r="P45" s="338">
        <f t="shared" si="7"/>
        <v>170492256.06999999</v>
      </c>
      <c r="Q45" s="338">
        <f t="shared" si="8"/>
        <v>87959136.599999994</v>
      </c>
      <c r="R45" s="338">
        <f t="shared" si="9"/>
        <v>16074.046838949016</v>
      </c>
      <c r="S45" s="338">
        <f t="shared" si="10"/>
        <v>258451392.66999999</v>
      </c>
      <c r="U45">
        <v>210056</v>
      </c>
      <c r="V45" s="92">
        <f>IFERROR(VLOOKUP($U45,'[14]Oncoloy Drugs'!$A:$IV,2,FALSE),0)</f>
        <v>19.471316592000001</v>
      </c>
      <c r="W45" s="92">
        <f>IFERROR(VLOOKUP($U45,'[14]Oncoloy Drugs'!$A:$IV,3,FALSE),0)</f>
        <v>627569.64</v>
      </c>
      <c r="AG45">
        <v>210056</v>
      </c>
      <c r="AH45" s="92">
        <f>VLOOKUP($AG45,'[14]Hospital Total (FY)'!$A:$IV,2,FALSE)</f>
        <v>16915.950170119999</v>
      </c>
      <c r="AI45" s="92">
        <f>VLOOKUP($AG45,'[14]Hospital Total (FY)'!$A:$IV,3,FALSE)</f>
        <v>289012682.44</v>
      </c>
      <c r="AJ45" s="92"/>
      <c r="AO45">
        <v>210056</v>
      </c>
      <c r="AP45" s="92"/>
      <c r="AQ45" s="92"/>
      <c r="AS45">
        <v>210049</v>
      </c>
      <c r="AT45" s="92">
        <v>1985</v>
      </c>
      <c r="AU45" s="92">
        <v>96.158555525000011</v>
      </c>
      <c r="AV45" s="92">
        <v>238571.53</v>
      </c>
      <c r="AX45">
        <v>210056</v>
      </c>
      <c r="AY45" s="92"/>
      <c r="AZ45" s="92"/>
      <c r="BA45" s="92">
        <f t="shared" si="0"/>
        <v>17022.38034286919</v>
      </c>
    </row>
    <row r="46" spans="1:53" x14ac:dyDescent="0.55000000000000004">
      <c r="A46">
        <v>210055</v>
      </c>
      <c r="B46">
        <v>210055</v>
      </c>
      <c r="C46" s="338">
        <f>VLOOKUP($B46,'[14]Hospital ICC (FY)'!$A:$IV,2,FALSE)</f>
        <v>0</v>
      </c>
      <c r="D46" s="338">
        <f>VLOOKUP($B46,'[14]Hospital ICC (FY)'!$A:$IV,3,FALSE)</f>
        <v>1986.2147132779965</v>
      </c>
      <c r="E46" s="338">
        <f>VLOOKUP($B46,'[14]Hospital ICC (FY)'!$A:$IV,4,FALSE)</f>
        <v>858234.33</v>
      </c>
      <c r="F46" s="338">
        <f>VLOOKUP($B46,'[14]Hospital ICC (FY)'!$A:$IV,5,FALSE)</f>
        <v>30533566.699999999</v>
      </c>
      <c r="G46" s="338">
        <f>VLOOKUP($B46,'[14]Hospital ICC (FY)'!$A:$IV,6,FALSE)</f>
        <v>1986.2147132779965</v>
      </c>
      <c r="H46" s="338">
        <f>VLOOKUP($B46,'[14]Hospital ICC (FY)'!$A:$IV,7,FALSE)</f>
        <v>31391801.030000001</v>
      </c>
      <c r="J46" s="92">
        <f t="shared" si="1"/>
        <v>1986.2147132779965</v>
      </c>
      <c r="K46" s="95">
        <f t="shared" si="2"/>
        <v>1</v>
      </c>
      <c r="L46" s="95" t="e">
        <f t="shared" si="3"/>
        <v>#DIV/0!</v>
      </c>
      <c r="M46">
        <f t="shared" si="4"/>
        <v>210055</v>
      </c>
      <c r="N46" s="338">
        <f t="shared" si="5"/>
        <v>0</v>
      </c>
      <c r="O46" s="338">
        <f t="shared" si="6"/>
        <v>1986.2147132779965</v>
      </c>
      <c r="P46" s="338">
        <f t="shared" si="7"/>
        <v>858234.33</v>
      </c>
      <c r="Q46" s="338">
        <f t="shared" si="8"/>
        <v>30533566.699999999</v>
      </c>
      <c r="R46" s="338">
        <f t="shared" si="9"/>
        <v>1986.2147132779965</v>
      </c>
      <c r="S46" s="338">
        <f t="shared" si="10"/>
        <v>31391801.029999997</v>
      </c>
      <c r="U46">
        <v>210057</v>
      </c>
      <c r="V46" s="92">
        <f>IFERROR(VLOOKUP($U46,'[14]Oncoloy Drugs'!$A:$IV,2,FALSE),0)</f>
        <v>167.89692789300003</v>
      </c>
      <c r="W46" s="92">
        <f>IFERROR(VLOOKUP($U46,'[14]Oncoloy Drugs'!$A:$IV,3,FALSE),0)</f>
        <v>3994025.77</v>
      </c>
      <c r="AG46">
        <v>210057</v>
      </c>
      <c r="AH46" s="92">
        <f>VLOOKUP($AG46,'[14]Hospital Total (FY)'!$A:$IV,2,FALSE)</f>
        <v>29747.360359551036</v>
      </c>
      <c r="AI46" s="92">
        <f>VLOOKUP($AG46,'[14]Hospital Total (FY)'!$A:$IV,3,FALSE)</f>
        <v>507227771.44</v>
      </c>
      <c r="AJ46" s="92"/>
      <c r="AO46">
        <v>210057</v>
      </c>
      <c r="AP46" s="92"/>
      <c r="AQ46" s="92"/>
      <c r="AS46">
        <v>210051</v>
      </c>
      <c r="AT46" s="92">
        <v>3198</v>
      </c>
      <c r="AU46" s="92">
        <v>167.00861244400002</v>
      </c>
      <c r="AV46" s="92">
        <v>313133.39</v>
      </c>
      <c r="AX46">
        <v>210057</v>
      </c>
      <c r="AY46" s="92"/>
      <c r="AZ46" s="92"/>
      <c r="BA46" s="92">
        <f t="shared" si="0"/>
        <v>16939.800992594039</v>
      </c>
    </row>
    <row r="47" spans="1:53" x14ac:dyDescent="0.55000000000000004">
      <c r="A47">
        <v>210056</v>
      </c>
      <c r="B47">
        <v>210056</v>
      </c>
      <c r="C47" s="338">
        <f>VLOOKUP($B47,'[14]Hospital ICC (FY)'!$A:$IV,2,FALSE)</f>
        <v>11317.219895000017</v>
      </c>
      <c r="D47" s="338">
        <f>VLOOKUP($B47,'[14]Hospital ICC (FY)'!$A:$IV,3,FALSE)</f>
        <v>5579.2589585279984</v>
      </c>
      <c r="E47" s="338">
        <f>VLOOKUP($B47,'[14]Hospital ICC (FY)'!$A:$IV,4,FALSE)</f>
        <v>197993825</v>
      </c>
      <c r="F47" s="338">
        <f>VLOOKUP($B47,'[14]Hospital ICC (FY)'!$A:$IV,5,FALSE)</f>
        <v>89624464.5</v>
      </c>
      <c r="G47" s="338">
        <f>VLOOKUP($B47,'[14]Hospital ICC (FY)'!$A:$IV,6,FALSE)</f>
        <v>16896.478853528002</v>
      </c>
      <c r="H47" s="338">
        <f>VLOOKUP($B47,'[14]Hospital ICC (FY)'!$A:$IV,7,FALSE)</f>
        <v>287618289.5</v>
      </c>
      <c r="J47" s="92">
        <f t="shared" si="1"/>
        <v>16896.478853528002</v>
      </c>
      <c r="K47" s="95">
        <f t="shared" si="2"/>
        <v>0.99999999999999911</v>
      </c>
      <c r="L47" s="95">
        <f t="shared" si="3"/>
        <v>1</v>
      </c>
      <c r="M47">
        <f t="shared" si="4"/>
        <v>210056</v>
      </c>
      <c r="N47" s="338">
        <f t="shared" si="5"/>
        <v>11317.219895000017</v>
      </c>
      <c r="O47" s="338">
        <f t="shared" si="6"/>
        <v>5579.2589585279984</v>
      </c>
      <c r="P47" s="338">
        <f t="shared" si="7"/>
        <v>197993825</v>
      </c>
      <c r="Q47" s="338">
        <f t="shared" si="8"/>
        <v>89624464.5</v>
      </c>
      <c r="R47" s="338">
        <f t="shared" si="9"/>
        <v>16896.478853528017</v>
      </c>
      <c r="S47" s="338">
        <f t="shared" si="10"/>
        <v>287618289.5</v>
      </c>
      <c r="U47">
        <v>210058</v>
      </c>
      <c r="V47" s="92">
        <f>IFERROR(VLOOKUP($U47,'[14]Oncoloy Drugs'!$A:$IV,2,FALSE),0)</f>
        <v>31.036120855999997</v>
      </c>
      <c r="W47" s="92">
        <f>IFERROR(VLOOKUP($U47,'[14]Oncoloy Drugs'!$A:$IV,3,FALSE),0)</f>
        <v>1507140.35</v>
      </c>
      <c r="AG47">
        <v>210058</v>
      </c>
      <c r="AH47" s="92">
        <f>VLOOKUP($AG47,'[14]Hospital Total (FY)'!$A:$IV,2,FALSE)</f>
        <v>6047.2489919200034</v>
      </c>
      <c r="AI47" s="92">
        <f>VLOOKUP($AG47,'[14]Hospital Total (FY)'!$A:$IV,3,FALSE)</f>
        <v>132877580.38</v>
      </c>
      <c r="AJ47" s="92"/>
      <c r="AO47">
        <v>210060</v>
      </c>
      <c r="AP47" s="92"/>
      <c r="AQ47" s="92"/>
      <c r="AS47">
        <v>210055</v>
      </c>
      <c r="AT47" s="92">
        <v>36</v>
      </c>
      <c r="AU47" s="92">
        <v>1.7302543779999997</v>
      </c>
      <c r="AV47" s="92">
        <v>4211.07</v>
      </c>
      <c r="AX47">
        <v>210058</v>
      </c>
      <c r="AY47" s="92"/>
      <c r="AZ47" s="92"/>
      <c r="BA47" s="92">
        <f t="shared" si="0"/>
        <v>21239.485517951583</v>
      </c>
    </row>
    <row r="48" spans="1:53" x14ac:dyDescent="0.55000000000000004">
      <c r="A48">
        <v>210057</v>
      </c>
      <c r="B48">
        <v>210057</v>
      </c>
      <c r="C48" s="338">
        <f>VLOOKUP($B48,'[14]Hospital ICC (FY)'!$A:$IV,2,FALSE)</f>
        <v>20086.857581000022</v>
      </c>
      <c r="D48" s="338">
        <f>VLOOKUP($B48,'[14]Hospital ICC (FY)'!$A:$IV,3,FALSE)</f>
        <v>9492.605850658003</v>
      </c>
      <c r="E48" s="338">
        <f>VLOOKUP($B48,'[14]Hospital ICC (FY)'!$A:$IV,4,FALSE)</f>
        <v>358612949.98000002</v>
      </c>
      <c r="F48" s="338">
        <f>VLOOKUP($B48,'[14]Hospital ICC (FY)'!$A:$IV,5,FALSE)</f>
        <v>142457274.02000001</v>
      </c>
      <c r="G48" s="338">
        <f>VLOOKUP($B48,'[14]Hospital ICC (FY)'!$A:$IV,6,FALSE)</f>
        <v>29579.463431658045</v>
      </c>
      <c r="H48" s="338">
        <f>VLOOKUP($B48,'[14]Hospital ICC (FY)'!$A:$IV,7,FALSE)</f>
        <v>501070224</v>
      </c>
      <c r="J48" s="92">
        <f t="shared" si="1"/>
        <v>29579.463431658045</v>
      </c>
      <c r="K48" s="95">
        <f t="shared" si="2"/>
        <v>1.0000000000000007</v>
      </c>
      <c r="L48" s="95">
        <f t="shared" si="3"/>
        <v>1</v>
      </c>
      <c r="M48">
        <f t="shared" si="4"/>
        <v>210057</v>
      </c>
      <c r="N48" s="338">
        <f t="shared" si="5"/>
        <v>20086.857581000022</v>
      </c>
      <c r="O48" s="338">
        <f t="shared" si="6"/>
        <v>9492.605850658003</v>
      </c>
      <c r="P48" s="338">
        <f t="shared" si="7"/>
        <v>358612949.98000002</v>
      </c>
      <c r="Q48" s="338">
        <f t="shared" si="8"/>
        <v>142457274.02000001</v>
      </c>
      <c r="R48" s="338">
        <f t="shared" si="9"/>
        <v>29579.463431658027</v>
      </c>
      <c r="S48" s="338">
        <f t="shared" si="10"/>
        <v>501070224</v>
      </c>
      <c r="U48">
        <v>210060</v>
      </c>
      <c r="V48" s="92">
        <f>IFERROR(VLOOKUP($U48,'[14]Oncoloy Drugs'!$A:$IV,2,FALSE),0)</f>
        <v>6.2605248000000002E-2</v>
      </c>
      <c r="W48" s="92">
        <f>IFERROR(VLOOKUP($U48,'[14]Oncoloy Drugs'!$A:$IV,3,FALSE),0)</f>
        <v>4471.4399999999996</v>
      </c>
      <c r="AG48">
        <v>210060</v>
      </c>
      <c r="AH48" s="92">
        <f>VLOOKUP($AG48,'[14]Hospital Total (FY)'!$A:$IV,2,FALSE)</f>
        <v>3722.2358816500018</v>
      </c>
      <c r="AI48" s="92">
        <f>VLOOKUP($AG48,'[14]Hospital Total (FY)'!$A:$IV,3,FALSE)</f>
        <v>67385279.329999998</v>
      </c>
      <c r="AJ48" s="92"/>
      <c r="AO48">
        <v>210061</v>
      </c>
      <c r="AP48" s="92"/>
      <c r="AQ48" s="92"/>
      <c r="AS48">
        <v>210056</v>
      </c>
      <c r="AT48" s="92">
        <v>297</v>
      </c>
      <c r="AU48" s="92">
        <v>14.926746974999993</v>
      </c>
      <c r="AV48" s="92">
        <v>391376.55</v>
      </c>
      <c r="AX48">
        <v>210060</v>
      </c>
      <c r="AY48" s="92"/>
      <c r="AZ48" s="92"/>
      <c r="BA48" s="92">
        <f t="shared" si="0"/>
        <v>18100.37054081617</v>
      </c>
    </row>
    <row r="49" spans="1:53" x14ac:dyDescent="0.55000000000000004">
      <c r="A49">
        <v>210058</v>
      </c>
      <c r="B49">
        <v>210058</v>
      </c>
      <c r="C49" s="338">
        <f>VLOOKUP($B49,'[14]Hospital ICC (FY)'!$A:$IV,2,FALSE)</f>
        <v>2281.4151910000014</v>
      </c>
      <c r="D49" s="338">
        <f>VLOOKUP($B49,'[14]Hospital ICC (FY)'!$A:$IV,3,FALSE)</f>
        <v>3075.4393930640035</v>
      </c>
      <c r="E49" s="338">
        <f>VLOOKUP($B49,'[14]Hospital ICC (FY)'!$A:$IV,4,FALSE)</f>
        <v>54355101.57</v>
      </c>
      <c r="F49" s="338">
        <f>VLOOKUP($B49,'[14]Hospital ICC (FY)'!$A:$IV,5,FALSE)</f>
        <v>59421733.789999999</v>
      </c>
      <c r="G49" s="338">
        <f>VLOOKUP($B49,'[14]Hospital ICC (FY)'!$A:$IV,6,FALSE)</f>
        <v>5356.8545840640054</v>
      </c>
      <c r="H49" s="338">
        <f>VLOOKUP($B49,'[14]Hospital ICC (FY)'!$A:$IV,7,FALSE)</f>
        <v>113776835.36</v>
      </c>
      <c r="J49" s="92">
        <f t="shared" si="1"/>
        <v>5356.8545840640054</v>
      </c>
      <c r="K49" s="95">
        <f t="shared" si="2"/>
        <v>1</v>
      </c>
      <c r="L49" s="95">
        <f t="shared" si="3"/>
        <v>1</v>
      </c>
      <c r="M49">
        <f t="shared" si="4"/>
        <v>210058</v>
      </c>
      <c r="N49" s="338">
        <f t="shared" si="5"/>
        <v>2281.4151910000014</v>
      </c>
      <c r="O49" s="338">
        <f t="shared" si="6"/>
        <v>3075.4393930640035</v>
      </c>
      <c r="P49" s="338">
        <f t="shared" si="7"/>
        <v>54355101.57</v>
      </c>
      <c r="Q49" s="338">
        <f t="shared" si="8"/>
        <v>59421733.789999999</v>
      </c>
      <c r="R49" s="338">
        <f t="shared" si="9"/>
        <v>5356.8545840640054</v>
      </c>
      <c r="S49" s="338">
        <f t="shared" si="10"/>
        <v>113776835.36</v>
      </c>
      <c r="U49">
        <v>210061</v>
      </c>
      <c r="V49" s="92">
        <f>IFERROR(VLOOKUP($U49,'[14]Oncoloy Drugs'!$A:$IV,2,FALSE),0)</f>
        <v>19.005790477999998</v>
      </c>
      <c r="W49" s="92">
        <f>IFERROR(VLOOKUP($U49,'[14]Oncoloy Drugs'!$A:$IV,3,FALSE),0)</f>
        <v>493932.95</v>
      </c>
      <c r="AG49">
        <v>210061</v>
      </c>
      <c r="AH49" s="92">
        <f>VLOOKUP($AG49,'[14]Hospital Total (FY)'!$A:$IV,2,FALSE)</f>
        <v>9035.8712175250039</v>
      </c>
      <c r="AI49" s="92">
        <f>VLOOKUP($AG49,'[14]Hospital Total (FY)'!$A:$IV,3,FALSE)</f>
        <v>124945709.09999999</v>
      </c>
      <c r="AJ49" s="92"/>
      <c r="AO49">
        <v>210062</v>
      </c>
      <c r="AP49" s="92"/>
      <c r="AQ49" s="92"/>
      <c r="AS49">
        <v>210057</v>
      </c>
      <c r="AT49" s="92">
        <v>204</v>
      </c>
      <c r="AU49" s="92">
        <v>12.020889799999997</v>
      </c>
      <c r="AV49" s="92">
        <v>82560.850000000006</v>
      </c>
      <c r="AX49">
        <v>210061</v>
      </c>
      <c r="AY49" s="92"/>
      <c r="AZ49" s="92"/>
      <c r="BA49" s="92">
        <f t="shared" si="0"/>
        <v>13801.962143817553</v>
      </c>
    </row>
    <row r="50" spans="1:53" x14ac:dyDescent="0.55000000000000004">
      <c r="A50">
        <v>210060</v>
      </c>
      <c r="B50">
        <v>210060</v>
      </c>
      <c r="C50" s="338">
        <f>VLOOKUP($B50,'[14]Hospital ICC (FY)'!$A:$IV,2,FALSE)</f>
        <v>1992.2546980000006</v>
      </c>
      <c r="D50" s="338">
        <f>VLOOKUP($B50,'[14]Hospital ICC (FY)'!$A:$IV,3,FALSE)</f>
        <v>1729.9185784020001</v>
      </c>
      <c r="E50" s="338">
        <f>VLOOKUP($B50,'[14]Hospital ICC (FY)'!$A:$IV,4,FALSE)</f>
        <v>37109871.920000002</v>
      </c>
      <c r="F50" s="338">
        <f>VLOOKUP($B50,'[14]Hospital ICC (FY)'!$A:$IV,5,FALSE)</f>
        <v>30262843.600000001</v>
      </c>
      <c r="G50" s="338">
        <f>VLOOKUP($B50,'[14]Hospital ICC (FY)'!$A:$IV,6,FALSE)</f>
        <v>3722.1732764020016</v>
      </c>
      <c r="H50" s="338">
        <f>VLOOKUP($B50,'[14]Hospital ICC (FY)'!$A:$IV,7,FALSE)</f>
        <v>67372715.519999996</v>
      </c>
      <c r="J50" s="92">
        <f t="shared" si="1"/>
        <v>3722.1732764020016</v>
      </c>
      <c r="K50" s="95">
        <f t="shared" si="2"/>
        <v>1.0000000000000002</v>
      </c>
      <c r="L50" s="95">
        <f t="shared" si="3"/>
        <v>1</v>
      </c>
      <c r="M50">
        <f t="shared" si="4"/>
        <v>210060</v>
      </c>
      <c r="N50" s="338">
        <f t="shared" si="5"/>
        <v>1992.2546980000006</v>
      </c>
      <c r="O50" s="338">
        <f t="shared" si="6"/>
        <v>1729.9185784020001</v>
      </c>
      <c r="P50" s="338">
        <f t="shared" si="7"/>
        <v>37109871.920000002</v>
      </c>
      <c r="Q50" s="338">
        <f t="shared" si="8"/>
        <v>30262843.600000001</v>
      </c>
      <c r="R50" s="338">
        <f t="shared" si="9"/>
        <v>3722.1732764020007</v>
      </c>
      <c r="S50" s="338">
        <f t="shared" si="10"/>
        <v>67372715.520000011</v>
      </c>
      <c r="U50">
        <v>210062</v>
      </c>
      <c r="V50" s="92">
        <f>IFERROR(VLOOKUP($U50,'[14]Oncoloy Drugs'!$A:$IV,2,FALSE),0)</f>
        <v>2.9465699750000001</v>
      </c>
      <c r="W50" s="92">
        <f>IFERROR(VLOOKUP($U50,'[14]Oncoloy Drugs'!$A:$IV,3,FALSE),0)</f>
        <v>25149.13</v>
      </c>
      <c r="AG50">
        <v>210062</v>
      </c>
      <c r="AH50" s="92">
        <f>VLOOKUP($AG50,'[14]Hospital Total (FY)'!$A:$IV,2,FALSE)</f>
        <v>17498.725363005029</v>
      </c>
      <c r="AI50" s="92">
        <f>VLOOKUP($AG50,'[14]Hospital Total (FY)'!$A:$IV,3,FALSE)</f>
        <v>298015022.06</v>
      </c>
      <c r="AJ50" s="92"/>
      <c r="AO50">
        <v>210063</v>
      </c>
      <c r="AP50" s="92"/>
      <c r="AQ50" s="92"/>
      <c r="AS50">
        <v>210058</v>
      </c>
      <c r="AT50" s="92">
        <v>1765</v>
      </c>
      <c r="AU50" s="92">
        <v>92.383883302000044</v>
      </c>
      <c r="AV50" s="92">
        <v>129678.43</v>
      </c>
      <c r="AX50">
        <v>210062</v>
      </c>
      <c r="AY50" s="92"/>
      <c r="AZ50" s="92"/>
      <c r="BA50" s="92">
        <f t="shared" si="0"/>
        <v>16967.496149886334</v>
      </c>
    </row>
    <row r="51" spans="1:53" x14ac:dyDescent="0.55000000000000004">
      <c r="A51">
        <v>210061</v>
      </c>
      <c r="B51">
        <v>210061</v>
      </c>
      <c r="C51" s="338">
        <f>VLOOKUP($B51,'[14]Hospital ICC (FY)'!$A:$IV,2,FALSE)</f>
        <v>3702.986159000001</v>
      </c>
      <c r="D51" s="338">
        <f>VLOOKUP($B51,'[14]Hospital ICC (FY)'!$A:$IV,3,FALSE)</f>
        <v>5313.8792680469996</v>
      </c>
      <c r="E51" s="338">
        <f>VLOOKUP($B51,'[14]Hospital ICC (FY)'!$A:$IV,4,FALSE)</f>
        <v>54577377.549999997</v>
      </c>
      <c r="F51" s="338">
        <f>VLOOKUP($B51,'[14]Hospital ICC (FY)'!$A:$IV,5,FALSE)</f>
        <v>69873057.730000004</v>
      </c>
      <c r="G51" s="338">
        <f>VLOOKUP($B51,'[14]Hospital ICC (FY)'!$A:$IV,6,FALSE)</f>
        <v>9016.8654270470015</v>
      </c>
      <c r="H51" s="338">
        <f>VLOOKUP($B51,'[14]Hospital ICC (FY)'!$A:$IV,7,FALSE)</f>
        <v>124450435.28</v>
      </c>
      <c r="J51" s="92">
        <f t="shared" si="1"/>
        <v>9016.8654270470015</v>
      </c>
      <c r="K51" s="95">
        <f t="shared" si="2"/>
        <v>1.0000000000000002</v>
      </c>
      <c r="L51" s="95">
        <f t="shared" si="3"/>
        <v>1</v>
      </c>
      <c r="M51">
        <f t="shared" si="4"/>
        <v>210061</v>
      </c>
      <c r="N51" s="338">
        <f t="shared" si="5"/>
        <v>3702.986159000001</v>
      </c>
      <c r="O51" s="338">
        <f t="shared" si="6"/>
        <v>5313.8792680469996</v>
      </c>
      <c r="P51" s="338">
        <f t="shared" si="7"/>
        <v>54577377.549999997</v>
      </c>
      <c r="Q51" s="338">
        <f t="shared" si="8"/>
        <v>69873057.730000004</v>
      </c>
      <c r="R51" s="338">
        <f t="shared" si="9"/>
        <v>9016.8654270469997</v>
      </c>
      <c r="S51" s="338">
        <f t="shared" si="10"/>
        <v>124450435.28</v>
      </c>
      <c r="U51">
        <v>210063</v>
      </c>
      <c r="V51" s="92">
        <f>IFERROR(VLOOKUP($U51,'[14]Oncoloy Drugs'!$A:$IV,2,FALSE),0)</f>
        <v>5.3743228680000001</v>
      </c>
      <c r="W51" s="92">
        <f>IFERROR(VLOOKUP($U51,'[14]Oncoloy Drugs'!$A:$IV,3,FALSE),0)</f>
        <v>120586.89</v>
      </c>
      <c r="AG51">
        <v>210063</v>
      </c>
      <c r="AH51" s="92">
        <f>VLOOKUP($AG51,'[14]Hospital Total (FY)'!$A:$IV,2,FALSE)</f>
        <v>27333.955835575012</v>
      </c>
      <c r="AI51" s="92">
        <f>VLOOKUP($AG51,'[14]Hospital Total (FY)'!$A:$IV,3,FALSE)</f>
        <v>430815368.43000001</v>
      </c>
      <c r="AJ51" s="92"/>
      <c r="AO51">
        <v>210065</v>
      </c>
      <c r="AS51">
        <v>210060</v>
      </c>
      <c r="AT51" s="92">
        <v>42</v>
      </c>
      <c r="AU51" s="92">
        <v>3.1625515059999998</v>
      </c>
      <c r="AV51" s="92">
        <v>58569.29</v>
      </c>
      <c r="AX51">
        <v>210063</v>
      </c>
      <c r="AY51" s="92"/>
      <c r="AZ51" s="92"/>
      <c r="BA51" s="92">
        <f t="shared" si="0"/>
        <v>15758.374868441602</v>
      </c>
    </row>
    <row r="52" spans="1:53" x14ac:dyDescent="0.55000000000000004">
      <c r="A52">
        <v>210062</v>
      </c>
      <c r="B52">
        <v>210062</v>
      </c>
      <c r="C52" s="338">
        <f>VLOOKUP($B52,'[14]Hospital ICC (FY)'!$A:$IV,2,FALSE)</f>
        <v>12053.547121000021</v>
      </c>
      <c r="D52" s="338">
        <f>VLOOKUP($B52,'[14]Hospital ICC (FY)'!$A:$IV,3,FALSE)</f>
        <v>5442.2316720300068</v>
      </c>
      <c r="E52" s="338">
        <f>VLOOKUP($B52,'[14]Hospital ICC (FY)'!$A:$IV,4,FALSE)</f>
        <v>203708738.03</v>
      </c>
      <c r="F52" s="338">
        <f>VLOOKUP($B52,'[14]Hospital ICC (FY)'!$A:$IV,5,FALSE)</f>
        <v>93150821.280000001</v>
      </c>
      <c r="G52" s="338">
        <f>VLOOKUP($B52,'[14]Hospital ICC (FY)'!$A:$IV,6,FALSE)</f>
        <v>17495.778793030029</v>
      </c>
      <c r="H52" s="338">
        <f>VLOOKUP($B52,'[14]Hospital ICC (FY)'!$A:$IV,7,FALSE)</f>
        <v>296859559.31</v>
      </c>
      <c r="J52" s="92">
        <f t="shared" si="1"/>
        <v>17495.778793030029</v>
      </c>
      <c r="K52" s="95">
        <f t="shared" si="2"/>
        <v>1</v>
      </c>
      <c r="L52" s="95">
        <f t="shared" si="3"/>
        <v>1</v>
      </c>
      <c r="M52">
        <f t="shared" si="4"/>
        <v>210062</v>
      </c>
      <c r="N52" s="338">
        <f t="shared" si="5"/>
        <v>12053.547121000021</v>
      </c>
      <c r="O52" s="338">
        <f t="shared" si="6"/>
        <v>5442.2316720300068</v>
      </c>
      <c r="P52" s="338">
        <f t="shared" si="7"/>
        <v>203708738.03</v>
      </c>
      <c r="Q52" s="338">
        <f t="shared" si="8"/>
        <v>93150821.280000001</v>
      </c>
      <c r="R52" s="338">
        <f t="shared" si="9"/>
        <v>17495.778793030029</v>
      </c>
      <c r="S52" s="338">
        <f t="shared" si="10"/>
        <v>296859559.31</v>
      </c>
      <c r="U52">
        <v>210065</v>
      </c>
      <c r="V52" s="92">
        <f>IFERROR(VLOOKUP($U52,'[14]Oncoloy Drugs'!$A:$IV,2,FALSE),0)</f>
        <v>1.5469909720000001</v>
      </c>
      <c r="W52" s="92">
        <f>IFERROR(VLOOKUP($U52,'[14]Oncoloy Drugs'!$A:$IV,3,FALSE),0)</f>
        <v>24284.14</v>
      </c>
      <c r="AG52">
        <v>210064</v>
      </c>
      <c r="AH52" s="92">
        <f>VLOOKUP($AG52,'[14]Hospital Total (FY)'!$A:$IV,2,FALSE)</f>
        <v>1687.3072003519987</v>
      </c>
      <c r="AI52" s="92">
        <f>VLOOKUP($AG52,'[14]Hospital Total (FY)'!$A:$IV,3,FALSE)</f>
        <v>66783155.310000002</v>
      </c>
      <c r="AJ52" s="92"/>
      <c r="AO52">
        <v>210089</v>
      </c>
      <c r="AS52">
        <v>210061</v>
      </c>
      <c r="AT52" s="92">
        <v>256</v>
      </c>
      <c r="AU52" s="92">
        <v>5.0189333170000001</v>
      </c>
      <c r="AV52" s="92">
        <v>64399.11</v>
      </c>
      <c r="AX52">
        <v>210064</v>
      </c>
      <c r="AY52" s="92"/>
      <c r="AZ52" s="92"/>
      <c r="BA52" s="92">
        <f t="shared" si="0"/>
        <v>0</v>
      </c>
    </row>
    <row r="53" spans="1:53" x14ac:dyDescent="0.55000000000000004">
      <c r="A53">
        <v>210063</v>
      </c>
      <c r="B53">
        <v>210063</v>
      </c>
      <c r="C53" s="338">
        <f>VLOOKUP($B53,'[14]Hospital ICC (FY)'!$A:$IV,2,FALSE)</f>
        <v>16691.175545000013</v>
      </c>
      <c r="D53" s="338">
        <f>VLOOKUP($B53,'[14]Hospital ICC (FY)'!$A:$IV,3,FALSE)</f>
        <v>10637.405967707004</v>
      </c>
      <c r="E53" s="338">
        <f>VLOOKUP($B53,'[14]Hospital ICC (FY)'!$A:$IV,4,FALSE)</f>
        <v>281881717.19</v>
      </c>
      <c r="F53" s="338">
        <f>VLOOKUP($B53,'[14]Hospital ICC (FY)'!$A:$IV,5,FALSE)</f>
        <v>148772314.91</v>
      </c>
      <c r="G53" s="338">
        <f>VLOOKUP($B53,'[14]Hospital ICC (FY)'!$A:$IV,6,FALSE)</f>
        <v>27328.581512707016</v>
      </c>
      <c r="H53" s="338">
        <f>VLOOKUP($B53,'[14]Hospital ICC (FY)'!$A:$IV,7,FALSE)</f>
        <v>430654032.10000002</v>
      </c>
      <c r="J53" s="92">
        <f t="shared" si="1"/>
        <v>27328.581512707016</v>
      </c>
      <c r="K53" s="95">
        <f t="shared" si="2"/>
        <v>1</v>
      </c>
      <c r="L53" s="95">
        <f t="shared" si="3"/>
        <v>1</v>
      </c>
      <c r="M53">
        <f t="shared" si="4"/>
        <v>210063</v>
      </c>
      <c r="N53" s="338">
        <f t="shared" si="5"/>
        <v>16691.175545000013</v>
      </c>
      <c r="O53" s="338">
        <f t="shared" si="6"/>
        <v>10637.405967707004</v>
      </c>
      <c r="P53" s="338">
        <f t="shared" si="7"/>
        <v>281881717.19</v>
      </c>
      <c r="Q53" s="338">
        <f t="shared" si="8"/>
        <v>148772314.91</v>
      </c>
      <c r="R53" s="338">
        <f t="shared" si="9"/>
        <v>27328.581512707016</v>
      </c>
      <c r="S53" s="338">
        <f t="shared" si="10"/>
        <v>430654032.10000002</v>
      </c>
      <c r="U53" t="s">
        <v>1</v>
      </c>
      <c r="V53" s="92">
        <f>SUM(V6:V52)</f>
        <v>44731.629987404995</v>
      </c>
      <c r="W53" s="92">
        <f>SUM(W6:W52)</f>
        <v>900645510.78000021</v>
      </c>
      <c r="AG53">
        <v>210065</v>
      </c>
      <c r="AH53" s="92">
        <f>VLOOKUP($AG53,'[14]Hospital Total (FY)'!$A:$IV,2,FALSE)</f>
        <v>9808.5127385100077</v>
      </c>
      <c r="AI53" s="92">
        <f>VLOOKUP($AG53,'[14]Hospital Total (FY)'!$A:$IV,3,FALSE)</f>
        <v>145500726.12</v>
      </c>
      <c r="AJ53" s="92"/>
      <c r="AO53">
        <v>213028</v>
      </c>
      <c r="AS53">
        <v>210062</v>
      </c>
      <c r="AT53" s="92">
        <v>157</v>
      </c>
      <c r="AU53" s="92">
        <v>10.467456743</v>
      </c>
      <c r="AV53" s="92">
        <v>148549.71</v>
      </c>
      <c r="AX53">
        <v>210065</v>
      </c>
      <c r="AY53" s="92"/>
      <c r="AZ53" s="92"/>
      <c r="BA53" s="92">
        <f t="shared" si="0"/>
        <v>14813.990354404157</v>
      </c>
    </row>
    <row r="54" spans="1:53" x14ac:dyDescent="0.55000000000000004">
      <c r="A54">
        <v>210065</v>
      </c>
      <c r="B54">
        <v>210065</v>
      </c>
      <c r="C54" s="338">
        <f>VLOOKUP($B54,'[14]Hospital ICC (FY)'!$A:$IV,2,FALSE)</f>
        <v>6469.6728530000128</v>
      </c>
      <c r="D54" s="338">
        <f>VLOOKUP($B54,'[14]Hospital ICC (FY)'!$A:$IV,3,FALSE)</f>
        <v>3337.2928945379981</v>
      </c>
      <c r="E54" s="338">
        <f>VLOOKUP($B54,'[14]Hospital ICC (FY)'!$A:$IV,4,FALSE)</f>
        <v>91786263.760000005</v>
      </c>
      <c r="F54" s="338">
        <f>VLOOKUP($B54,'[14]Hospital ICC (FY)'!$A:$IV,5,FALSE)</f>
        <v>53494032.229999997</v>
      </c>
      <c r="G54" s="338">
        <f>VLOOKUP($B54,'[14]Hospital ICC (FY)'!$A:$IV,6,FALSE)</f>
        <v>9806.9657475380081</v>
      </c>
      <c r="H54" s="338">
        <f>VLOOKUP($B54,'[14]Hospital ICC (FY)'!$A:$IV,7,FALSE)</f>
        <v>145280295.99000001</v>
      </c>
      <c r="J54" s="92">
        <f t="shared" si="1"/>
        <v>9806.9657475380081</v>
      </c>
      <c r="K54" s="95">
        <f t="shared" si="2"/>
        <v>0.99999999999999967</v>
      </c>
      <c r="L54" s="95">
        <f t="shared" si="3"/>
        <v>1</v>
      </c>
      <c r="M54">
        <f t="shared" si="4"/>
        <v>210065</v>
      </c>
      <c r="N54" s="338">
        <f t="shared" si="5"/>
        <v>6469.6728530000128</v>
      </c>
      <c r="O54" s="338">
        <f t="shared" si="6"/>
        <v>3337.2928945379981</v>
      </c>
      <c r="P54" s="338">
        <f t="shared" si="7"/>
        <v>91786263.760000005</v>
      </c>
      <c r="Q54" s="338">
        <f t="shared" si="8"/>
        <v>53494032.229999997</v>
      </c>
      <c r="R54" s="338">
        <f t="shared" si="9"/>
        <v>9806.9657475380118</v>
      </c>
      <c r="S54" s="338">
        <f t="shared" si="10"/>
        <v>145280295.99000001</v>
      </c>
      <c r="T54" s="2"/>
      <c r="AG54">
        <v>210087</v>
      </c>
      <c r="AH54" s="92">
        <f>VLOOKUP($AG54,'[14]Hospital Total (FY)'!$A:$IV,2,FALSE)</f>
        <v>1272.2915720600004</v>
      </c>
      <c r="AI54" s="92">
        <f>VLOOKUP($AG54,'[14]Hospital Total (FY)'!$A:$IV,3,FALSE)</f>
        <v>16794634.579999998</v>
      </c>
      <c r="AJ54" s="92"/>
      <c r="AO54">
        <v>213029</v>
      </c>
      <c r="AS54">
        <v>210063</v>
      </c>
      <c r="AT54" s="92">
        <v>1623</v>
      </c>
      <c r="AU54" s="92">
        <v>82.634986198000021</v>
      </c>
      <c r="AV54" s="92">
        <v>163666.56</v>
      </c>
      <c r="AX54">
        <v>210087</v>
      </c>
      <c r="AY54" s="92"/>
      <c r="AZ54" s="92"/>
      <c r="BA54" s="92">
        <f t="shared" si="0"/>
        <v>0</v>
      </c>
    </row>
    <row r="55" spans="1:53" x14ac:dyDescent="0.55000000000000004">
      <c r="A55" t="s">
        <v>1</v>
      </c>
      <c r="B55" t="s">
        <v>1</v>
      </c>
      <c r="C55" s="338">
        <f t="shared" ref="C55:H55" si="11">SUM(C8:C54)</f>
        <v>604052.71224200027</v>
      </c>
      <c r="D55" s="338">
        <f t="shared" si="11"/>
        <v>411073.77347379015</v>
      </c>
      <c r="E55" s="338">
        <f t="shared" si="11"/>
        <v>11076613572.100002</v>
      </c>
      <c r="F55" s="338">
        <f t="shared" si="11"/>
        <v>6405666922.5600004</v>
      </c>
      <c r="G55" s="338">
        <f t="shared" si="11"/>
        <v>1015126.4857157908</v>
      </c>
      <c r="H55" s="338">
        <f t="shared" si="11"/>
        <v>17482280494.66</v>
      </c>
      <c r="K55" s="95"/>
      <c r="L55" s="95"/>
      <c r="M55" t="str">
        <f t="shared" si="4"/>
        <v>Grand Total</v>
      </c>
      <c r="N55" s="338">
        <f t="shared" ref="N55:S55" si="12">SUM(N8:N54)</f>
        <v>604052.71224200027</v>
      </c>
      <c r="O55" s="338">
        <f t="shared" si="12"/>
        <v>411073.77347379015</v>
      </c>
      <c r="P55" s="338">
        <f t="shared" si="12"/>
        <v>11076613572.100002</v>
      </c>
      <c r="Q55" s="338">
        <f t="shared" si="12"/>
        <v>6405666922.5600004</v>
      </c>
      <c r="R55" s="338">
        <f t="shared" si="12"/>
        <v>1015126.4857157908</v>
      </c>
      <c r="S55" s="338">
        <f t="shared" si="12"/>
        <v>17482280494.66</v>
      </c>
      <c r="T55" s="2"/>
      <c r="AG55">
        <v>210088</v>
      </c>
      <c r="AH55" s="92">
        <f>VLOOKUP($AG55,'[14]Hospital Total (FY)'!$A:$IV,2,FALSE)</f>
        <v>1051.8197793799995</v>
      </c>
      <c r="AI55" s="92">
        <f>VLOOKUP($AG55,'[14]Hospital Total (FY)'!$A:$IV,3,FALSE)</f>
        <v>7676320.6200000001</v>
      </c>
      <c r="AJ55" s="92"/>
      <c r="AO55">
        <v>218992</v>
      </c>
      <c r="AS55">
        <v>210065</v>
      </c>
      <c r="AT55" s="92">
        <v>1222</v>
      </c>
      <c r="AU55" s="92">
        <v>63.278293874000006</v>
      </c>
      <c r="AV55" s="92">
        <v>132598.19</v>
      </c>
      <c r="AX55">
        <v>210088</v>
      </c>
      <c r="AY55" s="92"/>
      <c r="AZ55" s="92"/>
      <c r="BA55" s="92">
        <f t="shared" si="0"/>
        <v>0</v>
      </c>
    </row>
    <row r="56" spans="1:53" x14ac:dyDescent="0.55000000000000004">
      <c r="L56" s="95"/>
      <c r="AG56">
        <v>210333</v>
      </c>
      <c r="AH56" s="92">
        <f>VLOOKUP($AG56,'[14]Hospital Total (FY)'!$A:$IV,2,FALSE)</f>
        <v>1310.1740618760002</v>
      </c>
      <c r="AI56" s="92">
        <f>VLOOKUP($AG56,'[14]Hospital Total (FY)'!$A:$IV,3,FALSE)</f>
        <v>17493993.379999999</v>
      </c>
      <c r="AJ56" s="92"/>
      <c r="AO56" t="s">
        <v>1</v>
      </c>
      <c r="AS56">
        <v>210068</v>
      </c>
      <c r="AT56" s="92">
        <v>2</v>
      </c>
      <c r="AU56" s="92">
        <v>1.3386936E-2</v>
      </c>
      <c r="AV56" s="92">
        <v>106.8</v>
      </c>
      <c r="AX56">
        <v>210333</v>
      </c>
      <c r="AY56" s="92"/>
      <c r="AZ56" s="92"/>
      <c r="BA56" s="92">
        <f t="shared" si="0"/>
        <v>0</v>
      </c>
    </row>
    <row r="57" spans="1:53" x14ac:dyDescent="0.55000000000000004">
      <c r="AG57">
        <v>213028</v>
      </c>
      <c r="AH57" s="92">
        <f>VLOOKUP($AG57,'[14]Hospital Total (FY)'!$A:$IV,2,FALSE)</f>
        <v>1015.1730335189989</v>
      </c>
      <c r="AI57" s="92">
        <f>VLOOKUP($AG57,'[14]Hospital Total (FY)'!$A:$IV,3,FALSE)</f>
        <v>47308061.950000003</v>
      </c>
      <c r="AJ57" s="92"/>
      <c r="AS57">
        <v>213300</v>
      </c>
      <c r="AT57" s="92">
        <v>1</v>
      </c>
      <c r="AU57" s="92">
        <v>1.4477026E-2</v>
      </c>
      <c r="AV57" s="92">
        <v>62.5</v>
      </c>
      <c r="AX57">
        <v>213028</v>
      </c>
      <c r="AY57" s="92"/>
      <c r="AZ57" s="92"/>
      <c r="BA57" s="92">
        <f t="shared" si="0"/>
        <v>0</v>
      </c>
    </row>
    <row r="58" spans="1:53" x14ac:dyDescent="0.55000000000000004">
      <c r="AG58">
        <v>213029</v>
      </c>
      <c r="AH58" s="92">
        <f>VLOOKUP($AG58,'[14]Hospital Total (FY)'!$A:$IV,2,FALSE)</f>
        <v>1099.3727105170001</v>
      </c>
      <c r="AI58" s="92">
        <f>VLOOKUP($AG58,'[14]Hospital Total (FY)'!$A:$IV,3,FALSE)</f>
        <v>51018605.229999997</v>
      </c>
      <c r="AJ58" s="92"/>
      <c r="AS58">
        <v>218992</v>
      </c>
      <c r="AT58" s="92">
        <v>17</v>
      </c>
      <c r="AU58" s="92">
        <v>0.90693495800000001</v>
      </c>
      <c r="AV58" s="92">
        <v>12016.25</v>
      </c>
      <c r="AX58">
        <v>213029</v>
      </c>
      <c r="AY58" s="92"/>
      <c r="AZ58" s="92"/>
      <c r="BA58" s="92">
        <f t="shared" si="0"/>
        <v>0</v>
      </c>
    </row>
    <row r="59" spans="1:53" x14ac:dyDescent="0.55000000000000004">
      <c r="AG59">
        <v>213300</v>
      </c>
      <c r="AH59" s="92">
        <f>VLOOKUP($AG59,'[14]Hospital Total (FY)'!$A:$IV,2,FALSE)</f>
        <v>2471.3137870199967</v>
      </c>
      <c r="AI59" s="92">
        <f>VLOOKUP($AG59,'[14]Hospital Total (FY)'!$A:$IV,3,FALSE)</f>
        <v>59242427.780000001</v>
      </c>
      <c r="AJ59" s="92"/>
      <c r="AS59" t="s">
        <v>1</v>
      </c>
      <c r="AT59" s="92">
        <v>119693</v>
      </c>
      <c r="AU59" s="92">
        <v>6345.0713522189999</v>
      </c>
      <c r="AV59" s="92">
        <v>24699569.949999999</v>
      </c>
      <c r="AX59">
        <v>213300</v>
      </c>
      <c r="AY59" s="92"/>
      <c r="AZ59" s="92"/>
      <c r="BA59" s="92">
        <f t="shared" si="0"/>
        <v>0</v>
      </c>
    </row>
    <row r="60" spans="1:53" x14ac:dyDescent="0.55000000000000004">
      <c r="AG60">
        <v>218992</v>
      </c>
      <c r="AH60" s="92">
        <f>VLOOKUP($AG60,'[14]Hospital Total (FY)'!$A:$IV,2,FALSE)</f>
        <v>10474.143168839011</v>
      </c>
      <c r="AI60" s="92">
        <f>VLOOKUP($AG60,'[14]Hospital Total (FY)'!$A:$IV,3,FALSE)</f>
        <v>295521080.48000002</v>
      </c>
      <c r="AJ60" s="92"/>
      <c r="AX60">
        <v>218992</v>
      </c>
      <c r="AY60" s="92"/>
      <c r="AZ60" s="92"/>
      <c r="BA60" s="92">
        <f t="shared" si="0"/>
        <v>0</v>
      </c>
    </row>
    <row r="61" spans="1:53" x14ac:dyDescent="0.55000000000000004">
      <c r="AG61" t="s">
        <v>1</v>
      </c>
      <c r="AH61" s="92">
        <f>SUM(AH6:AH60)</f>
        <v>1101913.2924837579</v>
      </c>
      <c r="AI61" s="92">
        <f>SUM(AI6:AI60)</f>
        <v>19629721782.160004</v>
      </c>
      <c r="AJ61" s="92"/>
      <c r="AX61" t="s">
        <v>1</v>
      </c>
      <c r="AY61" s="92">
        <f>SUM(AY6:AY60)</f>
        <v>0</v>
      </c>
      <c r="AZ61" s="92">
        <f>SUM(AZ6:AZ60)</f>
        <v>0</v>
      </c>
    </row>
  </sheetData>
  <sheetCalcPr fullCalcOnLoad="1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69"/>
  <sheetViews>
    <sheetView workbookViewId="0">
      <pane xSplit="2" topLeftCell="O1" activePane="topRight" state="frozen"/>
      <selection pane="topRight" activeCell="U3" sqref="U3"/>
    </sheetView>
  </sheetViews>
  <sheetFormatPr defaultColWidth="9.15625" defaultRowHeight="15.3" x14ac:dyDescent="0.55000000000000004"/>
  <cols>
    <col min="1" max="1" width="13.15625" style="107" bestFit="1" customWidth="1"/>
    <col min="2" max="2" width="35.26171875" style="107" bestFit="1" customWidth="1"/>
    <col min="3" max="3" width="25.68359375" style="114" bestFit="1" customWidth="1"/>
    <col min="4" max="4" width="10.15625" style="114" customWidth="1"/>
    <col min="5" max="5" width="30" style="114" bestFit="1" customWidth="1"/>
    <col min="6" max="6" width="25.578125" style="114" bestFit="1" customWidth="1"/>
    <col min="7" max="7" width="23.68359375" style="229" bestFit="1" customWidth="1"/>
    <col min="8" max="8" width="21.83984375" style="92" bestFit="1" customWidth="1"/>
    <col min="9" max="9" width="23.41796875" style="229" bestFit="1" customWidth="1"/>
    <col min="10" max="10" width="51.83984375" style="92" bestFit="1" customWidth="1"/>
    <col min="11" max="11" width="40.83984375" style="229" customWidth="1"/>
    <col min="12" max="12" width="8.41796875" style="107" customWidth="1"/>
    <col min="13" max="13" width="21.68359375" style="114" bestFit="1" customWidth="1"/>
    <col min="14" max="14" width="20" style="107" bestFit="1" customWidth="1"/>
    <col min="15" max="15" width="43.15625" style="107" bestFit="1" customWidth="1"/>
    <col min="16" max="16" width="26.68359375" style="107" customWidth="1"/>
    <col min="17" max="17" width="16.83984375" style="107" customWidth="1"/>
    <col min="18" max="18" width="17.41796875" style="107" customWidth="1"/>
    <col min="19" max="19" width="21.578125" style="107" bestFit="1" customWidth="1"/>
    <col min="20" max="20" width="16.41796875" style="107" customWidth="1"/>
    <col min="21" max="21" width="15.26171875" style="107" customWidth="1"/>
    <col min="22" max="23" width="15.68359375" style="107" customWidth="1"/>
    <col min="24" max="24" width="18.68359375" style="107" customWidth="1"/>
    <col min="25" max="25" width="16.15625" style="107" customWidth="1"/>
    <col min="26" max="26" width="9.15625" style="107" customWidth="1"/>
    <col min="27" max="16384" width="9.15625" style="107"/>
  </cols>
  <sheetData>
    <row r="1" spans="1:25" s="157" customFormat="1" ht="15" x14ac:dyDescent="0.5">
      <c r="A1" s="157" t="s">
        <v>283</v>
      </c>
      <c r="B1" s="157" t="s">
        <v>307</v>
      </c>
      <c r="C1" s="237" t="s">
        <v>634</v>
      </c>
      <c r="D1" s="237"/>
      <c r="E1" s="237" t="s">
        <v>635</v>
      </c>
      <c r="F1" s="237" t="s">
        <v>306</v>
      </c>
      <c r="G1" s="239" t="s">
        <v>305</v>
      </c>
      <c r="H1" s="238" t="s">
        <v>304</v>
      </c>
      <c r="I1" s="239" t="s">
        <v>303</v>
      </c>
      <c r="J1" s="238" t="s">
        <v>615</v>
      </c>
      <c r="K1" s="238" t="s">
        <v>616</v>
      </c>
      <c r="M1" s="237" t="s">
        <v>636</v>
      </c>
      <c r="N1" s="157" t="s">
        <v>621</v>
      </c>
      <c r="O1" s="157" t="s">
        <v>622</v>
      </c>
      <c r="P1" s="236" t="s">
        <v>650</v>
      </c>
      <c r="Q1" s="196" t="s">
        <v>639</v>
      </c>
      <c r="R1" s="196" t="s">
        <v>649</v>
      </c>
      <c r="S1" s="157" t="s">
        <v>651</v>
      </c>
      <c r="U1" s="196"/>
      <c r="V1" s="196"/>
      <c r="W1" s="196"/>
    </row>
    <row r="2" spans="1:25" x14ac:dyDescent="0.55000000000000004">
      <c r="A2" s="107">
        <v>210001</v>
      </c>
      <c r="B2" s="107" t="str">
        <f>VLOOKUP(A2,'GBR Case Mix Reconciliation'!$1:$65533,2,FALSE)</f>
        <v>Meritus</v>
      </c>
      <c r="C2" s="114">
        <f>VLOOKUP(A2,'GBR Case Mix Reconciliation'!$1:$65533,5,FALSE)-VLOOKUP(A2,'GBR Case Mix Reconciliation'!$1:$65533,6,FALSE)</f>
        <v>420865801.99274206</v>
      </c>
      <c r="E2" s="114">
        <f>VLOOKUP(A2,'GBR Case Mix Reconciliation'!$1:$65533,11,FALSE)</f>
        <v>428440467.56999999</v>
      </c>
      <c r="F2" s="114">
        <f>VLOOKUP(A2,'Oncology Drugs &amp; COVID Lab'!$1:$1048576,2,FALSE)</f>
        <v>20831120.789999999</v>
      </c>
      <c r="G2" s="229">
        <f t="shared" ref="G2:G48" si="0">F2/E2</f>
        <v>4.8620805845322121E-2</v>
      </c>
      <c r="H2" s="92">
        <f>VLOOKUP(A2,Chronic!$1:$1048576,3,FALSE)</f>
        <v>0</v>
      </c>
      <c r="I2" s="229">
        <f t="shared" ref="I2:I48" si="1">H2/E2</f>
        <v>0</v>
      </c>
      <c r="J2" s="92">
        <f>VLOOKUP(A2,'Categorical Exclusions &amp; Innova'!$1:$1048576,4,FALSE)</f>
        <v>0</v>
      </c>
      <c r="K2" s="229">
        <f t="shared" ref="K2:K47" si="2">J2/E2</f>
        <v>0</v>
      </c>
      <c r="L2" s="119">
        <f t="shared" ref="L2:L48" si="3">G2+I2+K2</f>
        <v>4.8620805845322121E-2</v>
      </c>
      <c r="M2" s="114">
        <f t="shared" ref="M2:M34" si="4">C2-(C2*G2)-(C2*I2)-(K2*C2)+N2+O2+P2+Q2</f>
        <v>406935783.94573671</v>
      </c>
      <c r="N2" s="420">
        <v>539856.05959194805</v>
      </c>
      <c r="O2" s="420">
        <v>19029.847407774912</v>
      </c>
      <c r="P2" s="114">
        <f>VLOOKUP(A2,'[20]RY 2024 DA'!$A:$IV,24,FALSE)</f>
        <v>5973930.4916198421</v>
      </c>
      <c r="Q2" s="92">
        <v>0</v>
      </c>
      <c r="R2" s="114">
        <f t="shared" ref="R2:R48" si="5">P2*S2</f>
        <v>5105837.3854471697</v>
      </c>
      <c r="S2" s="119">
        <f>VLOOKUP(A2,'[21]Regulated (22)'!$B$1:$F$65536,5,FALSE)</f>
        <v>0.85468644012674344</v>
      </c>
      <c r="T2" s="92">
        <f>P2/C2</f>
        <v>1.4194383253127475E-2</v>
      </c>
      <c r="U2" s="229"/>
      <c r="V2" s="92"/>
      <c r="W2" s="235"/>
      <c r="X2" s="114"/>
      <c r="Y2" s="114"/>
    </row>
    <row r="3" spans="1:25" x14ac:dyDescent="0.55000000000000004">
      <c r="A3" s="107">
        <v>210002</v>
      </c>
      <c r="B3" s="107" t="str">
        <f>VLOOKUP(A3,'GBR Case Mix Reconciliation'!$1:$65533,2,FALSE)</f>
        <v>University Medical Center</v>
      </c>
      <c r="C3" s="114">
        <f>VLOOKUP(A3,'GBR Case Mix Reconciliation'!$1:$65533,5,FALSE)-VLOOKUP(A3,'GBR Case Mix Reconciliation'!$1:$65533,6,FALSE)</f>
        <v>1733433265.1147726</v>
      </c>
      <c r="E3" s="114">
        <f>VLOOKUP(A3,'GBR Case Mix Reconciliation'!$1:$65533,11,FALSE)</f>
        <v>1764276891.6700001</v>
      </c>
      <c r="F3" s="114">
        <f>VLOOKUP(A3,'Oncology Drugs &amp; COVID Lab'!$1:$1048576,2,FALSE)</f>
        <v>191683730.37</v>
      </c>
      <c r="G3" s="229">
        <f t="shared" si="0"/>
        <v>0.10864719210177898</v>
      </c>
      <c r="H3" s="92">
        <f>VLOOKUP(A3,Chronic!$1:$1048576,3,FALSE)</f>
        <v>0</v>
      </c>
      <c r="I3" s="229">
        <f t="shared" si="1"/>
        <v>0</v>
      </c>
      <c r="J3" s="92">
        <f>VLOOKUP(A3,'Categorical Exclusions &amp; Innova'!$1:$1048576,4,FALSE)</f>
        <v>309778883.31</v>
      </c>
      <c r="K3" s="229">
        <f t="shared" si="2"/>
        <v>0.17558405076471564</v>
      </c>
      <c r="L3" s="119">
        <f t="shared" si="3"/>
        <v>0.28423124286649459</v>
      </c>
      <c r="M3" s="114">
        <f t="shared" si="4"/>
        <v>1254329650.1456954</v>
      </c>
      <c r="N3" s="420">
        <v>-10750891.246302113</v>
      </c>
      <c r="O3" s="420">
        <v>751444.74048925447</v>
      </c>
      <c r="P3" s="114">
        <f>VLOOKUP(A3,'[20]RY 2024 DA'!$A:$IV,24,FALSE)</f>
        <v>23591722.906433344</v>
      </c>
      <c r="Q3" s="92">
        <v>0</v>
      </c>
      <c r="R3" s="114">
        <f t="shared" si="5"/>
        <v>20262459.458559446</v>
      </c>
      <c r="S3" s="119">
        <f>VLOOKUP(A3,'[21]Regulated (22)'!$B$1:$F$65536,5,FALSE)</f>
        <v>0.85888002071412839</v>
      </c>
      <c r="T3" s="92"/>
      <c r="U3" s="229"/>
      <c r="V3" s="92"/>
      <c r="W3" s="235"/>
      <c r="X3" s="114"/>
      <c r="Y3" s="114"/>
    </row>
    <row r="4" spans="1:25" x14ac:dyDescent="0.55000000000000004">
      <c r="A4" s="107">
        <v>210003</v>
      </c>
      <c r="B4" s="107" t="str">
        <f>VLOOKUP(A4,'GBR Case Mix Reconciliation'!$1:$65533,2,FALSE)</f>
        <v>Prince Georges Hospital</v>
      </c>
      <c r="C4" s="114">
        <f>VLOOKUP(A4,'GBR Case Mix Reconciliation'!$1:$65533,5,FALSE)-VLOOKUP(A4,'GBR Case Mix Reconciliation'!$1:$65533,6,FALSE)</f>
        <v>369584945.67792779</v>
      </c>
      <c r="E4" s="114">
        <f>VLOOKUP(A4,'GBR Case Mix Reconciliation'!$1:$65533,11,FALSE)</f>
        <v>389265489.22000003</v>
      </c>
      <c r="F4" s="114">
        <f>VLOOKUP(A4,'Oncology Drugs &amp; COVID Lab'!$1:$1048576,2,FALSE)</f>
        <v>740450.2</v>
      </c>
      <c r="G4" s="229">
        <f t="shared" si="0"/>
        <v>1.9021727343045351E-3</v>
      </c>
      <c r="H4" s="92">
        <f>VLOOKUP(A4,Chronic!$1:$1048576,3,FALSE)</f>
        <v>0</v>
      </c>
      <c r="I4" s="229">
        <f t="shared" si="1"/>
        <v>0</v>
      </c>
      <c r="J4" s="92">
        <f>VLOOKUP(A4,'Categorical Exclusions &amp; Innova'!$1:$1048576,4,FALSE)</f>
        <v>0</v>
      </c>
      <c r="K4" s="229">
        <f t="shared" si="2"/>
        <v>0</v>
      </c>
      <c r="L4" s="119">
        <f t="shared" si="3"/>
        <v>1.9021727343045351E-3</v>
      </c>
      <c r="M4" s="114">
        <f t="shared" si="4"/>
        <v>379138438.61161411</v>
      </c>
      <c r="N4" s="420">
        <v>2511046.2660556799</v>
      </c>
      <c r="O4" s="420">
        <v>142134.58347128204</v>
      </c>
      <c r="P4" s="114">
        <f>VLOOKUP(A4,'[20]RY 2024 DA'!$A:$IV,24,FALSE)</f>
        <v>7603326.4908372639</v>
      </c>
      <c r="Q4" s="92">
        <v>0</v>
      </c>
      <c r="R4" s="114">
        <f t="shared" si="5"/>
        <v>6002510.2906694664</v>
      </c>
      <c r="S4" s="119">
        <f>VLOOKUP(A4,'[21]Regulated (22)'!$B$1:$F$65536,5,FALSE)</f>
        <v>0.78945844268335252</v>
      </c>
      <c r="T4" s="92"/>
      <c r="U4" s="229"/>
      <c r="V4" s="92"/>
      <c r="W4" s="235"/>
      <c r="X4" s="114"/>
      <c r="Y4" s="114"/>
    </row>
    <row r="5" spans="1:25" x14ac:dyDescent="0.55000000000000004">
      <c r="A5" s="107">
        <v>210004</v>
      </c>
      <c r="B5" s="107" t="str">
        <f>VLOOKUP(A5,'GBR Case Mix Reconciliation'!$1:$65533,2,FALSE)</f>
        <v>Holy Cross</v>
      </c>
      <c r="C5" s="114">
        <f>VLOOKUP(A5,'GBR Case Mix Reconciliation'!$1:$65533,5,FALSE)-VLOOKUP(A5,'GBR Case Mix Reconciliation'!$1:$65533,6,FALSE)</f>
        <v>557979104.93753886</v>
      </c>
      <c r="E5" s="114">
        <f>VLOOKUP(A5,'GBR Case Mix Reconciliation'!$1:$65533,11,FALSE)</f>
        <v>576069470.96000004</v>
      </c>
      <c r="F5" s="114">
        <f>VLOOKUP(A5,'Oncology Drugs &amp; COVID Lab'!$1:$1048576,2,FALSE)</f>
        <v>3137288.21</v>
      </c>
      <c r="G5" s="229">
        <f t="shared" si="0"/>
        <v>5.4460240789566865E-3</v>
      </c>
      <c r="H5" s="92">
        <f>VLOOKUP(A5,Chronic!$1:$1048576,3,FALSE)</f>
        <v>0</v>
      </c>
      <c r="I5" s="229">
        <f t="shared" si="1"/>
        <v>0</v>
      </c>
      <c r="J5" s="92">
        <f>VLOOKUP(A5,'Categorical Exclusions &amp; Innova'!$1:$1048576,4,FALSE)</f>
        <v>0</v>
      </c>
      <c r="K5" s="229">
        <f t="shared" si="2"/>
        <v>0</v>
      </c>
      <c r="L5" s="119">
        <f t="shared" si="3"/>
        <v>5.4460240789566865E-3</v>
      </c>
      <c r="M5" s="114">
        <f t="shared" si="4"/>
        <v>560071845.3178103</v>
      </c>
      <c r="N5" s="420">
        <v>-5983477.6638419721</v>
      </c>
      <c r="O5" s="420">
        <v>4306.5632354942263</v>
      </c>
      <c r="P5" s="114">
        <f>VLOOKUP(A5,'[20]RY 2024 DA'!$A:$IV,24,FALSE)</f>
        <v>11110679.121922417</v>
      </c>
      <c r="Q5" s="92">
        <v>0</v>
      </c>
      <c r="R5" s="114">
        <f t="shared" si="5"/>
        <v>9527491.1477148607</v>
      </c>
      <c r="S5" s="119">
        <f>VLOOKUP(A5,'[21]Regulated (22)'!$B$1:$F$65536,5,FALSE)</f>
        <v>0.85750754235321425</v>
      </c>
    </row>
    <row r="6" spans="1:25" x14ac:dyDescent="0.55000000000000004">
      <c r="A6" s="107">
        <v>210005</v>
      </c>
      <c r="B6" s="107" t="str">
        <f>VLOOKUP(A6,'GBR Case Mix Reconciliation'!$1:$65533,2,FALSE)</f>
        <v>Frederick Memorial</v>
      </c>
      <c r="C6" s="114">
        <f>VLOOKUP(A6,'GBR Case Mix Reconciliation'!$1:$65533,5,FALSE)-VLOOKUP(A6,'GBR Case Mix Reconciliation'!$1:$65533,6,FALSE)</f>
        <v>397815669.91120517</v>
      </c>
      <c r="E6" s="114">
        <f>VLOOKUP(A6,'GBR Case Mix Reconciliation'!$1:$65533,11,FALSE)</f>
        <v>395399477.69</v>
      </c>
      <c r="F6" s="114">
        <f>VLOOKUP(A6,'Oncology Drugs &amp; COVID Lab'!$1:$1048576,2,FALSE)</f>
        <v>180927.9</v>
      </c>
      <c r="G6" s="229">
        <f t="shared" si="0"/>
        <v>4.5758254678791101E-4</v>
      </c>
      <c r="H6" s="92">
        <f>VLOOKUP(A6,Chronic!$1:$1048576,3,FALSE)</f>
        <v>0</v>
      </c>
      <c r="I6" s="229">
        <f t="shared" si="1"/>
        <v>0</v>
      </c>
      <c r="J6" s="92">
        <f>VLOOKUP(A6,'Categorical Exclusions &amp; Innova'!$1:$1048576,4,FALSE)</f>
        <v>0</v>
      </c>
      <c r="K6" s="229">
        <f t="shared" si="2"/>
        <v>0</v>
      </c>
      <c r="L6" s="119">
        <f t="shared" si="3"/>
        <v>4.5758254678791101E-4</v>
      </c>
      <c r="M6" s="114">
        <f t="shared" si="4"/>
        <v>403101812.74028164</v>
      </c>
      <c r="N6" s="420">
        <v>-2473061.962229969</v>
      </c>
      <c r="O6" s="420">
        <v>-157347.64819953826</v>
      </c>
      <c r="P6" s="114">
        <f>VLOOKUP(A6,'[20]RY 2024 DA'!$A:$IV,24,FALSE)</f>
        <v>8098585.9468960976</v>
      </c>
      <c r="Q6" s="92">
        <v>0</v>
      </c>
      <c r="R6" s="114">
        <f t="shared" si="5"/>
        <v>6900310.7314135367</v>
      </c>
      <c r="S6" s="119">
        <f>VLOOKUP(A6,'[21]Regulated (22)'!$B$1:$F$65536,5,FALSE)</f>
        <v>0.85203895799342388</v>
      </c>
      <c r="T6" s="92"/>
      <c r="U6" s="229"/>
      <c r="V6" s="92"/>
      <c r="W6" s="235"/>
      <c r="X6" s="114"/>
      <c r="Y6" s="114"/>
    </row>
    <row r="7" spans="1:25" x14ac:dyDescent="0.55000000000000004">
      <c r="A7" s="107">
        <v>210006</v>
      </c>
      <c r="B7" s="107" t="str">
        <f>VLOOKUP(A7,'GBR Case Mix Reconciliation'!$1:$65533,2,FALSE)</f>
        <v>Harford Memorial</v>
      </c>
      <c r="C7" s="114">
        <f>VLOOKUP(A7,'GBR Case Mix Reconciliation'!$1:$65533,5,FALSE)-VLOOKUP(A7,'GBR Case Mix Reconciliation'!$1:$65533,6,FALSE)</f>
        <v>114998768.47525932</v>
      </c>
      <c r="E7" s="114">
        <f>VLOOKUP(A7,'GBR Case Mix Reconciliation'!$1:$65533,11,FALSE)</f>
        <v>119042126.78</v>
      </c>
      <c r="F7" s="114">
        <f>VLOOKUP(A7,'Oncology Drugs &amp; COVID Lab'!$1:$1048576,2,FALSE)</f>
        <v>885960.1</v>
      </c>
      <c r="G7" s="229">
        <f t="shared" si="0"/>
        <v>7.4424081958593515E-3</v>
      </c>
      <c r="H7" s="92">
        <f>VLOOKUP(A7,Chronic!$1:$1048576,3,FALSE)</f>
        <v>0</v>
      </c>
      <c r="I7" s="229">
        <f t="shared" si="1"/>
        <v>0</v>
      </c>
      <c r="J7" s="92">
        <f>VLOOKUP(A7,'Categorical Exclusions &amp; Innova'!$1:$1048576,4,FALSE)</f>
        <v>0</v>
      </c>
      <c r="K7" s="229">
        <f t="shared" si="2"/>
        <v>0</v>
      </c>
      <c r="L7" s="119">
        <f t="shared" si="3"/>
        <v>7.4424081958593515E-3</v>
      </c>
      <c r="M7" s="114">
        <f t="shared" si="4"/>
        <v>114755783.67342256</v>
      </c>
      <c r="N7" s="420">
        <v>-1097152.9045742725</v>
      </c>
      <c r="O7" s="420">
        <v>58420.792358995983</v>
      </c>
      <c r="P7" s="114">
        <f>VLOOKUP(A7,'[20]RY 2024 DA'!$A:$IV,24,FALSE)</f>
        <v>1651615.0873925255</v>
      </c>
      <c r="Q7" s="92">
        <v>0</v>
      </c>
      <c r="R7" s="114">
        <f t="shared" si="5"/>
        <v>1370702.1248067904</v>
      </c>
      <c r="S7" s="119">
        <f>VLOOKUP(A7,'[21]Regulated (22)'!$B$1:$F$65536,5,FALSE)</f>
        <v>0.82991620461083082</v>
      </c>
      <c r="T7" s="92"/>
      <c r="U7" s="229"/>
      <c r="V7" s="92"/>
      <c r="W7" s="235"/>
      <c r="X7" s="114"/>
      <c r="Y7" s="114"/>
    </row>
    <row r="8" spans="1:25" x14ac:dyDescent="0.55000000000000004">
      <c r="A8" s="107">
        <v>210008</v>
      </c>
      <c r="B8" s="107" t="str">
        <f>VLOOKUP(A8,'GBR Case Mix Reconciliation'!$1:$65533,2,FALSE)</f>
        <v>Mercy</v>
      </c>
      <c r="C8" s="114">
        <f>VLOOKUP(A8,'GBR Case Mix Reconciliation'!$1:$65533,5,FALSE)-VLOOKUP(A8,'GBR Case Mix Reconciliation'!$1:$65533,6,FALSE)</f>
        <v>633825424.52292049</v>
      </c>
      <c r="E8" s="114">
        <f>VLOOKUP(A8,'GBR Case Mix Reconciliation'!$1:$65533,11,FALSE)</f>
        <v>627665746.37</v>
      </c>
      <c r="F8" s="114">
        <f>VLOOKUP(A8,'Oncology Drugs &amp; COVID Lab'!$1:$1048576,2,FALSE)</f>
        <v>32567472.5</v>
      </c>
      <c r="G8" s="229">
        <f t="shared" si="0"/>
        <v>5.1886649364488245E-2</v>
      </c>
      <c r="H8" s="92">
        <f>VLOOKUP(A8,Chronic!$1:$1048576,3,FALSE)</f>
        <v>0</v>
      </c>
      <c r="I8" s="229">
        <f t="shared" si="1"/>
        <v>0</v>
      </c>
      <c r="J8" s="92">
        <f>VLOOKUP(A8,'Categorical Exclusions &amp; Innova'!$1:$1048576,4,FALSE)</f>
        <v>0</v>
      </c>
      <c r="K8" s="229">
        <f t="shared" si="2"/>
        <v>0</v>
      </c>
      <c r="L8" s="119">
        <f t="shared" si="3"/>
        <v>5.1886649364488245E-2</v>
      </c>
      <c r="M8" s="114">
        <f t="shared" si="4"/>
        <v>616154621.82218134</v>
      </c>
      <c r="N8" s="420">
        <v>8135591.8672547806</v>
      </c>
      <c r="O8" s="420">
        <v>-71876.969854192095</v>
      </c>
      <c r="P8" s="114">
        <f>VLOOKUP(A8,'[20]RY 2024 DA'!$A:$IV,24,FALSE)</f>
        <v>7152559.962379056</v>
      </c>
      <c r="Q8" s="92">
        <v>0</v>
      </c>
      <c r="R8" s="114">
        <f t="shared" si="5"/>
        <v>6184600.6254134085</v>
      </c>
      <c r="S8" s="119">
        <f>VLOOKUP(A8,'[21]Regulated (22)'!$B$1:$F$65536,5,FALSE)</f>
        <v>0.86466952502923322</v>
      </c>
      <c r="T8" s="92"/>
      <c r="U8" s="229"/>
      <c r="V8" s="92"/>
      <c r="W8" s="235"/>
      <c r="X8" s="114"/>
      <c r="Y8" s="114"/>
    </row>
    <row r="9" spans="1:25" x14ac:dyDescent="0.55000000000000004">
      <c r="A9" s="107">
        <v>210009</v>
      </c>
      <c r="B9" s="107" t="str">
        <f>VLOOKUP(A9,'GBR Case Mix Reconciliation'!$1:$65533,2,FALSE)</f>
        <v>Johns Hopkins Hospital</v>
      </c>
      <c r="C9" s="114">
        <f>VLOOKUP(A9,'GBR Case Mix Reconciliation'!$1:$65533,5,FALSE)-VLOOKUP(A9,'GBR Case Mix Reconciliation'!$1:$65533,6,FALSE)</f>
        <v>2809846672.3972068</v>
      </c>
      <c r="E9" s="114">
        <f>VLOOKUP(A9,'GBR Case Mix Reconciliation'!$1:$65533,11,FALSE)</f>
        <v>2801201920.5100002</v>
      </c>
      <c r="F9" s="114">
        <f>VLOOKUP(A9,'Oncology Drugs &amp; COVID Lab'!$1:$1048576,2,FALSE)</f>
        <v>261098593.34</v>
      </c>
      <c r="G9" s="229">
        <f t="shared" si="0"/>
        <v>9.3209486766474559E-2</v>
      </c>
      <c r="H9" s="92">
        <f>VLOOKUP(A9,Chronic!$1:$1048576,3,FALSE)</f>
        <v>0</v>
      </c>
      <c r="I9" s="229">
        <f t="shared" si="1"/>
        <v>0</v>
      </c>
      <c r="J9" s="92">
        <f>VLOOKUP(A9,'Categorical Exclusions &amp; Innova'!$1:$1048576,4,FALSE)</f>
        <v>283218941.56</v>
      </c>
      <c r="K9" s="229">
        <f t="shared" si="2"/>
        <v>0.10110622139957544</v>
      </c>
      <c r="L9" s="119">
        <f t="shared" si="3"/>
        <v>0.19431570816604998</v>
      </c>
      <c r="M9" s="114">
        <f t="shared" si="4"/>
        <v>2316322513.6232748</v>
      </c>
      <c r="N9" s="420">
        <v>5689867.2608138081</v>
      </c>
      <c r="O9" s="420">
        <v>991739.05728311324</v>
      </c>
      <c r="P9" s="114">
        <f>VLOOKUP(A9,'[20]RY 2024 DA'!$A:$IV,24,FALSE)</f>
        <v>45791580.892853722</v>
      </c>
      <c r="Q9" s="92">
        <v>0</v>
      </c>
      <c r="R9" s="114">
        <f t="shared" si="5"/>
        <v>38592411.887114108</v>
      </c>
      <c r="S9" s="119">
        <f>VLOOKUP(A9,'[21]Regulated (22)'!$B$1:$F$65536,5,FALSE)</f>
        <v>0.84278400384156371</v>
      </c>
      <c r="T9" s="92"/>
      <c r="U9" s="229"/>
      <c r="V9" s="92"/>
      <c r="W9" s="235"/>
      <c r="X9" s="114"/>
      <c r="Y9" s="114"/>
    </row>
    <row r="10" spans="1:25" x14ac:dyDescent="0.55000000000000004">
      <c r="A10" s="107">
        <v>210010</v>
      </c>
      <c r="B10" s="107" t="str">
        <f>VLOOKUP(A10,'GBR Case Mix Reconciliation'!$1:$65533,2,FALSE)</f>
        <v>Shore Medical Dorchester</v>
      </c>
      <c r="C10" s="114">
        <f>VLOOKUP(A10,'GBR Case Mix Reconciliation'!$1:$65533,5,FALSE)-VLOOKUP(A10,'GBR Case Mix Reconciliation'!$1:$65533,6,FALSE)</f>
        <v>17313970.766786646</v>
      </c>
      <c r="E10" s="114">
        <f>VLOOKUP(A10,'GBR Case Mix Reconciliation'!$1:$65533,11,FALSE)</f>
        <v>21861750.18</v>
      </c>
      <c r="F10" s="114">
        <f>VLOOKUP(A10,'Oncology Drugs &amp; COVID Lab'!$1:$1048576,2,FALSE)</f>
        <v>33323.269999999997</v>
      </c>
      <c r="G10" s="229">
        <f t="shared" si="0"/>
        <v>1.5242727469498508E-3</v>
      </c>
      <c r="H10" s="92">
        <f>VLOOKUP(A10,Chronic!$1:$1048576,3,FALSE)</f>
        <v>0</v>
      </c>
      <c r="I10" s="229">
        <f t="shared" si="1"/>
        <v>0</v>
      </c>
      <c r="J10" s="92">
        <f>VLOOKUP(A10,'Categorical Exclusions &amp; Innova'!$1:$1048576,4,FALSE)</f>
        <v>0</v>
      </c>
      <c r="K10" s="229">
        <f t="shared" si="2"/>
        <v>0</v>
      </c>
      <c r="L10" s="119">
        <f t="shared" si="3"/>
        <v>1.5242727469498508E-3</v>
      </c>
      <c r="M10" s="114">
        <f t="shared" si="4"/>
        <v>13957386.461778674</v>
      </c>
      <c r="N10" s="420">
        <v>-3801261.1768253865</v>
      </c>
      <c r="O10" s="420">
        <v>2286.8680207749994</v>
      </c>
      <c r="P10" s="114">
        <f>VLOOKUP(A10,'[20]RY 2024 DA'!$A:$IV,24,FALSE)</f>
        <v>468781.21757794038</v>
      </c>
      <c r="Q10" s="92">
        <v>0</v>
      </c>
      <c r="R10" s="114">
        <f t="shared" si="5"/>
        <v>366465.98700774671</v>
      </c>
      <c r="S10" s="119">
        <f>VLOOKUP(A10,'[21]Regulated (22)'!$B$1:$F$65536,5,FALSE)</f>
        <v>0.78174204355108878</v>
      </c>
      <c r="T10" s="92"/>
      <c r="U10" s="229"/>
      <c r="V10" s="92"/>
      <c r="W10" s="235"/>
      <c r="X10" s="114"/>
      <c r="Y10" s="114"/>
    </row>
    <row r="11" spans="1:25" x14ac:dyDescent="0.55000000000000004">
      <c r="A11" s="107">
        <v>210011</v>
      </c>
      <c r="B11" s="107" t="str">
        <f>VLOOKUP(A11,'GBR Case Mix Reconciliation'!$1:$65533,2,FALSE)</f>
        <v>St. Agnes</v>
      </c>
      <c r="C11" s="114">
        <f>VLOOKUP(A11,'GBR Case Mix Reconciliation'!$1:$65533,5,FALSE)-VLOOKUP(A11,'GBR Case Mix Reconciliation'!$1:$65533,6,FALSE)</f>
        <v>471051695.95543897</v>
      </c>
      <c r="E11" s="114">
        <f>VLOOKUP(A11,'GBR Case Mix Reconciliation'!$1:$65533,11,FALSE)</f>
        <v>462430404.66000003</v>
      </c>
      <c r="F11" s="114">
        <f>VLOOKUP(A11,'Oncology Drugs &amp; COVID Lab'!$1:$1048576,2,FALSE)</f>
        <v>30770032.859999999</v>
      </c>
      <c r="G11" s="229">
        <f t="shared" si="0"/>
        <v>6.6539813450682453E-2</v>
      </c>
      <c r="H11" s="92">
        <f>VLOOKUP(A11,Chronic!$1:$1048576,3,FALSE)</f>
        <v>0</v>
      </c>
      <c r="I11" s="229">
        <f t="shared" si="1"/>
        <v>0</v>
      </c>
      <c r="J11" s="92">
        <f>VLOOKUP(A11,'Categorical Exclusions &amp; Innova'!$1:$1048576,4,FALSE)</f>
        <v>0</v>
      </c>
      <c r="K11" s="229">
        <f t="shared" si="2"/>
        <v>0</v>
      </c>
      <c r="L11" s="119">
        <f t="shared" si="3"/>
        <v>6.6539813450682453E-2</v>
      </c>
      <c r="M11" s="114">
        <f t="shared" si="4"/>
        <v>447394832.37144083</v>
      </c>
      <c r="N11" s="420">
        <v>-422752.8109861312</v>
      </c>
      <c r="O11" s="420">
        <v>-79849.048761434824</v>
      </c>
      <c r="P11" s="114">
        <f>VLOOKUP(A11,'[20]RY 2024 DA'!$A:$IV,24,FALSE)</f>
        <v>8189430.2502518706</v>
      </c>
      <c r="Q11" s="92">
        <v>0</v>
      </c>
      <c r="R11" s="114">
        <f t="shared" si="5"/>
        <v>6908727.6411745418</v>
      </c>
      <c r="S11" s="119">
        <f>VLOOKUP(A11,'[21]Regulated (22)'!$B$1:$F$65536,5,FALSE)</f>
        <v>0.84361517591068802</v>
      </c>
      <c r="T11" s="92"/>
      <c r="U11" s="229"/>
      <c r="V11" s="92"/>
      <c r="W11" s="235"/>
      <c r="X11" s="114"/>
      <c r="Y11" s="114"/>
    </row>
    <row r="12" spans="1:25" x14ac:dyDescent="0.55000000000000004">
      <c r="A12" s="107">
        <v>210012</v>
      </c>
      <c r="B12" s="107" t="str">
        <f>VLOOKUP(A12,'GBR Case Mix Reconciliation'!$1:$65533,2,FALSE)</f>
        <v>Sinai</v>
      </c>
      <c r="C12" s="114">
        <f>VLOOKUP(A12,'GBR Case Mix Reconciliation'!$1:$65533,5,FALSE)-VLOOKUP(A12,'GBR Case Mix Reconciliation'!$1:$65533,6,FALSE)</f>
        <v>888093269.61662757</v>
      </c>
      <c r="E12" s="114">
        <f>VLOOKUP(A12,'GBR Case Mix Reconciliation'!$1:$65533,11,FALSE)</f>
        <v>908595781.27999997</v>
      </c>
      <c r="F12" s="114">
        <f>VLOOKUP(A12,'Oncology Drugs &amp; COVID Lab'!$1:$1048576,2,FALSE)</f>
        <v>68278870.150000006</v>
      </c>
      <c r="G12" s="229">
        <f t="shared" si="0"/>
        <v>7.5147685644997131E-2</v>
      </c>
      <c r="H12" s="92">
        <f>VLOOKUP(A12,Chronic!$1:$1048576,3,FALSE)</f>
        <v>0</v>
      </c>
      <c r="I12" s="229">
        <f t="shared" si="1"/>
        <v>0</v>
      </c>
      <c r="J12" s="92">
        <f>VLOOKUP(A12,'Categorical Exclusions &amp; Innova'!$1:$1048576,4,FALSE)</f>
        <v>0</v>
      </c>
      <c r="K12" s="229">
        <f t="shared" si="2"/>
        <v>0</v>
      </c>
      <c r="L12" s="119">
        <f t="shared" si="3"/>
        <v>7.5147685644997131E-2</v>
      </c>
      <c r="M12" s="114">
        <f t="shared" si="4"/>
        <v>820426817.23668432</v>
      </c>
      <c r="N12" s="430">
        <v>-9990453</v>
      </c>
      <c r="O12" s="420">
        <v>-563613.56590026862</v>
      </c>
      <c r="P12" s="114">
        <f>VLOOKUP(A12,'[20]RY 2024 DA'!$A:$IV,24,FALSE)</f>
        <v>9625768.0345451087</v>
      </c>
      <c r="Q12" s="92">
        <v>0</v>
      </c>
      <c r="R12" s="114">
        <f t="shared" si="5"/>
        <v>8239194.0208585523</v>
      </c>
      <c r="S12" s="119">
        <f>VLOOKUP(A12,'[21]Regulated (22)'!$B$1:$F$65536,5,FALSE)</f>
        <v>0.85595185665077345</v>
      </c>
      <c r="T12" s="92"/>
      <c r="U12" s="229"/>
      <c r="V12" s="92"/>
      <c r="W12" s="235"/>
      <c r="X12" s="114"/>
      <c r="Y12" s="114"/>
    </row>
    <row r="13" spans="1:25" x14ac:dyDescent="0.55000000000000004">
      <c r="A13" s="107">
        <v>210013</v>
      </c>
      <c r="B13" s="107" t="str">
        <f>VLOOKUP(A13,'GBR Case Mix Reconciliation'!$1:$65533,2,FALSE)</f>
        <v>Bon Secours</v>
      </c>
      <c r="C13" s="114">
        <f>VLOOKUP(A13,'GBR Case Mix Reconciliation'!$1:$65533,5,FALSE)-VLOOKUP(A13,'GBR Case Mix Reconciliation'!$1:$65533,6,FALSE)</f>
        <v>32295250.157412719</v>
      </c>
      <c r="E13" s="114">
        <f>VLOOKUP(A13,'GBR Case Mix Reconciliation'!$1:$65533,11,FALSE)</f>
        <v>34372644.210000001</v>
      </c>
      <c r="F13" s="114">
        <f>VLOOKUP(A13,'Oncology Drugs &amp; COVID Lab'!$1:$1048576,2,FALSE)</f>
        <v>81114.389999999985</v>
      </c>
      <c r="G13" s="229">
        <f t="shared" si="0"/>
        <v>2.3598530710768379E-3</v>
      </c>
      <c r="H13" s="92">
        <f>VLOOKUP(A13,Chronic!$1:$1048576,3,FALSE)</f>
        <v>0</v>
      </c>
      <c r="I13" s="229">
        <f t="shared" si="1"/>
        <v>0</v>
      </c>
      <c r="J13" s="92">
        <f>VLOOKUP(A13,'Categorical Exclusions &amp; Innova'!$1:$1048576,4,FALSE)</f>
        <v>0</v>
      </c>
      <c r="K13" s="229">
        <f t="shared" si="2"/>
        <v>0</v>
      </c>
      <c r="L13" s="119">
        <f t="shared" si="3"/>
        <v>2.3598530710768379E-3</v>
      </c>
      <c r="M13" s="114">
        <f t="shared" si="4"/>
        <v>24685753.024731949</v>
      </c>
      <c r="N13" s="420">
        <v>-8005221.006243363</v>
      </c>
      <c r="O13" s="420">
        <v>163575.02787115992</v>
      </c>
      <c r="P13" s="114">
        <f>VLOOKUP(A13,'[20]RY 2024 DA'!$A:$IV,24,FALSE)</f>
        <v>308360.89095659577</v>
      </c>
      <c r="Q13" s="92">
        <v>0</v>
      </c>
      <c r="R13" s="114">
        <f t="shared" si="5"/>
        <v>244716.91766758717</v>
      </c>
      <c r="S13" s="119">
        <f>VLOOKUP(A13,'[21]Regulated (22)'!$B$1:$F$65536,5,FALSE)</f>
        <v>0.79360556038227625</v>
      </c>
      <c r="T13" s="92"/>
      <c r="U13" s="229"/>
      <c r="V13" s="92"/>
      <c r="W13" s="235"/>
      <c r="X13" s="114"/>
      <c r="Y13" s="114"/>
    </row>
    <row r="14" spans="1:25" x14ac:dyDescent="0.55000000000000004">
      <c r="A14" s="107">
        <v>210015</v>
      </c>
      <c r="B14" s="107" t="str">
        <f>VLOOKUP(A14,'GBR Case Mix Reconciliation'!$1:$65533,2,FALSE)</f>
        <v>Franklin Square</v>
      </c>
      <c r="C14" s="114">
        <f>VLOOKUP(A14,'GBR Case Mix Reconciliation'!$1:$65533,5,FALSE)-VLOOKUP(A14,'GBR Case Mix Reconciliation'!$1:$65533,6,FALSE)</f>
        <v>615500856.84857225</v>
      </c>
      <c r="E14" s="114">
        <f>VLOOKUP(A14,'GBR Case Mix Reconciliation'!$1:$65533,11,FALSE)</f>
        <v>608313462.71000004</v>
      </c>
      <c r="F14" s="114">
        <f>VLOOKUP(A14,'Oncology Drugs &amp; COVID Lab'!$1:$1048576,2,FALSE)</f>
        <v>54951550.93</v>
      </c>
      <c r="G14" s="229">
        <f t="shared" si="0"/>
        <v>9.033426727923155E-2</v>
      </c>
      <c r="H14" s="92">
        <f>VLOOKUP(A14,Chronic!$1:$1048576,3,FALSE)</f>
        <v>0</v>
      </c>
      <c r="I14" s="229">
        <f t="shared" si="1"/>
        <v>0</v>
      </c>
      <c r="J14" s="92">
        <f>VLOOKUP(A14,'Categorical Exclusions &amp; Innova'!$1:$1048576,4,FALSE)</f>
        <v>0</v>
      </c>
      <c r="K14" s="229">
        <f t="shared" si="2"/>
        <v>0</v>
      </c>
      <c r="L14" s="119">
        <f t="shared" si="3"/>
        <v>9.033426727923155E-2</v>
      </c>
      <c r="M14" s="114">
        <f t="shared" si="4"/>
        <v>584590033.71573627</v>
      </c>
      <c r="N14" s="420">
        <v>3126074.9390373421</v>
      </c>
      <c r="O14" s="420">
        <v>-347899.34271989641</v>
      </c>
      <c r="P14" s="114">
        <f>VLOOKUP(A14,'[20]RY 2024 DA'!$A:$IV,24,FALSE)</f>
        <v>10750509.457416933</v>
      </c>
      <c r="Q14" s="92">
        <v>11161310.726584699</v>
      </c>
      <c r="R14" s="114">
        <f t="shared" si="5"/>
        <v>9271208.3013036493</v>
      </c>
      <c r="S14" s="119">
        <f>VLOOKUP(A14,'[21]Regulated (22)'!$B$1:$F$65536,5,FALSE)</f>
        <v>0.86239711132083219</v>
      </c>
      <c r="T14" s="92"/>
      <c r="U14" s="229"/>
      <c r="V14" s="92"/>
      <c r="W14" s="235"/>
      <c r="X14" s="114"/>
      <c r="Y14" s="114"/>
    </row>
    <row r="15" spans="1:25" x14ac:dyDescent="0.55000000000000004">
      <c r="A15" s="107">
        <v>210016</v>
      </c>
      <c r="B15" s="107" t="str">
        <f>VLOOKUP(A15,'GBR Case Mix Reconciliation'!$1:$65533,2,FALSE)</f>
        <v>Washington Adventist</v>
      </c>
      <c r="C15" s="114">
        <f>VLOOKUP(A15,'GBR Case Mix Reconciliation'!$1:$65533,5,FALSE)-VLOOKUP(A15,'GBR Case Mix Reconciliation'!$1:$65533,6,FALSE)</f>
        <v>338992888.47372377</v>
      </c>
      <c r="E15" s="114">
        <f>VLOOKUP(A15,'GBR Case Mix Reconciliation'!$1:$65533,11,FALSE)</f>
        <v>340970877.32999998</v>
      </c>
      <c r="F15" s="114">
        <f>VLOOKUP(A15,'Oncology Drugs &amp; COVID Lab'!$1:$1048576,2,FALSE)</f>
        <v>977604.37</v>
      </c>
      <c r="G15" s="229">
        <f t="shared" si="0"/>
        <v>2.8671198480503968E-3</v>
      </c>
      <c r="H15" s="92">
        <f>VLOOKUP(A15,Chronic!$1:$1048576,3,FALSE)</f>
        <v>0</v>
      </c>
      <c r="I15" s="229">
        <f t="shared" si="1"/>
        <v>0</v>
      </c>
      <c r="J15" s="92">
        <f>VLOOKUP(A15,'Categorical Exclusions &amp; Innova'!$1:$1048576,4,FALSE)</f>
        <v>0</v>
      </c>
      <c r="K15" s="229">
        <f t="shared" si="2"/>
        <v>0</v>
      </c>
      <c r="L15" s="119">
        <f t="shared" si="3"/>
        <v>2.8671198480503968E-3</v>
      </c>
      <c r="M15" s="114">
        <f t="shared" si="4"/>
        <v>348459464.41440386</v>
      </c>
      <c r="N15" s="420">
        <v>4043125.3932160088</v>
      </c>
      <c r="O15" s="420">
        <v>-163896.62264817269</v>
      </c>
      <c r="P15" s="114">
        <f>VLOOKUP(A15,'[20]RY 2024 DA'!$A:$IV,24,FALSE)</f>
        <v>6559280.4090031823</v>
      </c>
      <c r="Q15" s="92">
        <v>0</v>
      </c>
      <c r="R15" s="114">
        <f t="shared" si="5"/>
        <v>5465456.6221291292</v>
      </c>
      <c r="S15" s="119">
        <f>VLOOKUP(A15,'[21]Regulated (22)'!$B$1:$F$65536,5,FALSE)</f>
        <v>0.83324027657474675</v>
      </c>
      <c r="T15" s="92"/>
      <c r="U15" s="229"/>
      <c r="V15" s="92"/>
      <c r="W15" s="235"/>
      <c r="X15" s="114"/>
      <c r="Y15" s="114"/>
    </row>
    <row r="16" spans="1:25" x14ac:dyDescent="0.55000000000000004">
      <c r="A16" s="107">
        <v>210017</v>
      </c>
      <c r="B16" s="107" t="str">
        <f>VLOOKUP(A16,'GBR Case Mix Reconciliation'!$1:$65533,2,FALSE)</f>
        <v>Garrett County</v>
      </c>
      <c r="C16" s="114">
        <f>VLOOKUP(A16,'GBR Case Mix Reconciliation'!$1:$65533,5,FALSE)-VLOOKUP(A16,'GBR Case Mix Reconciliation'!$1:$65533,6,FALSE)</f>
        <v>76428157.923025846</v>
      </c>
      <c r="E16" s="114">
        <f>VLOOKUP(A16,'GBR Case Mix Reconciliation'!$1:$65533,11,FALSE)</f>
        <v>70503452.930000007</v>
      </c>
      <c r="F16" s="114">
        <f>VLOOKUP(A16,'Oncology Drugs &amp; COVID Lab'!$1:$1048576,2,FALSE)</f>
        <v>5682442.3200000003</v>
      </c>
      <c r="G16" s="229">
        <f t="shared" si="0"/>
        <v>8.0598071212793859E-2</v>
      </c>
      <c r="H16" s="92">
        <f>VLOOKUP(A16,Chronic!$1:$1048576,3,FALSE)</f>
        <v>0</v>
      </c>
      <c r="I16" s="229">
        <f t="shared" si="1"/>
        <v>0</v>
      </c>
      <c r="J16" s="92">
        <f>VLOOKUP(A16,'Categorical Exclusions &amp; Innova'!$1:$1048576,4,FALSE)</f>
        <v>0</v>
      </c>
      <c r="K16" s="229">
        <f t="shared" si="2"/>
        <v>0</v>
      </c>
      <c r="L16" s="119">
        <f t="shared" si="3"/>
        <v>8.0598071212793859E-2</v>
      </c>
      <c r="M16" s="114">
        <f t="shared" si="4"/>
        <v>72534416.621152684</v>
      </c>
      <c r="N16" s="420">
        <v>157105.25355440559</v>
      </c>
      <c r="O16" s="420">
        <v>4244.29351451</v>
      </c>
      <c r="P16" s="114">
        <f>VLOOKUP(A16,'[20]RY 2024 DA'!$A:$IV,24,FALSE)</f>
        <v>488871.35337538295</v>
      </c>
      <c r="Q16" s="92">
        <v>1615999.9126252427</v>
      </c>
      <c r="R16" s="114">
        <f t="shared" si="5"/>
        <v>413053.69941458019</v>
      </c>
      <c r="S16" s="119">
        <f>VLOOKUP(A16,'[21]Regulated (22)'!$B$1:$F$65536,5,FALSE)</f>
        <v>0.84491287240022483</v>
      </c>
      <c r="T16" s="92"/>
      <c r="U16" s="229"/>
      <c r="V16" s="92"/>
      <c r="W16" s="235"/>
      <c r="X16" s="114"/>
      <c r="Y16" s="114"/>
    </row>
    <row r="17" spans="1:25" x14ac:dyDescent="0.55000000000000004">
      <c r="A17" s="107">
        <v>210018</v>
      </c>
      <c r="B17" s="107" t="str">
        <f>VLOOKUP(A17,'GBR Case Mix Reconciliation'!$1:$65533,2,FALSE)</f>
        <v>Montgomery General</v>
      </c>
      <c r="C17" s="114">
        <f>VLOOKUP(A17,'GBR Case Mix Reconciliation'!$1:$65533,5,FALSE)-VLOOKUP(A17,'GBR Case Mix Reconciliation'!$1:$65533,6,FALSE)</f>
        <v>201248315.08581385</v>
      </c>
      <c r="E17" s="114">
        <f>VLOOKUP(A17,'GBR Case Mix Reconciliation'!$1:$65533,11,FALSE)</f>
        <v>191779220.71000001</v>
      </c>
      <c r="F17" s="114">
        <f>VLOOKUP(A17,'Oncology Drugs &amp; COVID Lab'!$1:$1048576,2,FALSE)</f>
        <v>13478240.09</v>
      </c>
      <c r="G17" s="229">
        <f t="shared" si="0"/>
        <v>7.0279981533459213E-2</v>
      </c>
      <c r="H17" s="92">
        <f>VLOOKUP(A17,Chronic!$1:$1048576,3,FALSE)</f>
        <v>0</v>
      </c>
      <c r="I17" s="229">
        <f t="shared" si="1"/>
        <v>0</v>
      </c>
      <c r="J17" s="92">
        <f>VLOOKUP(A17,'Categorical Exclusions &amp; Innova'!$1:$1048576,4,FALSE)</f>
        <v>0</v>
      </c>
      <c r="K17" s="229">
        <f t="shared" si="2"/>
        <v>0</v>
      </c>
      <c r="L17" s="119">
        <f t="shared" si="3"/>
        <v>7.0279981533459213E-2</v>
      </c>
      <c r="M17" s="114">
        <f t="shared" si="4"/>
        <v>191380034.25950557</v>
      </c>
      <c r="N17" s="420">
        <v>2260103.3194356174</v>
      </c>
      <c r="O17" s="420">
        <v>45121.822477645001</v>
      </c>
      <c r="P17" s="114">
        <f>VLOOKUP(A17,'[20]RY 2024 DA'!$A:$IV,24,FALSE)</f>
        <v>1119709.1287110525</v>
      </c>
      <c r="Q17" s="92">
        <v>850512.77093819529</v>
      </c>
      <c r="R17" s="114">
        <f t="shared" si="5"/>
        <v>960777.35352051724</v>
      </c>
      <c r="S17" s="119">
        <f>VLOOKUP(A17,'[21]Regulated (22)'!$B$1:$F$65536,5,FALSE)</f>
        <v>0.8580597664917774</v>
      </c>
      <c r="T17" s="92"/>
      <c r="U17" s="229"/>
      <c r="V17" s="92"/>
      <c r="W17" s="235"/>
      <c r="X17" s="114"/>
      <c r="Y17" s="114"/>
    </row>
    <row r="18" spans="1:25" x14ac:dyDescent="0.55000000000000004">
      <c r="A18" s="107">
        <v>210019</v>
      </c>
      <c r="B18" s="107" t="str">
        <f>VLOOKUP(A18,'GBR Case Mix Reconciliation'!$1:$65533,2,FALSE)</f>
        <v>Peninsula Regional</v>
      </c>
      <c r="C18" s="114">
        <f>VLOOKUP(A18,'GBR Case Mix Reconciliation'!$1:$65533,5,FALSE)-VLOOKUP(A18,'GBR Case Mix Reconciliation'!$1:$65533,6,FALSE)</f>
        <v>522778836.34931779</v>
      </c>
      <c r="E18" s="114">
        <f>VLOOKUP(A18,'GBR Case Mix Reconciliation'!$1:$65533,11,FALSE)</f>
        <v>518151696.60000002</v>
      </c>
      <c r="F18" s="114">
        <f>VLOOKUP(A18,'Oncology Drugs &amp; COVID Lab'!$1:$1048576,2,FALSE)</f>
        <v>17172329.199999999</v>
      </c>
      <c r="G18" s="229">
        <f t="shared" si="0"/>
        <v>3.3141509161662752E-2</v>
      </c>
      <c r="H18" s="92">
        <f>VLOOKUP(A18,Chronic!$1:$1048576,3,FALSE)</f>
        <v>0</v>
      </c>
      <c r="I18" s="229">
        <f t="shared" si="1"/>
        <v>0</v>
      </c>
      <c r="J18" s="92">
        <f>VLOOKUP(A18,'Categorical Exclusions &amp; Innova'!$1:$1048576,4,FALSE)</f>
        <v>0</v>
      </c>
      <c r="K18" s="229">
        <f t="shared" si="2"/>
        <v>0</v>
      </c>
      <c r="L18" s="119">
        <f t="shared" si="3"/>
        <v>3.3141509161662752E-2</v>
      </c>
      <c r="M18" s="114">
        <f t="shared" si="4"/>
        <v>507580746.06614465</v>
      </c>
      <c r="N18" s="420">
        <v>418111.24191836419</v>
      </c>
      <c r="O18" s="420">
        <v>26520.122763837902</v>
      </c>
      <c r="P18" s="114">
        <f>VLOOKUP(A18,'[20]RY 2024 DA'!$A:$IV,24,FALSE)</f>
        <v>1682957.9465389906</v>
      </c>
      <c r="Q18" s="92">
        <v>0</v>
      </c>
      <c r="R18" s="114">
        <f t="shared" si="5"/>
        <v>1433348.8724404583</v>
      </c>
      <c r="S18" s="119">
        <f>VLOOKUP(A18,'[21]Regulated (22)'!$B$1:$F$65536,5,FALSE)</f>
        <v>0.85168430701916564</v>
      </c>
      <c r="T18" s="92"/>
      <c r="U18" s="229"/>
      <c r="V18" s="92"/>
      <c r="W18" s="235"/>
      <c r="X18" s="114"/>
      <c r="Y18" s="114"/>
    </row>
    <row r="19" spans="1:25" x14ac:dyDescent="0.55000000000000004">
      <c r="A19" s="107">
        <v>210022</v>
      </c>
      <c r="B19" s="107" t="str">
        <f>VLOOKUP(A19,'GBR Case Mix Reconciliation'!$1:$65533,2,FALSE)</f>
        <v>Suburban</v>
      </c>
      <c r="C19" s="114">
        <f>VLOOKUP(A19,'GBR Case Mix Reconciliation'!$1:$65533,5,FALSE)-VLOOKUP(A19,'GBR Case Mix Reconciliation'!$1:$65533,6,FALSE)</f>
        <v>392783362.3864097</v>
      </c>
      <c r="E19" s="114">
        <f>VLOOKUP(A19,'GBR Case Mix Reconciliation'!$1:$65533,11,FALSE)</f>
        <v>391434960.41000003</v>
      </c>
      <c r="F19" s="114">
        <f>VLOOKUP(A19,'Oncology Drugs &amp; COVID Lab'!$1:$1048576,2,FALSE)</f>
        <v>938011.14</v>
      </c>
      <c r="G19" s="229">
        <f t="shared" si="0"/>
        <v>2.396339711244751E-3</v>
      </c>
      <c r="H19" s="92">
        <f>VLOOKUP(A19,Chronic!$1:$1048576,3,FALSE)</f>
        <v>0</v>
      </c>
      <c r="I19" s="229">
        <f t="shared" si="1"/>
        <v>0</v>
      </c>
      <c r="J19" s="92">
        <f>VLOOKUP(A19,'Categorical Exclusions &amp; Innova'!$1:$1048576,4,FALSE)</f>
        <v>0</v>
      </c>
      <c r="K19" s="229">
        <f t="shared" si="2"/>
        <v>0</v>
      </c>
      <c r="L19" s="119">
        <f t="shared" si="3"/>
        <v>2.396339711244751E-3</v>
      </c>
      <c r="M19" s="114">
        <f t="shared" si="4"/>
        <v>397812348.9639039</v>
      </c>
      <c r="N19" s="420">
        <v>857720.75045959966</v>
      </c>
      <c r="O19" s="420">
        <v>10009.109440660999</v>
      </c>
      <c r="P19" s="114">
        <f>VLOOKUP(A19,'[20]RY 2024 DA'!$A:$IV,24,FALSE)</f>
        <v>5102499.0867966749</v>
      </c>
      <c r="Q19" s="92">
        <v>0</v>
      </c>
      <c r="R19" s="114">
        <f t="shared" si="5"/>
        <v>4381353.8904871736</v>
      </c>
      <c r="S19" s="119">
        <f>VLOOKUP(A19,'[21]Regulated (22)'!$B$1:$F$65536,5,FALSE)</f>
        <v>0.8586682360854212</v>
      </c>
      <c r="T19" s="92"/>
      <c r="U19" s="229"/>
      <c r="V19" s="92"/>
      <c r="W19" s="235"/>
      <c r="X19" s="114"/>
      <c r="Y19" s="114"/>
    </row>
    <row r="20" spans="1:25" x14ac:dyDescent="0.55000000000000004">
      <c r="A20" s="107">
        <v>210023</v>
      </c>
      <c r="B20" s="107" t="str">
        <f>VLOOKUP(A20,'GBR Case Mix Reconciliation'!$1:$65533,2,FALSE)</f>
        <v>Anne Arundel</v>
      </c>
      <c r="C20" s="114">
        <f>VLOOKUP(A20,'GBR Case Mix Reconciliation'!$1:$65533,5,FALSE)-VLOOKUP(A20,'GBR Case Mix Reconciliation'!$1:$65533,6,FALSE)</f>
        <v>725866351.46013999</v>
      </c>
      <c r="E20" s="114">
        <f>VLOOKUP(A20,'GBR Case Mix Reconciliation'!$1:$65533,11,FALSE)</f>
        <v>722271838.95000005</v>
      </c>
      <c r="F20" s="114">
        <f>VLOOKUP(A20,'Oncology Drugs &amp; COVID Lab'!$1:$1048576,2,FALSE)</f>
        <v>35345057.950000003</v>
      </c>
      <c r="G20" s="229">
        <f t="shared" si="0"/>
        <v>4.8935949103848138E-2</v>
      </c>
      <c r="H20" s="92">
        <f>VLOOKUP(A20,Chronic!$1:$1048576,3,FALSE)</f>
        <v>0</v>
      </c>
      <c r="I20" s="229">
        <f t="shared" si="1"/>
        <v>0</v>
      </c>
      <c r="J20" s="92">
        <f>VLOOKUP(A20,'Categorical Exclusions &amp; Innova'!$1:$1048576,4,FALSE)</f>
        <v>0</v>
      </c>
      <c r="K20" s="229">
        <f t="shared" si="2"/>
        <v>0</v>
      </c>
      <c r="L20" s="119">
        <f t="shared" si="3"/>
        <v>4.8935949103848138E-2</v>
      </c>
      <c r="M20" s="114">
        <f t="shared" si="4"/>
        <v>693070351.52284181</v>
      </c>
      <c r="N20" s="420">
        <v>-1194355.6177754053</v>
      </c>
      <c r="O20" s="420">
        <v>-41733.116156069387</v>
      </c>
      <c r="P20" s="114">
        <f>VLOOKUP(A20,'[20]RY 2024 DA'!$A:$IV,24,FALSE)</f>
        <v>3961047.6278827656</v>
      </c>
      <c r="Q20" s="92">
        <v>0</v>
      </c>
      <c r="R20" s="114">
        <f t="shared" si="5"/>
        <v>3447818.4623030517</v>
      </c>
      <c r="S20" s="119">
        <f>VLOOKUP(A20,'[21]Regulated (22)'!$B$1:$F$65536,5,FALSE)</f>
        <v>0.87043095317335484</v>
      </c>
      <c r="T20" s="92"/>
      <c r="U20" s="229"/>
      <c r="V20" s="92"/>
      <c r="W20" s="235"/>
      <c r="X20" s="114"/>
      <c r="Y20" s="114"/>
    </row>
    <row r="21" spans="1:25" x14ac:dyDescent="0.55000000000000004">
      <c r="A21" s="107">
        <v>210024</v>
      </c>
      <c r="B21" s="107" t="str">
        <f>VLOOKUP(A21,'GBR Case Mix Reconciliation'!$1:$65533,2,FALSE)</f>
        <v>Union Memorial</v>
      </c>
      <c r="C21" s="114">
        <f>VLOOKUP(A21,'GBR Case Mix Reconciliation'!$1:$65533,5,FALSE)-VLOOKUP(A21,'GBR Case Mix Reconciliation'!$1:$65533,6,FALSE)</f>
        <v>474621996.34913552</v>
      </c>
      <c r="E21" s="114">
        <f>VLOOKUP(A21,'GBR Case Mix Reconciliation'!$1:$65533,11,FALSE)</f>
        <v>440966331.88999999</v>
      </c>
      <c r="F21" s="114">
        <f>VLOOKUP(A21,'Oncology Drugs &amp; COVID Lab'!$1:$1048576,2,FALSE)</f>
        <v>231801.56</v>
      </c>
      <c r="G21" s="229">
        <f t="shared" si="0"/>
        <v>5.2566725220605591E-4</v>
      </c>
      <c r="H21" s="92">
        <f>VLOOKUP(A21,Chronic!$1:$1048576,3,FALSE)</f>
        <v>0</v>
      </c>
      <c r="I21" s="229">
        <f t="shared" si="1"/>
        <v>0</v>
      </c>
      <c r="J21" s="92">
        <f>VLOOKUP(A21,'Categorical Exclusions &amp; Innova'!$1:$1048576,4,FALSE)</f>
        <v>0</v>
      </c>
      <c r="K21" s="229">
        <f t="shared" si="2"/>
        <v>0</v>
      </c>
      <c r="L21" s="119">
        <f t="shared" si="3"/>
        <v>5.2566725220605591E-4</v>
      </c>
      <c r="M21" s="114">
        <f t="shared" si="4"/>
        <v>481457430.39623797</v>
      </c>
      <c r="N21" s="420">
        <v>3100896.0705903349</v>
      </c>
      <c r="O21" s="420">
        <v>55782.394494051616</v>
      </c>
      <c r="P21" s="114">
        <f>VLOOKUP(A21,'[20]RY 2024 DA'!$A:$IV,24,FALSE)</f>
        <v>3928248.8226754554</v>
      </c>
      <c r="Q21" s="92">
        <v>0</v>
      </c>
      <c r="R21" s="114">
        <f t="shared" si="5"/>
        <v>3485655.2233180734</v>
      </c>
      <c r="S21" s="119">
        <f>VLOOKUP(A21,'[21]Regulated (22)'!$B$1:$F$65536,5,FALSE)</f>
        <v>0.88733055889877677</v>
      </c>
      <c r="T21" s="92"/>
      <c r="U21" s="229"/>
      <c r="V21" s="92"/>
      <c r="W21" s="235"/>
      <c r="X21" s="114"/>
      <c r="Y21" s="114"/>
    </row>
    <row r="22" spans="1:25" x14ac:dyDescent="0.55000000000000004">
      <c r="A22" s="107">
        <v>210027</v>
      </c>
      <c r="B22" s="107" t="str">
        <f>VLOOKUP(A22,'GBR Case Mix Reconciliation'!$1:$65533,2,FALSE)</f>
        <v>Western Maryland Health System</v>
      </c>
      <c r="C22" s="114">
        <f>VLOOKUP(A22,'GBR Case Mix Reconciliation'!$1:$65533,5,FALSE)-VLOOKUP(A22,'GBR Case Mix Reconciliation'!$1:$65533,6,FALSE)</f>
        <v>363750647.35723126</v>
      </c>
      <c r="E22" s="114">
        <f>VLOOKUP(A22,'GBR Case Mix Reconciliation'!$1:$65533,11,FALSE)</f>
        <v>361916515.41000003</v>
      </c>
      <c r="F22" s="114">
        <f>VLOOKUP(A22,'Oncology Drugs &amp; COVID Lab'!$1:$1048576,2,FALSE)</f>
        <v>36417394.979999997</v>
      </c>
      <c r="G22" s="229">
        <f t="shared" si="0"/>
        <v>0.10062374450843797</v>
      </c>
      <c r="H22" s="92">
        <f>VLOOKUP(A22,Chronic!$1:$1048576,3,FALSE)</f>
        <v>0</v>
      </c>
      <c r="I22" s="229">
        <f t="shared" si="1"/>
        <v>0</v>
      </c>
      <c r="J22" s="92">
        <f>VLOOKUP(A22,'Categorical Exclusions &amp; Innova'!$1:$1048576,4,FALSE)</f>
        <v>0</v>
      </c>
      <c r="K22" s="229">
        <f t="shared" si="2"/>
        <v>0</v>
      </c>
      <c r="L22" s="119">
        <f t="shared" si="3"/>
        <v>0.10062374450843797</v>
      </c>
      <c r="M22" s="114">
        <f t="shared" si="4"/>
        <v>329427490.80074435</v>
      </c>
      <c r="N22" s="420">
        <v>718079.24933758576</v>
      </c>
      <c r="O22" s="420">
        <v>-10312.845316138999</v>
      </c>
      <c r="P22" s="114">
        <f>VLOOKUP(A22,'[20]RY 2024 DA'!$A:$IV,24,FALSE)</f>
        <v>1571029.2439445076</v>
      </c>
      <c r="Q22" s="92">
        <v>0</v>
      </c>
      <c r="R22" s="114">
        <f t="shared" si="5"/>
        <v>1325598.3829563253</v>
      </c>
      <c r="S22" s="119">
        <f>VLOOKUP(A22,'[21]Regulated (22)'!$B$1:$F$65536,5,FALSE)</f>
        <v>0.84377702583564929</v>
      </c>
      <c r="T22" s="92"/>
      <c r="U22" s="229"/>
      <c r="V22" s="92"/>
      <c r="W22" s="235"/>
      <c r="X22" s="114"/>
      <c r="Y22" s="114"/>
    </row>
    <row r="23" spans="1:25" x14ac:dyDescent="0.55000000000000004">
      <c r="A23" s="107">
        <v>210028</v>
      </c>
      <c r="B23" s="107" t="str">
        <f>VLOOKUP(A23,'GBR Case Mix Reconciliation'!$1:$65533,2,FALSE)</f>
        <v>St. Mary's</v>
      </c>
      <c r="C23" s="114">
        <f>VLOOKUP(A23,'GBR Case Mix Reconciliation'!$1:$65533,5,FALSE)-VLOOKUP(A23,'GBR Case Mix Reconciliation'!$1:$65533,6,FALSE)</f>
        <v>211232301.01978973</v>
      </c>
      <c r="E23" s="114">
        <f>VLOOKUP(A23,'GBR Case Mix Reconciliation'!$1:$65533,11,FALSE)</f>
        <v>204496807.53</v>
      </c>
      <c r="F23" s="114">
        <f>VLOOKUP(A23,'Oncology Drugs &amp; COVID Lab'!$1:$1048576,2,FALSE)</f>
        <v>12370126.630000001</v>
      </c>
      <c r="G23" s="229">
        <f t="shared" si="0"/>
        <v>6.0490561096829272E-2</v>
      </c>
      <c r="H23" s="92">
        <f>VLOOKUP(A23,Chronic!$1:$1048576,3,FALSE)</f>
        <v>0</v>
      </c>
      <c r="I23" s="229">
        <f t="shared" si="1"/>
        <v>0</v>
      </c>
      <c r="J23" s="92">
        <f>VLOOKUP(A23,'Categorical Exclusions &amp; Innova'!$1:$1048576,4,FALSE)</f>
        <v>0</v>
      </c>
      <c r="K23" s="229">
        <f t="shared" si="2"/>
        <v>0</v>
      </c>
      <c r="L23" s="119">
        <f t="shared" si="3"/>
        <v>6.0490561096829272E-2</v>
      </c>
      <c r="M23" s="114">
        <f t="shared" si="4"/>
        <v>202378391.95282602</v>
      </c>
      <c r="N23" s="420">
        <v>372682.79719896393</v>
      </c>
      <c r="O23" s="420">
        <v>-18750.517477838606</v>
      </c>
      <c r="P23" s="114">
        <f>VLOOKUP(A23,'[20]RY 2024 DA'!$A:$IV,24,FALSE)</f>
        <v>683159.53808188264</v>
      </c>
      <c r="Q23" s="92">
        <v>2886559.52569474</v>
      </c>
      <c r="R23" s="114">
        <f t="shared" si="5"/>
        <v>598247.63859460549</v>
      </c>
      <c r="S23" s="119">
        <f>VLOOKUP(A23,'[21]Regulated (22)'!$B$1:$F$65536,5,FALSE)</f>
        <v>0.87570707169560191</v>
      </c>
      <c r="T23" s="92"/>
      <c r="U23" s="229"/>
      <c r="V23" s="92"/>
      <c r="W23" s="235"/>
      <c r="X23" s="114"/>
      <c r="Y23" s="114"/>
    </row>
    <row r="24" spans="1:25" x14ac:dyDescent="0.55000000000000004">
      <c r="A24" s="107">
        <v>210029</v>
      </c>
      <c r="B24" s="107" t="str">
        <f>VLOOKUP(A24,'GBR Case Mix Reconciliation'!$1:$65533,2,FALSE)</f>
        <v>JH Bayview Medical Center</v>
      </c>
      <c r="C24" s="114">
        <f>VLOOKUP(A24,'GBR Case Mix Reconciliation'!$1:$65533,5,FALSE)-VLOOKUP(A24,'GBR Case Mix Reconciliation'!$1:$65533,6,FALSE)</f>
        <v>761770188.92584622</v>
      </c>
      <c r="E24" s="114">
        <f>VLOOKUP(A24,'GBR Case Mix Reconciliation'!$1:$65533,11,FALSE)</f>
        <v>780812247.20000005</v>
      </c>
      <c r="F24" s="114">
        <f>VLOOKUP(A24,'Oncology Drugs &amp; COVID Lab'!$1:$1048576,2,FALSE)</f>
        <v>62553585.82</v>
      </c>
      <c r="G24" s="229">
        <f t="shared" si="0"/>
        <v>8.011347932146011E-2</v>
      </c>
      <c r="H24" s="92">
        <f>VLOOKUP(A24,Chronic!$1:$1048576,3,FALSE)</f>
        <v>11010014.49</v>
      </c>
      <c r="I24" s="229">
        <f t="shared" si="1"/>
        <v>1.4100719512894443E-2</v>
      </c>
      <c r="J24" s="92">
        <f>VLOOKUP(A24,'Categorical Exclusions &amp; Innova'!$1:$1048576,4,FALSE)</f>
        <v>20263860.219999999</v>
      </c>
      <c r="K24" s="229">
        <f t="shared" si="2"/>
        <v>2.5952282757687767E-2</v>
      </c>
      <c r="L24" s="119">
        <f t="shared" si="3"/>
        <v>0.12016648159204232</v>
      </c>
      <c r="M24" s="114">
        <f t="shared" si="4"/>
        <v>685641223.73208022</v>
      </c>
      <c r="N24" s="420">
        <v>-200381.07875101321</v>
      </c>
      <c r="O24" s="420">
        <v>298703.41753516824</v>
      </c>
      <c r="P24" s="114">
        <f>VLOOKUP(A24,'[20]RY 2024 DA'!$A:$IV,24,FALSE)</f>
        <v>15311955.852374079</v>
      </c>
      <c r="Q24" s="92">
        <v>0</v>
      </c>
      <c r="R24" s="114">
        <f t="shared" si="5"/>
        <v>12794068.212836644</v>
      </c>
      <c r="S24" s="119">
        <f>VLOOKUP(A24,'[21]Regulated (22)'!$B$1:$F$65536,5,FALSE)</f>
        <v>0.83556067795564837</v>
      </c>
      <c r="T24" s="92"/>
      <c r="U24" s="229"/>
      <c r="V24" s="92"/>
      <c r="W24" s="235"/>
      <c r="X24" s="114"/>
      <c r="Y24" s="114"/>
    </row>
    <row r="25" spans="1:25" x14ac:dyDescent="0.55000000000000004">
      <c r="A25" s="107">
        <v>210030</v>
      </c>
      <c r="B25" s="107" t="str">
        <f>VLOOKUP(A25,'GBR Case Mix Reconciliation'!$1:$65533,2,FALSE)</f>
        <v>Shore Medical Chestertown</v>
      </c>
      <c r="C25" s="114">
        <f>VLOOKUP(A25,'GBR Case Mix Reconciliation'!$1:$65533,5,FALSE)-VLOOKUP(A25,'GBR Case Mix Reconciliation'!$1:$65533,6,FALSE)</f>
        <v>55505355.210367769</v>
      </c>
      <c r="E25" s="114">
        <f>VLOOKUP(A25,'GBR Case Mix Reconciliation'!$1:$65533,11,FALSE)</f>
        <v>52352200.579999998</v>
      </c>
      <c r="F25" s="114">
        <f>VLOOKUP(A25,'Oncology Drugs &amp; COVID Lab'!$1:$1048576,2,FALSE)</f>
        <v>982129.74</v>
      </c>
      <c r="G25" s="229">
        <f t="shared" si="0"/>
        <v>1.8760046934401472E-2</v>
      </c>
      <c r="H25" s="92">
        <f>VLOOKUP(A25,Chronic!$1:$1048576,3,FALSE)</f>
        <v>0</v>
      </c>
      <c r="I25" s="229">
        <f t="shared" si="1"/>
        <v>0</v>
      </c>
      <c r="J25" s="92">
        <f>VLOOKUP(A25,'Categorical Exclusions &amp; Innova'!$1:$1048576,4,FALSE)</f>
        <v>0</v>
      </c>
      <c r="K25" s="229">
        <f t="shared" si="2"/>
        <v>0</v>
      </c>
      <c r="L25" s="119">
        <f t="shared" si="3"/>
        <v>1.8760046934401472E-2</v>
      </c>
      <c r="M25" s="114">
        <f t="shared" si="4"/>
        <v>53234979.529182494</v>
      </c>
      <c r="N25" s="420">
        <v>-1252038.114765753</v>
      </c>
      <c r="O25" s="420">
        <v>5386.8673224856993</v>
      </c>
      <c r="P25" s="114">
        <f>VLOOKUP(A25,'[20]RY 2024 DA'!$A:$IV,24,FALSE)</f>
        <v>17558.635115123718</v>
      </c>
      <c r="Q25" s="92">
        <v>0</v>
      </c>
      <c r="R25" s="114">
        <f t="shared" si="5"/>
        <v>15364.209587910671</v>
      </c>
      <c r="S25" s="119">
        <f>VLOOKUP(A25,'[21]Regulated (22)'!$B$1:$F$65536,5,FALSE)</f>
        <v>0.87502300077282602</v>
      </c>
      <c r="T25" s="92"/>
      <c r="U25" s="229"/>
      <c r="V25" s="92"/>
      <c r="W25" s="235"/>
      <c r="X25" s="114"/>
      <c r="Y25" s="114"/>
    </row>
    <row r="26" spans="1:25" x14ac:dyDescent="0.55000000000000004">
      <c r="A26" s="107">
        <v>210032</v>
      </c>
      <c r="B26" s="107" t="str">
        <f>VLOOKUP(A26,'GBR Case Mix Reconciliation'!$1:$65533,2,FALSE)</f>
        <v>Union of Cecil</v>
      </c>
      <c r="C26" s="114">
        <f>VLOOKUP(A26,'GBR Case Mix Reconciliation'!$1:$65533,5,FALSE)-VLOOKUP(A26,'GBR Case Mix Reconciliation'!$1:$65533,6,FALSE)</f>
        <v>185762557.09697405</v>
      </c>
      <c r="E26" s="114">
        <f>VLOOKUP(A26,'GBR Case Mix Reconciliation'!$1:$65533,11,FALSE)</f>
        <v>178274624.69999999</v>
      </c>
      <c r="F26" s="114">
        <f>VLOOKUP(A26,'Oncology Drugs &amp; COVID Lab'!$1:$1048576,2,FALSE)</f>
        <v>12287503.34</v>
      </c>
      <c r="G26" s="229">
        <f t="shared" si="0"/>
        <v>6.8924578361487923E-2</v>
      </c>
      <c r="H26" s="92">
        <f>VLOOKUP(A26,Chronic!$1:$1048576,3,FALSE)</f>
        <v>0</v>
      </c>
      <c r="I26" s="229">
        <f t="shared" si="1"/>
        <v>0</v>
      </c>
      <c r="J26" s="92">
        <f>VLOOKUP(A26,'Categorical Exclusions &amp; Innova'!$1:$1048576,4,FALSE)</f>
        <v>0</v>
      </c>
      <c r="K26" s="229">
        <f t="shared" si="2"/>
        <v>0</v>
      </c>
      <c r="L26" s="119">
        <f t="shared" si="3"/>
        <v>6.8924578361487923E-2</v>
      </c>
      <c r="M26" s="114">
        <f t="shared" si="4"/>
        <v>181246617.1663484</v>
      </c>
      <c r="N26" s="420">
        <v>203713.07424191741</v>
      </c>
      <c r="O26" s="420">
        <v>4698.9412544240004</v>
      </c>
      <c r="P26" s="114">
        <f>VLOOKUP(A26,'[20]RY 2024 DA'!$A:$IV,24,FALSE)</f>
        <v>1419859.6196842859</v>
      </c>
      <c r="Q26" s="92">
        <v>6659394.3574544676</v>
      </c>
      <c r="R26" s="114">
        <f t="shared" si="5"/>
        <v>1204599.1738022345</v>
      </c>
      <c r="S26" s="119">
        <f>VLOOKUP(A26,'[21]Regulated (22)'!$B$1:$F$65536,5,FALSE)</f>
        <v>0.84839314894389639</v>
      </c>
      <c r="T26" s="92"/>
      <c r="U26" s="229"/>
      <c r="V26" s="92"/>
      <c r="W26" s="235"/>
      <c r="X26" s="114"/>
      <c r="Y26" s="114"/>
    </row>
    <row r="27" spans="1:25" x14ac:dyDescent="0.55000000000000004">
      <c r="A27" s="107">
        <v>210033</v>
      </c>
      <c r="B27" s="107" t="str">
        <f>VLOOKUP(A27,'GBR Case Mix Reconciliation'!$1:$65533,2,FALSE)</f>
        <v>Carroll County</v>
      </c>
      <c r="C27" s="114">
        <f>VLOOKUP(A27,'GBR Case Mix Reconciliation'!$1:$65533,5,FALSE)-VLOOKUP(A27,'GBR Case Mix Reconciliation'!$1:$65533,6,FALSE)</f>
        <v>256633131.6034596</v>
      </c>
      <c r="E27" s="114">
        <f>VLOOKUP(A27,'GBR Case Mix Reconciliation'!$1:$65533,11,FALSE)</f>
        <v>257385670.19999999</v>
      </c>
      <c r="F27" s="114">
        <f>VLOOKUP(A27,'Oncology Drugs &amp; COVID Lab'!$1:$1048576,2,FALSE)</f>
        <v>154000.68</v>
      </c>
      <c r="G27" s="229">
        <f t="shared" si="0"/>
        <v>5.9832654972724272E-4</v>
      </c>
      <c r="H27" s="92">
        <f>VLOOKUP(A27,Chronic!$1:$1048576,3,FALSE)</f>
        <v>0</v>
      </c>
      <c r="I27" s="229">
        <f t="shared" si="1"/>
        <v>0</v>
      </c>
      <c r="J27" s="92">
        <f>VLOOKUP(A27,'Categorical Exclusions &amp; Innova'!$1:$1048576,4,FALSE)</f>
        <v>0</v>
      </c>
      <c r="K27" s="229">
        <f t="shared" si="2"/>
        <v>0</v>
      </c>
      <c r="L27" s="119">
        <f t="shared" si="3"/>
        <v>5.9832654972724272E-4</v>
      </c>
      <c r="M27" s="114">
        <f t="shared" si="4"/>
        <v>270049679.90851074</v>
      </c>
      <c r="N27" s="420">
        <v>-293343.22381556884</v>
      </c>
      <c r="O27" s="420">
        <v>71812.783385135393</v>
      </c>
      <c r="P27" s="114">
        <f>VLOOKUP(A27,'[20]RY 2024 DA'!$A:$IV,24,FALSE)</f>
        <v>2880987.7104579103</v>
      </c>
      <c r="Q27" s="92">
        <v>10910641.451201666</v>
      </c>
      <c r="R27" s="114">
        <f t="shared" si="5"/>
        <v>2485012.0493845837</v>
      </c>
      <c r="S27" s="119">
        <f>VLOOKUP(A27,'[21]Regulated (22)'!$B$1:$F$65536,5,FALSE)</f>
        <v>0.86255558826719558</v>
      </c>
      <c r="T27" s="92"/>
      <c r="U27" s="229"/>
      <c r="V27" s="92"/>
      <c r="W27" s="235"/>
      <c r="X27" s="114"/>
      <c r="Y27" s="114"/>
    </row>
    <row r="28" spans="1:25" x14ac:dyDescent="0.55000000000000004">
      <c r="A28" s="107">
        <v>210034</v>
      </c>
      <c r="B28" s="107" t="str">
        <f>VLOOKUP(A28,'GBR Case Mix Reconciliation'!$1:$65533,2,FALSE)</f>
        <v>Harbor Hospital</v>
      </c>
      <c r="C28" s="114">
        <f>VLOOKUP(A28,'GBR Case Mix Reconciliation'!$1:$65533,5,FALSE)-VLOOKUP(A28,'GBR Case Mix Reconciliation'!$1:$65533,6,FALSE)</f>
        <v>203661284.51908654</v>
      </c>
      <c r="E28" s="114">
        <f>VLOOKUP(A28,'GBR Case Mix Reconciliation'!$1:$65533,11,FALSE)</f>
        <v>201446777.34</v>
      </c>
      <c r="F28" s="114">
        <f>VLOOKUP(A28,'Oncology Drugs &amp; COVID Lab'!$1:$1048576,2,FALSE)</f>
        <v>1494631.18</v>
      </c>
      <c r="G28" s="229">
        <f t="shared" si="0"/>
        <v>7.4194841919827548E-3</v>
      </c>
      <c r="H28" s="92">
        <f>VLOOKUP(A28,Chronic!$1:$1048576,3,FALSE)</f>
        <v>0</v>
      </c>
      <c r="I28" s="229">
        <f t="shared" si="1"/>
        <v>0</v>
      </c>
      <c r="J28" s="92">
        <f>VLOOKUP(A28,'Categorical Exclusions &amp; Innova'!$1:$1048576,4,FALSE)</f>
        <v>0</v>
      </c>
      <c r="K28" s="229">
        <f t="shared" si="2"/>
        <v>0</v>
      </c>
      <c r="L28" s="119">
        <f t="shared" si="3"/>
        <v>7.4194841919827548E-3</v>
      </c>
      <c r="M28" s="114">
        <f t="shared" si="4"/>
        <v>206716555.07597718</v>
      </c>
      <c r="N28" s="420">
        <v>548977.25412001577</v>
      </c>
      <c r="O28" s="420">
        <v>-207924.71723306394</v>
      </c>
      <c r="P28" s="114">
        <f>VLOOKUP(A28,'[20]RY 2024 DA'!$A:$IV,24,FALSE)</f>
        <v>4225279.7010119427</v>
      </c>
      <c r="Q28" s="92">
        <v>0</v>
      </c>
      <c r="R28" s="114">
        <f t="shared" si="5"/>
        <v>3589271.9390498381</v>
      </c>
      <c r="S28" s="119">
        <f>VLOOKUP(A28,'[21]Regulated (22)'!$B$1:$F$65536,5,FALSE)</f>
        <v>0.84947558340107465</v>
      </c>
      <c r="T28" s="92"/>
      <c r="U28" s="229"/>
      <c r="V28" s="92"/>
      <c r="W28" s="235"/>
      <c r="X28" s="114"/>
      <c r="Y28" s="114"/>
    </row>
    <row r="29" spans="1:25" x14ac:dyDescent="0.55000000000000004">
      <c r="A29" s="107">
        <v>210035</v>
      </c>
      <c r="B29" s="107" t="str">
        <f>VLOOKUP(A29,'GBR Case Mix Reconciliation'!$1:$65533,2,FALSE)</f>
        <v xml:space="preserve">Charles Regional </v>
      </c>
      <c r="C29" s="114">
        <f>VLOOKUP(A29,'GBR Case Mix Reconciliation'!$1:$65533,5,FALSE)-VLOOKUP(A29,'GBR Case Mix Reconciliation'!$1:$65533,6,FALSE)</f>
        <v>175184776.96922964</v>
      </c>
      <c r="E29" s="114">
        <f>VLOOKUP(A29,'GBR Case Mix Reconciliation'!$1:$65533,11,FALSE)</f>
        <v>175266910.41999999</v>
      </c>
      <c r="F29" s="114">
        <f>VLOOKUP(A29,'Oncology Drugs &amp; COVID Lab'!$1:$1048576,2,FALSE)</f>
        <v>823424.6399999999</v>
      </c>
      <c r="G29" s="229">
        <f t="shared" si="0"/>
        <v>4.6981180761775871E-3</v>
      </c>
      <c r="H29" s="92">
        <f>VLOOKUP(A29,Chronic!$1:$1048576,3,FALSE)</f>
        <v>0</v>
      </c>
      <c r="I29" s="229">
        <f t="shared" si="1"/>
        <v>0</v>
      </c>
      <c r="J29" s="92">
        <f>VLOOKUP(A29,'Categorical Exclusions &amp; Innova'!$1:$1048576,4,FALSE)</f>
        <v>0</v>
      </c>
      <c r="K29" s="229">
        <f t="shared" si="2"/>
        <v>0</v>
      </c>
      <c r="L29" s="119">
        <f t="shared" si="3"/>
        <v>4.6981180761775871E-3</v>
      </c>
      <c r="M29" s="114">
        <f t="shared" si="4"/>
        <v>178231569.15377906</v>
      </c>
      <c r="N29" s="420">
        <v>1615287.7485167249</v>
      </c>
      <c r="O29" s="420">
        <v>-241.32848594299958</v>
      </c>
      <c r="P29" s="114">
        <f>VLOOKUP(A29,'[20]RY 2024 DA'!$A:$IV,24,FALSE)</f>
        <v>2254784.5318688923</v>
      </c>
      <c r="Q29" s="92">
        <v>0</v>
      </c>
      <c r="R29" s="114">
        <f t="shared" si="5"/>
        <v>1908323.8351796577</v>
      </c>
      <c r="S29" s="119">
        <f>VLOOKUP(A29,'[21]Regulated (22)'!$B$1:$F$65536,5,FALSE)</f>
        <v>0.84634421081376299</v>
      </c>
      <c r="T29" s="92"/>
      <c r="U29" s="229"/>
      <c r="V29" s="92"/>
      <c r="W29" s="235"/>
      <c r="X29" s="114"/>
      <c r="Y29" s="114"/>
    </row>
    <row r="30" spans="1:25" x14ac:dyDescent="0.55000000000000004">
      <c r="A30" s="107">
        <v>210037</v>
      </c>
      <c r="B30" s="107" t="str">
        <f>VLOOKUP(A30,'GBR Case Mix Reconciliation'!$1:$65533,2,FALSE)</f>
        <v>Shore Medical Easton</v>
      </c>
      <c r="C30" s="114">
        <f>VLOOKUP(A30,'GBR Case Mix Reconciliation'!$1:$65533,5,FALSE)-VLOOKUP(A30,'GBR Case Mix Reconciliation'!$1:$65533,6,FALSE)</f>
        <v>269363662.10944426</v>
      </c>
      <c r="E30" s="114">
        <f>VLOOKUP(A30,'GBR Case Mix Reconciliation'!$1:$65533,11,FALSE)</f>
        <v>287354593.13999999</v>
      </c>
      <c r="F30" s="114">
        <f>VLOOKUP(A30,'Oncology Drugs &amp; COVID Lab'!$1:$1048576,2,FALSE)</f>
        <v>17099806.379999999</v>
      </c>
      <c r="G30" s="229">
        <f t="shared" si="0"/>
        <v>5.9507684193058727E-2</v>
      </c>
      <c r="H30" s="92">
        <f>VLOOKUP(A30,Chronic!$1:$1048576,3,FALSE)</f>
        <v>0</v>
      </c>
      <c r="I30" s="229">
        <f t="shared" si="1"/>
        <v>0</v>
      </c>
      <c r="J30" s="92">
        <f>VLOOKUP(A30,'Categorical Exclusions &amp; Innova'!$1:$1048576,4,FALSE)</f>
        <v>0</v>
      </c>
      <c r="K30" s="229">
        <f t="shared" si="2"/>
        <v>0</v>
      </c>
      <c r="L30" s="119">
        <f t="shared" si="3"/>
        <v>5.9507684193058727E-2</v>
      </c>
      <c r="M30" s="114">
        <f t="shared" si="4"/>
        <v>252795365.55476636</v>
      </c>
      <c r="N30" s="430">
        <v>-2728561</v>
      </c>
      <c r="O30" s="420">
        <v>-39364.396191547006</v>
      </c>
      <c r="P30" s="114">
        <f>VLOOKUP(A30,'[20]RY 2024 DA'!$A:$IV,24,FALSE)</f>
        <v>2228836.5794082312</v>
      </c>
      <c r="Q30" s="92">
        <v>0</v>
      </c>
      <c r="R30" s="114">
        <f t="shared" si="5"/>
        <v>1934272.1727523198</v>
      </c>
      <c r="S30" s="119">
        <f>VLOOKUP(A30,'[21]Regulated (22)'!$B$1:$F$65536,5,FALSE)</f>
        <v>0.86783938787736525</v>
      </c>
      <c r="T30" s="92"/>
      <c r="U30" s="229"/>
      <c r="V30" s="92"/>
      <c r="W30" s="235"/>
      <c r="X30" s="114"/>
      <c r="Y30" s="114"/>
    </row>
    <row r="31" spans="1:25" x14ac:dyDescent="0.55000000000000004">
      <c r="A31" s="107">
        <v>210038</v>
      </c>
      <c r="B31" s="107" t="str">
        <f>VLOOKUP(A31,'GBR Case Mix Reconciliation'!$1:$65533,2,FALSE)</f>
        <v>UMMC Midtown</v>
      </c>
      <c r="C31" s="114">
        <f>VLOOKUP(A31,'GBR Case Mix Reconciliation'!$1:$65533,5,FALSE)-VLOOKUP(A31,'GBR Case Mix Reconciliation'!$1:$65533,6,FALSE)</f>
        <v>257723363.53615591</v>
      </c>
      <c r="E31" s="114">
        <f>VLOOKUP(A31,'GBR Case Mix Reconciliation'!$1:$65533,11,FALSE)</f>
        <v>242290219</v>
      </c>
      <c r="F31" s="114">
        <f>VLOOKUP(A31,'Oncology Drugs &amp; COVID Lab'!$1:$1048576,2,FALSE)</f>
        <v>493829.42</v>
      </c>
      <c r="G31" s="229">
        <f t="shared" si="0"/>
        <v>2.0381731546497135E-3</v>
      </c>
      <c r="H31" s="92">
        <f>VLOOKUP(A31,Chronic!$1:$1048576,3,FALSE)</f>
        <v>17819418.710000001</v>
      </c>
      <c r="I31" s="229">
        <f t="shared" si="1"/>
        <v>7.3545761704891605E-2</v>
      </c>
      <c r="J31" s="92">
        <f>VLOOKUP(A31,'Categorical Exclusions &amp; Innova'!$1:$1048576,4,FALSE)</f>
        <v>0</v>
      </c>
      <c r="K31" s="229">
        <f t="shared" si="2"/>
        <v>0</v>
      </c>
      <c r="L31" s="119">
        <f t="shared" si="3"/>
        <v>7.5583934859541319E-2</v>
      </c>
      <c r="M31" s="114">
        <f t="shared" si="4"/>
        <v>245002626.74528134</v>
      </c>
      <c r="N31" s="420">
        <v>3766806.1974683674</v>
      </c>
      <c r="O31" s="420">
        <v>242343.9658092664</v>
      </c>
      <c r="P31" s="114">
        <f>VLOOKUP(A31,'[20]RY 2024 DA'!$A:$IV,24,FALSE)</f>
        <v>2749858.9671465037</v>
      </c>
      <c r="Q31" s="92">
        <v>0</v>
      </c>
      <c r="R31" s="114">
        <f t="shared" si="5"/>
        <v>2259472.5018939339</v>
      </c>
      <c r="S31" s="119">
        <f>VLOOKUP(A31,'[21]Regulated (22)'!$B$1:$F$65536,5,FALSE)</f>
        <v>0.82166850332639485</v>
      </c>
      <c r="T31" s="92"/>
      <c r="U31" s="229"/>
      <c r="V31" s="92"/>
      <c r="W31" s="235"/>
      <c r="X31" s="114"/>
      <c r="Y31" s="114"/>
    </row>
    <row r="32" spans="1:25" x14ac:dyDescent="0.55000000000000004">
      <c r="A32" s="107">
        <v>210039</v>
      </c>
      <c r="B32" s="107" t="str">
        <f>VLOOKUP(A32,'GBR Case Mix Reconciliation'!$1:$65533,2,FALSE)</f>
        <v>Calvert</v>
      </c>
      <c r="C32" s="114">
        <f>VLOOKUP(A32,'GBR Case Mix Reconciliation'!$1:$65533,5,FALSE)-VLOOKUP(A32,'GBR Case Mix Reconciliation'!$1:$65533,6,FALSE)</f>
        <v>171920809.51511279</v>
      </c>
      <c r="E32" s="114">
        <f>VLOOKUP(A32,'GBR Case Mix Reconciliation'!$1:$65533,11,FALSE)</f>
        <v>170282074.96000001</v>
      </c>
      <c r="F32" s="114">
        <f>VLOOKUP(A32,'Oncology Drugs &amp; COVID Lab'!$1:$1048576,2,FALSE)</f>
        <v>12922138.57</v>
      </c>
      <c r="G32" s="229">
        <f t="shared" si="0"/>
        <v>7.5886663778530219E-2</v>
      </c>
      <c r="H32" s="92">
        <f>VLOOKUP(A32,Chronic!$1:$1048576,3,FALSE)</f>
        <v>0</v>
      </c>
      <c r="I32" s="229">
        <f t="shared" si="1"/>
        <v>0</v>
      </c>
      <c r="J32" s="92">
        <f>VLOOKUP(A32,'Categorical Exclusions &amp; Innova'!$1:$1048576,4,FALSE)</f>
        <v>0</v>
      </c>
      <c r="K32" s="229">
        <f t="shared" si="2"/>
        <v>0</v>
      </c>
      <c r="L32" s="119">
        <f t="shared" si="3"/>
        <v>7.5886663778530219E-2</v>
      </c>
      <c r="M32" s="114">
        <f t="shared" si="4"/>
        <v>161738343.1905202</v>
      </c>
      <c r="N32" s="420">
        <v>40809.091358429068</v>
      </c>
      <c r="O32" s="420">
        <v>-11947.907866442893</v>
      </c>
      <c r="P32" s="114">
        <f>VLOOKUP(A32,'[20]RY 2024 DA'!$A:$IV,24,FALSE)</f>
        <v>1209353.0912819305</v>
      </c>
      <c r="Q32" s="92">
        <v>1625816.068839598</v>
      </c>
      <c r="R32" s="114">
        <f t="shared" si="5"/>
        <v>1035202.6751291653</v>
      </c>
      <c r="S32" s="119">
        <f>VLOOKUP(A32,'[21]Regulated (22)'!$B$1:$F$65536,5,FALSE)</f>
        <v>0.85599704717489633</v>
      </c>
      <c r="T32" s="92"/>
      <c r="U32" s="229"/>
      <c r="V32" s="92"/>
      <c r="W32" s="235"/>
      <c r="X32" s="114"/>
      <c r="Y32" s="114"/>
    </row>
    <row r="33" spans="1:26" x14ac:dyDescent="0.55000000000000004">
      <c r="A33" s="107">
        <v>210040</v>
      </c>
      <c r="B33" s="107" t="str">
        <f>VLOOKUP(A33,'GBR Case Mix Reconciliation'!$1:$65533,2,FALSE)</f>
        <v>Northwest</v>
      </c>
      <c r="C33" s="114">
        <f>VLOOKUP(A33,'GBR Case Mix Reconciliation'!$1:$65533,5,FALSE)-VLOOKUP(A33,'GBR Case Mix Reconciliation'!$1:$65533,6,FALSE)</f>
        <v>294509718.51910508</v>
      </c>
      <c r="E33" s="114">
        <f>VLOOKUP(A33,'GBR Case Mix Reconciliation'!$1:$65533,11,FALSE)</f>
        <v>301284044.13</v>
      </c>
      <c r="F33" s="114">
        <f>VLOOKUP(A33,'Oncology Drugs &amp; COVID Lab'!$1:$1048576,2,FALSE)</f>
        <v>15123024.300000001</v>
      </c>
      <c r="G33" s="229">
        <f t="shared" si="0"/>
        <v>5.0195237997650549E-2</v>
      </c>
      <c r="H33" s="92">
        <f>VLOOKUP(A33,Chronic!$1:$1048576,3,FALSE)</f>
        <v>0</v>
      </c>
      <c r="I33" s="229">
        <f t="shared" si="1"/>
        <v>0</v>
      </c>
      <c r="J33" s="92">
        <f>VLOOKUP(A33,'Categorical Exclusions &amp; Innova'!$1:$1048576,4,FALSE)</f>
        <v>0</v>
      </c>
      <c r="K33" s="229">
        <f t="shared" si="2"/>
        <v>0</v>
      </c>
      <c r="L33" s="119">
        <f t="shared" si="3"/>
        <v>5.0195237997650549E-2</v>
      </c>
      <c r="M33" s="114">
        <f t="shared" si="4"/>
        <v>283245031.37281293</v>
      </c>
      <c r="N33" s="420">
        <v>659518.19392389117</v>
      </c>
      <c r="O33" s="420">
        <v>-258197.73436264831</v>
      </c>
      <c r="P33" s="114">
        <f>VLOOKUP(A33,'[20]RY 2024 DA'!$A:$IV,24,FALSE)</f>
        <v>3116977.8078341549</v>
      </c>
      <c r="Q33" s="92">
        <v>0</v>
      </c>
      <c r="R33" s="114">
        <f t="shared" si="5"/>
        <v>2689508.6321329409</v>
      </c>
      <c r="S33" s="119">
        <f>VLOOKUP(A33,'[21]Regulated (22)'!$B$1:$F$65536,5,FALSE)</f>
        <v>0.86285780584423122</v>
      </c>
      <c r="T33" s="92"/>
      <c r="U33" s="229"/>
      <c r="V33" s="92"/>
      <c r="W33" s="235"/>
      <c r="X33" s="114"/>
      <c r="Y33" s="114"/>
    </row>
    <row r="34" spans="1:26" x14ac:dyDescent="0.55000000000000004">
      <c r="A34" s="107">
        <v>210043</v>
      </c>
      <c r="B34" s="107" t="str">
        <f>VLOOKUP(A34,'GBR Case Mix Reconciliation'!$1:$65533,2,FALSE)</f>
        <v>Baltimore Washington</v>
      </c>
      <c r="C34" s="114">
        <f>VLOOKUP(A34,'GBR Case Mix Reconciliation'!$1:$65533,5,FALSE)-VLOOKUP(A34,'GBR Case Mix Reconciliation'!$1:$65533,6,FALSE)</f>
        <v>492391138.35941482</v>
      </c>
      <c r="E34" s="114">
        <f>VLOOKUP(A34,'GBR Case Mix Reconciliation'!$1:$65533,11,FALSE)</f>
        <v>511630556.13</v>
      </c>
      <c r="F34" s="114">
        <f>VLOOKUP(A34,'Oncology Drugs &amp; COVID Lab'!$1:$1048576,2,FALSE)</f>
        <v>2150836.7999999998</v>
      </c>
      <c r="G34" s="229">
        <f t="shared" si="0"/>
        <v>4.2038865236451875E-3</v>
      </c>
      <c r="H34" s="92">
        <f>VLOOKUP(A34,Chronic!$1:$1048576,3,FALSE)</f>
        <v>0</v>
      </c>
      <c r="I34" s="229">
        <f t="shared" si="1"/>
        <v>0</v>
      </c>
      <c r="J34" s="92">
        <f>VLOOKUP(A34,'Categorical Exclusions &amp; Innova'!$1:$1048576,4,FALSE)</f>
        <v>0</v>
      </c>
      <c r="K34" s="229">
        <f t="shared" si="2"/>
        <v>0</v>
      </c>
      <c r="L34" s="119">
        <f t="shared" si="3"/>
        <v>4.2038865236451875E-3</v>
      </c>
      <c r="M34" s="114">
        <f t="shared" si="4"/>
        <v>493183008.48548323</v>
      </c>
      <c r="N34" s="420">
        <v>-3977196.1563032847</v>
      </c>
      <c r="O34" s="420">
        <v>-116797.61352031189</v>
      </c>
      <c r="P34" s="114">
        <f>VLOOKUP(A34,'[20]RY 2024 DA'!$A:$IV,24,FALSE)</f>
        <v>6955820.3668034654</v>
      </c>
      <c r="Q34" s="92">
        <v>0</v>
      </c>
      <c r="R34" s="114">
        <f t="shared" si="5"/>
        <v>5997533.4973753095</v>
      </c>
      <c r="S34" s="119">
        <f>VLOOKUP(A34,'[21]Regulated (22)'!$B$1:$F$65536,5,FALSE)</f>
        <v>0.86223237247448714</v>
      </c>
      <c r="T34" s="92"/>
      <c r="U34" s="229"/>
      <c r="V34" s="92"/>
      <c r="W34" s="235"/>
      <c r="X34" s="114"/>
      <c r="Y34" s="114"/>
    </row>
    <row r="35" spans="1:26" x14ac:dyDescent="0.55000000000000004">
      <c r="A35" s="107">
        <v>210044</v>
      </c>
      <c r="B35" s="107" t="str">
        <f>VLOOKUP(A35,'GBR Case Mix Reconciliation'!$1:$65533,2,FALSE)</f>
        <v>Greater Baltimore Medical Center</v>
      </c>
      <c r="C35" s="114">
        <f>VLOOKUP(A35,'GBR Case Mix Reconciliation'!$1:$65533,5,FALSE)-VLOOKUP(A35,'GBR Case Mix Reconciliation'!$1:$65533,6,FALSE)</f>
        <v>472464871.93527389</v>
      </c>
      <c r="E35" s="114">
        <f>VLOOKUP(A35,'GBR Case Mix Reconciliation'!$1:$65533,11,FALSE)</f>
        <v>492220623.76999998</v>
      </c>
      <c r="F35" s="114">
        <f>VLOOKUP(A35,'Oncology Drugs &amp; COVID Lab'!$1:$1048576,2,FALSE)</f>
        <v>400803.72</v>
      </c>
      <c r="G35" s="229">
        <f t="shared" si="0"/>
        <v>8.1427656754846499E-4</v>
      </c>
      <c r="H35" s="92">
        <f>VLOOKUP(A35,Chronic!$1:$1048576,3,FALSE)</f>
        <v>0</v>
      </c>
      <c r="I35" s="229">
        <f t="shared" si="1"/>
        <v>0</v>
      </c>
      <c r="J35" s="92">
        <f>VLOOKUP(A35,'Categorical Exclusions &amp; Innova'!$1:$1048576,4,FALSE)</f>
        <v>0</v>
      </c>
      <c r="K35" s="229">
        <f t="shared" si="2"/>
        <v>0</v>
      </c>
      <c r="L35" s="119">
        <f t="shared" si="3"/>
        <v>8.1427656754846499E-4</v>
      </c>
      <c r="M35" s="427">
        <f>C35-(C35*G35)-(C35*I35)-(K35*C35)+N35+O35+P35+Q35+10584758</f>
        <v>487266143.18255103</v>
      </c>
      <c r="N35" s="420">
        <v>-1709605.6358146938</v>
      </c>
      <c r="O35" s="420">
        <v>-297155.93547450035</v>
      </c>
      <c r="P35" s="114">
        <f>VLOOKUP(A35,'[20]RY 2024 DA'!$A:$IV,24,FALSE)</f>
        <v>6607991.8927729549</v>
      </c>
      <c r="Q35" s="92">
        <v>0</v>
      </c>
      <c r="R35" s="114">
        <f t="shared" si="5"/>
        <v>5715683.7539484138</v>
      </c>
      <c r="S35" s="119">
        <f>VLOOKUP(A35,'[21]Regulated (22)'!$B$1:$F$65536,5,FALSE)</f>
        <v>0.86496530968803964</v>
      </c>
      <c r="T35" s="92"/>
      <c r="U35" s="229"/>
      <c r="V35" s="92"/>
      <c r="W35" s="235"/>
      <c r="X35" s="114"/>
      <c r="Y35" s="114"/>
    </row>
    <row r="36" spans="1:26" x14ac:dyDescent="0.55000000000000004">
      <c r="A36" s="107">
        <v>210045</v>
      </c>
      <c r="B36" s="107" t="str">
        <f>VLOOKUP(A36,'GBR Case Mix Reconciliation'!$1:$65533,2,FALSE)</f>
        <v>McCready</v>
      </c>
      <c r="C36" s="114">
        <f>VLOOKUP(A36,'GBR Case Mix Reconciliation'!$1:$65533,5,FALSE)-VLOOKUP(A36,'GBR Case Mix Reconciliation'!$1:$65533,6,FALSE)</f>
        <v>6848258.8078137636</v>
      </c>
      <c r="E36" s="114">
        <f>VLOOKUP(A36,'GBR Case Mix Reconciliation'!$1:$65533,11,FALSE)</f>
        <v>5228782.72</v>
      </c>
      <c r="F36" s="114">
        <f>VLOOKUP(A36,'Oncology Drugs &amp; COVID Lab'!$1:$1048576,2,FALSE)</f>
        <v>327810.71999999997</v>
      </c>
      <c r="G36" s="229">
        <f t="shared" si="0"/>
        <v>6.2693505841451377E-2</v>
      </c>
      <c r="H36" s="92">
        <f>VLOOKUP(A36,Chronic!$1:$1048576,3,FALSE)</f>
        <v>0</v>
      </c>
      <c r="I36" s="229">
        <f t="shared" si="1"/>
        <v>0</v>
      </c>
      <c r="J36" s="92">
        <f>VLOOKUP(A36,'Categorical Exclusions &amp; Innova'!$1:$1048576,4,FALSE)</f>
        <v>0</v>
      </c>
      <c r="K36" s="229">
        <f t="shared" si="2"/>
        <v>0</v>
      </c>
      <c r="L36" s="119">
        <f t="shared" si="3"/>
        <v>6.2693505841451377E-2</v>
      </c>
      <c r="M36" s="114">
        <f t="shared" ref="M36:M46" si="6">C36-(C36*G36)-(C36*I36)-(K36*C36)+N36+O36+P36+Q36</f>
        <v>6458231.4193228893</v>
      </c>
      <c r="N36" s="420">
        <v>-187348.81015001202</v>
      </c>
      <c r="O36" s="420">
        <v>1262.7031209480001</v>
      </c>
      <c r="P36" s="114">
        <f>VLOOKUP(A36,'[20]RY 2024 DA'!$A:$IV,24,FALSE)</f>
        <v>225400.07210963275</v>
      </c>
      <c r="Q36" s="92">
        <v>0</v>
      </c>
      <c r="R36" s="114">
        <f t="shared" si="5"/>
        <v>186223.76379202897</v>
      </c>
      <c r="S36" s="119">
        <f>VLOOKUP(A36,'[21]Regulated (22)'!$B$1:$F$65536,5,FALSE)</f>
        <v>0.82619212163096056</v>
      </c>
      <c r="T36" s="92"/>
      <c r="U36" s="229"/>
      <c r="V36" s="92"/>
      <c r="W36" s="235"/>
      <c r="X36" s="114"/>
      <c r="Y36" s="114"/>
    </row>
    <row r="37" spans="1:26" x14ac:dyDescent="0.55000000000000004">
      <c r="A37" s="107">
        <v>210048</v>
      </c>
      <c r="B37" s="107" t="str">
        <f>VLOOKUP(A37,'GBR Case Mix Reconciliation'!$1:$65533,2,FALSE)</f>
        <v>Howard County</v>
      </c>
      <c r="C37" s="114">
        <f>VLOOKUP(A37,'GBR Case Mix Reconciliation'!$1:$65533,5,FALSE)-VLOOKUP(A37,'GBR Case Mix Reconciliation'!$1:$65533,6,FALSE)</f>
        <v>343377578.40199685</v>
      </c>
      <c r="E37" s="114">
        <f>VLOOKUP(A37,'GBR Case Mix Reconciliation'!$1:$65533,11,FALSE)</f>
        <v>345110522.88999999</v>
      </c>
      <c r="F37" s="114">
        <f>VLOOKUP(A37,'Oncology Drugs &amp; COVID Lab'!$1:$1048576,2,FALSE)</f>
        <v>1628584.11</v>
      </c>
      <c r="G37" s="229">
        <f t="shared" si="0"/>
        <v>4.7190218842416828E-3</v>
      </c>
      <c r="H37" s="92">
        <f>VLOOKUP(A37,Chronic!$1:$1048576,3,FALSE)</f>
        <v>0</v>
      </c>
      <c r="I37" s="229">
        <f t="shared" si="1"/>
        <v>0</v>
      </c>
      <c r="J37" s="92">
        <f>VLOOKUP(A37,'Categorical Exclusions &amp; Innova'!$1:$1048576,4,FALSE)</f>
        <v>0</v>
      </c>
      <c r="K37" s="229">
        <f t="shared" si="2"/>
        <v>0</v>
      </c>
      <c r="L37" s="119">
        <f t="shared" si="3"/>
        <v>4.7190218842416828E-3</v>
      </c>
      <c r="M37" s="114">
        <f t="shared" si="6"/>
        <v>346556209.08864111</v>
      </c>
      <c r="N37" s="420">
        <v>-291111.53976640257</v>
      </c>
      <c r="O37" s="420">
        <v>-25342.936265864504</v>
      </c>
      <c r="P37" s="114">
        <f>VLOOKUP(A37,'[20]RY 2024 DA'!$A:$IV,24,FALSE)</f>
        <v>5115491.4697135091</v>
      </c>
      <c r="Q37" s="92">
        <v>0</v>
      </c>
      <c r="R37" s="114">
        <f t="shared" si="5"/>
        <v>4445791.9209126579</v>
      </c>
      <c r="S37" s="119">
        <f>VLOOKUP(A37,'[21]Regulated (22)'!$B$1:$F$65536,5,FALSE)</f>
        <v>0.86908402589158118</v>
      </c>
      <c r="T37" s="92"/>
      <c r="U37" s="229"/>
      <c r="V37" s="92"/>
      <c r="W37" s="235"/>
      <c r="X37" s="114"/>
      <c r="Y37" s="114"/>
    </row>
    <row r="38" spans="1:26" x14ac:dyDescent="0.55000000000000004">
      <c r="A38" s="107">
        <v>210049</v>
      </c>
      <c r="B38" s="107" t="str">
        <f>VLOOKUP(A38,'GBR Case Mix Reconciliation'!$1:$65533,2,FALSE)</f>
        <v>Upper Chesapeake</v>
      </c>
      <c r="C38" s="114">
        <f>VLOOKUP(A38,'GBR Case Mix Reconciliation'!$1:$65533,5,FALSE)-VLOOKUP(A38,'GBR Case Mix Reconciliation'!$1:$65533,6,FALSE)</f>
        <v>357314210.3067801</v>
      </c>
      <c r="E38" s="114">
        <f>VLOOKUP(A38,'GBR Case Mix Reconciliation'!$1:$65533,11,FALSE)</f>
        <v>366648303.98000002</v>
      </c>
      <c r="F38" s="114">
        <f>VLOOKUP(A38,'Oncology Drugs &amp; COVID Lab'!$1:$1048576,2,FALSE)</f>
        <v>381254.39</v>
      </c>
      <c r="G38" s="229">
        <f t="shared" si="0"/>
        <v>1.0398367750824144E-3</v>
      </c>
      <c r="H38" s="92">
        <f>VLOOKUP(A38,Chronic!$1:$1048576,3,FALSE)</f>
        <v>0</v>
      </c>
      <c r="I38" s="229">
        <f t="shared" si="1"/>
        <v>0</v>
      </c>
      <c r="J38" s="92">
        <f>VLOOKUP(A38,'Categorical Exclusions &amp; Innova'!$1:$1048576,4,FALSE)</f>
        <v>0</v>
      </c>
      <c r="K38" s="229">
        <f t="shared" si="2"/>
        <v>0</v>
      </c>
      <c r="L38" s="119">
        <f t="shared" si="3"/>
        <v>1.0398367750824144E-3</v>
      </c>
      <c r="M38" s="114">
        <f t="shared" si="6"/>
        <v>360555499.02413774</v>
      </c>
      <c r="N38" s="420">
        <v>344242.01028904581</v>
      </c>
      <c r="O38" s="420">
        <v>12841.253128392802</v>
      </c>
      <c r="P38" s="114">
        <f>VLOOKUP(A38,'[20]RY 2024 DA'!$A:$IV,24,FALSE)</f>
        <v>3255753.9100766736</v>
      </c>
      <c r="Q38" s="92">
        <v>0</v>
      </c>
      <c r="R38" s="114">
        <f t="shared" si="5"/>
        <v>2817582.3893544883</v>
      </c>
      <c r="S38" s="119">
        <f>VLOOKUP(A38,'[21]Regulated (22)'!$B$1:$F$65536,5,FALSE)</f>
        <v>0.86541626522630322</v>
      </c>
      <c r="T38" s="92"/>
      <c r="U38" s="229"/>
      <c r="V38" s="92"/>
      <c r="W38" s="235"/>
      <c r="X38" s="114"/>
      <c r="Y38" s="114"/>
    </row>
    <row r="39" spans="1:26" x14ac:dyDescent="0.55000000000000004">
      <c r="A39" s="107">
        <v>210051</v>
      </c>
      <c r="B39" s="107" t="str">
        <f>VLOOKUP(A39,'GBR Case Mix Reconciliation'!$1:$65533,2,FALSE)</f>
        <v>Doctors Community</v>
      </c>
      <c r="C39" s="114">
        <f>VLOOKUP(A39,'GBR Case Mix Reconciliation'!$1:$65533,5,FALSE)-VLOOKUP(A39,'GBR Case Mix Reconciliation'!$1:$65533,6,FALSE)</f>
        <v>282574528.71081626</v>
      </c>
      <c r="E39" s="114">
        <f>VLOOKUP(A39,'GBR Case Mix Reconciliation'!$1:$65533,11,FALSE)</f>
        <v>259241775.94</v>
      </c>
      <c r="F39" s="114">
        <f>VLOOKUP(A39,'Oncology Drugs &amp; COVID Lab'!$1:$1048576,2,FALSE)</f>
        <v>661493.05000000005</v>
      </c>
      <c r="G39" s="229">
        <f t="shared" si="0"/>
        <v>2.5516452647396568E-3</v>
      </c>
      <c r="H39" s="92">
        <f>VLOOKUP(A39,Chronic!$1:$1048576,3,FALSE)</f>
        <v>0</v>
      </c>
      <c r="I39" s="229">
        <f t="shared" si="1"/>
        <v>0</v>
      </c>
      <c r="J39" s="92">
        <f>VLOOKUP(A39,'Categorical Exclusions &amp; Innova'!$1:$1048576,4,FALSE)</f>
        <v>0</v>
      </c>
      <c r="K39" s="229">
        <f t="shared" si="2"/>
        <v>0</v>
      </c>
      <c r="L39" s="119">
        <f t="shared" si="3"/>
        <v>2.5516452647396568E-3</v>
      </c>
      <c r="M39" s="114">
        <f t="shared" si="6"/>
        <v>285517283.37502766</v>
      </c>
      <c r="N39" s="420">
        <v>-3810367.7321133888</v>
      </c>
      <c r="O39" s="420">
        <v>-32438.801780082806</v>
      </c>
      <c r="P39" s="114">
        <f>VLOOKUP(A39,'[20]RY 2024 DA'!$A:$IV,24,FALSE)</f>
        <v>7506591.1562258564</v>
      </c>
      <c r="Q39" s="92">
        <v>0</v>
      </c>
      <c r="R39" s="114">
        <f t="shared" si="5"/>
        <v>6282594.5892802365</v>
      </c>
      <c r="S39" s="119">
        <f>VLOOKUP(A39,'[21]Regulated (22)'!$B$1:$F$65536,5,FALSE)</f>
        <v>0.83694375496520079</v>
      </c>
      <c r="T39" s="92"/>
      <c r="U39" s="229"/>
      <c r="V39" s="92"/>
      <c r="W39" s="235"/>
      <c r="X39" s="114"/>
      <c r="Y39" s="114"/>
    </row>
    <row r="40" spans="1:26" x14ac:dyDescent="0.55000000000000004">
      <c r="A40" s="107">
        <v>210055</v>
      </c>
      <c r="B40" s="107" t="str">
        <f>VLOOKUP(A40,'GBR Case Mix Reconciliation'!$1:$65533,2,FALSE)</f>
        <v>Laurel Regional</v>
      </c>
      <c r="C40" s="114">
        <f>VLOOKUP(A40,'GBR Case Mix Reconciliation'!$1:$65533,5,FALSE)-VLOOKUP(A40,'GBR Case Mix Reconciliation'!$1:$65533,6,FALSE)</f>
        <v>39873626.049324363</v>
      </c>
      <c r="E40" s="114">
        <f>VLOOKUP(A40,'GBR Case Mix Reconciliation'!$1:$65533,11,FALSE)</f>
        <v>34096100.859999999</v>
      </c>
      <c r="F40" s="114">
        <f>VLOOKUP(A40,'Oncology Drugs &amp; COVID Lab'!$1:$1048576,2,FALSE)</f>
        <v>26036.07</v>
      </c>
      <c r="G40" s="229">
        <f t="shared" si="0"/>
        <v>7.6360842862663921E-4</v>
      </c>
      <c r="H40" s="92">
        <f>VLOOKUP(A40,Chronic!$1:$1048576,3,FALSE)</f>
        <v>0</v>
      </c>
      <c r="I40" s="229">
        <f t="shared" si="1"/>
        <v>0</v>
      </c>
      <c r="J40" s="92">
        <f>VLOOKUP(A40,'Categorical Exclusions &amp; Innova'!$1:$1048576,4,FALSE)</f>
        <v>0</v>
      </c>
      <c r="K40" s="229">
        <f t="shared" si="2"/>
        <v>0</v>
      </c>
      <c r="L40" s="119">
        <f t="shared" si="3"/>
        <v>7.6360842862663921E-4</v>
      </c>
      <c r="M40" s="114">
        <f t="shared" si="6"/>
        <v>40214198.735883914</v>
      </c>
      <c r="N40" s="420">
        <v>-646023.56579570565</v>
      </c>
      <c r="O40" s="420">
        <v>47262.934852038998</v>
      </c>
      <c r="P40" s="114">
        <f>VLOOKUP(A40,'[20]RY 2024 DA'!$A:$IV,24,FALSE)</f>
        <v>969781.15443438618</v>
      </c>
      <c r="Q40" s="92">
        <v>0</v>
      </c>
      <c r="R40" s="114">
        <f t="shared" si="5"/>
        <v>655754.09690084564</v>
      </c>
      <c r="S40" s="119">
        <f>VLOOKUP(A40,'[21]Regulated (22)'!$B$1:$F$65536,5,FALSE)</f>
        <v>0.67618770884788615</v>
      </c>
      <c r="T40" s="92"/>
      <c r="U40" s="229"/>
      <c r="V40" s="92"/>
      <c r="W40" s="235"/>
      <c r="X40" s="114"/>
      <c r="Y40" s="114"/>
    </row>
    <row r="41" spans="1:26" x14ac:dyDescent="0.55000000000000004">
      <c r="A41" s="107">
        <v>210056</v>
      </c>
      <c r="B41" s="107" t="str">
        <f>VLOOKUP(A41,'GBR Case Mix Reconciliation'!$1:$65533,2,FALSE)</f>
        <v>Good Samaritan</v>
      </c>
      <c r="C41" s="114">
        <f>VLOOKUP(A41,'GBR Case Mix Reconciliation'!$1:$65533,5,FALSE)-VLOOKUP(A41,'GBR Case Mix Reconciliation'!$1:$65533,6,FALSE)</f>
        <v>299755741.39379269</v>
      </c>
      <c r="E41" s="114">
        <f>VLOOKUP(A41,'GBR Case Mix Reconciliation'!$1:$65533,11,FALSE)</f>
        <v>289012682.44</v>
      </c>
      <c r="F41" s="114">
        <f>VLOOKUP(A41,'Oncology Drugs &amp; COVID Lab'!$1:$1048576,2,FALSE)</f>
        <v>1018946.19</v>
      </c>
      <c r="G41" s="229">
        <f t="shared" si="0"/>
        <v>3.5256106458633925E-3</v>
      </c>
      <c r="H41" s="92">
        <f>VLOOKUP(A41,Chronic!$1:$1048576,3,FALSE)</f>
        <v>0</v>
      </c>
      <c r="I41" s="229">
        <f t="shared" si="1"/>
        <v>0</v>
      </c>
      <c r="J41" s="92">
        <f>VLOOKUP(A41,'Categorical Exclusions &amp; Innova'!$1:$1048576,4,FALSE)</f>
        <v>0</v>
      </c>
      <c r="K41" s="229">
        <f t="shared" si="2"/>
        <v>0</v>
      </c>
      <c r="L41" s="119">
        <f t="shared" si="3"/>
        <v>3.5256106458633925E-3</v>
      </c>
      <c r="M41" s="114">
        <f t="shared" si="6"/>
        <v>303044773.2382201</v>
      </c>
      <c r="N41" s="420">
        <v>2527988.2321262737</v>
      </c>
      <c r="O41" s="420">
        <v>-12616.878859993209</v>
      </c>
      <c r="P41" s="114">
        <f>VLOOKUP(A41,'[20]RY 2024 DA'!$A:$IV,24,FALSE)</f>
        <v>1830482.524177717</v>
      </c>
      <c r="Q41" s="92">
        <v>0</v>
      </c>
      <c r="R41" s="114">
        <f t="shared" si="5"/>
        <v>1566631.6883043223</v>
      </c>
      <c r="S41" s="119">
        <f>VLOOKUP(A41,'[21]Regulated (22)'!$B$1:$F$65536,5,FALSE)</f>
        <v>0.85585722213222393</v>
      </c>
      <c r="T41" s="92"/>
      <c r="U41" s="229"/>
      <c r="V41" s="92"/>
      <c r="W41" s="235"/>
      <c r="X41" s="114"/>
      <c r="Y41" s="114"/>
    </row>
    <row r="42" spans="1:26" x14ac:dyDescent="0.55000000000000004">
      <c r="A42" s="107">
        <v>210057</v>
      </c>
      <c r="B42" s="107" t="str">
        <f>VLOOKUP(A42,'GBR Case Mix Reconciliation'!$1:$65533,2,FALSE)</f>
        <v>Shady Grove</v>
      </c>
      <c r="C42" s="114">
        <f>VLOOKUP(A42,'GBR Case Mix Reconciliation'!$1:$65533,5,FALSE)-VLOOKUP(A42,'GBR Case Mix Reconciliation'!$1:$65533,6,FALSE)</f>
        <v>500049172.33017439</v>
      </c>
      <c r="E42" s="114">
        <f>VLOOKUP(A42,'GBR Case Mix Reconciliation'!$1:$65533,11,FALSE)</f>
        <v>507227771.44</v>
      </c>
      <c r="F42" s="114">
        <f>VLOOKUP(A42,'Oncology Drugs &amp; COVID Lab'!$1:$1048576,2,FALSE)</f>
        <v>4076586.62</v>
      </c>
      <c r="G42" s="229">
        <f t="shared" si="0"/>
        <v>8.036994126774109E-3</v>
      </c>
      <c r="H42" s="92">
        <f>VLOOKUP(A42,Chronic!$1:$1048576,3,FALSE)</f>
        <v>0</v>
      </c>
      <c r="I42" s="229">
        <f t="shared" si="1"/>
        <v>0</v>
      </c>
      <c r="J42" s="92">
        <f>VLOOKUP(A42,'Categorical Exclusions &amp; Innova'!$1:$1048576,4,FALSE)</f>
        <v>0</v>
      </c>
      <c r="K42" s="229">
        <f t="shared" si="2"/>
        <v>0</v>
      </c>
      <c r="L42" s="119">
        <f t="shared" si="3"/>
        <v>8.036994126774109E-3</v>
      </c>
      <c r="M42" s="114">
        <f t="shared" si="6"/>
        <v>499103487.51798743</v>
      </c>
      <c r="N42" s="420">
        <v>-2142797.7888811384</v>
      </c>
      <c r="O42" s="420">
        <v>-47418.032363901315</v>
      </c>
      <c r="P42" s="114">
        <f>VLOOKUP(A42,'[20]RY 2024 DA'!$A:$IV,24,FALSE)</f>
        <v>5263423.2701739017</v>
      </c>
      <c r="Q42" s="92">
        <v>0</v>
      </c>
      <c r="R42" s="114">
        <f t="shared" si="5"/>
        <v>4446271.1387914531</v>
      </c>
      <c r="S42" s="119">
        <f>VLOOKUP(A42,'[21]Regulated (22)'!$B$1:$F$65536,5,FALSE)</f>
        <v>0.84474892300359306</v>
      </c>
      <c r="T42" s="92"/>
      <c r="U42" s="229"/>
      <c r="V42" s="92"/>
      <c r="W42" s="235"/>
      <c r="X42" s="114"/>
      <c r="Y42" s="114"/>
    </row>
    <row r="43" spans="1:26" x14ac:dyDescent="0.55000000000000004">
      <c r="A43" s="107">
        <v>210058</v>
      </c>
      <c r="B43" s="107" t="str">
        <f>VLOOKUP(A43,'GBR Case Mix Reconciliation'!$1:$65533,2,FALSE)</f>
        <v>Rehab &amp; Ortho Institue</v>
      </c>
      <c r="C43" s="114">
        <f>VLOOKUP(A43,'GBR Case Mix Reconciliation'!$1:$65533,5,FALSE)-VLOOKUP(A43,'GBR Case Mix Reconciliation'!$1:$65533,6,FALSE)</f>
        <v>134574770.99348456</v>
      </c>
      <c r="E43" s="114">
        <f>VLOOKUP(A43,'GBR Case Mix Reconciliation'!$1:$65533,11,FALSE)</f>
        <v>132877580.38</v>
      </c>
      <c r="F43" s="114">
        <f>VLOOKUP(A43,'Oncology Drugs &amp; COVID Lab'!$1:$1048576,2,FALSE)</f>
        <v>1636818.78</v>
      </c>
      <c r="G43" s="229">
        <f t="shared" si="0"/>
        <v>1.2318246428924024E-2</v>
      </c>
      <c r="H43" s="92">
        <f>VLOOKUP(A43,Chronic!$1:$1048576,3,FALSE)</f>
        <v>17564928.510000002</v>
      </c>
      <c r="I43" s="229">
        <f t="shared" si="1"/>
        <v>0.13218880461074214</v>
      </c>
      <c r="J43" s="92">
        <f>VLOOKUP(A43,'Categorical Exclusions &amp; Innova'!$1:$1048576,4,FALSE)</f>
        <v>0</v>
      </c>
      <c r="K43" s="229">
        <f t="shared" si="2"/>
        <v>0</v>
      </c>
      <c r="L43" s="119">
        <f t="shared" si="3"/>
        <v>0.14450705103966616</v>
      </c>
      <c r="M43" s="114">
        <f t="shared" si="6"/>
        <v>116884142.59409216</v>
      </c>
      <c r="N43" s="420">
        <v>-231269.58256069259</v>
      </c>
      <c r="O43" s="420">
        <v>-308990.36030592723</v>
      </c>
      <c r="P43" s="114">
        <f>VLOOKUP(A43,'[20]RY 2024 DA'!$A:$IV,24,FALSE)</f>
        <v>2296634.8440810703</v>
      </c>
      <c r="Q43" s="92">
        <v>0</v>
      </c>
      <c r="R43" s="114">
        <f t="shared" si="5"/>
        <v>1984010.5077331099</v>
      </c>
      <c r="S43" s="119">
        <f>VLOOKUP(A43,'[21]Regulated (22)'!$B$1:$F$65536,5,FALSE)</f>
        <v>0.86387721271683149</v>
      </c>
      <c r="T43" s="92"/>
      <c r="U43" s="229"/>
      <c r="V43" s="92"/>
      <c r="W43" s="235"/>
      <c r="X43" s="114"/>
      <c r="Y43" s="114"/>
    </row>
    <row r="44" spans="1:26" x14ac:dyDescent="0.55000000000000004">
      <c r="A44" s="107">
        <v>210060</v>
      </c>
      <c r="B44" s="107" t="str">
        <f>VLOOKUP(A44,'GBR Case Mix Reconciliation'!$1:$65533,2,FALSE)</f>
        <v>Fort Washington</v>
      </c>
      <c r="C44" s="114">
        <f>VLOOKUP(A44,'GBR Case Mix Reconciliation'!$1:$65533,5,FALSE)-VLOOKUP(A44,'GBR Case Mix Reconciliation'!$1:$65533,6,FALSE)</f>
        <v>63736912.97785718</v>
      </c>
      <c r="E44" s="114">
        <f>VLOOKUP(A44,'GBR Case Mix Reconciliation'!$1:$65533,11,FALSE)</f>
        <v>67385279.329999998</v>
      </c>
      <c r="F44" s="114">
        <f>VLOOKUP(A44,'Oncology Drugs &amp; COVID Lab'!$1:$1048576,2,FALSE)</f>
        <v>63040.73</v>
      </c>
      <c r="G44" s="229">
        <f t="shared" si="0"/>
        <v>9.3552672967750397E-4</v>
      </c>
      <c r="H44" s="92">
        <f>VLOOKUP(A44,Chronic!$1:$1048576,3,FALSE)</f>
        <v>0</v>
      </c>
      <c r="I44" s="229">
        <f t="shared" si="1"/>
        <v>0</v>
      </c>
      <c r="J44" s="92">
        <f>VLOOKUP(A44,'Categorical Exclusions &amp; Innova'!$1:$1048576,4,FALSE)</f>
        <v>0</v>
      </c>
      <c r="K44" s="229">
        <f t="shared" si="2"/>
        <v>0</v>
      </c>
      <c r="L44" s="119">
        <f t="shared" si="3"/>
        <v>9.3552672967750397E-4</v>
      </c>
      <c r="M44" s="114">
        <f t="shared" si="6"/>
        <v>66025121.445559166</v>
      </c>
      <c r="N44" s="420">
        <v>441245.71766274469</v>
      </c>
      <c r="O44" s="420">
        <v>-3149.7657170000002</v>
      </c>
      <c r="P44" s="114">
        <f>VLOOKUP(A44,'[20]RY 2024 DA'!$A:$IV,24,FALSE)</f>
        <v>837795.38511390856</v>
      </c>
      <c r="Q44" s="92">
        <v>1071944.7164002408</v>
      </c>
      <c r="R44" s="114">
        <f t="shared" si="5"/>
        <v>720268.97838450258</v>
      </c>
      <c r="S44" s="119">
        <f>VLOOKUP(A44,'[21]Regulated (22)'!$B$1:$F$65536,5,FALSE)</f>
        <v>0.85971943887775548</v>
      </c>
      <c r="T44" s="92"/>
      <c r="U44" s="229"/>
      <c r="V44" s="92"/>
      <c r="W44" s="235"/>
      <c r="X44" s="114"/>
      <c r="Y44" s="114"/>
    </row>
    <row r="45" spans="1:26" x14ac:dyDescent="0.55000000000000004">
      <c r="A45" s="107">
        <v>210061</v>
      </c>
      <c r="B45" s="107" t="str">
        <f>VLOOKUP(A45,'GBR Case Mix Reconciliation'!$1:$65533,2,FALSE)</f>
        <v>Atlantic General</v>
      </c>
      <c r="C45" s="114">
        <f>VLOOKUP(A45,'GBR Case Mix Reconciliation'!$1:$65533,5,FALSE)-VLOOKUP(A45,'GBR Case Mix Reconciliation'!$1:$65533,6,FALSE)</f>
        <v>121842760.85654832</v>
      </c>
      <c r="E45" s="114">
        <f>VLOOKUP(A45,'GBR Case Mix Reconciliation'!$1:$65533,11,FALSE)</f>
        <v>124945709.09999999</v>
      </c>
      <c r="F45" s="114">
        <f>VLOOKUP(A45,'Oncology Drugs &amp; COVID Lab'!$1:$1048576,2,FALSE)</f>
        <v>558332.06000000006</v>
      </c>
      <c r="G45" s="229">
        <f t="shared" si="0"/>
        <v>4.4685973133590396E-3</v>
      </c>
      <c r="H45" s="92">
        <f>VLOOKUP(A45,Chronic!$1:$1048576,3,FALSE)</f>
        <v>0</v>
      </c>
      <c r="I45" s="229">
        <f t="shared" si="1"/>
        <v>0</v>
      </c>
      <c r="J45" s="92">
        <f>VLOOKUP(A45,'Categorical Exclusions &amp; Innova'!$1:$1048576,4,FALSE)</f>
        <v>0</v>
      </c>
      <c r="K45" s="229">
        <f t="shared" si="2"/>
        <v>0</v>
      </c>
      <c r="L45" s="119">
        <f t="shared" si="3"/>
        <v>4.4685973133590396E-3</v>
      </c>
      <c r="M45" s="114">
        <f t="shared" si="6"/>
        <v>123504689.38214977</v>
      </c>
      <c r="N45" s="420">
        <v>217511.84336125874</v>
      </c>
      <c r="O45" s="420">
        <v>-11238.873229301402</v>
      </c>
      <c r="P45" s="114">
        <f>VLOOKUP(A45,'[20]RY 2024 DA'!$A:$IV,24,FALSE)</f>
        <v>577289.32571904373</v>
      </c>
      <c r="Q45" s="92">
        <v>1422832.4635662618</v>
      </c>
      <c r="R45" s="114">
        <f t="shared" si="5"/>
        <v>496268.93748392927</v>
      </c>
      <c r="S45" s="119">
        <f>VLOOKUP(A45,'[21]Regulated (22)'!$B$1:$F$65536,5,FALSE)</f>
        <v>0.8596537565731025</v>
      </c>
      <c r="T45" s="92"/>
      <c r="U45" s="229"/>
      <c r="V45" s="92"/>
      <c r="W45" s="235"/>
      <c r="X45" s="114"/>
      <c r="Y45" s="114"/>
    </row>
    <row r="46" spans="1:26" x14ac:dyDescent="0.55000000000000004">
      <c r="A46" s="107">
        <v>210062</v>
      </c>
      <c r="B46" s="107" t="str">
        <f>VLOOKUP(A46,'GBR Case Mix Reconciliation'!$1:$65533,2,FALSE)</f>
        <v>Southern Maryland</v>
      </c>
      <c r="C46" s="114">
        <f>VLOOKUP(A46,'GBR Case Mix Reconciliation'!$1:$65533,5,FALSE)-VLOOKUP(A46,'GBR Case Mix Reconciliation'!$1:$65533,6,FALSE)</f>
        <v>306961268.23267889</v>
      </c>
      <c r="E46" s="114">
        <f>VLOOKUP(A46,'GBR Case Mix Reconciliation'!$1:$65533,11,FALSE)</f>
        <v>298015022.06</v>
      </c>
      <c r="F46" s="114">
        <f>VLOOKUP(A46,'Oncology Drugs &amp; COVID Lab'!$1:$1048576,2,FALSE)</f>
        <v>173698.84</v>
      </c>
      <c r="G46" s="229">
        <f t="shared" si="0"/>
        <v>5.8285263205634262E-4</v>
      </c>
      <c r="H46" s="92">
        <f>VLOOKUP(A46,Chronic!$1:$1048576,3,FALSE)</f>
        <v>0</v>
      </c>
      <c r="I46" s="229">
        <f t="shared" si="1"/>
        <v>0</v>
      </c>
      <c r="J46" s="92">
        <f>VLOOKUP(A46,'Categorical Exclusions &amp; Innova'!$1:$1048576,4,FALSE)</f>
        <v>0</v>
      </c>
      <c r="K46" s="229">
        <f t="shared" si="2"/>
        <v>0</v>
      </c>
      <c r="L46" s="119">
        <f t="shared" si="3"/>
        <v>5.8285263205634262E-4</v>
      </c>
      <c r="M46" s="114">
        <f t="shared" si="6"/>
        <v>312383262.27148259</v>
      </c>
      <c r="N46" s="420">
        <v>1360502.4589735882</v>
      </c>
      <c r="O46" s="420">
        <v>38857.481358781894</v>
      </c>
      <c r="P46" s="114">
        <f>VLOOKUP(A46,'[20]RY 2024 DA'!$A:$IV,24,FALSE)</f>
        <v>4201547.2816001372</v>
      </c>
      <c r="Q46" s="92">
        <v>0</v>
      </c>
      <c r="R46" s="114">
        <f t="shared" si="5"/>
        <v>3579121.8385142931</v>
      </c>
      <c r="S46" s="119">
        <f>VLOOKUP(A46,'[21]Regulated (22)'!$B$1:$F$65536,5,FALSE)</f>
        <v>0.85185804148589839</v>
      </c>
      <c r="T46" s="92"/>
      <c r="U46" s="229"/>
      <c r="V46" s="92"/>
      <c r="W46" s="235"/>
      <c r="X46" s="114"/>
      <c r="Y46" s="114"/>
    </row>
    <row r="47" spans="1:26" x14ac:dyDescent="0.55000000000000004">
      <c r="A47" s="107">
        <v>210063</v>
      </c>
      <c r="B47" s="107" t="str">
        <f>VLOOKUP(A47,'GBR Case Mix Reconciliation'!$1:$65533,2,FALSE)</f>
        <v>St. Joseph</v>
      </c>
      <c r="C47" s="114">
        <f>VLOOKUP(A47,'GBR Case Mix Reconciliation'!$1:$65533,5,FALSE)-VLOOKUP(A47,'GBR Case Mix Reconciliation'!$1:$65533,6,FALSE)</f>
        <v>445936621.76223385</v>
      </c>
      <c r="E47" s="114">
        <f>VLOOKUP(A47,'GBR Case Mix Reconciliation'!$1:$65533,11,FALSE)</f>
        <v>430815368.43000001</v>
      </c>
      <c r="F47" s="114">
        <f>VLOOKUP(A47,'Oncology Drugs &amp; COVID Lab'!$1:$1048576,2,FALSE)</f>
        <v>284253.45</v>
      </c>
      <c r="G47" s="229">
        <f t="shared" si="0"/>
        <v>6.5980341192537156E-4</v>
      </c>
      <c r="H47" s="92">
        <f>VLOOKUP(A47,Chronic!$1:$1048576,3,FALSE)</f>
        <v>0</v>
      </c>
      <c r="I47" s="229">
        <f t="shared" si="1"/>
        <v>0</v>
      </c>
      <c r="J47" s="92">
        <f>VLOOKUP(A47,'Categorical Exclusions &amp; Innova'!$1:$1048576,4,FALSE)</f>
        <v>0</v>
      </c>
      <c r="K47" s="229">
        <f t="shared" si="2"/>
        <v>0</v>
      </c>
      <c r="L47" s="119">
        <f t="shared" si="3"/>
        <v>6.5980341192537156E-4</v>
      </c>
      <c r="M47" s="427">
        <f>C47-(C47*G47)-(C47*I47)-(K47*C47)+N47+O47+P47+Q47-8010215</f>
        <v>440688737.8692503</v>
      </c>
      <c r="N47" s="420">
        <v>-1290906.4091890296</v>
      </c>
      <c r="O47" s="420">
        <v>-148710.57241827631</v>
      </c>
      <c r="P47" s="114">
        <f>VLOOKUP(A47,'[20]RY 2024 DA'!$A:$IV,24,FALSE)</f>
        <v>4496178.5931649897</v>
      </c>
      <c r="Q47" s="92">
        <v>0</v>
      </c>
      <c r="R47" s="114">
        <f t="shared" si="5"/>
        <v>3873563.7805741443</v>
      </c>
      <c r="S47" s="119">
        <f>VLOOKUP(A47,'[21]Regulated (22)'!$B$1:$F$65536,5,FALSE)</f>
        <v>0.86152355835301264</v>
      </c>
      <c r="T47" s="372"/>
      <c r="U47" s="372"/>
      <c r="V47" s="372"/>
      <c r="W47" s="372"/>
      <c r="X47" s="372"/>
      <c r="Y47" s="372"/>
      <c r="Z47" s="372" t="e">
        <f>VLOOKUP(L47,[22]Hospital!$A:$IV,11,FALSE)</f>
        <v>#N/A</v>
      </c>
    </row>
    <row r="48" spans="1:26" x14ac:dyDescent="0.55000000000000004">
      <c r="A48" s="107">
        <v>210065</v>
      </c>
      <c r="B48" s="107" t="str">
        <f>VLOOKUP(A48,'GBR Case Mix Reconciliation'!$1:$65533,2,FALSE)</f>
        <v>Holy Cross Germantown</v>
      </c>
      <c r="C48" s="114">
        <f>VLOOKUP(A48,'GBR Case Mix Reconciliation'!$1:$65533,5,FALSE)-VLOOKUP(A48,'GBR Case Mix Reconciliation'!$1:$65533,6,FALSE)</f>
        <v>139007469.01133519</v>
      </c>
      <c r="E48" s="114">
        <f>VLOOKUP(A48,'GBR Case Mix Reconciliation'!$1:$65533,11,FALSE)</f>
        <v>145500726.12</v>
      </c>
      <c r="F48" s="114">
        <f>VLOOKUP(A48,'Oncology Drugs &amp; COVID Lab'!$1:$1048576,2,FALSE)</f>
        <v>156882.33000000002</v>
      </c>
      <c r="G48" s="229">
        <f t="shared" si="0"/>
        <v>1.0782236912729437E-3</v>
      </c>
      <c r="H48" s="92">
        <f>VLOOKUP(A48,Chronic!$1:$1048576,3,FALSE)</f>
        <v>0</v>
      </c>
      <c r="I48" s="229">
        <f t="shared" si="1"/>
        <v>0</v>
      </c>
      <c r="J48" s="92">
        <f>VLOOKUP(A48,'Categorical Exclusions &amp; Innova'!$1:$1048576,4,FALSE)</f>
        <v>0</v>
      </c>
      <c r="K48" s="229">
        <f>J48/F48</f>
        <v>0</v>
      </c>
      <c r="L48" s="119">
        <f t="shared" si="3"/>
        <v>1.0782236912729437E-3</v>
      </c>
      <c r="M48" s="114">
        <f>C48-(C48*G48)-(C48*I48)-(K48*C48)+N48+O48+P48+Q48</f>
        <v>145294510.05613631</v>
      </c>
      <c r="N48" s="420">
        <v>2707883.5052634152</v>
      </c>
      <c r="O48" s="420">
        <v>28079.228494972991</v>
      </c>
      <c r="P48" s="114">
        <f>VLOOKUP(A48,'[20]RY 2024 DA'!$A:$IV,24,FALSE)</f>
        <v>1605475.5684883429</v>
      </c>
      <c r="Q48" s="92">
        <v>2095483.888906294</v>
      </c>
      <c r="R48" s="114">
        <f t="shared" si="5"/>
        <v>1406906.8057858194</v>
      </c>
      <c r="S48" s="119">
        <f>VLOOKUP(A48,'[21]Regulated (22)'!$B$1:$F$65536,5,FALSE)</f>
        <v>0.87631779231029427</v>
      </c>
      <c r="T48" s="372"/>
      <c r="U48" s="372"/>
      <c r="V48" s="372"/>
      <c r="W48" s="372"/>
      <c r="X48" s="372"/>
      <c r="Y48" s="372"/>
      <c r="Z48" s="372" t="e">
        <f>VLOOKUP(L48,[22]Hospital!$A:$IV,11,FALSE)</f>
        <v>#N/A</v>
      </c>
    </row>
    <row r="50" spans="1:23" s="231" customFormat="1" ht="18.3" x14ac:dyDescent="0.7">
      <c r="A50" s="450" t="s">
        <v>302</v>
      </c>
      <c r="B50" s="450"/>
      <c r="C50" s="232">
        <f>SUBTOTAL(9,C2:C48)</f>
        <v>19009051330.913296</v>
      </c>
      <c r="D50" s="232"/>
      <c r="E50" s="232">
        <f>SUBTOTAL(9,E2:E48)</f>
        <v>19036133502.830002</v>
      </c>
      <c r="F50" s="232">
        <f>SUBTOTAL(9,F2:F48)</f>
        <v>925332895.18000007</v>
      </c>
      <c r="G50" s="234">
        <f>F50/E50</f>
        <v>4.8609287965039522E-2</v>
      </c>
      <c r="H50" s="232">
        <f>SUBTOTAL(9,H2:H47)</f>
        <v>46394361.710000008</v>
      </c>
      <c r="I50" s="233">
        <f>H50/E50</f>
        <v>2.4371735837586347E-3</v>
      </c>
      <c r="J50" s="232">
        <f>SUBTOTAL(9,J2:J48)</f>
        <v>613261685.09000003</v>
      </c>
      <c r="K50" s="233">
        <f>J50/E50</f>
        <v>3.221566422607982E-2</v>
      </c>
      <c r="L50" s="426">
        <f>G50+I50+K50</f>
        <v>8.3262125774877974E-2</v>
      </c>
      <c r="M50" s="232">
        <f t="shared" ref="M50:R50" si="7">SUBTOTAL(9,M2:M48)</f>
        <v>17710547236.803333</v>
      </c>
      <c r="N50" s="232">
        <f t="shared" si="7"/>
        <v>-16114832.230915185</v>
      </c>
      <c r="O50" s="232">
        <f t="shared" si="7"/>
        <v>49049.267981815312</v>
      </c>
      <c r="P50" s="232">
        <f t="shared" si="7"/>
        <v>252574763.21893126</v>
      </c>
      <c r="Q50" s="232">
        <f t="shared" si="7"/>
        <v>40300495.882211402</v>
      </c>
      <c r="R50" s="232">
        <f t="shared" si="7"/>
        <v>214577249.75319961</v>
      </c>
      <c r="W50" s="232"/>
    </row>
    <row r="69" spans="3:3" x14ac:dyDescent="0.55000000000000004">
      <c r="C69" s="127"/>
    </row>
  </sheetData>
  <sheetCalcPr fullCalcOnLoad="1"/>
  <autoFilter ref="A1:X47"/>
  <mergeCells count="1">
    <mergeCell ref="A50:B50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V74"/>
  <sheetViews>
    <sheetView zoomScale="105" zoomScaleNormal="105" workbookViewId="0">
      <pane xSplit="2" topLeftCell="G1" activePane="topRight" state="frozen"/>
      <selection pane="topRight" activeCell="V13" sqref="V13"/>
    </sheetView>
  </sheetViews>
  <sheetFormatPr defaultColWidth="9.15625" defaultRowHeight="15.3" x14ac:dyDescent="0.55000000000000004"/>
  <cols>
    <col min="1" max="1" width="10.578125" style="107" bestFit="1" customWidth="1"/>
    <col min="2" max="2" width="35.26171875" style="107" bestFit="1" customWidth="1"/>
    <col min="3" max="3" width="28.83984375" style="194" bestFit="1" customWidth="1"/>
    <col min="4" max="4" width="20" style="194" bestFit="1" customWidth="1"/>
    <col min="5" max="5" width="23.15625" style="194" bestFit="1" customWidth="1"/>
    <col min="6" max="6" width="26.15625" style="194" bestFit="1" customWidth="1"/>
    <col min="7" max="7" width="27.578125" style="197" bestFit="1" customWidth="1"/>
    <col min="8" max="8" width="46" style="242" bestFit="1" customWidth="1"/>
    <col min="9" max="9" width="26.578125" style="194" bestFit="1" customWidth="1"/>
    <col min="10" max="10" width="17.41796875" style="194" bestFit="1" customWidth="1"/>
    <col min="11" max="11" width="27.68359375" style="194" customWidth="1"/>
    <col min="12" max="12" width="26.15625" style="107" customWidth="1"/>
    <col min="13" max="13" width="18.15625" style="107" customWidth="1"/>
    <col min="14" max="14" width="32.68359375" style="241" bestFit="1" customWidth="1"/>
    <col min="15" max="15" width="16.15625" style="107" customWidth="1"/>
    <col min="16" max="16" width="10.41796875" style="107" hidden="1" customWidth="1"/>
    <col min="17" max="18" width="2" style="107" hidden="1" customWidth="1"/>
    <col min="19" max="19" width="2" style="240" hidden="1" customWidth="1"/>
    <col min="20" max="20" width="10" style="107" hidden="1" customWidth="1"/>
    <col min="21" max="21" width="14.83984375" style="107" bestFit="1" customWidth="1"/>
    <col min="22" max="22" width="20.68359375" style="107" bestFit="1" customWidth="1"/>
    <col min="23" max="16384" width="9.15625" style="107"/>
  </cols>
  <sheetData>
    <row r="1" spans="1:22" ht="115.5" x14ac:dyDescent="0.85">
      <c r="A1" s="260" t="s">
        <v>357</v>
      </c>
      <c r="B1" s="260" t="s">
        <v>356</v>
      </c>
      <c r="C1" s="260" t="s">
        <v>355</v>
      </c>
      <c r="D1" s="260" t="s">
        <v>354</v>
      </c>
      <c r="E1" s="260" t="s">
        <v>353</v>
      </c>
      <c r="F1" s="260" t="s">
        <v>352</v>
      </c>
      <c r="G1" s="260" t="s">
        <v>351</v>
      </c>
      <c r="H1" s="264" t="s">
        <v>350</v>
      </c>
      <c r="I1" s="260" t="s">
        <v>349</v>
      </c>
      <c r="J1" s="260" t="s">
        <v>348</v>
      </c>
      <c r="K1" s="260" t="s">
        <v>347</v>
      </c>
      <c r="L1" s="260" t="s">
        <v>346</v>
      </c>
      <c r="M1" s="260" t="s">
        <v>345</v>
      </c>
      <c r="N1" s="263" t="s">
        <v>344</v>
      </c>
      <c r="O1" s="262" t="s">
        <v>343</v>
      </c>
      <c r="Q1" s="260" t="s">
        <v>342</v>
      </c>
      <c r="R1" s="260" t="s">
        <v>341</v>
      </c>
      <c r="S1" s="261" t="s">
        <v>340</v>
      </c>
      <c r="T1" s="260" t="s">
        <v>339</v>
      </c>
    </row>
    <row r="2" spans="1:22" s="256" customFormat="1" ht="46.5" customHeight="1" x14ac:dyDescent="0.55000000000000004">
      <c r="A2" s="256" t="s">
        <v>283</v>
      </c>
      <c r="B2" s="256" t="s">
        <v>265</v>
      </c>
      <c r="C2" s="259" t="s">
        <v>598</v>
      </c>
      <c r="D2" s="259" t="s">
        <v>338</v>
      </c>
      <c r="E2" s="259" t="s">
        <v>599</v>
      </c>
      <c r="F2" s="256" t="s">
        <v>600</v>
      </c>
      <c r="G2" s="256" t="s">
        <v>601</v>
      </c>
      <c r="H2" s="258" t="s">
        <v>602</v>
      </c>
      <c r="I2" s="259" t="s">
        <v>603</v>
      </c>
      <c r="J2" s="259" t="s">
        <v>338</v>
      </c>
      <c r="K2" s="259" t="s">
        <v>604</v>
      </c>
      <c r="L2" s="256" t="s">
        <v>605</v>
      </c>
      <c r="M2" s="256" t="s">
        <v>337</v>
      </c>
      <c r="N2" s="258" t="s">
        <v>606</v>
      </c>
      <c r="O2" s="256" t="s">
        <v>333</v>
      </c>
      <c r="Q2" s="256" t="s">
        <v>336</v>
      </c>
      <c r="R2" s="256" t="s">
        <v>335</v>
      </c>
      <c r="S2" s="257" t="s">
        <v>334</v>
      </c>
      <c r="T2" s="256" t="s">
        <v>333</v>
      </c>
      <c r="U2" s="107"/>
      <c r="V2" s="120"/>
    </row>
    <row r="3" spans="1:22" x14ac:dyDescent="0.55000000000000004">
      <c r="A3" s="107">
        <v>210001</v>
      </c>
      <c r="B3" s="107" t="s">
        <v>28</v>
      </c>
      <c r="C3" s="194">
        <f>VLOOKUP($A3,[23]Sheet2!$B$1:$E$65536,4,FALSE)</f>
        <v>437530256.75503224</v>
      </c>
      <c r="D3" s="185"/>
      <c r="E3" s="194">
        <f t="shared" ref="E3:E48" si="0">C3+D3</f>
        <v>437530256.75503224</v>
      </c>
      <c r="F3" s="194">
        <f>VLOOKUP($A3,[23]Sheet2!$B$1:$F$65536,5,FALSE)</f>
        <v>16664454.762290198</v>
      </c>
      <c r="G3" s="194">
        <f>VLOOKUP($A3,[23]Sheet2!$B$1:$G$65536,6,FALSE)</f>
        <v>12824818.512742093</v>
      </c>
      <c r="H3" s="242">
        <f>E3-F3-G3</f>
        <v>408040983.47999996</v>
      </c>
      <c r="I3" s="194">
        <f>IFERROR(VLOOKUP(A3,Volume!AG:AI,3,FALSE),0)</f>
        <v>428440467.56999999</v>
      </c>
      <c r="J3" s="185">
        <f>D3</f>
        <v>0</v>
      </c>
      <c r="K3" s="194">
        <f t="shared" ref="K3:K48" si="1">I3+J3</f>
        <v>428440467.56999999</v>
      </c>
      <c r="L3" s="194">
        <f>VLOOKUP($A3,[23]Sheet2!$B$1:$I$65536,8,FALSE)</f>
        <v>23168438.959999997</v>
      </c>
      <c r="M3" s="194">
        <v>-733087.28350692987</v>
      </c>
      <c r="N3" s="253">
        <f t="shared" ref="N3:N48" si="2">K3-L3-M3</f>
        <v>406005115.89350694</v>
      </c>
      <c r="O3" s="94">
        <f t="shared" ref="O3:O48" si="3">H3/N3-1</f>
        <v>5.014388998553887E-3</v>
      </c>
      <c r="P3" s="246">
        <f t="shared" ref="P3:P48" si="4">G3/C3</f>
        <v>2.9311843729067061E-2</v>
      </c>
      <c r="Q3" s="194">
        <v>326425870.48000002</v>
      </c>
      <c r="R3" s="194">
        <f>VLOOKUP(A3,Chronic!$1:$1048576,3,FALSE)</f>
        <v>0</v>
      </c>
      <c r="S3" s="252">
        <f t="shared" ref="S3:S48" si="5">Q3+R3</f>
        <v>326425870.48000002</v>
      </c>
      <c r="T3" s="123">
        <f>S3/I3-1</f>
        <v>-0.23810681952757529</v>
      </c>
      <c r="V3" s="120"/>
    </row>
    <row r="4" spans="1:22" x14ac:dyDescent="0.55000000000000004">
      <c r="A4" s="107">
        <v>210002</v>
      </c>
      <c r="B4" s="107" t="s">
        <v>110</v>
      </c>
      <c r="C4" s="194">
        <f>VLOOKUP($A4,[23]Sheet2!$B$1:$E$65536,4,FALSE)</f>
        <v>1846218814.4700689</v>
      </c>
      <c r="D4" s="247">
        <f>(1807461.72897*1000-I4)*-1</f>
        <v>-43184837.299999952</v>
      </c>
      <c r="E4" s="194">
        <f t="shared" si="0"/>
        <v>1803033977.170069</v>
      </c>
      <c r="F4" s="194">
        <f>VLOOKUP($A4,[23]Sheet2!$B$1:$F$65536,5,FALSE)</f>
        <v>69600712.055296466</v>
      </c>
      <c r="G4" s="194">
        <f>VLOOKUP($A4,[23]Sheet2!$B$1:$G$65536,6,FALSE)</f>
        <v>61457794.844772689</v>
      </c>
      <c r="H4" s="242">
        <f t="shared" ref="H4:H48" si="6">E4-F4-G4</f>
        <v>1671975470.27</v>
      </c>
      <c r="I4" s="194">
        <f>IFERROR(VLOOKUP(A4,Volume!AG:AI,3,FALSE),0)</f>
        <v>1764276891.6700001</v>
      </c>
      <c r="J4" s="185"/>
      <c r="K4" s="194">
        <f t="shared" si="1"/>
        <v>1764276891.6700001</v>
      </c>
      <c r="L4" s="194">
        <f>VLOOKUP($A4,[23]Sheet2!$B$1:$I$65536,8,FALSE)</f>
        <v>91025053.449999988</v>
      </c>
      <c r="M4" s="194">
        <v>1278833.8900616169</v>
      </c>
      <c r="N4" s="253">
        <f t="shared" si="2"/>
        <v>1671973004.3299384</v>
      </c>
      <c r="O4" s="94">
        <f t="shared" si="3"/>
        <v>1.4748683472287638E-6</v>
      </c>
      <c r="P4" s="246">
        <f t="shared" si="4"/>
        <v>3.3288467414093213E-2</v>
      </c>
      <c r="Q4" s="194">
        <v>1331280493.9000001</v>
      </c>
      <c r="R4" s="194">
        <f>VLOOKUP(A4,Chronic!$1:$1048576,3,FALSE)</f>
        <v>0</v>
      </c>
      <c r="S4" s="252">
        <f t="shared" si="5"/>
        <v>1331280493.9000001</v>
      </c>
      <c r="T4" s="255">
        <f>S4/K4-1</f>
        <v>-0.24542428675135075</v>
      </c>
      <c r="U4" s="188"/>
      <c r="V4" s="120"/>
    </row>
    <row r="5" spans="1:22" x14ac:dyDescent="0.55000000000000004">
      <c r="A5" s="107">
        <v>210003</v>
      </c>
      <c r="B5" s="107" t="s">
        <v>114</v>
      </c>
      <c r="C5" s="194">
        <f>VLOOKUP($A5,[23]Sheet2!$B$1:$E$65536,4,FALSE)</f>
        <v>391706342.11482489</v>
      </c>
      <c r="E5" s="194">
        <f t="shared" si="0"/>
        <v>391706342.11482489</v>
      </c>
      <c r="F5" s="194">
        <f>VLOOKUP($A5,[23]Sheet2!$B$1:$F$65536,5,FALSE)</f>
        <v>22121396.436897103</v>
      </c>
      <c r="G5" s="194">
        <f>VLOOKUP($A5,[23]Sheet2!$B$1:$G$65536,6,FALSE)</f>
        <v>14598236.057927826</v>
      </c>
      <c r="H5" s="242">
        <f t="shared" si="6"/>
        <v>354986709.61999995</v>
      </c>
      <c r="I5" s="194">
        <f>IFERROR(VLOOKUP(A5,Volume!AG:AI,3,FALSE),0)</f>
        <v>389265489.22000003</v>
      </c>
      <c r="K5" s="194">
        <f t="shared" si="1"/>
        <v>389265489.22000003</v>
      </c>
      <c r="L5" s="194">
        <f>VLOOKUP($A5,[23]Sheet2!$B$1:$I$65536,8,FALSE)</f>
        <v>31590999.149999999</v>
      </c>
      <c r="M5" s="194">
        <v>177347.69978672266</v>
      </c>
      <c r="N5" s="253">
        <f t="shared" si="2"/>
        <v>357497142.37021333</v>
      </c>
      <c r="O5" s="94">
        <f t="shared" si="3"/>
        <v>-7.022245642494318E-3</v>
      </c>
      <c r="P5" s="246">
        <f t="shared" si="4"/>
        <v>3.7268316818951312E-2</v>
      </c>
      <c r="Q5" s="194">
        <v>293466773.49000001</v>
      </c>
      <c r="R5" s="194">
        <f>VLOOKUP(A5,Chronic!$1:$1048576,3,FALSE)</f>
        <v>0</v>
      </c>
      <c r="S5" s="252">
        <f t="shared" si="5"/>
        <v>293466773.49000001</v>
      </c>
      <c r="T5" s="123">
        <f t="shared" ref="T5:T48" si="7">S5/I5-1</f>
        <v>-0.24610123009352558</v>
      </c>
      <c r="V5" s="120"/>
    </row>
    <row r="6" spans="1:22" x14ac:dyDescent="0.55000000000000004">
      <c r="A6" s="107">
        <v>210004</v>
      </c>
      <c r="B6" s="107" t="s">
        <v>15</v>
      </c>
      <c r="C6" s="194">
        <f>VLOOKUP($A6,[23]Sheet2!$B$1:$E$65536,4,FALSE)</f>
        <v>573227266.36430228</v>
      </c>
      <c r="E6" s="194">
        <f>C6+D6</f>
        <v>573227266.36430228</v>
      </c>
      <c r="F6" s="194">
        <f>VLOOKUP($A6,[23]Sheet2!$B$1:$F$65536,5,FALSE)</f>
        <v>15248161.426763432</v>
      </c>
      <c r="G6" s="194">
        <f>VLOOKUP($A6,[23]Sheet2!$B$1:$G$65536,6,FALSE)</f>
        <v>3587291.7075388366</v>
      </c>
      <c r="H6" s="242">
        <f>E6-F6-G6</f>
        <v>554391813.23000002</v>
      </c>
      <c r="I6" s="194">
        <f>IFERROR(VLOOKUP(A6,Volume!AG:AI,3,FALSE),0)</f>
        <v>576069470.96000004</v>
      </c>
      <c r="K6" s="194">
        <f>I6+J6</f>
        <v>576069470.96000004</v>
      </c>
      <c r="L6" s="194">
        <f>VLOOKUP($A6,[23]Sheet2!$B$1:$I$65536,8,FALSE)</f>
        <v>18376206.509999998</v>
      </c>
      <c r="M6" s="194">
        <v>329178.26437532902</v>
      </c>
      <c r="N6" s="253">
        <f>I6-L6-M6</f>
        <v>557364086.18562472</v>
      </c>
      <c r="O6" s="94">
        <f>H6/N6-1</f>
        <v>-5.3327313856293967E-3</v>
      </c>
      <c r="Q6" s="194">
        <v>503985991.80000001</v>
      </c>
      <c r="R6" s="194">
        <f>VLOOKUP(A6,Chronic!$1:$1048576,3,FALSE)</f>
        <v>0</v>
      </c>
      <c r="S6" s="252">
        <f>Q6+R6</f>
        <v>503985991.80000001</v>
      </c>
      <c r="T6" s="123">
        <f>Q6/I6-1</f>
        <v>-0.12512983727444427</v>
      </c>
    </row>
    <row r="7" spans="1:22" x14ac:dyDescent="0.55000000000000004">
      <c r="A7" s="107">
        <v>210005</v>
      </c>
      <c r="B7" s="107" t="s">
        <v>332</v>
      </c>
      <c r="C7" s="194">
        <f>VLOOKUP($A7,[23]Sheet2!$B$1:$E$65536,4,FALSE)</f>
        <v>411084017.07768136</v>
      </c>
      <c r="E7" s="194">
        <f t="shared" si="0"/>
        <v>411084017.07768136</v>
      </c>
      <c r="F7" s="194">
        <f>VLOOKUP($A7,[23]Sheet2!$B$1:$F$65536,5,FALSE)</f>
        <v>13268347.166476177</v>
      </c>
      <c r="G7" s="194">
        <f>VLOOKUP($A7,[23]Sheet2!$B$1:$G$65536,6,FALSE)</f>
        <v>12841303.921205072</v>
      </c>
      <c r="H7" s="242">
        <f t="shared" si="6"/>
        <v>384974365.99000013</v>
      </c>
      <c r="I7" s="194">
        <f>IFERROR(VLOOKUP(A7,Volume!AG:AI,3,FALSE),0)</f>
        <v>395399477.69</v>
      </c>
      <c r="K7" s="194">
        <f t="shared" si="1"/>
        <v>395399477.69</v>
      </c>
      <c r="L7" s="194">
        <f>VLOOKUP($A7,[23]Sheet2!$B$1:$I$65536,8,FALSE)</f>
        <v>17649473.080000002</v>
      </c>
      <c r="M7" s="194">
        <v>-1781477.0679407716</v>
      </c>
      <c r="N7" s="253">
        <f t="shared" si="2"/>
        <v>379531481.67794079</v>
      </c>
      <c r="O7" s="94">
        <f t="shared" si="3"/>
        <v>1.4341061479263617E-2</v>
      </c>
      <c r="P7" s="246">
        <f t="shared" si="4"/>
        <v>3.1237662832263525E-2</v>
      </c>
      <c r="Q7" s="194">
        <v>345223727.00999999</v>
      </c>
      <c r="R7" s="194">
        <f>VLOOKUP(A7,Chronic!$1:$1048576,3,FALSE)</f>
        <v>0</v>
      </c>
      <c r="S7" s="252">
        <f t="shared" si="5"/>
        <v>345223727.00999999</v>
      </c>
      <c r="T7" s="123">
        <f t="shared" si="7"/>
        <v>-0.12689887951581635</v>
      </c>
      <c r="V7" s="120"/>
    </row>
    <row r="8" spans="1:22" x14ac:dyDescent="0.55000000000000004">
      <c r="A8" s="107">
        <v>210006</v>
      </c>
      <c r="B8" s="107" t="s">
        <v>331</v>
      </c>
      <c r="C8" s="194">
        <f>VLOOKUP($A8,[23]Sheet2!$B$1:$E$65536,4,FALSE)</f>
        <v>121827780.15153924</v>
      </c>
      <c r="E8" s="194">
        <f t="shared" si="0"/>
        <v>121827780.15153924</v>
      </c>
      <c r="F8" s="194">
        <f>VLOOKUP($A8,[23]Sheet2!$B$1:$F$65536,5,FALSE)</f>
        <v>6829011.6762799202</v>
      </c>
      <c r="G8" s="194">
        <f>VLOOKUP($A8,[23]Sheet2!$B$1:$G$65536,6,FALSE)</f>
        <v>1407971.1852593091</v>
      </c>
      <c r="H8" s="242">
        <f t="shared" si="6"/>
        <v>113590797.29000001</v>
      </c>
      <c r="I8" s="194">
        <f>IFERROR(VLOOKUP(A8,Volume!AG:AI,3,FALSE),0)</f>
        <v>119042126.78</v>
      </c>
      <c r="K8" s="194">
        <f t="shared" si="1"/>
        <v>119042126.78</v>
      </c>
      <c r="L8" s="194">
        <f>VLOOKUP($A8,[23]Sheet2!$B$1:$I$65536,8,FALSE)</f>
        <v>8969537.629999999</v>
      </c>
      <c r="M8" s="194">
        <v>-2624903.626897797</v>
      </c>
      <c r="N8" s="253">
        <f t="shared" si="2"/>
        <v>112697492.7768978</v>
      </c>
      <c r="O8" s="94">
        <f t="shared" si="3"/>
        <v>7.9265695366501632E-3</v>
      </c>
      <c r="P8" s="246">
        <f t="shared" si="4"/>
        <v>1.1557061808956551E-2</v>
      </c>
      <c r="Q8" s="194">
        <v>105818222.64</v>
      </c>
      <c r="R8" s="194">
        <f>VLOOKUP(A8,Chronic!$1:$1048576,3,FALSE)</f>
        <v>0</v>
      </c>
      <c r="S8" s="252">
        <f t="shared" si="5"/>
        <v>105818222.64</v>
      </c>
      <c r="T8" s="123">
        <f t="shared" si="7"/>
        <v>-0.11108591973023885</v>
      </c>
      <c r="V8" s="120"/>
    </row>
    <row r="9" spans="1:22" x14ac:dyDescent="0.55000000000000004">
      <c r="A9" s="107">
        <v>210008</v>
      </c>
      <c r="B9" s="107" t="s">
        <v>27</v>
      </c>
      <c r="C9" s="194">
        <f>VLOOKUP($A9,[23]Sheet2!$B$1:$E$65536,4,FALSE)</f>
        <v>653595294.75759995</v>
      </c>
      <c r="E9" s="194">
        <f t="shared" si="0"/>
        <v>653595294.75759995</v>
      </c>
      <c r="F9" s="194">
        <f>VLOOKUP($A9,[23]Sheet2!$B$1:$F$65536,5,FALSE)</f>
        <v>19769870.234679408</v>
      </c>
      <c r="G9" s="194">
        <f>VLOOKUP($A9,[23]Sheet2!$B$1:$G$65536,6,FALSE)</f>
        <v>29848215.12292048</v>
      </c>
      <c r="H9" s="242">
        <f t="shared" si="6"/>
        <v>603977209.39999998</v>
      </c>
      <c r="I9" s="194">
        <f>IFERROR(VLOOKUP(A9,Volume!AG:AI,3,FALSE),0)</f>
        <v>627665746.37</v>
      </c>
      <c r="K9" s="194">
        <f t="shared" si="1"/>
        <v>627665746.37</v>
      </c>
      <c r="L9" s="194">
        <f>VLOOKUP($A9,[23]Sheet2!$B$1:$I$65536,8,FALSE)</f>
        <v>25988567.140000001</v>
      </c>
      <c r="M9" s="194">
        <v>-1400813.9996277094</v>
      </c>
      <c r="N9" s="253">
        <f t="shared" si="2"/>
        <v>603077993.22962773</v>
      </c>
      <c r="O9" s="94">
        <f t="shared" si="3"/>
        <v>1.4910445754399149E-3</v>
      </c>
      <c r="P9" s="246">
        <f t="shared" si="4"/>
        <v>4.5667732559167735E-2</v>
      </c>
      <c r="Q9" s="194">
        <v>524420110.19</v>
      </c>
      <c r="R9" s="194">
        <f>VLOOKUP(A9,Chronic!$1:$1048576,3,FALSE)</f>
        <v>0</v>
      </c>
      <c r="S9" s="252">
        <f t="shared" si="5"/>
        <v>524420110.19</v>
      </c>
      <c r="T9" s="123">
        <f t="shared" si="7"/>
        <v>-0.16449142999614663</v>
      </c>
      <c r="V9" s="120"/>
    </row>
    <row r="10" spans="1:22" x14ac:dyDescent="0.55000000000000004">
      <c r="A10" s="107">
        <v>210009</v>
      </c>
      <c r="B10" s="107" t="s">
        <v>111</v>
      </c>
      <c r="C10" s="194">
        <f>VLOOKUP($A10,[23]Sheet2!$B$1:$E$65536,4,FALSE)</f>
        <v>2900735203.1425219</v>
      </c>
      <c r="E10" s="194">
        <f t="shared" si="0"/>
        <v>2900735203.1425219</v>
      </c>
      <c r="F10" s="194">
        <f>VLOOKUP($A10,[23]Sheet2!$B$1:$F$65536,5,FALSE)</f>
        <v>90888530.745315239</v>
      </c>
      <c r="G10" s="194">
        <f>VLOOKUP($A10,[23]Sheet2!$B$1:$G$65536,6,FALSE)</f>
        <v>92402139.657206848</v>
      </c>
      <c r="H10" s="242">
        <f t="shared" si="6"/>
        <v>2717444532.7399998</v>
      </c>
      <c r="I10" s="194">
        <f>IFERROR(VLOOKUP(A10,Volume!AG:AI,3,FALSE),0)</f>
        <v>2801201920.5100002</v>
      </c>
      <c r="K10" s="194">
        <f t="shared" si="1"/>
        <v>2801201920.5100002</v>
      </c>
      <c r="L10" s="194">
        <f>VLOOKUP($A10,[23]Sheet2!$B$1:$I$65536,8,FALSE)</f>
        <v>114071984.98</v>
      </c>
      <c r="M10" s="194">
        <v>684208.88034534454</v>
      </c>
      <c r="N10" s="253">
        <f t="shared" si="2"/>
        <v>2686445726.6496549</v>
      </c>
      <c r="O10" s="94">
        <f t="shared" si="3"/>
        <v>1.153896607060978E-2</v>
      </c>
      <c r="P10" s="246">
        <f t="shared" si="4"/>
        <v>3.185473102029536E-2</v>
      </c>
      <c r="Q10" s="194">
        <v>2321667141.8000002</v>
      </c>
      <c r="R10" s="194">
        <f>VLOOKUP(A10,Chronic!$1:$1048576,3,FALSE)</f>
        <v>0</v>
      </c>
      <c r="S10" s="252">
        <f t="shared" si="5"/>
        <v>2321667141.8000002</v>
      </c>
      <c r="T10" s="123">
        <f t="shared" si="7"/>
        <v>-0.17118893686274983</v>
      </c>
      <c r="V10" s="120"/>
    </row>
    <row r="11" spans="1:22" x14ac:dyDescent="0.55000000000000004">
      <c r="A11" s="107">
        <v>210010</v>
      </c>
      <c r="B11" s="107" t="s">
        <v>126</v>
      </c>
      <c r="C11" s="194">
        <f>VLOOKUP($A11,[23]Sheet2!$B$1:$E$65536,4,FALSE)</f>
        <v>17784105.96141411</v>
      </c>
      <c r="E11" s="194">
        <f t="shared" si="0"/>
        <v>17784105.96141411</v>
      </c>
      <c r="F11" s="194">
        <f>VLOOKUP($A11,[23]Sheet2!$B$1:$F$65536,5,FALSE)</f>
        <v>470135.194627463</v>
      </c>
      <c r="G11" s="194">
        <f>VLOOKUP($A11,[23]Sheet2!$B$1:$G$65536,6,FALSE)</f>
        <v>-3238466.7732133563</v>
      </c>
      <c r="H11" s="242">
        <f t="shared" si="6"/>
        <v>20552437.540000003</v>
      </c>
      <c r="I11" s="194">
        <f>IFERROR(VLOOKUP(A11,Volume!AG:AI,3,FALSE),0)</f>
        <v>21861750.18</v>
      </c>
      <c r="K11" s="194">
        <f t="shared" si="1"/>
        <v>21861750.18</v>
      </c>
      <c r="L11" s="194">
        <f>VLOOKUP($A11,[23]Sheet2!$B$1:$I$65536,8,FALSE)</f>
        <v>12221516.189999999</v>
      </c>
      <c r="M11" s="194">
        <v>-8894285.5199999958</v>
      </c>
      <c r="N11" s="253">
        <f t="shared" si="2"/>
        <v>18534519.509999998</v>
      </c>
      <c r="O11" s="94">
        <f t="shared" si="3"/>
        <v>0.10887350108597471</v>
      </c>
      <c r="P11" s="246">
        <f t="shared" si="4"/>
        <v>-0.18209893599598462</v>
      </c>
      <c r="Q11" s="194">
        <v>49666168.390000001</v>
      </c>
      <c r="R11" s="194">
        <f>VLOOKUP(A11,Chronic!$1:$1048576,3,FALSE)</f>
        <v>0</v>
      </c>
      <c r="S11" s="252">
        <f t="shared" si="5"/>
        <v>49666168.390000001</v>
      </c>
      <c r="T11" s="123">
        <f t="shared" si="7"/>
        <v>1.2718294729868695</v>
      </c>
      <c r="V11" s="120"/>
    </row>
    <row r="12" spans="1:22" x14ac:dyDescent="0.55000000000000004">
      <c r="A12" s="107">
        <v>210011</v>
      </c>
      <c r="B12" s="107" t="s">
        <v>33</v>
      </c>
      <c r="C12" s="194">
        <f>VLOOKUP($A12,[23]Sheet2!$B$1:$E$65536,4,FALSE)</f>
        <v>513367692.63471258</v>
      </c>
      <c r="D12" s="247">
        <f>-1250000+-1900000</f>
        <v>-3150000</v>
      </c>
      <c r="E12" s="194">
        <f t="shared" si="0"/>
        <v>510217692.63471258</v>
      </c>
      <c r="F12" s="194">
        <f>VLOOKUP($A12,[23]Sheet2!$B$1:$F$65536,5,FALSE)</f>
        <v>39165996.679273628</v>
      </c>
      <c r="G12" s="194">
        <f>VLOOKUP($A12,[23]Sheet2!$B$1:$G$65536,6,FALSE)</f>
        <v>14706900.905438984</v>
      </c>
      <c r="H12" s="242">
        <f t="shared" si="6"/>
        <v>456344795.05000001</v>
      </c>
      <c r="I12" s="194">
        <f>IFERROR(VLOOKUP(A12,Volume!AG:AI,3,FALSE),0)</f>
        <v>465580404.66000003</v>
      </c>
      <c r="J12" s="247">
        <f>-1250000+-1900000</f>
        <v>-3150000</v>
      </c>
      <c r="K12" s="194">
        <f t="shared" si="1"/>
        <v>462430404.66000003</v>
      </c>
      <c r="L12" s="194">
        <f>VLOOKUP($A12,[23]Sheet2!$B$1:$I$65536,8,FALSE)</f>
        <v>29328016.780000005</v>
      </c>
      <c r="M12" s="194">
        <v>-16680242.493380129</v>
      </c>
      <c r="N12" s="253">
        <f t="shared" si="2"/>
        <v>449782630.37338012</v>
      </c>
      <c r="O12" s="94">
        <f t="shared" si="3"/>
        <v>1.4589635600584128E-2</v>
      </c>
      <c r="P12" s="246">
        <f t="shared" si="4"/>
        <v>2.8647889449295163E-2</v>
      </c>
      <c r="Q12" s="194">
        <v>431776969.75</v>
      </c>
      <c r="R12" s="194">
        <f>VLOOKUP(A12,Chronic!$1:$1048576,3,FALSE)</f>
        <v>0</v>
      </c>
      <c r="S12" s="252">
        <f t="shared" si="5"/>
        <v>431776969.75</v>
      </c>
      <c r="T12" s="123">
        <f t="shared" si="7"/>
        <v>-7.2604934768862761E-2</v>
      </c>
      <c r="V12" s="120"/>
    </row>
    <row r="13" spans="1:22" x14ac:dyDescent="0.55000000000000004">
      <c r="A13" s="107">
        <v>210012</v>
      </c>
      <c r="B13" s="107" t="s">
        <v>32</v>
      </c>
      <c r="C13" s="194">
        <f>VLOOKUP($A13,[23]Sheet2!$B$1:$E$65536,4,FALSE)</f>
        <v>949474604.3594712</v>
      </c>
      <c r="D13" s="278">
        <v>-27300000</v>
      </c>
      <c r="E13" s="194">
        <f t="shared" si="0"/>
        <v>922174604.3594712</v>
      </c>
      <c r="F13" s="194">
        <f>VLOOKUP($A13,[23]Sheet2!$B$1:$F$65536,5,FALSE)</f>
        <v>34081334.742843591</v>
      </c>
      <c r="G13" s="194">
        <f>VLOOKUP($A13,[23]Sheet2!$B$1:$G$65536,6,FALSE)</f>
        <v>20829392.946627595</v>
      </c>
      <c r="H13" s="242">
        <f t="shared" si="6"/>
        <v>867263876.66999996</v>
      </c>
      <c r="I13" s="194">
        <f>IFERROR(VLOOKUP(A13,Volume!AG:AI,3,FALSE),0)</f>
        <v>935895781.27999997</v>
      </c>
      <c r="J13" s="278">
        <f>D13</f>
        <v>-27300000</v>
      </c>
      <c r="K13" s="194">
        <f t="shared" si="1"/>
        <v>908595781.27999997</v>
      </c>
      <c r="L13" s="194">
        <f>VLOOKUP($A13,[23]Sheet2!$B$1:$I$65536,8,FALSE)</f>
        <v>47402818.110000007</v>
      </c>
      <c r="M13" s="194">
        <v>-1940280.7210451365</v>
      </c>
      <c r="N13" s="253">
        <f t="shared" si="2"/>
        <v>863133243.89104509</v>
      </c>
      <c r="O13" s="94">
        <f t="shared" si="3"/>
        <v>4.7856258673732999E-3</v>
      </c>
      <c r="P13" s="246">
        <f t="shared" si="4"/>
        <v>2.1937809448499566E-2</v>
      </c>
      <c r="Q13" s="194">
        <v>766472665.08000004</v>
      </c>
      <c r="R13" s="194">
        <f>VLOOKUP(A13,Chronic!$1:$1048576,3,FALSE)</f>
        <v>0</v>
      </c>
      <c r="S13" s="252">
        <f t="shared" si="5"/>
        <v>766472665.08000004</v>
      </c>
      <c r="T13" s="123">
        <f t="shared" si="7"/>
        <v>-0.18102775927495307</v>
      </c>
      <c r="V13" s="120"/>
    </row>
    <row r="14" spans="1:22" x14ac:dyDescent="0.55000000000000004">
      <c r="A14" s="107">
        <v>210013</v>
      </c>
      <c r="B14" s="107" t="s">
        <v>6</v>
      </c>
      <c r="C14" s="194">
        <f>VLOOKUP($A14,[23]Sheet2!$B$1:$E$65536,4,FALSE)</f>
        <v>34635929.479146488</v>
      </c>
      <c r="D14" s="185"/>
      <c r="E14" s="194">
        <f t="shared" si="0"/>
        <v>34635929.479146488</v>
      </c>
      <c r="F14" s="194">
        <f>VLOOKUP($A14,[23]Sheet2!$B$1:$F$65536,5,FALSE)</f>
        <v>2340679.3217337676</v>
      </c>
      <c r="G14" s="194">
        <f>VLOOKUP($A14,[23]Sheet2!$B$1:$G$65536,6,FALSE)</f>
        <v>-1825007.652587276</v>
      </c>
      <c r="H14" s="242">
        <f>E14-F14-G14</f>
        <v>34120257.809999995</v>
      </c>
      <c r="I14" s="194">
        <f>IFERROR(VLOOKUP(A14,Volume!AG:AI,3,FALSE),0)</f>
        <v>34372644.210000001</v>
      </c>
      <c r="J14" s="185"/>
      <c r="K14" s="194">
        <f t="shared" si="1"/>
        <v>34372644.210000001</v>
      </c>
      <c r="L14" s="194">
        <f>VLOOKUP($A14,[23]Sheet2!$B$1:$I$65536,8,FALSE)</f>
        <v>1410663.2799999984</v>
      </c>
      <c r="M14" s="194">
        <v>-977855.10774558038</v>
      </c>
      <c r="N14" s="253">
        <f t="shared" si="2"/>
        <v>33939836.03774558</v>
      </c>
      <c r="O14" s="94">
        <f t="shared" si="3"/>
        <v>5.3159294008893188E-3</v>
      </c>
      <c r="P14" s="246">
        <f t="shared" si="4"/>
        <v>-5.2691170123962516E-2</v>
      </c>
      <c r="Q14" s="194">
        <v>110742109.45</v>
      </c>
      <c r="R14" s="194">
        <f>VLOOKUP(A14,Chronic!$1:$1048576,3,FALSE)</f>
        <v>0</v>
      </c>
      <c r="S14" s="252">
        <f t="shared" si="5"/>
        <v>110742109.45</v>
      </c>
      <c r="T14" s="123">
        <f t="shared" si="7"/>
        <v>2.2218094358240239</v>
      </c>
      <c r="V14" s="120"/>
    </row>
    <row r="15" spans="1:22" x14ac:dyDescent="0.55000000000000004">
      <c r="A15" s="107">
        <v>210015</v>
      </c>
      <c r="B15" s="107" t="s">
        <v>330</v>
      </c>
      <c r="C15" s="194">
        <f>VLOOKUP($A15,[23]Sheet2!$B$1:$E$65536,4,FALSE)</f>
        <v>635149205.97410309</v>
      </c>
      <c r="E15" s="194">
        <f t="shared" si="0"/>
        <v>635149205.97410309</v>
      </c>
      <c r="F15" s="194">
        <f>VLOOKUP($A15,[23]Sheet2!$B$1:$F$65536,5,FALSE)</f>
        <v>19648349.125530802</v>
      </c>
      <c r="G15" s="194">
        <f>VLOOKUP($A15,[23]Sheet2!$B$1:$G$65536,6,FALSE)</f>
        <v>17588467.278572336</v>
      </c>
      <c r="H15" s="242">
        <f t="shared" si="6"/>
        <v>597912389.56999993</v>
      </c>
      <c r="I15" s="194">
        <f>IFERROR(VLOOKUP(A15,Volume!AG:AI,3,FALSE),0)</f>
        <v>608313462.71000004</v>
      </c>
      <c r="J15" s="185"/>
      <c r="K15" s="194">
        <f t="shared" si="1"/>
        <v>608313462.71000004</v>
      </c>
      <c r="L15" s="194">
        <f>VLOOKUP($A15,[23]Sheet2!$B$1:$I$65536,8,FALSE)</f>
        <v>9183966.200000003</v>
      </c>
      <c r="M15" s="194">
        <v>2178628.7695279121</v>
      </c>
      <c r="N15" s="253">
        <f t="shared" si="2"/>
        <v>596950867.74047208</v>
      </c>
      <c r="O15" s="94">
        <f t="shared" si="3"/>
        <v>1.6107218893361974E-3</v>
      </c>
      <c r="P15" s="246">
        <f t="shared" si="4"/>
        <v>2.7691866908024554E-2</v>
      </c>
      <c r="Q15" s="194">
        <v>519585493.66000003</v>
      </c>
      <c r="R15" s="194">
        <f>VLOOKUP(A15,Chronic!$1:$1048576,3,FALSE)</f>
        <v>0</v>
      </c>
      <c r="S15" s="252">
        <f t="shared" si="5"/>
        <v>519585493.66000003</v>
      </c>
      <c r="T15" s="123">
        <f t="shared" si="7"/>
        <v>-0.1458589600412955</v>
      </c>
      <c r="V15" s="120"/>
    </row>
    <row r="16" spans="1:22" x14ac:dyDescent="0.55000000000000004">
      <c r="A16" s="107">
        <v>210016</v>
      </c>
      <c r="B16" s="107" t="s">
        <v>49</v>
      </c>
      <c r="C16" s="194">
        <f>VLOOKUP($A16,[23]Sheet2!$B$1:$E$65536,4,FALSE)</f>
        <v>344830584.03750795</v>
      </c>
      <c r="E16" s="194">
        <f t="shared" si="0"/>
        <v>344830584.03750795</v>
      </c>
      <c r="F16" s="194">
        <f>VLOOKUP($A16,[23]Sheet2!$B$1:$F$65536,5,FALSE)</f>
        <v>5837695.5637841579</v>
      </c>
      <c r="G16" s="194">
        <f>VLOOKUP($A16,[23]Sheet2!$B$1:$G$65536,6,FALSE)</f>
        <v>20139877.353723776</v>
      </c>
      <c r="H16" s="242">
        <f t="shared" si="6"/>
        <v>318853011.12</v>
      </c>
      <c r="I16" s="194">
        <f>IFERROR(VLOOKUP(A16,Volume!AG:AI,3,FALSE),0)</f>
        <v>340970877.32999998</v>
      </c>
      <c r="K16" s="194">
        <f t="shared" si="1"/>
        <v>340970877.32999998</v>
      </c>
      <c r="L16" s="194">
        <f>VLOOKUP($A16,[23]Sheet2!$B$1:$I$65536,8,FALSE)</f>
        <v>23035975.110000003</v>
      </c>
      <c r="M16" s="194">
        <v>1582565.017442286</v>
      </c>
      <c r="N16" s="253">
        <f t="shared" si="2"/>
        <v>316352337.20255768</v>
      </c>
      <c r="O16" s="94">
        <f t="shared" si="3"/>
        <v>7.9047113719952211E-3</v>
      </c>
      <c r="P16" s="246">
        <f t="shared" si="4"/>
        <v>5.8405136568550772E-2</v>
      </c>
      <c r="Q16" s="194">
        <v>266869598.69</v>
      </c>
      <c r="R16" s="194">
        <f>VLOOKUP(A16,Chronic!$1:$1048576,3,FALSE)</f>
        <v>0</v>
      </c>
      <c r="S16" s="252">
        <f t="shared" si="5"/>
        <v>266869598.69</v>
      </c>
      <c r="T16" s="123">
        <f t="shared" si="7"/>
        <v>-0.2173243627733138</v>
      </c>
      <c r="V16" s="120"/>
    </row>
    <row r="17" spans="1:22" x14ac:dyDescent="0.55000000000000004">
      <c r="A17" s="107">
        <v>210017</v>
      </c>
      <c r="B17" s="107" t="s">
        <v>329</v>
      </c>
      <c r="C17" s="194">
        <f>VLOOKUP($A17,[23]Sheet2!$B$1:$E$65536,4,FALSE)</f>
        <v>81407407.691104576</v>
      </c>
      <c r="E17" s="194">
        <f t="shared" si="0"/>
        <v>81407407.691104576</v>
      </c>
      <c r="F17" s="194">
        <f>VLOOKUP($A17,[23]Sheet2!$B$1:$F$65536,5,FALSE)</f>
        <v>4979249.768078736</v>
      </c>
      <c r="G17" s="194">
        <f>VLOOKUP($A17,[23]Sheet2!$B$1:$G$65536,6,FALSE)</f>
        <v>7440090.763025851</v>
      </c>
      <c r="H17" s="242">
        <f t="shared" si="6"/>
        <v>68988067.159999996</v>
      </c>
      <c r="I17" s="194">
        <f>IFERROR(VLOOKUP(A17,Volume!AG:AI,3,FALSE),0)</f>
        <v>70503452.930000007</v>
      </c>
      <c r="J17" s="185"/>
      <c r="K17" s="194">
        <f t="shared" si="1"/>
        <v>70503452.930000007</v>
      </c>
      <c r="L17" s="194">
        <f>VLOOKUP($A17,[23]Sheet2!$B$1:$I$65536,8,FALSE)</f>
        <v>3900108.94</v>
      </c>
      <c r="M17" s="194">
        <v>-1727855.4670433998</v>
      </c>
      <c r="N17" s="253">
        <f t="shared" si="2"/>
        <v>68331199.457043409</v>
      </c>
      <c r="O17" s="94">
        <f t="shared" si="3"/>
        <v>9.6129982815467141E-3</v>
      </c>
      <c r="P17" s="246">
        <f t="shared" si="4"/>
        <v>9.1393289309209064E-2</v>
      </c>
      <c r="Q17" s="194">
        <v>54818509.189999998</v>
      </c>
      <c r="R17" s="194">
        <f>VLOOKUP(A17,Chronic!$1:$1048576,3,FALSE)</f>
        <v>0</v>
      </c>
      <c r="S17" s="252">
        <f t="shared" si="5"/>
        <v>54818509.189999998</v>
      </c>
      <c r="T17" s="123">
        <f t="shared" si="7"/>
        <v>-0.22247057538547721</v>
      </c>
      <c r="V17" s="120"/>
    </row>
    <row r="18" spans="1:22" x14ac:dyDescent="0.55000000000000004">
      <c r="A18" s="107">
        <v>210018</v>
      </c>
      <c r="B18" s="107" t="s">
        <v>328</v>
      </c>
      <c r="C18" s="194">
        <f>VLOOKUP($A18,[23]Sheet2!$B$1:$E$65536,4,FALSE)</f>
        <v>207622438.21258593</v>
      </c>
      <c r="E18" s="194">
        <f t="shared" si="0"/>
        <v>207622438.21258593</v>
      </c>
      <c r="F18" s="194">
        <f>VLOOKUP($A18,[23]Sheet2!$B$1:$F$65536,5,FALSE)</f>
        <v>6374123.1267720787</v>
      </c>
      <c r="G18" s="194">
        <f>VLOOKUP($A18,[23]Sheet2!$B$1:$G$65536,6,FALSE)</f>
        <v>11900115.645813849</v>
      </c>
      <c r="H18" s="242">
        <f t="shared" si="6"/>
        <v>189348199.44</v>
      </c>
      <c r="I18" s="194">
        <f>IFERROR(VLOOKUP(A18,Volume!AG:AI,3,FALSE),0)</f>
        <v>191779220.71000001</v>
      </c>
      <c r="J18" s="185"/>
      <c r="K18" s="194">
        <f t="shared" si="1"/>
        <v>191779220.71000001</v>
      </c>
      <c r="L18" s="194">
        <f>VLOOKUP($A18,[23]Sheet2!$B$1:$I$65536,8,FALSE)</f>
        <v>3092819.2600000007</v>
      </c>
      <c r="M18" s="194">
        <v>442666.45306316018</v>
      </c>
      <c r="N18" s="253">
        <f t="shared" si="2"/>
        <v>188243734.99693686</v>
      </c>
      <c r="O18" s="94">
        <f t="shared" si="3"/>
        <v>5.8672042555951709E-3</v>
      </c>
      <c r="P18" s="246">
        <f t="shared" si="4"/>
        <v>5.7316134750470683E-2</v>
      </c>
      <c r="Q18" s="194">
        <v>178404594.55000001</v>
      </c>
      <c r="R18" s="194">
        <f>VLOOKUP(A18,Chronic!$1:$1048576,3,FALSE)</f>
        <v>0</v>
      </c>
      <c r="S18" s="252">
        <f t="shared" si="5"/>
        <v>178404594.55000001</v>
      </c>
      <c r="T18" s="123">
        <f t="shared" si="7"/>
        <v>-6.9739704387601575E-2</v>
      </c>
      <c r="V18" s="120"/>
    </row>
    <row r="19" spans="1:22" x14ac:dyDescent="0.55000000000000004">
      <c r="A19" s="107">
        <v>210019</v>
      </c>
      <c r="B19" s="107" t="s">
        <v>327</v>
      </c>
      <c r="C19" s="194">
        <v>543116238</v>
      </c>
      <c r="D19" s="278">
        <v>-1300000</v>
      </c>
      <c r="E19" s="194">
        <f t="shared" si="0"/>
        <v>541816238</v>
      </c>
      <c r="F19" s="194">
        <f>VLOOKUP($A19,[23]Sheet2!$B$1:$F$65536,5,FALSE)</f>
        <v>19037401.6506822</v>
      </c>
      <c r="G19" s="194">
        <f>VLOOKUP($A19,[23]Sheet2!$B$1:$G$65536,6,FALSE)</f>
        <v>25956094.385962464</v>
      </c>
      <c r="H19" s="242">
        <f t="shared" si="6"/>
        <v>496822741.9633553</v>
      </c>
      <c r="I19" s="194">
        <f>IFERROR(VLOOKUP(A19,Volume!AG:AI,3,FALSE),0)</f>
        <v>519451696.60000002</v>
      </c>
      <c r="J19" s="278">
        <v>-1300000</v>
      </c>
      <c r="K19" s="194">
        <f t="shared" si="1"/>
        <v>518151696.60000002</v>
      </c>
      <c r="L19" s="194">
        <f>VLOOKUP($A19,[23]Sheet2!$B$1:$I$65536,8,FALSE)</f>
        <v>19532582.319999997</v>
      </c>
      <c r="M19" s="194">
        <v>1019693.3540651798</v>
      </c>
      <c r="N19" s="253">
        <f t="shared" si="2"/>
        <v>497599420.92593485</v>
      </c>
      <c r="O19" s="94">
        <f t="shared" si="3"/>
        <v>-1.5608518216003731E-3</v>
      </c>
      <c r="P19" s="246">
        <f t="shared" si="4"/>
        <v>4.7791048342698352E-2</v>
      </c>
      <c r="Q19" s="194">
        <v>436067776</v>
      </c>
      <c r="R19" s="194">
        <f>VLOOKUP(A19,Chronic!$1:$1048576,3,FALSE)</f>
        <v>0</v>
      </c>
      <c r="S19" s="252">
        <f t="shared" si="5"/>
        <v>436067776</v>
      </c>
      <c r="T19" s="123">
        <f t="shared" si="7"/>
        <v>-0.16052295361778213</v>
      </c>
      <c r="V19" s="120"/>
    </row>
    <row r="20" spans="1:22" x14ac:dyDescent="0.55000000000000004">
      <c r="A20" s="107">
        <v>210022</v>
      </c>
      <c r="B20" s="107" t="s">
        <v>34</v>
      </c>
      <c r="C20" s="194">
        <f>VLOOKUP($A20,[23]Sheet2!$B$1:$E$65536,4,FALSE)</f>
        <v>404898440.24491185</v>
      </c>
      <c r="E20" s="194">
        <f t="shared" si="0"/>
        <v>404898440.24491185</v>
      </c>
      <c r="F20" s="194">
        <f>VLOOKUP($A20,[23]Sheet2!$B$1:$F$65536,5,FALSE)</f>
        <v>12115077.858502151</v>
      </c>
      <c r="G20" s="194">
        <f>VLOOKUP($A20,[23]Sheet2!$B$1:$G$65536,6,FALSE)</f>
        <v>16375979.966409719</v>
      </c>
      <c r="H20" s="242">
        <f t="shared" si="6"/>
        <v>376407382.41999996</v>
      </c>
      <c r="I20" s="194">
        <f>IFERROR(VLOOKUP(A20,Volume!AG:AI,3,FALSE),0)</f>
        <v>391434960.41000003</v>
      </c>
      <c r="K20" s="194">
        <f t="shared" si="1"/>
        <v>391434960.41000003</v>
      </c>
      <c r="L20" s="194">
        <f>VLOOKUP($A20,[23]Sheet2!$B$1:$I$65536,8,FALSE)</f>
        <v>16153566.030000001</v>
      </c>
      <c r="M20" s="194">
        <v>-59038.774709641933</v>
      </c>
      <c r="N20" s="253">
        <f t="shared" si="2"/>
        <v>375340433.15470964</v>
      </c>
      <c r="O20" s="94">
        <f t="shared" si="3"/>
        <v>2.8426174508371371E-3</v>
      </c>
      <c r="P20" s="246">
        <f t="shared" si="4"/>
        <v>4.0444660533896705E-2</v>
      </c>
      <c r="Q20" s="194">
        <v>310209036.11000001</v>
      </c>
      <c r="R20" s="194">
        <f>VLOOKUP(A20,Chronic!$1:$1048576,3,FALSE)</f>
        <v>0</v>
      </c>
      <c r="S20" s="252">
        <f t="shared" si="5"/>
        <v>310209036.11000001</v>
      </c>
      <c r="T20" s="123">
        <f t="shared" si="7"/>
        <v>-0.20750809844609097</v>
      </c>
      <c r="V20" s="120"/>
    </row>
    <row r="21" spans="1:22" x14ac:dyDescent="0.55000000000000004">
      <c r="A21" s="107">
        <v>210023</v>
      </c>
      <c r="B21" s="107" t="s">
        <v>4</v>
      </c>
      <c r="C21" s="194">
        <f>VLOOKUP($A21,[23]Sheet2!$B$1:$E$65536,4,FALSE)</f>
        <v>747733926.37001598</v>
      </c>
      <c r="E21" s="194">
        <f t="shared" si="0"/>
        <v>747733926.37001598</v>
      </c>
      <c r="F21" s="194">
        <f>VLOOKUP($A21,[23]Sheet2!$B$1:$F$65536,5,FALSE)</f>
        <v>21867574.90987603</v>
      </c>
      <c r="G21" s="194">
        <f>VLOOKUP($A21,[23]Sheet2!$B$1:$G$65536,6,FALSE)</f>
        <v>24667746.030140109</v>
      </c>
      <c r="H21" s="242">
        <f t="shared" si="6"/>
        <v>701198605.42999983</v>
      </c>
      <c r="I21" s="194">
        <f>IFERROR(VLOOKUP(A21,Volume!AG:AI,3,FALSE),0)</f>
        <v>722271838.95000005</v>
      </c>
      <c r="J21" s="185"/>
      <c r="K21" s="194">
        <f t="shared" si="1"/>
        <v>722271838.95000005</v>
      </c>
      <c r="L21" s="194">
        <f>VLOOKUP($A21,[23]Sheet2!$B$1:$I$65536,8,FALSE)</f>
        <v>23467600.950000003</v>
      </c>
      <c r="M21" s="194">
        <v>-527687.38108587265</v>
      </c>
      <c r="N21" s="253">
        <f t="shared" si="2"/>
        <v>699331925.38108587</v>
      </c>
      <c r="O21" s="94">
        <f t="shared" si="3"/>
        <v>2.6692332798861074E-3</v>
      </c>
      <c r="P21" s="246">
        <f t="shared" si="4"/>
        <v>3.2990005080942762E-2</v>
      </c>
      <c r="Q21" s="194">
        <v>602902624.63</v>
      </c>
      <c r="R21" s="194">
        <f>VLOOKUP(A21,Chronic!$1:$1048576,3,FALSE)</f>
        <v>0</v>
      </c>
      <c r="S21" s="252">
        <f t="shared" si="5"/>
        <v>602902624.63</v>
      </c>
      <c r="T21" s="123">
        <f t="shared" si="7"/>
        <v>-0.16526909659600264</v>
      </c>
      <c r="V21" s="120"/>
    </row>
    <row r="22" spans="1:22" x14ac:dyDescent="0.55000000000000004">
      <c r="A22" s="107">
        <v>210024</v>
      </c>
      <c r="B22" s="107" t="s">
        <v>326</v>
      </c>
      <c r="C22" s="194">
        <f>VLOOKUP($A22,[23]Sheet2!$B$1:$E$65536,4,FALSE)</f>
        <v>482871851.05261242</v>
      </c>
      <c r="E22" s="194">
        <f t="shared" si="0"/>
        <v>482871851.05261242</v>
      </c>
      <c r="F22" s="194">
        <f>VLOOKUP($A22,[23]Sheet2!$B$1:$F$65536,5,FALSE)</f>
        <v>8249854.703476904</v>
      </c>
      <c r="G22" s="194">
        <f>VLOOKUP($A22,[23]Sheet2!$B$1:$G$65536,6,FALSE)</f>
        <v>27677621.069135509</v>
      </c>
      <c r="H22" s="242">
        <f t="shared" si="6"/>
        <v>446944375.28000003</v>
      </c>
      <c r="I22" s="194">
        <f>IFERROR(VLOOKUP(A22,Volume!AG:AI,3,FALSE),0)</f>
        <v>440966331.88999999</v>
      </c>
      <c r="J22" s="185"/>
      <c r="K22" s="194">
        <f t="shared" si="1"/>
        <v>440966331.88999999</v>
      </c>
      <c r="L22" s="194">
        <f>VLOOKUP($A22,[23]Sheet2!$B$1:$I$65536,8,FALSE)</f>
        <v>-5866801.2900000019</v>
      </c>
      <c r="M22" s="194">
        <v>1775316.8634630442</v>
      </c>
      <c r="N22" s="253">
        <f t="shared" si="2"/>
        <v>445057816.31653696</v>
      </c>
      <c r="O22" s="94">
        <f t="shared" si="3"/>
        <v>4.2389076077282706E-3</v>
      </c>
      <c r="P22" s="246">
        <f t="shared" si="4"/>
        <v>5.7318771033766119E-2</v>
      </c>
      <c r="Q22" s="194">
        <v>434656270.95999998</v>
      </c>
      <c r="R22" s="194">
        <f>VLOOKUP(A22,Chronic!$1:$1048576,3,FALSE)</f>
        <v>0</v>
      </c>
      <c r="S22" s="252">
        <f t="shared" si="5"/>
        <v>434656270.95999998</v>
      </c>
      <c r="T22" s="123">
        <f t="shared" si="7"/>
        <v>-1.4309620652794064E-2</v>
      </c>
      <c r="V22" s="120"/>
    </row>
    <row r="23" spans="1:22" x14ac:dyDescent="0.55000000000000004">
      <c r="A23" s="107">
        <v>210027</v>
      </c>
      <c r="B23" s="107" t="s">
        <v>325</v>
      </c>
      <c r="C23" s="194">
        <f>VLOOKUP($A23,[23]Sheet2!$B$1:$E$65536,4,FALSE)</f>
        <v>374411219.43326014</v>
      </c>
      <c r="E23" s="194">
        <f t="shared" si="0"/>
        <v>374411219.43326014</v>
      </c>
      <c r="F23" s="194">
        <f>VLOOKUP($A23,[23]Sheet2!$B$1:$F$65536,5,FALSE)</f>
        <v>10660572.076028911</v>
      </c>
      <c r="G23" s="194">
        <f>VLOOKUP($A23,[23]Sheet2!$B$1:$G$65536,6,FALSE)</f>
        <v>8799978.6920111589</v>
      </c>
      <c r="H23" s="242">
        <f t="shared" si="6"/>
        <v>354950668.66522008</v>
      </c>
      <c r="I23" s="194">
        <f>IFERROR(VLOOKUP(A23,Volume!AG:AI,3,FALSE),0)</f>
        <v>361916515.41000003</v>
      </c>
      <c r="K23" s="194">
        <f t="shared" si="1"/>
        <v>361916515.41000003</v>
      </c>
      <c r="L23" s="194">
        <f>VLOOKUP($A23,[23]Sheet2!$B$1:$I$65536,8,FALSE)</f>
        <v>8317960.7092803707</v>
      </c>
      <c r="M23" s="194">
        <v>968626.93549960852</v>
      </c>
      <c r="N23" s="253">
        <f t="shared" si="2"/>
        <v>352629927.76522005</v>
      </c>
      <c r="O23" s="94">
        <f t="shared" si="3"/>
        <v>6.5812363536688068E-3</v>
      </c>
      <c r="P23" s="246">
        <f t="shared" si="4"/>
        <v>2.3503512275437514E-2</v>
      </c>
      <c r="Q23" s="194">
        <v>328809279.64999998</v>
      </c>
      <c r="R23" s="194">
        <f>VLOOKUP(A23,Chronic!$1:$1048576,3,FALSE)</f>
        <v>0</v>
      </c>
      <c r="S23" s="252">
        <f t="shared" si="5"/>
        <v>328809279.64999998</v>
      </c>
      <c r="T23" s="123">
        <f t="shared" si="7"/>
        <v>-9.1477548965938293E-2</v>
      </c>
      <c r="V23" s="120"/>
    </row>
    <row r="24" spans="1:22" x14ac:dyDescent="0.55000000000000004">
      <c r="A24" s="107">
        <v>210028</v>
      </c>
      <c r="B24" s="107" t="s">
        <v>324</v>
      </c>
      <c r="C24" s="194">
        <f>VLOOKUP($A24,[23]Sheet2!$B$1:$E$65536,4,FALSE)</f>
        <v>216219146.56080899</v>
      </c>
      <c r="E24" s="194">
        <f t="shared" si="0"/>
        <v>216219146.56080899</v>
      </c>
      <c r="F24" s="194">
        <f>VLOOKUP($A24,[23]Sheet2!$B$1:$F$65536,5,FALSE)</f>
        <v>4986845.5410192478</v>
      </c>
      <c r="G24" s="194">
        <f>VLOOKUP($A24,[23]Sheet2!$B$1:$G$65536,6,FALSE)</f>
        <v>8622170.9614491835</v>
      </c>
      <c r="H24" s="242">
        <f t="shared" si="6"/>
        <v>202610130.05834055</v>
      </c>
      <c r="I24" s="194">
        <f>IFERROR(VLOOKUP(A24,Volume!AG:AI,3,FALSE),0)</f>
        <v>204496807.53</v>
      </c>
      <c r="K24" s="194">
        <f t="shared" si="1"/>
        <v>204496807.53</v>
      </c>
      <c r="L24" s="194">
        <f>VLOOKUP($A24,[23]Sheet2!$B$1:$I$65536,8,FALSE)</f>
        <v>1510994.7641076152</v>
      </c>
      <c r="M24" s="194">
        <v>243073.17755186558</v>
      </c>
      <c r="N24" s="253">
        <f t="shared" si="2"/>
        <v>202742739.58834052</v>
      </c>
      <c r="O24" s="94">
        <f t="shared" si="3"/>
        <v>-6.5407782428716921E-4</v>
      </c>
      <c r="P24" s="246">
        <f t="shared" si="4"/>
        <v>3.9877000249949203E-2</v>
      </c>
      <c r="Q24" s="194">
        <v>192294655.13</v>
      </c>
      <c r="R24" s="194">
        <f>VLOOKUP(A24,Chronic!$1:$1048576,3,FALSE)</f>
        <v>0</v>
      </c>
      <c r="S24" s="252">
        <f t="shared" si="5"/>
        <v>192294655.13</v>
      </c>
      <c r="T24" s="123">
        <f t="shared" si="7"/>
        <v>-5.9669158396078781E-2</v>
      </c>
      <c r="V24" s="120"/>
    </row>
    <row r="25" spans="1:22" x14ac:dyDescent="0.55000000000000004">
      <c r="A25" s="107">
        <v>210029</v>
      </c>
      <c r="B25" s="107" t="s">
        <v>323</v>
      </c>
      <c r="C25" s="194">
        <f>VLOOKUP($A25,[23]Sheet2!$B$1:$E$65536,4,FALSE)</f>
        <v>784094630.29288888</v>
      </c>
      <c r="E25" s="194">
        <f t="shared" si="0"/>
        <v>784094630.29288888</v>
      </c>
      <c r="F25" s="194">
        <f>VLOOKUP($A25,[23]Sheet2!$B$1:$F$65536,5,FALSE)</f>
        <v>22324441.367042612</v>
      </c>
      <c r="G25" s="194">
        <f>VLOOKUP($A25,[23]Sheet2!$B$1:$G$65536,6,FALSE)</f>
        <v>17597220.165846068</v>
      </c>
      <c r="H25" s="242">
        <f t="shared" si="6"/>
        <v>744172968.76000011</v>
      </c>
      <c r="I25" s="194">
        <f>IFERROR(VLOOKUP(A25,Volume!AG:AI,3,FALSE),0)</f>
        <v>780812247.20000005</v>
      </c>
      <c r="K25" s="194">
        <f t="shared" si="1"/>
        <v>780812247.20000005</v>
      </c>
      <c r="L25" s="194">
        <f>VLOOKUP($A25,[23]Sheet2!$B$1:$I$65536,8,FALSE)</f>
        <v>33346990.18</v>
      </c>
      <c r="M25" s="194">
        <v>761081.70090472698</v>
      </c>
      <c r="N25" s="253">
        <f t="shared" si="2"/>
        <v>746704175.31909537</v>
      </c>
      <c r="O25" s="94">
        <f t="shared" si="3"/>
        <v>-3.3898384966356554E-3</v>
      </c>
      <c r="P25" s="246">
        <f t="shared" si="4"/>
        <v>2.2442725005364268E-2</v>
      </c>
      <c r="Q25" s="194">
        <v>612682529.19000006</v>
      </c>
      <c r="R25" s="194">
        <f>VLOOKUP(A25,Chronic!$1:$1048576,3,FALSE)</f>
        <v>11010014.49</v>
      </c>
      <c r="S25" s="252">
        <f t="shared" si="5"/>
        <v>623692543.68000007</v>
      </c>
      <c r="T25" s="123">
        <f t="shared" si="7"/>
        <v>-0.20122597216351656</v>
      </c>
      <c r="V25" s="120"/>
    </row>
    <row r="26" spans="1:22" x14ac:dyDescent="0.55000000000000004">
      <c r="A26" s="107">
        <v>210030</v>
      </c>
      <c r="B26" s="107" t="s">
        <v>322</v>
      </c>
      <c r="C26" s="194">
        <f>VLOOKUP($A26,[23]Sheet2!$B$1:$E$65536,4,FALSE)</f>
        <v>57663343.354243472</v>
      </c>
      <c r="E26" s="194">
        <f t="shared" si="0"/>
        <v>57663343.354243472</v>
      </c>
      <c r="F26" s="194">
        <f>VLOOKUP($A26,[23]Sheet2!$B$1:$F$65536,5,FALSE)</f>
        <v>2157988.1438757069</v>
      </c>
      <c r="G26" s="194">
        <f>VLOOKUP($A26,[23]Sheet2!$B$1:$G$65536,6,FALSE)</f>
        <v>167540.51036778218</v>
      </c>
      <c r="H26" s="242">
        <f t="shared" si="6"/>
        <v>55337814.699999988</v>
      </c>
      <c r="I26" s="194">
        <f>IFERROR(VLOOKUP(A26,Volume!AG:AI,3,FALSE),0)</f>
        <v>52352200.579999998</v>
      </c>
      <c r="K26" s="194">
        <f t="shared" si="1"/>
        <v>52352200.579999998</v>
      </c>
      <c r="L26" s="194">
        <f>VLOOKUP($A26,[23]Sheet2!$B$1:$I$65536,8,FALSE)</f>
        <v>4494577.71</v>
      </c>
      <c r="M26" s="194">
        <v>-7442068.6197708622</v>
      </c>
      <c r="N26" s="253">
        <f t="shared" si="2"/>
        <v>55299691.489770859</v>
      </c>
      <c r="O26" s="94">
        <f t="shared" si="3"/>
        <v>6.8939281941893249E-4</v>
      </c>
      <c r="P26" s="246">
        <f t="shared" si="4"/>
        <v>2.905494212129356E-3</v>
      </c>
      <c r="Q26" s="194">
        <v>55677170.810000002</v>
      </c>
      <c r="R26" s="194">
        <f>VLOOKUP(A26,Chronic!$1:$1048576,3,FALSE)</f>
        <v>0</v>
      </c>
      <c r="S26" s="252">
        <f t="shared" si="5"/>
        <v>55677170.810000002</v>
      </c>
      <c r="T26" s="123">
        <f t="shared" si="7"/>
        <v>6.3511565763488376E-2</v>
      </c>
      <c r="V26" s="120"/>
    </row>
    <row r="27" spans="1:22" x14ac:dyDescent="0.55000000000000004">
      <c r="A27" s="107">
        <v>210032</v>
      </c>
      <c r="B27" s="107" t="s">
        <v>48</v>
      </c>
      <c r="C27" s="194">
        <f>VLOOKUP($A27,[23]Sheet2!$B$1:$E$65536,4,FALSE)</f>
        <v>187285478.77464995</v>
      </c>
      <c r="E27" s="194">
        <f t="shared" si="0"/>
        <v>187285478.77464995</v>
      </c>
      <c r="F27" s="194">
        <f>VLOOKUP($A27,[23]Sheet2!$B$1:$F$65536,5,FALSE)</f>
        <v>1522921.6776759031</v>
      </c>
      <c r="G27" s="194">
        <f>VLOOKUP($A27,[23]Sheet2!$B$1:$G$65536,6,FALSE)</f>
        <v>9602450.6969740465</v>
      </c>
      <c r="H27" s="242">
        <f t="shared" si="6"/>
        <v>176160106.40000001</v>
      </c>
      <c r="I27" s="194">
        <f>IFERROR(VLOOKUP(A27,Volume!AG:AI,3,FALSE),0)</f>
        <v>178274624.69999999</v>
      </c>
      <c r="K27" s="194">
        <f t="shared" si="1"/>
        <v>178274624.69999999</v>
      </c>
      <c r="L27" s="194">
        <f>VLOOKUP($A27,[23]Sheet2!$B$1:$I$65536,8,FALSE)</f>
        <v>4619214.5299999993</v>
      </c>
      <c r="M27" s="194">
        <v>736592</v>
      </c>
      <c r="N27" s="253">
        <f t="shared" si="2"/>
        <v>172918818.16999999</v>
      </c>
      <c r="O27" s="94">
        <f t="shared" si="3"/>
        <v>1.8744566174477617E-2</v>
      </c>
      <c r="P27" s="246">
        <f t="shared" si="4"/>
        <v>5.1271731048236444E-2</v>
      </c>
      <c r="Q27" s="194">
        <v>159940039.91999999</v>
      </c>
      <c r="R27" s="194">
        <f>VLOOKUP(A27,Chronic!$1:$1048576,3,FALSE)</f>
        <v>0</v>
      </c>
      <c r="S27" s="252">
        <f t="shared" si="5"/>
        <v>159940039.91999999</v>
      </c>
      <c r="T27" s="123">
        <f t="shared" si="7"/>
        <v>-0.10284461297199976</v>
      </c>
      <c r="V27" s="120"/>
    </row>
    <row r="28" spans="1:22" x14ac:dyDescent="0.55000000000000004">
      <c r="A28" s="107">
        <v>210033</v>
      </c>
      <c r="B28" s="107" t="s">
        <v>321</v>
      </c>
      <c r="C28" s="194">
        <f>VLOOKUP($A28,[23]Sheet2!$B$1:$E$65536,4,FALSE)</f>
        <v>266253357.18949676</v>
      </c>
      <c r="E28" s="194">
        <f t="shared" si="0"/>
        <v>266253357.18949676</v>
      </c>
      <c r="F28" s="194">
        <f>VLOOKUP($A28,[23]Sheet2!$B$1:$F$65536,5,FALSE)</f>
        <v>9620225.586037159</v>
      </c>
      <c r="G28" s="194">
        <f>VLOOKUP($A28,[23]Sheet2!$B$1:$G$65536,6,FALSE)</f>
        <v>7947187.2734596282</v>
      </c>
      <c r="H28" s="242">
        <f t="shared" si="6"/>
        <v>248685944.32999998</v>
      </c>
      <c r="I28" s="194">
        <f>IFERROR(VLOOKUP(A28,Volume!AG:AI,3,FALSE),0)</f>
        <v>257385670.19999999</v>
      </c>
      <c r="K28" s="194">
        <f t="shared" si="1"/>
        <v>257385670.19999999</v>
      </c>
      <c r="L28" s="194">
        <f>VLOOKUP($A28,[23]Sheet2!$B$1:$I$65536,8,FALSE)</f>
        <v>10419089.809999999</v>
      </c>
      <c r="M28" s="194">
        <v>-957363.14472955465</v>
      </c>
      <c r="N28" s="253">
        <f t="shared" si="2"/>
        <v>247923943.53472954</v>
      </c>
      <c r="O28" s="94">
        <f t="shared" si="3"/>
        <v>3.0735264388197514E-3</v>
      </c>
      <c r="P28" s="246">
        <f t="shared" si="4"/>
        <v>2.9848214337457119E-2</v>
      </c>
      <c r="Q28" s="194">
        <v>234580962.41</v>
      </c>
      <c r="R28" s="194">
        <f>VLOOKUP(A28,Chronic!$1:$1048576,3,FALSE)</f>
        <v>0</v>
      </c>
      <c r="S28" s="252">
        <f t="shared" si="5"/>
        <v>234580962.41</v>
      </c>
      <c r="T28" s="123">
        <f t="shared" si="7"/>
        <v>-8.860131091322887E-2</v>
      </c>
      <c r="V28" s="120"/>
    </row>
    <row r="29" spans="1:22" x14ac:dyDescent="0.55000000000000004">
      <c r="A29" s="107">
        <v>210034</v>
      </c>
      <c r="B29" s="107" t="s">
        <v>320</v>
      </c>
      <c r="C29" s="194">
        <f>VLOOKUP($A29,[23]Sheet2!$B$1:$E$65536,4,FALSE)</f>
        <v>209754155.79909068</v>
      </c>
      <c r="E29" s="194">
        <f t="shared" si="0"/>
        <v>209754155.79909068</v>
      </c>
      <c r="F29" s="194">
        <f>VLOOKUP($A29,[23]Sheet2!$B$1:$F$65536,5,FALSE)</f>
        <v>6092871.2800041484</v>
      </c>
      <c r="G29" s="194">
        <f>VLOOKUP($A29,[23]Sheet2!$B$1:$G$65536,6,FALSE)</f>
        <v>3198161.919086528</v>
      </c>
      <c r="H29" s="242">
        <f t="shared" si="6"/>
        <v>200463122.60000002</v>
      </c>
      <c r="I29" s="194">
        <f>IFERROR(VLOOKUP(A29,Volume!AG:AI,3,FALSE),0)</f>
        <v>201446777.34</v>
      </c>
      <c r="K29" s="194">
        <f t="shared" si="1"/>
        <v>201446777.34</v>
      </c>
      <c r="L29" s="194">
        <f>VLOOKUP($A29,[23]Sheet2!$B$1:$I$65536,8,FALSE)</f>
        <v>1440513.7099999995</v>
      </c>
      <c r="M29" s="194">
        <v>-155219.41319644451</v>
      </c>
      <c r="N29" s="253">
        <f t="shared" si="2"/>
        <v>200161483.04319644</v>
      </c>
      <c r="O29" s="94">
        <f t="shared" si="3"/>
        <v>1.5069810246084447E-3</v>
      </c>
      <c r="P29" s="246">
        <f t="shared" si="4"/>
        <v>1.5247192156468314E-2</v>
      </c>
      <c r="Q29" s="194">
        <v>194303735.05000001</v>
      </c>
      <c r="R29" s="194">
        <f>VLOOKUP(A29,Chronic!$1:$1048576,3,FALSE)</f>
        <v>0</v>
      </c>
      <c r="S29" s="252">
        <f t="shared" si="5"/>
        <v>194303735.05000001</v>
      </c>
      <c r="T29" s="123">
        <f t="shared" si="7"/>
        <v>-3.5458707179733318E-2</v>
      </c>
      <c r="V29" s="120"/>
    </row>
    <row r="30" spans="1:22" x14ac:dyDescent="0.55000000000000004">
      <c r="A30" s="107">
        <v>210035</v>
      </c>
      <c r="B30" s="107" t="s">
        <v>140</v>
      </c>
      <c r="C30" s="194">
        <f>VLOOKUP($A30,[23]Sheet2!$B$1:$E$65536,4,FALSE)</f>
        <v>179968583.10084516</v>
      </c>
      <c r="E30" s="194">
        <f t="shared" si="0"/>
        <v>179968583.10084516</v>
      </c>
      <c r="F30" s="194">
        <f>VLOOKUP($A30,[23]Sheet2!$B$1:$F$65536,5,FALSE)</f>
        <v>4783806.1316155232</v>
      </c>
      <c r="G30" s="194">
        <f>VLOOKUP($A30,[23]Sheet2!$B$1:$G$65536,6,FALSE)</f>
        <v>6860813.349229604</v>
      </c>
      <c r="H30" s="242">
        <f t="shared" si="6"/>
        <v>168323963.62000003</v>
      </c>
      <c r="I30" s="194">
        <f>IFERROR(VLOOKUP(A30,Volume!AG:AI,3,FALSE),0)</f>
        <v>175266910.41999999</v>
      </c>
      <c r="K30" s="194">
        <f t="shared" si="1"/>
        <v>175266910.41999999</v>
      </c>
      <c r="L30" s="194">
        <f>VLOOKUP($A30,[23]Sheet2!$B$1:$I$65536,8,FALSE)</f>
        <v>7509777.5600000015</v>
      </c>
      <c r="M30" s="194">
        <v>-471633.54887855053</v>
      </c>
      <c r="N30" s="253">
        <f t="shared" si="2"/>
        <v>168228766.40887854</v>
      </c>
      <c r="O30" s="94">
        <f t="shared" si="3"/>
        <v>5.6587950535247344E-4</v>
      </c>
      <c r="P30" s="246">
        <f t="shared" si="4"/>
        <v>3.8122283517591268E-2</v>
      </c>
      <c r="Q30" s="194">
        <v>149436345.52000001</v>
      </c>
      <c r="R30" s="194">
        <f>VLOOKUP(A30,Chronic!$1:$1048576,3,FALSE)</f>
        <v>0</v>
      </c>
      <c r="S30" s="252">
        <f t="shared" si="5"/>
        <v>149436345.52000001</v>
      </c>
      <c r="T30" s="123">
        <f t="shared" si="7"/>
        <v>-0.14737844604039085</v>
      </c>
      <c r="V30" s="120"/>
    </row>
    <row r="31" spans="1:22" x14ac:dyDescent="0.55000000000000004">
      <c r="A31" s="107">
        <v>210037</v>
      </c>
      <c r="B31" s="107" t="s">
        <v>125</v>
      </c>
      <c r="C31" s="194">
        <f>VLOOKUP($A31,[23]Sheet2!$B$1:$E$65536,4,FALSE)</f>
        <v>286977567.19253415</v>
      </c>
      <c r="E31" s="194">
        <f t="shared" si="0"/>
        <v>286977567.19253415</v>
      </c>
      <c r="F31" s="194">
        <f>VLOOKUP($A31,[23]Sheet2!$B$1:$F$65536,5,FALSE)</f>
        <v>17613905.083089869</v>
      </c>
      <c r="G31" s="194">
        <f>VLOOKUP($A31,[23]Sheet2!$B$1:$G$65536,6,FALSE)</f>
        <v>9268741.3394443169</v>
      </c>
      <c r="H31" s="242">
        <f t="shared" si="6"/>
        <v>260094920.76999995</v>
      </c>
      <c r="I31" s="194">
        <f>IFERROR(VLOOKUP(A31,Volume!AG:AI,3,FALSE),0)</f>
        <v>287354593.13999999</v>
      </c>
      <c r="K31" s="194">
        <f t="shared" si="1"/>
        <v>287354593.13999999</v>
      </c>
      <c r="L31" s="194">
        <f>VLOOKUP($A31,[23]Sheet2!$B$1:$I$65536,8,FALSE)</f>
        <v>16401114.109999999</v>
      </c>
      <c r="M31" s="194">
        <v>8937437.617636025</v>
      </c>
      <c r="N31" s="253">
        <f t="shared" si="2"/>
        <v>262016041.41236395</v>
      </c>
      <c r="O31" s="94">
        <f t="shared" si="3"/>
        <v>-7.3320726166552497E-3</v>
      </c>
      <c r="P31" s="246">
        <f t="shared" si="4"/>
        <v>3.2297790486271315E-2</v>
      </c>
      <c r="Q31" s="194">
        <v>202935758.06999999</v>
      </c>
      <c r="R31" s="194">
        <f>VLOOKUP(A31,Chronic!$1:$1048576,3,FALSE)</f>
        <v>0</v>
      </c>
      <c r="S31" s="252">
        <f t="shared" si="5"/>
        <v>202935758.06999999</v>
      </c>
      <c r="T31" s="123">
        <f t="shared" si="7"/>
        <v>-0.29377931338258056</v>
      </c>
      <c r="V31" s="120"/>
    </row>
    <row r="32" spans="1:22" x14ac:dyDescent="0.55000000000000004">
      <c r="A32" s="107">
        <v>210038</v>
      </c>
      <c r="B32" s="107" t="s">
        <v>43</v>
      </c>
      <c r="C32" s="194">
        <f>VLOOKUP($A32,[23]Sheet2!$B$1:$E$65536,4,FALSE)</f>
        <v>267052799.113664</v>
      </c>
      <c r="E32" s="194">
        <f t="shared" si="0"/>
        <v>267052799.113664</v>
      </c>
      <c r="F32" s="194">
        <f>VLOOKUP($A32,[23]Sheet2!$B$1:$F$65536,5,FALSE)</f>
        <v>9329435.5775080863</v>
      </c>
      <c r="G32" s="194">
        <f>VLOOKUP($A32,[23]Sheet2!$B$1:$G$65536,6,FALSE)</f>
        <v>23544047.98615583</v>
      </c>
      <c r="H32" s="242">
        <f t="shared" si="6"/>
        <v>234179315.55000007</v>
      </c>
      <c r="I32" s="194">
        <f>IFERROR(VLOOKUP(A32,Volume!AG:AI,3,FALSE),0)</f>
        <v>242290219</v>
      </c>
      <c r="K32" s="194">
        <f t="shared" si="1"/>
        <v>242290219</v>
      </c>
      <c r="L32" s="194">
        <f>VLOOKUP($A32,[23]Sheet2!$B$1:$I$65536,8,FALSE)</f>
        <v>11020701.129999999</v>
      </c>
      <c r="M32" s="194">
        <v>-189974.55796015263</v>
      </c>
      <c r="N32" s="253">
        <f t="shared" si="2"/>
        <v>231459492.42796016</v>
      </c>
      <c r="O32" s="94">
        <f t="shared" si="3"/>
        <v>1.1750752123015351E-2</v>
      </c>
      <c r="P32" s="94">
        <f t="shared" si="4"/>
        <v>8.8162520910836539E-2</v>
      </c>
      <c r="Q32" s="194">
        <v>218168115.63999999</v>
      </c>
      <c r="R32" s="194">
        <f>VLOOKUP(A32,Chronic!$1:$1048576,3,FALSE)</f>
        <v>17819418.710000001</v>
      </c>
      <c r="S32" s="252">
        <f t="shared" si="5"/>
        <v>235987534.34999999</v>
      </c>
      <c r="T32" s="123">
        <f t="shared" si="7"/>
        <v>-2.6012955355824818E-2</v>
      </c>
      <c r="V32" s="120"/>
    </row>
    <row r="33" spans="1:22" x14ac:dyDescent="0.55000000000000004">
      <c r="A33" s="107">
        <v>210039</v>
      </c>
      <c r="B33" s="107" t="s">
        <v>7</v>
      </c>
      <c r="C33" s="194">
        <f>VLOOKUP($A33,[23]Sheet2!$B$1:$E$65536,4,FALSE)</f>
        <v>175280795.65796503</v>
      </c>
      <c r="E33" s="194">
        <f t="shared" si="0"/>
        <v>175280795.65796503</v>
      </c>
      <c r="F33" s="194">
        <f>VLOOKUP($A33,[23]Sheet2!$B$1:$F$65536,5,FALSE)</f>
        <v>3359986.1428522328</v>
      </c>
      <c r="G33" s="194">
        <f>VLOOKUP($A33,[23]Sheet2!$B$1:$G$65536,6,FALSE)</f>
        <v>6182667.4351127781</v>
      </c>
      <c r="H33" s="242">
        <f t="shared" si="6"/>
        <v>165738142.08000001</v>
      </c>
      <c r="I33" s="194">
        <f>IFERROR(VLOOKUP(A33,Volume!AG:AI,3,FALSE),0)</f>
        <v>170282074.96000001</v>
      </c>
      <c r="K33" s="194">
        <f t="shared" si="1"/>
        <v>170282074.96000001</v>
      </c>
      <c r="L33" s="194">
        <f>VLOOKUP($A33,[23]Sheet2!$B$1:$I$65536,8,FALSE)</f>
        <v>4731238.54</v>
      </c>
      <c r="M33" s="194">
        <v>214560.37694463134</v>
      </c>
      <c r="N33" s="253">
        <f t="shared" si="2"/>
        <v>165336276.04305539</v>
      </c>
      <c r="O33" s="94">
        <f t="shared" si="3"/>
        <v>2.4305980911289993E-3</v>
      </c>
      <c r="P33" s="246">
        <f t="shared" si="4"/>
        <v>3.5272931138316796E-2</v>
      </c>
      <c r="Q33" s="194">
        <v>142561781.87</v>
      </c>
      <c r="R33" s="194">
        <f>VLOOKUP(A33,Chronic!$1:$1048576,3,FALSE)</f>
        <v>0</v>
      </c>
      <c r="S33" s="252">
        <f t="shared" si="5"/>
        <v>142561781.87</v>
      </c>
      <c r="T33" s="123">
        <f t="shared" si="7"/>
        <v>-0.16279043520295144</v>
      </c>
      <c r="V33" s="120"/>
    </row>
    <row r="34" spans="1:22" x14ac:dyDescent="0.55000000000000004">
      <c r="A34" s="107">
        <v>210040</v>
      </c>
      <c r="B34" s="107" t="s">
        <v>29</v>
      </c>
      <c r="C34" s="194">
        <f>VLOOKUP($A34,[23]Sheet2!$B$1:$E$65536,4,FALSE)</f>
        <v>310986819.29517585</v>
      </c>
      <c r="E34" s="194">
        <f t="shared" ref="E34:E40" si="8">C34+D34</f>
        <v>310986819.29517585</v>
      </c>
      <c r="F34" s="194">
        <f>VLOOKUP($A34,[23]Sheet2!$B$1:$F$65536,5,FALSE)</f>
        <v>16477100.776070796</v>
      </c>
      <c r="G34" s="194">
        <f>VLOOKUP($A34,[23]Sheet2!$B$1:$G$65536,6,FALSE)</f>
        <v>9560481.5991050806</v>
      </c>
      <c r="H34" s="242">
        <f t="shared" si="6"/>
        <v>284949236.92000002</v>
      </c>
      <c r="I34" s="194">
        <f>IFERROR(VLOOKUP(A34,Volume!AG:AI,3,FALSE),0)</f>
        <v>301284044.13</v>
      </c>
      <c r="K34" s="194">
        <f t="shared" si="1"/>
        <v>301284044.13</v>
      </c>
      <c r="L34" s="194">
        <f>VLOOKUP($A34,[23]Sheet2!$B$1:$I$65536,8,FALSE)</f>
        <v>17667943.860000003</v>
      </c>
      <c r="M34" s="194">
        <v>-952657.21106779575</v>
      </c>
      <c r="N34" s="253">
        <f t="shared" si="2"/>
        <v>284568757.48106778</v>
      </c>
      <c r="O34" s="94">
        <f t="shared" si="3"/>
        <v>1.3370386907549658E-3</v>
      </c>
      <c r="P34" s="246">
        <f t="shared" si="4"/>
        <v>3.0742401304251633E-2</v>
      </c>
      <c r="Q34" s="194">
        <v>257927621.34999999</v>
      </c>
      <c r="R34" s="194">
        <f>VLOOKUP(A34,Chronic!$1:$1048576,3,FALSE)</f>
        <v>0</v>
      </c>
      <c r="S34" s="252">
        <f t="shared" si="5"/>
        <v>257927621.34999999</v>
      </c>
      <c r="T34" s="123">
        <f t="shared" si="7"/>
        <v>-0.1439054726751221</v>
      </c>
      <c r="V34" s="120"/>
    </row>
    <row r="35" spans="1:22" x14ac:dyDescent="0.55000000000000004">
      <c r="A35" s="107">
        <v>210043</v>
      </c>
      <c r="B35" s="107" t="s">
        <v>319</v>
      </c>
      <c r="C35" s="194">
        <f>VLOOKUP($A35,[23]Sheet2!$B$1:$E$65536,4,FALSE)</f>
        <v>510983766.34262848</v>
      </c>
      <c r="E35" s="194">
        <f t="shared" si="8"/>
        <v>510983766.34262848</v>
      </c>
      <c r="F35" s="194">
        <f>VLOOKUP($A35,[23]Sheet2!$B$1:$F$65536,5,FALSE)</f>
        <v>18592627.983213659</v>
      </c>
      <c r="G35" s="194">
        <f>VLOOKUP($A35,[23]Sheet2!$B$1:$G$65536,6,FALSE)</f>
        <v>11537918.089414943</v>
      </c>
      <c r="H35" s="242">
        <f t="shared" si="6"/>
        <v>480853220.26999986</v>
      </c>
      <c r="I35" s="194">
        <f>IFERROR(VLOOKUP(A35,Volume!AG:AI,3,FALSE),0)</f>
        <v>511630556.13</v>
      </c>
      <c r="J35" s="185"/>
      <c r="K35" s="194">
        <f t="shared" si="1"/>
        <v>511630556.13</v>
      </c>
      <c r="L35" s="194">
        <f>VLOOKUP($A35,[23]Sheet2!$B$1:$I$65536,8,FALSE)</f>
        <v>33521942.870000001</v>
      </c>
      <c r="M35" s="194">
        <v>-320790.10580682755</v>
      </c>
      <c r="N35" s="253">
        <f t="shared" si="2"/>
        <v>478429403.36580682</v>
      </c>
      <c r="O35" s="94">
        <f t="shared" si="3"/>
        <v>5.0661955288309191E-3</v>
      </c>
      <c r="P35" s="246">
        <f t="shared" si="4"/>
        <v>2.2579813390154659E-2</v>
      </c>
      <c r="Q35" s="194">
        <v>417507933.56</v>
      </c>
      <c r="R35" s="194">
        <f>VLOOKUP(A35,Chronic!$1:$1048576,3,FALSE)</f>
        <v>0</v>
      </c>
      <c r="S35" s="252">
        <f t="shared" si="5"/>
        <v>417507933.56</v>
      </c>
      <c r="T35" s="123">
        <f t="shared" si="7"/>
        <v>-0.18396599155833926</v>
      </c>
      <c r="V35" s="120"/>
    </row>
    <row r="36" spans="1:22" x14ac:dyDescent="0.55000000000000004">
      <c r="A36" s="107">
        <v>210044</v>
      </c>
      <c r="B36" s="107" t="s">
        <v>148</v>
      </c>
      <c r="C36" s="194">
        <f>VLOOKUP($A36,[23]Sheet2!$B$1:$E$65536,4,FALSE)</f>
        <v>495966263.1295867</v>
      </c>
      <c r="E36" s="194">
        <f>C36+D36</f>
        <v>495966263.1295867</v>
      </c>
      <c r="F36" s="194">
        <f>VLOOKUP($A36,[23]Sheet2!$B$1:$F$65536,5,FALSE)</f>
        <v>23501391.194312837</v>
      </c>
      <c r="G36" s="194">
        <f>VLOOKUP($A36,[23]Sheet2!$B$1:$G$65536,6,FALSE)</f>
        <v>-6175656.904726075</v>
      </c>
      <c r="H36" s="242">
        <f t="shared" si="6"/>
        <v>478640528.83999997</v>
      </c>
      <c r="I36" s="194">
        <f>IFERROR(VLOOKUP(A36,Volume!AG:AI,3,FALSE),0)</f>
        <v>492220623.76999998</v>
      </c>
      <c r="J36" s="185"/>
      <c r="K36" s="194">
        <f>I36+J36</f>
        <v>492220623.76999998</v>
      </c>
      <c r="L36" s="194">
        <f>VLOOKUP($A36,[23]Sheet2!$B$1:$I$65536,8,FALSE)</f>
        <v>21487775.050000001</v>
      </c>
      <c r="M36" s="194">
        <v>-5033066.127664566</v>
      </c>
      <c r="N36" s="253">
        <f t="shared" si="2"/>
        <v>475765914.84766454</v>
      </c>
      <c r="O36" s="94">
        <f>H36/N36-1</f>
        <v>6.0420763712252246E-3</v>
      </c>
      <c r="P36" s="246">
        <f t="shared" si="4"/>
        <v>-1.2451768121801647E-2</v>
      </c>
      <c r="Q36" s="194">
        <v>460265864.94999999</v>
      </c>
      <c r="R36" s="194">
        <f>VLOOKUP(A36,Chronic!$1:$1048576,3,FALSE)</f>
        <v>0</v>
      </c>
      <c r="S36" s="252">
        <f t="shared" si="5"/>
        <v>460265864.94999999</v>
      </c>
      <c r="T36" s="123">
        <f t="shared" si="7"/>
        <v>-6.4919585399029311E-2</v>
      </c>
      <c r="V36" s="120"/>
    </row>
    <row r="37" spans="1:22" x14ac:dyDescent="0.55000000000000004">
      <c r="A37" s="107">
        <v>210045</v>
      </c>
      <c r="B37" s="107" t="s">
        <v>19</v>
      </c>
      <c r="C37" s="194">
        <f>VLOOKUP($A37,[23]Sheet2!$B$1:$E$65536,4,FALSE)</f>
        <v>6848258.8078137636</v>
      </c>
      <c r="E37" s="194">
        <f t="shared" si="8"/>
        <v>6848258.8078137636</v>
      </c>
      <c r="F37" s="194">
        <f>VLOOKUP($A37,[23]Sheet2!$B$1:$F$65536,5,FALSE)</f>
        <v>0</v>
      </c>
      <c r="G37" s="194">
        <f>VLOOKUP($A37,[23]Sheet2!$B$1:$G$65536,6,FALSE)</f>
        <v>0</v>
      </c>
      <c r="H37" s="242">
        <f t="shared" si="6"/>
        <v>6848258.8078137636</v>
      </c>
      <c r="I37" s="194">
        <f>IFERROR(VLOOKUP(A37,Volume!AG:AI,3,FALSE),0)</f>
        <v>5228782.72</v>
      </c>
      <c r="K37" s="194">
        <f t="shared" si="1"/>
        <v>5228782.72</v>
      </c>
      <c r="L37" s="194">
        <f>VLOOKUP($A37,[23]Sheet2!$B$1:$I$65536,8,FALSE)</f>
        <v>0</v>
      </c>
      <c r="M37" s="194">
        <v>-471558.82573580742</v>
      </c>
      <c r="N37" s="253">
        <f t="shared" si="2"/>
        <v>5700341.5457358072</v>
      </c>
      <c r="O37" s="94">
        <f t="shared" si="3"/>
        <v>0.20137692678023233</v>
      </c>
      <c r="P37" s="246">
        <f t="shared" si="4"/>
        <v>0</v>
      </c>
      <c r="Q37" s="194">
        <v>16382298.92</v>
      </c>
      <c r="R37" s="194">
        <f>VLOOKUP(A37,Chronic!$1:$1048576,3,FALSE)</f>
        <v>0</v>
      </c>
      <c r="S37" s="252">
        <f t="shared" si="5"/>
        <v>16382298.92</v>
      </c>
      <c r="T37" s="123">
        <f t="shared" si="7"/>
        <v>2.1330999579190779</v>
      </c>
      <c r="V37" s="120"/>
    </row>
    <row r="38" spans="1:22" x14ac:dyDescent="0.55000000000000004">
      <c r="A38" s="107">
        <v>210048</v>
      </c>
      <c r="B38" s="107" t="s">
        <v>16</v>
      </c>
      <c r="C38" s="194">
        <f>VLOOKUP($A38,[23]Sheet2!$B$1:$E$65536,4,FALSE)</f>
        <v>354327611.86945707</v>
      </c>
      <c r="E38" s="194">
        <f t="shared" si="8"/>
        <v>354327611.86945707</v>
      </c>
      <c r="F38" s="194">
        <f>VLOOKUP($A38,[23]Sheet2!$B$1:$F$65536,5,FALSE)</f>
        <v>10950033.467460219</v>
      </c>
      <c r="G38" s="194">
        <f>VLOOKUP($A38,[23]Sheet2!$B$1:$G$65536,6,FALSE)</f>
        <v>11679368.901996888</v>
      </c>
      <c r="H38" s="242">
        <f t="shared" si="6"/>
        <v>331698209.49999994</v>
      </c>
      <c r="I38" s="194">
        <f>IFERROR(VLOOKUP(A38,Volume!AG:AI,3,FALSE),0)</f>
        <v>345110522.88999999</v>
      </c>
      <c r="K38" s="194">
        <f t="shared" si="1"/>
        <v>345110522.88999999</v>
      </c>
      <c r="L38" s="194">
        <f>VLOOKUP($A38,[23]Sheet2!$B$1:$I$65536,8,FALSE)</f>
        <v>14544213.790000001</v>
      </c>
      <c r="M38" s="194">
        <v>-1265337.3368172646</v>
      </c>
      <c r="N38" s="253">
        <f t="shared" si="2"/>
        <v>331831646.43681723</v>
      </c>
      <c r="O38" s="94">
        <f t="shared" si="3"/>
        <v>-4.0212239625159185E-4</v>
      </c>
      <c r="P38" s="246">
        <f t="shared" si="4"/>
        <v>3.2962062539737526E-2</v>
      </c>
      <c r="Q38" s="194">
        <v>304487413.75999999</v>
      </c>
      <c r="R38" s="194">
        <f>VLOOKUP(A38,Chronic!$1:$1048576,3,FALSE)</f>
        <v>0</v>
      </c>
      <c r="S38" s="252">
        <f t="shared" si="5"/>
        <v>304487413.75999999</v>
      </c>
      <c r="T38" s="123">
        <f t="shared" si="7"/>
        <v>-0.11771043313839535</v>
      </c>
      <c r="V38" s="120"/>
    </row>
    <row r="39" spans="1:22" x14ac:dyDescent="0.55000000000000004">
      <c r="A39" s="107">
        <v>210049</v>
      </c>
      <c r="B39" s="107" t="s">
        <v>318</v>
      </c>
      <c r="C39" s="194">
        <f>VLOOKUP($A39,[23]Sheet2!$B$1:$E$65536,4,FALSE)</f>
        <v>363807139.61326432</v>
      </c>
      <c r="E39" s="194">
        <f t="shared" si="8"/>
        <v>363807139.61326432</v>
      </c>
      <c r="F39" s="194">
        <f>VLOOKUP($A39,[23]Sheet2!$B$1:$F$65536,5,FALSE)</f>
        <v>6492929.3064842019</v>
      </c>
      <c r="G39" s="194">
        <f>VLOOKUP($A39,[23]Sheet2!$B$1:$G$65536,6,FALSE)</f>
        <v>11083730.661280498</v>
      </c>
      <c r="H39" s="242">
        <f t="shared" si="6"/>
        <v>346230479.64549959</v>
      </c>
      <c r="I39" s="194">
        <f>IFERROR(VLOOKUP(A39,Volume!AG:AI,3,FALSE),0)</f>
        <v>366648303.98000002</v>
      </c>
      <c r="K39" s="194">
        <f t="shared" si="1"/>
        <v>366648303.98000002</v>
      </c>
      <c r="L39" s="194">
        <f>VLOOKUP($A39,[23]Sheet2!$B$1:$I$65536,8,FALSE)</f>
        <v>17931978.06772821</v>
      </c>
      <c r="M39" s="194">
        <v>546072.99677222967</v>
      </c>
      <c r="N39" s="253">
        <f t="shared" si="2"/>
        <v>348170252.91549957</v>
      </c>
      <c r="O39" s="94">
        <f t="shared" si="3"/>
        <v>-5.5713354422347594E-3</v>
      </c>
      <c r="P39" s="246">
        <f t="shared" si="4"/>
        <v>3.0465951473802214E-2</v>
      </c>
      <c r="Q39" s="194">
        <v>336726087.19</v>
      </c>
      <c r="R39" s="194">
        <f>VLOOKUP(A39,Chronic!$1:$1048576,3,FALSE)</f>
        <v>0</v>
      </c>
      <c r="S39" s="252">
        <f t="shared" si="5"/>
        <v>336726087.19</v>
      </c>
      <c r="T39" s="123">
        <f t="shared" si="7"/>
        <v>-8.1610132830812754E-2</v>
      </c>
      <c r="V39" s="120"/>
    </row>
    <row r="40" spans="1:22" x14ac:dyDescent="0.55000000000000004">
      <c r="A40" s="107">
        <v>210051</v>
      </c>
      <c r="B40" s="107" t="s">
        <v>317</v>
      </c>
      <c r="C40" s="194">
        <f>VLOOKUP($A40,[23]Sheet2!$B$1:$E$65536,4,FALSE)</f>
        <v>307539504.51854199</v>
      </c>
      <c r="E40" s="194">
        <f t="shared" si="8"/>
        <v>307539504.51854199</v>
      </c>
      <c r="F40" s="194">
        <f>VLOOKUP($A40,[23]Sheet2!$B$1:$F$65536,5,FALSE)</f>
        <v>24964975.807725731</v>
      </c>
      <c r="G40" s="194">
        <f>VLOOKUP($A40,[23]Sheet2!$B$1:$G$65536,6,FALSE)</f>
        <v>2824602.8808162482</v>
      </c>
      <c r="H40" s="242">
        <f t="shared" si="6"/>
        <v>279749925.83000004</v>
      </c>
      <c r="I40" s="194">
        <f>IFERROR(VLOOKUP(A40,Volume!AG:AI,3,FALSE),0)</f>
        <v>259241775.94</v>
      </c>
      <c r="K40" s="194">
        <f t="shared" si="1"/>
        <v>259241775.94</v>
      </c>
      <c r="L40" s="194">
        <f>VLOOKUP($A40,[23]Sheet2!$B$1:$I$65536,8,FALSE)</f>
        <v>20011417.720000003</v>
      </c>
      <c r="M40" s="194">
        <v>-36680449.36898011</v>
      </c>
      <c r="N40" s="253">
        <f t="shared" si="2"/>
        <v>275910807.58898008</v>
      </c>
      <c r="O40" s="94">
        <f t="shared" si="3"/>
        <v>1.3914345271820672E-2</v>
      </c>
      <c r="P40" s="246">
        <f t="shared" si="4"/>
        <v>9.1845204902641989E-3</v>
      </c>
      <c r="Q40" s="194">
        <v>232151049.43000001</v>
      </c>
      <c r="R40" s="194">
        <f>VLOOKUP(A40,Chronic!$1:$1048576,3,FALSE)</f>
        <v>0</v>
      </c>
      <c r="S40" s="252">
        <f t="shared" si="5"/>
        <v>232151049.43000001</v>
      </c>
      <c r="T40" s="123">
        <f t="shared" si="7"/>
        <v>-0.10449984926916245</v>
      </c>
      <c r="V40" s="120"/>
    </row>
    <row r="41" spans="1:22" x14ac:dyDescent="0.55000000000000004">
      <c r="A41" s="107">
        <v>210055</v>
      </c>
      <c r="B41" s="107" t="s">
        <v>215</v>
      </c>
      <c r="C41" s="194">
        <f>VLOOKUP($A41,[23]Sheet2!$B$1:$E$65536,4,FALSE)</f>
        <v>41947532.394994989</v>
      </c>
      <c r="E41" s="194">
        <f t="shared" si="0"/>
        <v>41947532.394994989</v>
      </c>
      <c r="F41" s="194">
        <f>VLOOKUP($A41,[23]Sheet2!$B$1:$F$65536,5,FALSE)</f>
        <v>2073906.3456706288</v>
      </c>
      <c r="G41" s="194">
        <f>VLOOKUP($A41,[23]Sheet2!$B$1:$G$65536,6,FALSE)</f>
        <v>1991877.9293243645</v>
      </c>
      <c r="H41" s="242">
        <f t="shared" si="6"/>
        <v>37881748.119999997</v>
      </c>
      <c r="I41" s="194">
        <f>IFERROR(VLOOKUP(A41,Volume!AG:AI,3,FALSE),0)</f>
        <v>34096100.859999999</v>
      </c>
      <c r="K41" s="194">
        <f t="shared" si="1"/>
        <v>34096100.859999999</v>
      </c>
      <c r="L41" s="194">
        <f>VLOOKUP($A41,[23]Sheet2!$B$1:$I$65536,8,FALSE)</f>
        <v>1270736.7399999998</v>
      </c>
      <c r="M41" s="194">
        <v>-4737900.2327544093</v>
      </c>
      <c r="N41" s="253">
        <f t="shared" si="2"/>
        <v>37563264.352754414</v>
      </c>
      <c r="O41" s="94">
        <f t="shared" si="3"/>
        <v>8.4785966484361985E-3</v>
      </c>
      <c r="P41" s="246">
        <f t="shared" si="4"/>
        <v>4.7484984589034551E-2</v>
      </c>
      <c r="Q41" s="194">
        <v>88185483.620000005</v>
      </c>
      <c r="R41" s="194">
        <f>VLOOKUP(A41,Chronic!$1:$1048576,3,FALSE)</f>
        <v>0</v>
      </c>
      <c r="S41" s="252">
        <f t="shared" si="5"/>
        <v>88185483.620000005</v>
      </c>
      <c r="T41" s="123">
        <f t="shared" si="7"/>
        <v>1.5863803014336817</v>
      </c>
      <c r="V41" s="120"/>
    </row>
    <row r="42" spans="1:22" x14ac:dyDescent="0.55000000000000004">
      <c r="A42" s="107">
        <v>210056</v>
      </c>
      <c r="B42" s="107" t="s">
        <v>316</v>
      </c>
      <c r="C42" s="194">
        <f>VLOOKUP($A42,[23]Sheet2!$B$1:$E$65536,4,FALSE)</f>
        <v>307213155.35927725</v>
      </c>
      <c r="D42" s="185"/>
      <c r="E42" s="194">
        <f t="shared" si="0"/>
        <v>307213155.35927725</v>
      </c>
      <c r="F42" s="194">
        <f>VLOOKUP($A42,[23]Sheet2!$B$1:$F$65536,5,FALSE)</f>
        <v>7457413.9654845344</v>
      </c>
      <c r="G42" s="194">
        <f>VLOOKUP($A42,[23]Sheet2!$B$1:$G$65536,6,FALSE)</f>
        <v>12218522.413792681</v>
      </c>
      <c r="H42" s="242">
        <f t="shared" si="6"/>
        <v>287537218.98000002</v>
      </c>
      <c r="I42" s="194">
        <f>IFERROR(VLOOKUP(A42,Volume!AG:AI,3,FALSE),0)</f>
        <v>289012682.44</v>
      </c>
      <c r="J42" s="185"/>
      <c r="K42" s="194">
        <f t="shared" si="1"/>
        <v>289012682.44</v>
      </c>
      <c r="L42" s="194">
        <f>VLOOKUP($A42,[23]Sheet2!$B$1:$I$65536,8,FALSE)</f>
        <v>1995698.96</v>
      </c>
      <c r="M42" s="194">
        <v>595684.81050181389</v>
      </c>
      <c r="N42" s="253">
        <f t="shared" si="2"/>
        <v>286421298.66949821</v>
      </c>
      <c r="O42" s="94">
        <f t="shared" si="3"/>
        <v>3.8960800599869838E-3</v>
      </c>
      <c r="P42" s="246">
        <f t="shared" si="4"/>
        <v>3.9772132803048289E-2</v>
      </c>
      <c r="Q42" s="194">
        <v>297369437.23000002</v>
      </c>
      <c r="R42" s="194">
        <f>VLOOKUP(A42,Chronic!$1:$1048576,3,FALSE)</f>
        <v>0</v>
      </c>
      <c r="S42" s="252">
        <f t="shared" si="5"/>
        <v>297369437.23000002</v>
      </c>
      <c r="T42" s="123">
        <f t="shared" si="7"/>
        <v>2.8914837644659075E-2</v>
      </c>
      <c r="V42" s="120"/>
    </row>
    <row r="43" spans="1:22" x14ac:dyDescent="0.55000000000000004">
      <c r="A43" s="107">
        <v>210057</v>
      </c>
      <c r="B43" s="107" t="s">
        <v>31</v>
      </c>
      <c r="C43" s="194">
        <f>VLOOKUP($A43,[23]Sheet2!$B$1:$E$65536,4,FALSE)</f>
        <v>516288143.71165264</v>
      </c>
      <c r="D43" s="185"/>
      <c r="E43" s="194">
        <f t="shared" si="0"/>
        <v>516288143.71165264</v>
      </c>
      <c r="F43" s="194">
        <f>VLOOKUP($A43,[23]Sheet2!$B$1:$F$65536,5,FALSE)</f>
        <v>16238971.381478274</v>
      </c>
      <c r="G43" s="194">
        <f>VLOOKUP($A43,[23]Sheet2!$B$1:$G$65536,6,FALSE)</f>
        <v>10411223.970174517</v>
      </c>
      <c r="H43" s="242">
        <f t="shared" si="6"/>
        <v>489637948.3599999</v>
      </c>
      <c r="I43" s="194">
        <f>IFERROR(VLOOKUP(A43,Volume!AG:AI,3,FALSE),0)</f>
        <v>507227771.44</v>
      </c>
      <c r="J43" s="185"/>
      <c r="K43" s="194">
        <f t="shared" si="1"/>
        <v>507227771.44</v>
      </c>
      <c r="L43" s="194">
        <f>VLOOKUP($A43,[23]Sheet2!$B$1:$I$65536,8,FALSE)</f>
        <v>18441907.16</v>
      </c>
      <c r="M43" s="194">
        <v>-491258.88641399145</v>
      </c>
      <c r="N43" s="253">
        <f t="shared" si="2"/>
        <v>489277123.16641396</v>
      </c>
      <c r="O43" s="94">
        <f t="shared" si="3"/>
        <v>7.3746589918366467E-4</v>
      </c>
      <c r="P43" s="246">
        <f t="shared" si="4"/>
        <v>2.0165529844104253E-2</v>
      </c>
      <c r="Q43" s="194">
        <v>391203536.45999998</v>
      </c>
      <c r="R43" s="194">
        <f>VLOOKUP(A43,Chronic!$1:$1048576,3,FALSE)</f>
        <v>0</v>
      </c>
      <c r="S43" s="252">
        <f t="shared" si="5"/>
        <v>391203536.45999998</v>
      </c>
      <c r="T43" s="123">
        <f t="shared" si="7"/>
        <v>-0.22874188187805988</v>
      </c>
      <c r="V43" s="120"/>
    </row>
    <row r="44" spans="1:22" x14ac:dyDescent="0.55000000000000004">
      <c r="A44" s="107">
        <v>210058</v>
      </c>
      <c r="B44" s="107" t="s">
        <v>147</v>
      </c>
      <c r="C44" s="194">
        <f>VLOOKUP($A44,[23]Sheet2!$B$1:$E$65536,4,FALSE)</f>
        <v>142863989.36491099</v>
      </c>
      <c r="D44" s="185"/>
      <c r="E44" s="194">
        <f t="shared" si="0"/>
        <v>142863989.36491099</v>
      </c>
      <c r="F44" s="194">
        <f>VLOOKUP($A44,[23]Sheet2!$B$1:$F$65536,5,FALSE)</f>
        <v>8289218.3714264296</v>
      </c>
      <c r="G44" s="194">
        <f>VLOOKUP($A44,[23]Sheet2!$B$1:$G$65536,6,FALSE)</f>
        <v>257619.92348453589</v>
      </c>
      <c r="H44" s="242">
        <f t="shared" si="6"/>
        <v>134317151.07000002</v>
      </c>
      <c r="I44" s="194">
        <f>IFERROR(VLOOKUP(A44,Volume!AG:AI,3,FALSE),0)</f>
        <v>132877580.38</v>
      </c>
      <c r="K44" s="194">
        <f t="shared" si="1"/>
        <v>132877580.38</v>
      </c>
      <c r="L44" s="194">
        <f>VLOOKUP($A44,[23]Sheet2!$B$1:$I$65536,8,FALSE)</f>
        <v>5165098.1600000011</v>
      </c>
      <c r="M44" s="194">
        <v>-4354515.6118563712</v>
      </c>
      <c r="N44" s="253">
        <f t="shared" si="2"/>
        <v>132066997.83185637</v>
      </c>
      <c r="O44" s="94">
        <f t="shared" si="3"/>
        <v>1.7037967660993303E-2</v>
      </c>
      <c r="P44" s="246">
        <f t="shared" si="4"/>
        <v>1.8032530424900079E-3</v>
      </c>
      <c r="Q44" s="194">
        <v>104456884.81</v>
      </c>
      <c r="R44" s="194">
        <f>VLOOKUP(A44,Chronic!$1:$1048576,3,FALSE)</f>
        <v>17564928.510000002</v>
      </c>
      <c r="S44" s="252">
        <f t="shared" si="5"/>
        <v>122021813.32000001</v>
      </c>
      <c r="T44" s="123">
        <f t="shared" si="7"/>
        <v>-8.1697507050887963E-2</v>
      </c>
      <c r="V44" s="120"/>
    </row>
    <row r="45" spans="1:22" x14ac:dyDescent="0.55000000000000004">
      <c r="A45" s="107">
        <v>210060</v>
      </c>
      <c r="B45" s="107" t="s">
        <v>315</v>
      </c>
      <c r="C45" s="194">
        <f>VLOOKUP($A45,[23]Sheet2!$B$1:$E$65536,4,FALSE)</f>
        <v>64912838.737451792</v>
      </c>
      <c r="D45" s="185"/>
      <c r="E45" s="194">
        <f t="shared" si="0"/>
        <v>64912838.737451792</v>
      </c>
      <c r="F45" s="194">
        <f>VLOOKUP($A45,[23]Sheet2!$B$1:$F$65536,5,FALSE)</f>
        <v>1175925.7595946088</v>
      </c>
      <c r="G45" s="194">
        <f>VLOOKUP($A45,[23]Sheet2!$B$1:$G$65536,6,FALSE)</f>
        <v>2944221.6678571776</v>
      </c>
      <c r="H45" s="242">
        <f t="shared" si="6"/>
        <v>60792691.310000002</v>
      </c>
      <c r="I45" s="194">
        <f>IFERROR(VLOOKUP(A45,Volume!AG:AI,3,FALSE),0)</f>
        <v>67385279.329999998</v>
      </c>
      <c r="K45" s="194">
        <f t="shared" si="1"/>
        <v>67385279.329999998</v>
      </c>
      <c r="L45" s="194">
        <f>VLOOKUP($A45,[23]Sheet2!$B$1:$I$65536,8,FALSE)</f>
        <v>5510692.9499999993</v>
      </c>
      <c r="M45" s="194">
        <v>1239431.8652798682</v>
      </c>
      <c r="N45" s="253">
        <f t="shared" si="2"/>
        <v>60635154.514720127</v>
      </c>
      <c r="O45" s="94">
        <f t="shared" si="3"/>
        <v>2.5981099007776898E-3</v>
      </c>
      <c r="P45" s="246">
        <f t="shared" si="4"/>
        <v>4.5356538477164053E-2</v>
      </c>
      <c r="Q45" s="194">
        <v>48005743.130000003</v>
      </c>
      <c r="R45" s="194">
        <f>VLOOKUP(A45,Chronic!$1:$1048576,3,FALSE)</f>
        <v>0</v>
      </c>
      <c r="S45" s="252">
        <f t="shared" si="5"/>
        <v>48005743.130000003</v>
      </c>
      <c r="T45" s="123">
        <f t="shared" si="7"/>
        <v>-0.28759302317490287</v>
      </c>
      <c r="V45" s="120"/>
    </row>
    <row r="46" spans="1:22" x14ac:dyDescent="0.55000000000000004">
      <c r="A46" s="107">
        <v>210061</v>
      </c>
      <c r="B46" s="107" t="s">
        <v>5</v>
      </c>
      <c r="C46" s="194">
        <f>VLOOKUP($A46,[23]Sheet2!$B$1:$E$65536,4,FALSE)</f>
        <v>124352596.04775827</v>
      </c>
      <c r="E46" s="194">
        <f t="shared" si="0"/>
        <v>124352596.04775827</v>
      </c>
      <c r="F46" s="194">
        <f>VLOOKUP($A46,[23]Sheet2!$B$1:$F$65536,5,FALSE)</f>
        <v>2509835.1912099421</v>
      </c>
      <c r="G46" s="194">
        <f>VLOOKUP($A46,[23]Sheet2!$B$1:$G$65536,6,FALSE)</f>
        <v>2555588.5865483284</v>
      </c>
      <c r="H46" s="242">
        <f t="shared" si="6"/>
        <v>119287172.27</v>
      </c>
      <c r="I46" s="194">
        <f>IFERROR(VLOOKUP(A46,Volume!AG:AI,3,FALSE),0)</f>
        <v>124945709.09999999</v>
      </c>
      <c r="K46" s="194">
        <f t="shared" si="1"/>
        <v>124945709.09999999</v>
      </c>
      <c r="L46" s="194">
        <f>VLOOKUP($A46,[23]Sheet2!$B$1:$I$65536,8,FALSE)</f>
        <v>6069163.1999999993</v>
      </c>
      <c r="M46" s="194">
        <v>-533738.37600053847</v>
      </c>
      <c r="N46" s="253">
        <f t="shared" si="2"/>
        <v>119410284.27600053</v>
      </c>
      <c r="O46" s="94">
        <f t="shared" si="3"/>
        <v>-1.0310000243862749E-3</v>
      </c>
      <c r="P46" s="246">
        <f t="shared" si="4"/>
        <v>2.0551147847101166E-2</v>
      </c>
      <c r="Q46" s="194">
        <v>107414630.42</v>
      </c>
      <c r="R46" s="194">
        <f>VLOOKUP(A46,Chronic!$1:$1048576,3,FALSE)</f>
        <v>0</v>
      </c>
      <c r="S46" s="252">
        <f t="shared" si="5"/>
        <v>107414630.42</v>
      </c>
      <c r="T46" s="123">
        <f t="shared" si="7"/>
        <v>-0.14030956970254205</v>
      </c>
      <c r="V46" s="120"/>
    </row>
    <row r="47" spans="1:22" x14ac:dyDescent="0.55000000000000004">
      <c r="A47" s="107">
        <v>210062</v>
      </c>
      <c r="B47" s="107" t="s">
        <v>314</v>
      </c>
      <c r="C47" s="194">
        <f>VLOOKUP($A47,[23]Sheet2!$B$1:$E$65536,4,FALSE)</f>
        <v>317301838.76661766</v>
      </c>
      <c r="E47" s="194">
        <f t="shared" si="0"/>
        <v>317301838.76661766</v>
      </c>
      <c r="F47" s="194">
        <f>VLOOKUP($A47,[23]Sheet2!$B$1:$F$65536,5,FALSE)</f>
        <v>10340570.533938751</v>
      </c>
      <c r="G47" s="194">
        <f>VLOOKUP($A47,[23]Sheet2!$B$1:$G$65536,6,FALSE)</f>
        <v>11825816.972678909</v>
      </c>
      <c r="H47" s="242">
        <f t="shared" si="6"/>
        <v>295135451.25999999</v>
      </c>
      <c r="I47" s="194">
        <f>IFERROR(VLOOKUP(A47,Volume!AG:AI,3,FALSE),0)</f>
        <v>298015022.06</v>
      </c>
      <c r="K47" s="194">
        <f t="shared" si="1"/>
        <v>298015022.06</v>
      </c>
      <c r="L47" s="194">
        <f>VLOOKUP($A47,[23]Sheet2!$B$1:$I$65536,8,FALSE)</f>
        <v>3892820.0999999987</v>
      </c>
      <c r="M47" s="194">
        <v>157367.19692611694</v>
      </c>
      <c r="N47" s="253">
        <f t="shared" si="2"/>
        <v>293964834.76307386</v>
      </c>
      <c r="O47" s="94">
        <f t="shared" si="3"/>
        <v>3.9821650704228162E-3</v>
      </c>
      <c r="P47" s="246">
        <f t="shared" si="4"/>
        <v>3.7269928906327743E-2</v>
      </c>
      <c r="Q47" s="194">
        <v>270444187.08999997</v>
      </c>
      <c r="R47" s="194">
        <f>VLOOKUP(A47,Chronic!$1:$1048576,3,FALSE)</f>
        <v>0</v>
      </c>
      <c r="S47" s="252">
        <f t="shared" si="5"/>
        <v>270444187.08999997</v>
      </c>
      <c r="T47" s="123">
        <f t="shared" si="7"/>
        <v>-9.2514916796540336E-2</v>
      </c>
      <c r="V47" s="120"/>
    </row>
    <row r="48" spans="1:22" x14ac:dyDescent="0.55000000000000004">
      <c r="A48" s="107">
        <v>210063</v>
      </c>
      <c r="B48" s="107" t="s">
        <v>313</v>
      </c>
      <c r="C48" s="194">
        <f>VLOOKUP($A48,[23]Sheet2!$B$1:$E$65536,4,FALSE)</f>
        <v>458324949.77318352</v>
      </c>
      <c r="E48" s="194">
        <f t="shared" si="0"/>
        <v>458324949.77318352</v>
      </c>
      <c r="F48" s="194">
        <f>VLOOKUP($A48,[23]Sheet2!$B$1:$F$65536,5,FALSE)</f>
        <v>12388328.010949651</v>
      </c>
      <c r="G48" s="194">
        <f>VLOOKUP($A48,[23]Sheet2!$B$1:$G$65536,6,FALSE)</f>
        <v>33798017.962233759</v>
      </c>
      <c r="H48" s="242">
        <f t="shared" si="6"/>
        <v>412138603.80000007</v>
      </c>
      <c r="I48" s="194">
        <f>IFERROR(VLOOKUP(A48,Volume!AG:AI,3,FALSE),0)</f>
        <v>430815368.43000001</v>
      </c>
      <c r="K48" s="194">
        <f t="shared" si="1"/>
        <v>430815368.43000001</v>
      </c>
      <c r="L48" s="194">
        <f>VLOOKUP($A48,[23]Sheet2!$B$1:$I$65536,8,FALSE)</f>
        <v>22050872.009999998</v>
      </c>
      <c r="M48" s="194">
        <v>-2686542.4718636274</v>
      </c>
      <c r="N48" s="253">
        <f t="shared" si="2"/>
        <v>411451038.89186364</v>
      </c>
      <c r="O48" s="94">
        <f t="shared" si="3"/>
        <v>1.6710734525988702E-3</v>
      </c>
      <c r="P48" s="246">
        <f t="shared" si="4"/>
        <v>7.3742478952890891E-2</v>
      </c>
      <c r="Q48" s="194">
        <v>406943375.87</v>
      </c>
      <c r="R48" s="194">
        <f>VLOOKUP(A48,Chronic!$1:$1048576,3,FALSE)</f>
        <v>0</v>
      </c>
      <c r="S48" s="252">
        <f t="shared" si="5"/>
        <v>406943375.87</v>
      </c>
      <c r="T48" s="123">
        <f t="shared" si="7"/>
        <v>-5.5411190754395712E-2</v>
      </c>
      <c r="V48" s="120"/>
    </row>
    <row r="49" spans="1:20" x14ac:dyDescent="0.55000000000000004">
      <c r="A49" s="107">
        <v>210065</v>
      </c>
      <c r="B49" s="107" t="s">
        <v>81</v>
      </c>
      <c r="C49" s="194">
        <f>VLOOKUP($A49,[23]Sheet2!$B$1:$E$65536,4,FALSE)</f>
        <v>140175307.40653172</v>
      </c>
      <c r="D49" s="278">
        <f>(141903.9*1000-I49)*-1</f>
        <v>3596826.1200000048</v>
      </c>
      <c r="E49" s="194">
        <f>C49+D49</f>
        <v>143772133.52653173</v>
      </c>
      <c r="F49" s="194">
        <f>VLOOKUP($A49,[23]Sheet2!$B$1:$F$65536,5,FALSE)</f>
        <v>4764664.5151965283</v>
      </c>
      <c r="G49" s="194">
        <f>VLOOKUP($A49,[23]Sheet2!$B$1:$G$65536,6,FALSE)</f>
        <v>10631476.991335187</v>
      </c>
      <c r="H49" s="242">
        <f>E49-F49-G49</f>
        <v>128375992.02000001</v>
      </c>
      <c r="I49" s="194">
        <f>IFERROR(VLOOKUP(A49,Volume!AG:AI,3,FALSE),0)</f>
        <v>145500726.12</v>
      </c>
      <c r="K49" s="194">
        <f>I49+J49</f>
        <v>145500726.12</v>
      </c>
      <c r="L49" s="194">
        <f>VLOOKUP($A49,[23]Sheet2!$B$1:$I$65536,8,FALSE)</f>
        <v>13048227.310000001</v>
      </c>
      <c r="M49" s="194">
        <v>4076467.7867285311</v>
      </c>
      <c r="N49" s="253">
        <f>I49-L49-M49</f>
        <v>128376031.02327147</v>
      </c>
      <c r="O49" s="94">
        <f>H49/N49-1</f>
        <v>-3.0382051185995351E-7</v>
      </c>
      <c r="Q49" s="194">
        <v>96475426.689999998</v>
      </c>
      <c r="R49" s="194">
        <f>VLOOKUP(A49,Chronic!$1:$1048576,3,FALSE)</f>
        <v>0</v>
      </c>
      <c r="S49" s="252">
        <f>Q49+R49</f>
        <v>96475426.689999998</v>
      </c>
      <c r="T49" s="123">
        <f>Q49/I49-1</f>
        <v>-0.33694195718011033</v>
      </c>
    </row>
    <row r="51" spans="1:20" s="231" customFormat="1" ht="18.3" x14ac:dyDescent="0.7">
      <c r="A51" s="450" t="s">
        <v>302</v>
      </c>
      <c r="B51" s="451"/>
      <c r="C51" s="254">
        <f t="shared" ref="C51:I51" si="9">SUBTOTAL(9,C3:C49)</f>
        <v>19767618190.459454</v>
      </c>
      <c r="D51" s="254">
        <f t="shared" si="9"/>
        <v>-71338011.179999948</v>
      </c>
      <c r="E51" s="254">
        <f t="shared" si="9"/>
        <v>19696280179.279453</v>
      </c>
      <c r="F51" s="254">
        <f t="shared" si="9"/>
        <v>687228848.36614573</v>
      </c>
      <c r="G51" s="254">
        <f t="shared" si="9"/>
        <v>640122374.90307677</v>
      </c>
      <c r="H51" s="254">
        <f t="shared" si="9"/>
        <v>18368928956.010235</v>
      </c>
      <c r="I51" s="254">
        <f t="shared" si="9"/>
        <v>19067883502.830002</v>
      </c>
      <c r="J51" s="254"/>
      <c r="K51" s="254">
        <f>SUBTOTAL(9,K3:K49)</f>
        <v>19036133502.830002</v>
      </c>
      <c r="L51" s="254">
        <f>SUBTOTAL(9,L3:L49)</f>
        <v>820125753.48111606</v>
      </c>
      <c r="M51" s="254">
        <f>SUBTOTAL(9,M3:M49)</f>
        <v>-76146765.625603825</v>
      </c>
      <c r="N51" s="254">
        <f>SUBTOTAL(9,N3:N49)</f>
        <v>18292154514.974487</v>
      </c>
      <c r="O51" s="234">
        <f>H51/N51-1</f>
        <v>4.1971240169056401E-3</v>
      </c>
      <c r="S51" s="405"/>
    </row>
    <row r="55" spans="1:20" x14ac:dyDescent="0.55000000000000004">
      <c r="G55" s="194"/>
    </row>
    <row r="57" spans="1:20" hidden="1" x14ac:dyDescent="0.55000000000000004">
      <c r="B57" s="248" t="s">
        <v>312</v>
      </c>
      <c r="C57" s="247">
        <v>222991661.33267251</v>
      </c>
      <c r="D57" s="185"/>
      <c r="E57" s="247"/>
      <c r="F57" s="247">
        <v>7883614.699593287</v>
      </c>
      <c r="G57" s="251">
        <v>6183170.0530792475</v>
      </c>
    </row>
    <row r="58" spans="1:20" hidden="1" x14ac:dyDescent="0.55000000000000004">
      <c r="C58" s="107"/>
      <c r="D58" s="107"/>
      <c r="E58" s="107"/>
    </row>
    <row r="59" spans="1:20" hidden="1" x14ac:dyDescent="0.55000000000000004"/>
    <row r="60" spans="1:20" hidden="1" x14ac:dyDescent="0.55000000000000004">
      <c r="B60" s="250" t="s">
        <v>311</v>
      </c>
      <c r="C60" s="247" t="s">
        <v>310</v>
      </c>
      <c r="D60" s="185" t="s">
        <v>309</v>
      </c>
      <c r="E60" s="92"/>
      <c r="F60" s="92"/>
    </row>
    <row r="61" spans="1:20" hidden="1" x14ac:dyDescent="0.55000000000000004">
      <c r="B61" s="249">
        <v>210002</v>
      </c>
      <c r="C61" s="247">
        <v>80796.725569000002</v>
      </c>
      <c r="D61" s="185">
        <v>1447588816.3</v>
      </c>
      <c r="E61" s="92"/>
      <c r="F61" s="92"/>
    </row>
    <row r="62" spans="1:20" hidden="1" x14ac:dyDescent="0.55000000000000004">
      <c r="B62" s="249">
        <v>218992</v>
      </c>
      <c r="C62" s="247">
        <v>12992.74041</v>
      </c>
      <c r="D62" s="185">
        <v>241358814.21000001</v>
      </c>
      <c r="F62" s="197"/>
    </row>
    <row r="63" spans="1:20" hidden="1" x14ac:dyDescent="0.55000000000000004">
      <c r="B63" s="247">
        <f>SUM(B61:B62)</f>
        <v>428994</v>
      </c>
      <c r="C63" s="247">
        <f>SUM(C61:C62)</f>
        <v>93789.465979000001</v>
      </c>
      <c r="D63" s="185">
        <f>SUM(D61:D62)</f>
        <v>1688947630.51</v>
      </c>
    </row>
    <row r="64" spans="1:20" hidden="1" x14ac:dyDescent="0.55000000000000004"/>
    <row r="65" spans="3:12" hidden="1" x14ac:dyDescent="0.55000000000000004">
      <c r="C65" s="247" t="s">
        <v>308</v>
      </c>
      <c r="D65" s="280">
        <f>D62/D63</f>
        <v>0.14290485379769799</v>
      </c>
    </row>
    <row r="68" spans="3:12" hidden="1" x14ac:dyDescent="0.55000000000000004">
      <c r="C68" s="244">
        <v>224781054.43765932</v>
      </c>
      <c r="F68" s="244">
        <v>9566708.1175702922</v>
      </c>
      <c r="G68" s="245">
        <v>6289469.7400890589</v>
      </c>
      <c r="I68" s="185">
        <v>1487221722.27</v>
      </c>
      <c r="L68" s="244">
        <v>7941949.2699999996</v>
      </c>
    </row>
    <row r="69" spans="3:12" hidden="1" x14ac:dyDescent="0.55000000000000004">
      <c r="C69" s="244">
        <v>1704699710.241143</v>
      </c>
      <c r="F69" s="244">
        <v>38754967.137861371</v>
      </c>
      <c r="G69" s="244">
        <v>57117214.923281789</v>
      </c>
      <c r="I69" s="185">
        <v>1688947630.4899998</v>
      </c>
      <c r="J69" s="279">
        <f>I68/I69</f>
        <v>0.8805611822543753</v>
      </c>
      <c r="L69" s="243">
        <v>78278982.25</v>
      </c>
    </row>
    <row r="73" spans="3:12" x14ac:dyDescent="0.55000000000000004">
      <c r="G73" s="120"/>
    </row>
    <row r="74" spans="3:12" x14ac:dyDescent="0.55000000000000004">
      <c r="G74" s="194"/>
    </row>
  </sheetData>
  <sheetCalcPr fullCalcOnLoad="1"/>
  <autoFilter ref="A2:T48"/>
  <mergeCells count="1">
    <mergeCell ref="A51:B51"/>
  </mergeCells>
  <conditionalFormatting sqref="O3:O49">
    <cfRule type="cellIs" dxfId="3" priority="3" operator="lessThan">
      <formula>-0.02</formula>
    </cfRule>
    <cfRule type="cellIs" dxfId="2" priority="4" operator="greaterThan">
      <formula>0.02</formula>
    </cfRule>
  </conditionalFormatting>
  <conditionalFormatting sqref="P3:P49">
    <cfRule type="cellIs" dxfId="1" priority="1" stopIfTrue="1" operator="lessThan">
      <formula>-0.05</formula>
    </cfRule>
    <cfRule type="cellIs" dxfId="0" priority="2" stopIfTrue="1" operator="greaterThan">
      <formula>0.05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3"/>
  <sheetViews>
    <sheetView workbookViewId="0">
      <selection activeCell="C14" sqref="C14"/>
    </sheetView>
  </sheetViews>
  <sheetFormatPr defaultColWidth="9.15625" defaultRowHeight="15.3" x14ac:dyDescent="0.55000000000000004"/>
  <cols>
    <col min="1" max="1" width="9.15625" style="107"/>
    <col min="2" max="2" width="18.68359375" style="92" bestFit="1" customWidth="1"/>
    <col min="3" max="3" width="12.83984375" style="92" bestFit="1" customWidth="1"/>
    <col min="4" max="16384" width="9.15625" style="107"/>
  </cols>
  <sheetData>
    <row r="1" spans="1:3" s="265" customFormat="1" ht="15" x14ac:dyDescent="0.5">
      <c r="A1" s="265" t="s">
        <v>106</v>
      </c>
      <c r="B1" s="266" t="s">
        <v>359</v>
      </c>
      <c r="C1" s="266" t="s">
        <v>92</v>
      </c>
    </row>
    <row r="2" spans="1:3" x14ac:dyDescent="0.55000000000000004">
      <c r="A2" s="107">
        <v>210001</v>
      </c>
      <c r="B2" s="92">
        <f>IFERROR(VLOOKUP($A2,Volume!$U:$W,3,FALSE),0)+IFERROR(VLOOKUP(A2,Volume!AO:AQ,3,FALSE),0)+IFERROR(VLOOKUP(A2,Volume!AS:AV,4,FALSE),0)+IFERROR(VLOOKUP(A2,Volume!AX:AZ,3,FALSE),0)</f>
        <v>20831120.789999999</v>
      </c>
      <c r="C2" s="92">
        <f>IFERROR(VLOOKUP($A2,Volume!$U:$W,2,FALSE),0)+IFERROR(VLOOKUP(A2,Volume!AO:AQ,2,FALSE),0)+IFERROR(VLOOKUP(A2,Volume!AS:AV,3,FALSE),0)+IFERROR(VLOOKUP(A2,Volume!AX:AZ,2,FALSE),0)</f>
        <v>2389.6980802279995</v>
      </c>
    </row>
    <row r="3" spans="1:3" x14ac:dyDescent="0.55000000000000004">
      <c r="A3" s="107">
        <v>210002</v>
      </c>
      <c r="B3" s="92">
        <f>IFERROR(VLOOKUP($A3,Volume!$U:$W,3,FALSE),0)+IFERROR(VLOOKUP(A3,Volume!AO:AQ,3,FALSE),0)+IFERROR(VLOOKUP(A3,Volume!AS:AV,4,FALSE),0)+IFERROR(VLOOKUP(A3,Volume!AX:AZ,3,FALSE),0)</f>
        <v>191683730.37</v>
      </c>
      <c r="C3" s="92">
        <f>IFERROR(VLOOKUP($A3,Volume!$U:$W,2,FALSE),0)+IFERROR(VLOOKUP(A3,Volume!AO:AQ,2,FALSE),0)+IFERROR(VLOOKUP(A3,Volume!AS:AV,3,FALSE),0)+IFERROR(VLOOKUP(A3,Volume!AX:AZ,2,FALSE),0)</f>
        <v>9752.0857342289964</v>
      </c>
    </row>
    <row r="4" spans="1:3" x14ac:dyDescent="0.55000000000000004">
      <c r="A4" s="107">
        <v>210003</v>
      </c>
      <c r="B4" s="92">
        <f>IFERROR(VLOOKUP($A4,Volume!$U:$W,3,FALSE),0)+IFERROR(VLOOKUP(A4,Volume!AO:AQ,3,FALSE),0)+IFERROR(VLOOKUP(A4,Volume!AS:AV,4,FALSE),0)+IFERROR(VLOOKUP(A4,Volume!AX:AZ,3,FALSE),0)</f>
        <v>740450.2</v>
      </c>
      <c r="C4" s="92">
        <f>IFERROR(VLOOKUP($A4,Volume!$U:$W,2,FALSE),0)+IFERROR(VLOOKUP(A4,Volume!AO:AQ,2,FALSE),0)+IFERROR(VLOOKUP(A4,Volume!AS:AV,3,FALSE),0)+IFERROR(VLOOKUP(A4,Volume!AX:AZ,2,FALSE),0)</f>
        <v>69.558950393000003</v>
      </c>
    </row>
    <row r="5" spans="1:3" x14ac:dyDescent="0.55000000000000004">
      <c r="A5" s="107">
        <v>210004</v>
      </c>
      <c r="B5" s="92">
        <f>IFERROR(VLOOKUP($A5,Volume!$U:$W,3,FALSE),0)+IFERROR(VLOOKUP(A5,Volume!AO:AQ,3,FALSE),0)+IFERROR(VLOOKUP(A5,Volume!AS:AV,4,FALSE),0)+IFERROR(VLOOKUP(A5,Volume!AX:AZ,3,FALSE),0)</f>
        <v>3137288.21</v>
      </c>
      <c r="C5" s="92">
        <f>IFERROR(VLOOKUP($A5,Volume!$U:$W,2,FALSE),0)+IFERROR(VLOOKUP(A5,Volume!AO:AQ,2,FALSE),0)+IFERROR(VLOOKUP(A5,Volume!AS:AV,3,FALSE),0)+IFERROR(VLOOKUP(A5,Volume!AX:AZ,2,FALSE),0)</f>
        <v>190.973470582</v>
      </c>
    </row>
    <row r="6" spans="1:3" x14ac:dyDescent="0.55000000000000004">
      <c r="A6" s="107">
        <v>210005</v>
      </c>
      <c r="B6" s="92">
        <f>IFERROR(VLOOKUP($A6,Volume!$U:$W,3,FALSE),0)+IFERROR(VLOOKUP(A6,Volume!AO:AQ,3,FALSE),0)+IFERROR(VLOOKUP(A6,Volume!AS:AV,4,FALSE),0)+IFERROR(VLOOKUP(A6,Volume!AX:AZ,3,FALSE),0)</f>
        <v>180927.9</v>
      </c>
      <c r="C6" s="92">
        <f>IFERROR(VLOOKUP($A6,Volume!$U:$W,2,FALSE),0)+IFERROR(VLOOKUP(A6,Volume!AO:AQ,2,FALSE),0)+IFERROR(VLOOKUP(A6,Volume!AS:AV,3,FALSE),0)+IFERROR(VLOOKUP(A6,Volume!AX:AZ,2,FALSE),0)</f>
        <v>17.836187432999999</v>
      </c>
    </row>
    <row r="7" spans="1:3" x14ac:dyDescent="0.55000000000000004">
      <c r="A7" s="107">
        <v>210006</v>
      </c>
      <c r="B7" s="92">
        <f>IFERROR(VLOOKUP($A7,Volume!$U:$W,3,FALSE),0)+IFERROR(VLOOKUP(A7,Volume!AO:AQ,3,FALSE),0)+IFERROR(VLOOKUP(A7,Volume!AS:AV,4,FALSE),0)+IFERROR(VLOOKUP(A7,Volume!AX:AZ,3,FALSE),0)</f>
        <v>885960.1</v>
      </c>
      <c r="C7" s="92">
        <f>IFERROR(VLOOKUP($A7,Volume!$U:$W,2,FALSE),0)+IFERROR(VLOOKUP(A7,Volume!AO:AQ,2,FALSE),0)+IFERROR(VLOOKUP(A7,Volume!AS:AV,3,FALSE),0)+IFERROR(VLOOKUP(A7,Volume!AX:AZ,2,FALSE),0)</f>
        <v>24.041627251000001</v>
      </c>
    </row>
    <row r="8" spans="1:3" x14ac:dyDescent="0.55000000000000004">
      <c r="A8" s="107">
        <v>210008</v>
      </c>
      <c r="B8" s="92">
        <f>IFERROR(VLOOKUP($A8,Volume!$U:$W,3,FALSE),0)+IFERROR(VLOOKUP(A8,Volume!AO:AQ,3,FALSE),0)+IFERROR(VLOOKUP(A8,Volume!AS:AV,4,FALSE),0)+IFERROR(VLOOKUP(A8,Volume!AX:AZ,3,FALSE),0)</f>
        <v>32567472.5</v>
      </c>
      <c r="C8" s="92">
        <f>IFERROR(VLOOKUP($A8,Volume!$U:$W,2,FALSE),0)+IFERROR(VLOOKUP(A8,Volume!AO:AQ,2,FALSE),0)+IFERROR(VLOOKUP(A8,Volume!AS:AV,3,FALSE),0)+IFERROR(VLOOKUP(A8,Volume!AX:AZ,2,FALSE),0)</f>
        <v>2026.3099686600005</v>
      </c>
    </row>
    <row r="9" spans="1:3" x14ac:dyDescent="0.55000000000000004">
      <c r="A9" s="107">
        <v>210009</v>
      </c>
      <c r="B9" s="92">
        <f>IFERROR(VLOOKUP($A9,Volume!$U:$W,3,FALSE),0)+IFERROR(VLOOKUP(A9,Volume!AO:AQ,3,FALSE),0)+IFERROR(VLOOKUP(A9,Volume!AS:AV,4,FALSE),0)+IFERROR(VLOOKUP(A9,Volume!AX:AZ,3,FALSE),0)</f>
        <v>261098593.34</v>
      </c>
      <c r="C9" s="92">
        <f>IFERROR(VLOOKUP($A9,Volume!$U:$W,2,FALSE),0)+IFERROR(VLOOKUP(A9,Volume!AO:AQ,2,FALSE),0)+IFERROR(VLOOKUP(A9,Volume!AS:AV,3,FALSE),0)+IFERROR(VLOOKUP(A9,Volume!AX:AZ,2,FALSE),0)</f>
        <v>12834.832326940001</v>
      </c>
    </row>
    <row r="10" spans="1:3" x14ac:dyDescent="0.55000000000000004">
      <c r="A10" s="107">
        <v>210010</v>
      </c>
      <c r="B10" s="92">
        <f>IFERROR(VLOOKUP($A10,Volume!$U:$W,3,FALSE),0)+IFERROR(VLOOKUP(A10,Volume!AO:AQ,3,FALSE),0)+IFERROR(VLOOKUP(A10,Volume!AS:AV,4,FALSE),0)+IFERROR(VLOOKUP(A10,Volume!AX:AZ,3,FALSE),0)</f>
        <v>33323.269999999997</v>
      </c>
      <c r="C10" s="92">
        <f>IFERROR(VLOOKUP($A10,Volume!$U:$W,2,FALSE),0)+IFERROR(VLOOKUP(A10,Volume!AO:AQ,2,FALSE),0)+IFERROR(VLOOKUP(A10,Volume!AS:AV,3,FALSE),0)+IFERROR(VLOOKUP(A10,Volume!AX:AZ,2,FALSE),0)</f>
        <v>1.1978719689999999</v>
      </c>
    </row>
    <row r="11" spans="1:3" x14ac:dyDescent="0.55000000000000004">
      <c r="A11" s="107">
        <v>210011</v>
      </c>
      <c r="B11" s="92">
        <f>IFERROR(VLOOKUP($A11,Volume!$U:$W,3,FALSE),0)+IFERROR(VLOOKUP(A11,Volume!AO:AQ,3,FALSE),0)+IFERROR(VLOOKUP(A11,Volume!AS:AV,4,FALSE),0)+IFERROR(VLOOKUP(A11,Volume!AX:AZ,3,FALSE),0)</f>
        <v>30770032.859999999</v>
      </c>
      <c r="C11" s="92">
        <f>IFERROR(VLOOKUP($A11,Volume!$U:$W,2,FALSE),0)+IFERROR(VLOOKUP(A11,Volume!AO:AQ,2,FALSE),0)+IFERROR(VLOOKUP(A11,Volume!AS:AV,3,FALSE),0)+IFERROR(VLOOKUP(A11,Volume!AX:AZ,2,FALSE),0)</f>
        <v>1372.882044255</v>
      </c>
    </row>
    <row r="12" spans="1:3" x14ac:dyDescent="0.55000000000000004">
      <c r="A12" s="107">
        <v>210012</v>
      </c>
      <c r="B12" s="92">
        <f>IFERROR(VLOOKUP($A12,Volume!$U:$W,3,FALSE),0)+IFERROR(VLOOKUP(A12,Volume!AO:AQ,3,FALSE),0)+IFERROR(VLOOKUP(A12,Volume!AS:AV,4,FALSE),0)+IFERROR(VLOOKUP(A12,Volume!AX:AZ,3,FALSE),0)</f>
        <v>68278870.150000006</v>
      </c>
      <c r="C12" s="92">
        <f>IFERROR(VLOOKUP($A12,Volume!$U:$W,2,FALSE),0)+IFERROR(VLOOKUP(A12,Volume!AO:AQ,2,FALSE),0)+IFERROR(VLOOKUP(A12,Volume!AS:AV,3,FALSE),0)+IFERROR(VLOOKUP(A12,Volume!AX:AZ,2,FALSE),0)</f>
        <v>3972.8200963219992</v>
      </c>
    </row>
    <row r="13" spans="1:3" x14ac:dyDescent="0.55000000000000004">
      <c r="A13" s="107">
        <v>210013</v>
      </c>
      <c r="B13" s="92">
        <f>IFERROR(VLOOKUP($A13,Volume!$U:$W,3,FALSE),0)+IFERROR(VLOOKUP(A13,Volume!AO:AQ,3,FALSE),0)+IFERROR(VLOOKUP(A13,Volume!AS:AV,4,FALSE),0)+IFERROR(VLOOKUP(A13,Volume!AX:AZ,3,FALSE),0)</f>
        <v>81114.389999999985</v>
      </c>
      <c r="C13" s="92">
        <f>IFERROR(VLOOKUP($A13,Volume!$U:$W,2,FALSE),0)+IFERROR(VLOOKUP(A13,Volume!AO:AQ,2,FALSE),0)+IFERROR(VLOOKUP(A13,Volume!AS:AV,3,FALSE),0)+IFERROR(VLOOKUP(A13,Volume!AX:AZ,2,FALSE),0)</f>
        <v>4.078359056</v>
      </c>
    </row>
    <row r="14" spans="1:3" x14ac:dyDescent="0.55000000000000004">
      <c r="A14" s="107">
        <v>210015</v>
      </c>
      <c r="B14" s="92">
        <f>IFERROR(VLOOKUP($A14,Volume!$U:$W,3,FALSE),0)+IFERROR(VLOOKUP(A14,Volume!AO:AQ,3,FALSE),0)+IFERROR(VLOOKUP(A14,Volume!AS:AV,4,FALSE),0)+IFERROR(VLOOKUP(A14,Volume!AX:AZ,3,FALSE),0)</f>
        <v>54951550.93</v>
      </c>
      <c r="C14" s="92">
        <f>IFERROR(VLOOKUP($A14,Volume!$U:$W,2,FALSE),0)+IFERROR(VLOOKUP(A14,Volume!AO:AQ,2,FALSE),0)+IFERROR(VLOOKUP(A14,Volume!AS:AV,3,FALSE),0)+IFERROR(VLOOKUP(A14,Volume!AX:AZ,2,FALSE),0)</f>
        <v>3299.3305361030007</v>
      </c>
    </row>
    <row r="15" spans="1:3" x14ac:dyDescent="0.55000000000000004">
      <c r="A15" s="107">
        <v>210016</v>
      </c>
      <c r="B15" s="92">
        <f>IFERROR(VLOOKUP($A15,Volume!$U:$W,3,FALSE),0)+IFERROR(VLOOKUP(A15,Volume!AO:AQ,3,FALSE),0)+IFERROR(VLOOKUP(A15,Volume!AS:AV,4,FALSE),0)+IFERROR(VLOOKUP(A15,Volume!AX:AZ,3,FALSE),0)</f>
        <v>977604.37</v>
      </c>
      <c r="C15" s="92">
        <f>IFERROR(VLOOKUP($A15,Volume!$U:$W,2,FALSE),0)+IFERROR(VLOOKUP(A15,Volume!AO:AQ,2,FALSE),0)+IFERROR(VLOOKUP(A15,Volume!AS:AV,3,FALSE),0)+IFERROR(VLOOKUP(A15,Volume!AX:AZ,2,FALSE),0)</f>
        <v>115.01996391499999</v>
      </c>
    </row>
    <row r="16" spans="1:3" x14ac:dyDescent="0.55000000000000004">
      <c r="A16" s="107">
        <v>210017</v>
      </c>
      <c r="B16" s="92">
        <f>IFERROR(VLOOKUP($A16,Volume!$U:$W,3,FALSE),0)+IFERROR(VLOOKUP(A16,Volume!AO:AQ,3,FALSE),0)+IFERROR(VLOOKUP(A16,Volume!AS:AV,4,FALSE),0)+IFERROR(VLOOKUP(A16,Volume!AX:AZ,3,FALSE),0)</f>
        <v>5682442.3200000003</v>
      </c>
      <c r="C16" s="92">
        <f>IFERROR(VLOOKUP($A16,Volume!$U:$W,2,FALSE),0)+IFERROR(VLOOKUP(A16,Volume!AO:AQ,2,FALSE),0)+IFERROR(VLOOKUP(A16,Volume!AS:AV,3,FALSE),0)+IFERROR(VLOOKUP(A16,Volume!AX:AZ,2,FALSE),0)</f>
        <v>577.81080587099984</v>
      </c>
    </row>
    <row r="17" spans="1:3" x14ac:dyDescent="0.55000000000000004">
      <c r="A17" s="107">
        <v>210018</v>
      </c>
      <c r="B17" s="92">
        <f>IFERROR(VLOOKUP($A17,Volume!$U:$W,3,FALSE),0)+IFERROR(VLOOKUP(A17,Volume!AO:AQ,3,FALSE),0)+IFERROR(VLOOKUP(A17,Volume!AS:AV,4,FALSE),0)+IFERROR(VLOOKUP(A17,Volume!AX:AZ,3,FALSE),0)</f>
        <v>13478240.09</v>
      </c>
      <c r="C17" s="92">
        <f>IFERROR(VLOOKUP($A17,Volume!$U:$W,2,FALSE),0)+IFERROR(VLOOKUP(A17,Volume!AO:AQ,2,FALSE),0)+IFERROR(VLOOKUP(A17,Volume!AS:AV,3,FALSE),0)+IFERROR(VLOOKUP(A17,Volume!AX:AZ,2,FALSE),0)</f>
        <v>615.10848637800029</v>
      </c>
    </row>
    <row r="18" spans="1:3" x14ac:dyDescent="0.55000000000000004">
      <c r="A18" s="107">
        <v>210019</v>
      </c>
      <c r="B18" s="92">
        <f>IFERROR(VLOOKUP($A18,Volume!$U:$W,3,FALSE),0)+IFERROR(VLOOKUP(A18,Volume!AO:AQ,3,FALSE),0)+IFERROR(VLOOKUP(A18,Volume!AS:AV,4,FALSE),0)+IFERROR(VLOOKUP(A18,Volume!AX:AZ,3,FALSE),0)</f>
        <v>17172329.199999999</v>
      </c>
      <c r="C18" s="92">
        <f>IFERROR(VLOOKUP($A18,Volume!$U:$W,2,FALSE),0)+IFERROR(VLOOKUP(A18,Volume!AO:AQ,2,FALSE),0)+IFERROR(VLOOKUP(A18,Volume!AS:AV,3,FALSE),0)+IFERROR(VLOOKUP(A18,Volume!AX:AZ,2,FALSE),0)</f>
        <v>1418.7380634669998</v>
      </c>
    </row>
    <row r="19" spans="1:3" x14ac:dyDescent="0.55000000000000004">
      <c r="A19" s="107">
        <v>210022</v>
      </c>
      <c r="B19" s="92">
        <f>IFERROR(VLOOKUP($A19,Volume!$U:$W,3,FALSE),0)+IFERROR(VLOOKUP(A19,Volume!AO:AQ,3,FALSE),0)+IFERROR(VLOOKUP(A19,Volume!AS:AV,4,FALSE),0)+IFERROR(VLOOKUP(A19,Volume!AX:AZ,3,FALSE),0)</f>
        <v>938011.14</v>
      </c>
      <c r="C19" s="92">
        <f>IFERROR(VLOOKUP($A19,Volume!$U:$W,2,FALSE),0)+IFERROR(VLOOKUP(A19,Volume!AO:AQ,2,FALSE),0)+IFERROR(VLOOKUP(A19,Volume!AS:AV,3,FALSE),0)+IFERROR(VLOOKUP(A19,Volume!AX:AZ,2,FALSE),0)</f>
        <v>438.66911086000005</v>
      </c>
    </row>
    <row r="20" spans="1:3" x14ac:dyDescent="0.55000000000000004">
      <c r="A20" s="107">
        <v>210023</v>
      </c>
      <c r="B20" s="92">
        <f>IFERROR(VLOOKUP($A20,Volume!$U:$W,3,FALSE),0)+IFERROR(VLOOKUP(A20,Volume!AO:AQ,3,FALSE),0)+IFERROR(VLOOKUP(A20,Volume!AS:AV,4,FALSE),0)+IFERROR(VLOOKUP(A20,Volume!AX:AZ,3,FALSE),0)</f>
        <v>35345057.950000003</v>
      </c>
      <c r="C20" s="92">
        <f>IFERROR(VLOOKUP($A20,Volume!$U:$W,2,FALSE),0)+IFERROR(VLOOKUP(A20,Volume!AO:AQ,2,FALSE),0)+IFERROR(VLOOKUP(A20,Volume!AS:AV,3,FALSE),0)+IFERROR(VLOOKUP(A20,Volume!AX:AZ,2,FALSE),0)</f>
        <v>1728.5493765169992</v>
      </c>
    </row>
    <row r="21" spans="1:3" x14ac:dyDescent="0.55000000000000004">
      <c r="A21" s="107">
        <v>210024</v>
      </c>
      <c r="B21" s="92">
        <f>IFERROR(VLOOKUP($A21,Volume!$U:$W,3,FALSE),0)+IFERROR(VLOOKUP(A21,Volume!AO:AQ,3,FALSE),0)+IFERROR(VLOOKUP(A21,Volume!AS:AV,4,FALSE),0)+IFERROR(VLOOKUP(A21,Volume!AX:AZ,3,FALSE),0)</f>
        <v>231801.56</v>
      </c>
      <c r="C21" s="92">
        <f>IFERROR(VLOOKUP($A21,Volume!$U:$W,2,FALSE),0)+IFERROR(VLOOKUP(A21,Volume!AO:AQ,2,FALSE),0)+IFERROR(VLOOKUP(A21,Volume!AS:AV,3,FALSE),0)+IFERROR(VLOOKUP(A21,Volume!AX:AZ,2,FALSE),0)</f>
        <v>25.588109905999996</v>
      </c>
    </row>
    <row r="22" spans="1:3" x14ac:dyDescent="0.55000000000000004">
      <c r="A22" s="107">
        <v>210027</v>
      </c>
      <c r="B22" s="92">
        <f>IFERROR(VLOOKUP($A22,Volume!$U:$W,3,FALSE),0)+IFERROR(VLOOKUP(A22,Volume!AO:AQ,3,FALSE),0)+IFERROR(VLOOKUP(A22,Volume!AS:AV,4,FALSE),0)+IFERROR(VLOOKUP(A22,Volume!AX:AZ,3,FALSE),0)</f>
        <v>36417394.979999997</v>
      </c>
      <c r="C22" s="92">
        <f>IFERROR(VLOOKUP($A22,Volume!$U:$W,2,FALSE),0)+IFERROR(VLOOKUP(A22,Volume!AO:AQ,2,FALSE),0)+IFERROR(VLOOKUP(A22,Volume!AS:AV,3,FALSE),0)+IFERROR(VLOOKUP(A22,Volume!AX:AZ,2,FALSE),0)</f>
        <v>1632.3178035310002</v>
      </c>
    </row>
    <row r="23" spans="1:3" x14ac:dyDescent="0.55000000000000004">
      <c r="A23" s="107">
        <v>210028</v>
      </c>
      <c r="B23" s="92">
        <f>IFERROR(VLOOKUP($A23,Volume!$U:$W,3,FALSE),0)+IFERROR(VLOOKUP(A23,Volume!AO:AQ,3,FALSE),0)+IFERROR(VLOOKUP(A23,Volume!AS:AV,4,FALSE),0)+IFERROR(VLOOKUP(A23,Volume!AX:AZ,3,FALSE),0)</f>
        <v>12370126.630000001</v>
      </c>
      <c r="C23" s="92">
        <f>IFERROR(VLOOKUP($A23,Volume!$U:$W,2,FALSE),0)+IFERROR(VLOOKUP(A23,Volume!AO:AQ,2,FALSE),0)+IFERROR(VLOOKUP(A23,Volume!AS:AV,3,FALSE),0)+IFERROR(VLOOKUP(A23,Volume!AX:AZ,2,FALSE),0)</f>
        <v>533.01607652899997</v>
      </c>
    </row>
    <row r="24" spans="1:3" x14ac:dyDescent="0.55000000000000004">
      <c r="A24" s="107">
        <v>210029</v>
      </c>
      <c r="B24" s="92">
        <f>IFERROR(VLOOKUP($A24,Volume!$U:$W,3,FALSE),0)+IFERROR(VLOOKUP(A24,Volume!AO:AQ,3,FALSE),0)+IFERROR(VLOOKUP(A24,Volume!AS:AV,4,FALSE),0)+IFERROR(VLOOKUP(A24,Volume!AX:AZ,3,FALSE),0)</f>
        <v>62553585.82</v>
      </c>
      <c r="C24" s="92">
        <f>IFERROR(VLOOKUP($A24,Volume!$U:$W,2,FALSE),0)+IFERROR(VLOOKUP(A24,Volume!AO:AQ,2,FALSE),0)+IFERROR(VLOOKUP(A24,Volume!AS:AV,3,FALSE),0)+IFERROR(VLOOKUP(A24,Volume!AX:AZ,2,FALSE),0)</f>
        <v>3207.668751282999</v>
      </c>
    </row>
    <row r="25" spans="1:3" x14ac:dyDescent="0.55000000000000004">
      <c r="A25" s="107">
        <v>210030</v>
      </c>
      <c r="B25" s="92">
        <f>IFERROR(VLOOKUP($A25,Volume!$U:$W,3,FALSE),0)+IFERROR(VLOOKUP(A25,Volume!AO:AQ,3,FALSE),0)+IFERROR(VLOOKUP(A25,Volume!AS:AV,4,FALSE),0)+IFERROR(VLOOKUP(A25,Volume!AX:AZ,3,FALSE),0)</f>
        <v>982129.74</v>
      </c>
      <c r="C25" s="92">
        <f>IFERROR(VLOOKUP($A25,Volume!$U:$W,2,FALSE),0)+IFERROR(VLOOKUP(A25,Volume!AO:AQ,2,FALSE),0)+IFERROR(VLOOKUP(A25,Volume!AS:AV,3,FALSE),0)+IFERROR(VLOOKUP(A25,Volume!AX:AZ,2,FALSE),0)</f>
        <v>23.613096081000002</v>
      </c>
    </row>
    <row r="26" spans="1:3" x14ac:dyDescent="0.55000000000000004">
      <c r="A26" s="107">
        <v>210032</v>
      </c>
      <c r="B26" s="92">
        <f>IFERROR(VLOOKUP($A26,Volume!$U:$W,3,FALSE),0)+IFERROR(VLOOKUP(A26,Volume!AO:AQ,3,FALSE),0)+IFERROR(VLOOKUP(A26,Volume!AS:AV,4,FALSE),0)+IFERROR(VLOOKUP(A26,Volume!AX:AZ,3,FALSE),0)</f>
        <v>12287503.34</v>
      </c>
      <c r="C26" s="92">
        <f>IFERROR(VLOOKUP($A26,Volume!$U:$W,2,FALSE),0)+IFERROR(VLOOKUP(A26,Volume!AO:AQ,2,FALSE),0)+IFERROR(VLOOKUP(A26,Volume!AS:AV,3,FALSE),0)+IFERROR(VLOOKUP(A26,Volume!AX:AZ,2,FALSE),0)</f>
        <v>659.13992444600001</v>
      </c>
    </row>
    <row r="27" spans="1:3" x14ac:dyDescent="0.55000000000000004">
      <c r="A27" s="107">
        <v>210033</v>
      </c>
      <c r="B27" s="92">
        <f>IFERROR(VLOOKUP($A27,Volume!$U:$W,3,FALSE),0)+IFERROR(VLOOKUP(A27,Volume!AO:AQ,3,FALSE),0)+IFERROR(VLOOKUP(A27,Volume!AS:AV,4,FALSE),0)+IFERROR(VLOOKUP(A27,Volume!AX:AZ,3,FALSE),0)</f>
        <v>154000.68</v>
      </c>
      <c r="C27" s="92">
        <f>IFERROR(VLOOKUP($A27,Volume!$U:$W,2,FALSE),0)+IFERROR(VLOOKUP(A27,Volume!AO:AQ,2,FALSE),0)+IFERROR(VLOOKUP(A27,Volume!AS:AV,3,FALSE),0)+IFERROR(VLOOKUP(A27,Volume!AX:AZ,2,FALSE),0)</f>
        <v>13.744965485</v>
      </c>
    </row>
    <row r="28" spans="1:3" x14ac:dyDescent="0.55000000000000004">
      <c r="A28" s="107">
        <v>210034</v>
      </c>
      <c r="B28" s="92">
        <f>IFERROR(VLOOKUP($A28,Volume!$U:$W,3,FALSE),0)+IFERROR(VLOOKUP(A28,Volume!AO:AQ,3,FALSE),0)+IFERROR(VLOOKUP(A28,Volume!AS:AV,4,FALSE),0)+IFERROR(VLOOKUP(A28,Volume!AX:AZ,3,FALSE),0)</f>
        <v>1494631.18</v>
      </c>
      <c r="C28" s="92">
        <f>IFERROR(VLOOKUP($A28,Volume!$U:$W,2,FALSE),0)+IFERROR(VLOOKUP(A28,Volume!AO:AQ,2,FALSE),0)+IFERROR(VLOOKUP(A28,Volume!AS:AV,3,FALSE),0)+IFERROR(VLOOKUP(A28,Volume!AX:AZ,2,FALSE),0)</f>
        <v>51.756579105</v>
      </c>
    </row>
    <row r="29" spans="1:3" x14ac:dyDescent="0.55000000000000004">
      <c r="A29" s="107">
        <v>210035</v>
      </c>
      <c r="B29" s="92">
        <f>IFERROR(VLOOKUP($A29,Volume!$U:$W,3,FALSE),0)+IFERROR(VLOOKUP(A29,Volume!AO:AQ,3,FALSE),0)+IFERROR(VLOOKUP(A29,Volume!AS:AV,4,FALSE),0)+IFERROR(VLOOKUP(A29,Volume!AX:AZ,3,FALSE),0)</f>
        <v>823424.6399999999</v>
      </c>
      <c r="C29" s="92">
        <f>IFERROR(VLOOKUP($A29,Volume!$U:$W,2,FALSE),0)+IFERROR(VLOOKUP(A29,Volume!AO:AQ,2,FALSE),0)+IFERROR(VLOOKUP(A29,Volume!AS:AV,3,FALSE),0)+IFERROR(VLOOKUP(A29,Volume!AX:AZ,2,FALSE),0)</f>
        <v>200.83179692299998</v>
      </c>
    </row>
    <row r="30" spans="1:3" x14ac:dyDescent="0.55000000000000004">
      <c r="A30" s="107">
        <v>210037</v>
      </c>
      <c r="B30" s="92">
        <f>IFERROR(VLOOKUP($A30,Volume!$U:$W,3,FALSE),0)+IFERROR(VLOOKUP(A30,Volume!AO:AQ,3,FALSE),0)+IFERROR(VLOOKUP(A30,Volume!AS:AV,4,FALSE),0)+IFERROR(VLOOKUP(A30,Volume!AX:AZ,3,FALSE),0)</f>
        <v>17099806.379999999</v>
      </c>
      <c r="C30" s="92">
        <f>IFERROR(VLOOKUP($A30,Volume!$U:$W,2,FALSE),0)+IFERROR(VLOOKUP(A30,Volume!AO:AQ,2,FALSE),0)+IFERROR(VLOOKUP(A30,Volume!AS:AV,3,FALSE),0)+IFERROR(VLOOKUP(A30,Volume!AX:AZ,2,FALSE),0)</f>
        <v>630.63499200900003</v>
      </c>
    </row>
    <row r="31" spans="1:3" x14ac:dyDescent="0.55000000000000004">
      <c r="A31" s="107">
        <v>210038</v>
      </c>
      <c r="B31" s="92">
        <f>IFERROR(VLOOKUP($A31,Volume!$U:$W,3,FALSE),0)+IFERROR(VLOOKUP(A31,Volume!AO:AQ,3,FALSE),0)+IFERROR(VLOOKUP(A31,Volume!AS:AV,4,FALSE),0)+IFERROR(VLOOKUP(A31,Volume!AX:AZ,3,FALSE),0)</f>
        <v>493829.42</v>
      </c>
      <c r="C31" s="92">
        <f>IFERROR(VLOOKUP($A31,Volume!$U:$W,2,FALSE),0)+IFERROR(VLOOKUP(A31,Volume!AO:AQ,2,FALSE),0)+IFERROR(VLOOKUP(A31,Volume!AS:AV,3,FALSE),0)+IFERROR(VLOOKUP(A31,Volume!AX:AZ,2,FALSE),0)</f>
        <v>89.020774667000012</v>
      </c>
    </row>
    <row r="32" spans="1:3" x14ac:dyDescent="0.55000000000000004">
      <c r="A32" s="107">
        <v>210039</v>
      </c>
      <c r="B32" s="92">
        <f>IFERROR(VLOOKUP($A32,Volume!$U:$W,3,FALSE),0)+IFERROR(VLOOKUP(A32,Volume!AO:AQ,3,FALSE),0)+IFERROR(VLOOKUP(A32,Volume!AS:AV,4,FALSE),0)+IFERROR(VLOOKUP(A32,Volume!AX:AZ,3,FALSE),0)</f>
        <v>12922138.57</v>
      </c>
      <c r="C32" s="92">
        <f>IFERROR(VLOOKUP($A32,Volume!$U:$W,2,FALSE),0)+IFERROR(VLOOKUP(A32,Volume!AO:AQ,2,FALSE),0)+IFERROR(VLOOKUP(A32,Volume!AS:AV,3,FALSE),0)+IFERROR(VLOOKUP(A32,Volume!AX:AZ,2,FALSE),0)</f>
        <v>570.86839085500003</v>
      </c>
    </row>
    <row r="33" spans="1:3" x14ac:dyDescent="0.55000000000000004">
      <c r="A33" s="107">
        <v>210040</v>
      </c>
      <c r="B33" s="92">
        <f>IFERROR(VLOOKUP($A33,Volume!$U:$W,3,FALSE),0)+IFERROR(VLOOKUP(A33,Volume!AO:AQ,3,FALSE),0)+IFERROR(VLOOKUP(A33,Volume!AS:AV,4,FALSE),0)+IFERROR(VLOOKUP(A33,Volume!AX:AZ,3,FALSE),0)</f>
        <v>15123024.300000001</v>
      </c>
      <c r="C33" s="92">
        <f>IFERROR(VLOOKUP($A33,Volume!$U:$W,2,FALSE),0)+IFERROR(VLOOKUP(A33,Volume!AO:AQ,2,FALSE),0)+IFERROR(VLOOKUP(A33,Volume!AS:AV,3,FALSE),0)+IFERROR(VLOOKUP(A33,Volume!AX:AZ,2,FALSE),0)</f>
        <v>521.40159620499992</v>
      </c>
    </row>
    <row r="34" spans="1:3" x14ac:dyDescent="0.55000000000000004">
      <c r="A34" s="107">
        <v>210043</v>
      </c>
      <c r="B34" s="92">
        <f>IFERROR(VLOOKUP($A34,Volume!$U:$W,3,FALSE),0)+IFERROR(VLOOKUP(A34,Volume!AO:AQ,3,FALSE),0)+IFERROR(VLOOKUP(A34,Volume!AS:AV,4,FALSE),0)+IFERROR(VLOOKUP(A34,Volume!AX:AZ,3,FALSE),0)</f>
        <v>2150836.7999999998</v>
      </c>
      <c r="C34" s="92">
        <f>IFERROR(VLOOKUP($A34,Volume!$U:$W,2,FALSE),0)+IFERROR(VLOOKUP(A34,Volume!AO:AQ,2,FALSE),0)+IFERROR(VLOOKUP(A34,Volume!AS:AV,3,FALSE),0)+IFERROR(VLOOKUP(A34,Volume!AX:AZ,2,FALSE),0)</f>
        <v>428.30127685299999</v>
      </c>
    </row>
    <row r="35" spans="1:3" x14ac:dyDescent="0.55000000000000004">
      <c r="A35" s="107">
        <v>210044</v>
      </c>
      <c r="B35" s="92">
        <f>IFERROR(VLOOKUP($A35,Volume!$U:$W,3,FALSE),0)+IFERROR(VLOOKUP(A35,Volume!AO:AQ,3,FALSE),0)+IFERROR(VLOOKUP(A35,Volume!AS:AV,4,FALSE),0)+IFERROR(VLOOKUP(A35,Volume!AX:AZ,3,FALSE),0)</f>
        <v>400803.72</v>
      </c>
      <c r="C35" s="92">
        <f>IFERROR(VLOOKUP($A35,Volume!$U:$W,2,FALSE),0)+IFERROR(VLOOKUP(A35,Volume!AO:AQ,2,FALSE),0)+IFERROR(VLOOKUP(A35,Volume!AS:AV,3,FALSE),0)+IFERROR(VLOOKUP(A35,Volume!AX:AZ,2,FALSE),0)</f>
        <v>49.128027591999981</v>
      </c>
    </row>
    <row r="36" spans="1:3" x14ac:dyDescent="0.55000000000000004">
      <c r="A36" s="107">
        <v>210045</v>
      </c>
      <c r="B36" s="92">
        <f>IFERROR(VLOOKUP($A36,Volume!$U:$W,3,FALSE),0)+IFERROR(VLOOKUP(A36,Volume!AO:AQ,3,FALSE),0)+IFERROR(VLOOKUP(A36,Volume!AS:AV,4,FALSE),0)+IFERROR(VLOOKUP(A36,Volume!AX:AZ,3,FALSE),0)</f>
        <v>327810.71999999997</v>
      </c>
      <c r="C36" s="92">
        <f>IFERROR(VLOOKUP($A36,Volume!$U:$W,2,FALSE),0)+IFERROR(VLOOKUP(A36,Volume!AO:AQ,2,FALSE),0)+IFERROR(VLOOKUP(A36,Volume!AS:AV,3,FALSE),0)+IFERROR(VLOOKUP(A36,Volume!AX:AZ,2,FALSE),0)</f>
        <v>34.849534840000004</v>
      </c>
    </row>
    <row r="37" spans="1:3" x14ac:dyDescent="0.55000000000000004">
      <c r="A37" s="107">
        <v>210048</v>
      </c>
      <c r="B37" s="92">
        <f>IFERROR(VLOOKUP($A37,Volume!$U:$W,3,FALSE),0)+IFERROR(VLOOKUP(A37,Volume!AO:AQ,3,FALSE),0)+IFERROR(VLOOKUP(A37,Volume!AS:AV,4,FALSE),0)+IFERROR(VLOOKUP(A37,Volume!AX:AZ,3,FALSE),0)</f>
        <v>1628584.11</v>
      </c>
      <c r="C37" s="92">
        <f>IFERROR(VLOOKUP($A37,Volume!$U:$W,2,FALSE),0)+IFERROR(VLOOKUP(A37,Volume!AO:AQ,2,FALSE),0)+IFERROR(VLOOKUP(A37,Volume!AS:AV,3,FALSE),0)+IFERROR(VLOOKUP(A37,Volume!AX:AZ,2,FALSE),0)</f>
        <v>736.60141586699888</v>
      </c>
    </row>
    <row r="38" spans="1:3" x14ac:dyDescent="0.55000000000000004">
      <c r="A38" s="107">
        <v>210049</v>
      </c>
      <c r="B38" s="92">
        <f>IFERROR(VLOOKUP($A38,Volume!$U:$W,3,FALSE),0)+IFERROR(VLOOKUP(A38,Volume!AO:AQ,3,FALSE),0)+IFERROR(VLOOKUP(A38,Volume!AS:AV,4,FALSE),0)+IFERROR(VLOOKUP(A38,Volume!AX:AZ,3,FALSE),0)</f>
        <v>381254.39</v>
      </c>
      <c r="C38" s="92">
        <f>IFERROR(VLOOKUP($A38,Volume!$U:$W,2,FALSE),0)+IFERROR(VLOOKUP(A38,Volume!AO:AQ,2,FALSE),0)+IFERROR(VLOOKUP(A38,Volume!AS:AV,3,FALSE),0)+IFERROR(VLOOKUP(A38,Volume!AX:AZ,2,FALSE),0)</f>
        <v>103.65563472500001</v>
      </c>
    </row>
    <row r="39" spans="1:3" x14ac:dyDescent="0.55000000000000004">
      <c r="A39" s="107">
        <v>210051</v>
      </c>
      <c r="B39" s="92">
        <f>IFERROR(VLOOKUP($A39,Volume!$U:$W,3,FALSE),0)+IFERROR(VLOOKUP(A39,Volume!AO:AQ,3,FALSE),0)+IFERROR(VLOOKUP(A39,Volume!AS:AV,4,FALSE),0)+IFERROR(VLOOKUP(A39,Volume!AX:AZ,3,FALSE),0)</f>
        <v>661493.05000000005</v>
      </c>
      <c r="C39" s="92">
        <f>IFERROR(VLOOKUP($A39,Volume!$U:$W,2,FALSE),0)+IFERROR(VLOOKUP(A39,Volume!AO:AQ,2,FALSE),0)+IFERROR(VLOOKUP(A39,Volume!AS:AV,3,FALSE),0)+IFERROR(VLOOKUP(A39,Volume!AX:AZ,2,FALSE),0)</f>
        <v>180.62125041400003</v>
      </c>
    </row>
    <row r="40" spans="1:3" x14ac:dyDescent="0.55000000000000004">
      <c r="A40" s="107">
        <v>210055</v>
      </c>
      <c r="B40" s="92">
        <f>IFERROR(VLOOKUP($A40,Volume!$U:$W,3,FALSE),0)+IFERROR(VLOOKUP(A40,Volume!AO:AQ,3,FALSE),0)+IFERROR(VLOOKUP(A40,Volume!AS:AV,4,FALSE),0)+IFERROR(VLOOKUP(A40,Volume!AX:AZ,3,FALSE),0)</f>
        <v>26036.07</v>
      </c>
      <c r="C40" s="92">
        <f>IFERROR(VLOOKUP($A40,Volume!$U:$W,2,FALSE),0)+IFERROR(VLOOKUP(A40,Volume!AO:AQ,2,FALSE),0)+IFERROR(VLOOKUP(A40,Volume!AS:AV,3,FALSE),0)+IFERROR(VLOOKUP(A40,Volume!AX:AZ,2,FALSE),0)</f>
        <v>2.2310963619999997</v>
      </c>
    </row>
    <row r="41" spans="1:3" x14ac:dyDescent="0.55000000000000004">
      <c r="A41" s="107">
        <v>210056</v>
      </c>
      <c r="B41" s="92">
        <f>IFERROR(VLOOKUP($A41,Volume!$U:$W,3,FALSE),0)+IFERROR(VLOOKUP(A41,Volume!AO:AQ,3,FALSE),0)+IFERROR(VLOOKUP(A41,Volume!AS:AV,4,FALSE),0)+IFERROR(VLOOKUP(A41,Volume!AX:AZ,3,FALSE),0)</f>
        <v>1018946.19</v>
      </c>
      <c r="C41" s="92">
        <f>IFERROR(VLOOKUP($A41,Volume!$U:$W,2,FALSE),0)+IFERROR(VLOOKUP(A41,Volume!AO:AQ,2,FALSE),0)+IFERROR(VLOOKUP(A41,Volume!AS:AV,3,FALSE),0)+IFERROR(VLOOKUP(A41,Volume!AX:AZ,2,FALSE),0)</f>
        <v>34.398063566999994</v>
      </c>
    </row>
    <row r="42" spans="1:3" x14ac:dyDescent="0.55000000000000004">
      <c r="A42" s="107">
        <v>210057</v>
      </c>
      <c r="B42" s="92">
        <f>IFERROR(VLOOKUP($A42,Volume!$U:$W,3,FALSE),0)+IFERROR(VLOOKUP(A42,Volume!AO:AQ,3,FALSE),0)+IFERROR(VLOOKUP(A42,Volume!AS:AV,4,FALSE),0)+IFERROR(VLOOKUP(A42,Volume!AX:AZ,3,FALSE),0)</f>
        <v>4076586.62</v>
      </c>
      <c r="C42" s="92">
        <f>IFERROR(VLOOKUP($A42,Volume!$U:$W,2,FALSE),0)+IFERROR(VLOOKUP(A42,Volume!AO:AQ,2,FALSE),0)+IFERROR(VLOOKUP(A42,Volume!AS:AV,3,FALSE),0)+IFERROR(VLOOKUP(A42,Volume!AX:AZ,2,FALSE),0)</f>
        <v>179.91781769300002</v>
      </c>
    </row>
    <row r="43" spans="1:3" x14ac:dyDescent="0.55000000000000004">
      <c r="A43" s="107">
        <v>210058</v>
      </c>
      <c r="B43" s="92">
        <f>IFERROR(VLOOKUP($A43,Volume!$U:$W,3,FALSE),0)+IFERROR(VLOOKUP(A43,Volume!AO:AQ,3,FALSE),0)+IFERROR(VLOOKUP(A43,Volume!AS:AV,4,FALSE),0)+IFERROR(VLOOKUP(A43,Volume!AX:AZ,3,FALSE),0)</f>
        <v>1636818.78</v>
      </c>
      <c r="C43" s="92">
        <f>IFERROR(VLOOKUP($A43,Volume!$U:$W,2,FALSE),0)+IFERROR(VLOOKUP(A43,Volume!AO:AQ,2,FALSE),0)+IFERROR(VLOOKUP(A43,Volume!AS:AV,3,FALSE),0)+IFERROR(VLOOKUP(A43,Volume!AX:AZ,2,FALSE),0)</f>
        <v>123.42000415800004</v>
      </c>
    </row>
    <row r="44" spans="1:3" x14ac:dyDescent="0.55000000000000004">
      <c r="A44" s="107">
        <v>210060</v>
      </c>
      <c r="B44" s="92">
        <f>IFERROR(VLOOKUP($A44,Volume!$U:$W,3,FALSE),0)+IFERROR(VLOOKUP(A44,Volume!AO:AQ,3,FALSE),0)+IFERROR(VLOOKUP(A44,Volume!AS:AV,4,FALSE),0)+IFERROR(VLOOKUP(A44,Volume!AX:AZ,3,FALSE),0)</f>
        <v>63040.73</v>
      </c>
      <c r="C44" s="92">
        <f>IFERROR(VLOOKUP($A44,Volume!$U:$W,2,FALSE),0)+IFERROR(VLOOKUP(A44,Volume!AO:AQ,2,FALSE),0)+IFERROR(VLOOKUP(A44,Volume!AS:AV,3,FALSE),0)+IFERROR(VLOOKUP(A44,Volume!AX:AZ,2,FALSE),0)</f>
        <v>3.2251567539999999</v>
      </c>
    </row>
    <row r="45" spans="1:3" x14ac:dyDescent="0.55000000000000004">
      <c r="A45" s="107">
        <v>210061</v>
      </c>
      <c r="B45" s="92">
        <f>IFERROR(VLOOKUP($A45,Volume!$U:$W,3,FALSE),0)+IFERROR(VLOOKUP(A45,Volume!AO:AQ,3,FALSE),0)+IFERROR(VLOOKUP(A45,Volume!AS:AV,4,FALSE),0)+IFERROR(VLOOKUP(A45,Volume!AX:AZ,3,FALSE),0)</f>
        <v>558332.06000000006</v>
      </c>
      <c r="C45" s="92">
        <f>IFERROR(VLOOKUP($A45,Volume!$U:$W,2,FALSE),0)+IFERROR(VLOOKUP(A45,Volume!AO:AQ,2,FALSE),0)+IFERROR(VLOOKUP(A45,Volume!AS:AV,3,FALSE),0)+IFERROR(VLOOKUP(A45,Volume!AX:AZ,2,FALSE),0)</f>
        <v>24.024723795</v>
      </c>
    </row>
    <row r="46" spans="1:3" x14ac:dyDescent="0.55000000000000004">
      <c r="A46" s="107">
        <v>210062</v>
      </c>
      <c r="B46" s="92">
        <f>IFERROR(VLOOKUP($A46,Volume!$U:$W,3,FALSE),0)+IFERROR(VLOOKUP(A46,Volume!AO:AQ,3,FALSE),0)+IFERROR(VLOOKUP(A46,Volume!AS:AV,4,FALSE),0)+IFERROR(VLOOKUP(A46,Volume!AX:AZ,3,FALSE),0)</f>
        <v>173698.84</v>
      </c>
      <c r="C46" s="92">
        <f>IFERROR(VLOOKUP($A46,Volume!$U:$W,2,FALSE),0)+IFERROR(VLOOKUP(A46,Volume!AO:AQ,2,FALSE),0)+IFERROR(VLOOKUP(A46,Volume!AS:AV,3,FALSE),0)+IFERROR(VLOOKUP(A46,Volume!AX:AZ,2,FALSE),0)</f>
        <v>13.414026717999999</v>
      </c>
    </row>
    <row r="47" spans="1:3" x14ac:dyDescent="0.55000000000000004">
      <c r="A47" s="107">
        <v>210063</v>
      </c>
      <c r="B47" s="92">
        <f>IFERROR(VLOOKUP($A47,Volume!$U:$W,3,FALSE),0)+IFERROR(VLOOKUP(A47,Volume!AO:AQ,3,FALSE),0)+IFERROR(VLOOKUP(A47,Volume!AS:AV,4,FALSE),0)+IFERROR(VLOOKUP(A47,Volume!AX:AZ,3,FALSE),0)</f>
        <v>284253.45</v>
      </c>
      <c r="C47" s="92">
        <f>IFERROR(VLOOKUP($A47,Volume!$U:$W,2,FALSE),0)+IFERROR(VLOOKUP(A47,Volume!AO:AQ,2,FALSE),0)+IFERROR(VLOOKUP(A47,Volume!AS:AV,3,FALSE),0)+IFERROR(VLOOKUP(A47,Volume!AX:AZ,2,FALSE),0)</f>
        <v>88.009309066000014</v>
      </c>
    </row>
    <row r="48" spans="1:3" x14ac:dyDescent="0.55000000000000004">
      <c r="A48" s="107">
        <v>210065</v>
      </c>
      <c r="B48" s="92">
        <f>IFERROR(VLOOKUP($A48,Volume!$U:$W,3,FALSE),0)+IFERROR(VLOOKUP(A48,Volume!AO:AQ,3,FALSE),0)+IFERROR(VLOOKUP(A48,Volume!AS:AV,4,FALSE),0)+IFERROR(VLOOKUP(A48,Volume!AX:AZ,3,FALSE),0)</f>
        <v>156882.33000000002</v>
      </c>
      <c r="C48" s="92">
        <f>IFERROR(VLOOKUP($A48,Volume!$U:$W,2,FALSE),0)+IFERROR(VLOOKUP(A48,Volume!AO:AQ,2,FALSE),0)+IFERROR(VLOOKUP(A48,Volume!AS:AV,3,FALSE),0)+IFERROR(VLOOKUP(A48,Volume!AX:AZ,2,FALSE),0)</f>
        <v>64.825284846000002</v>
      </c>
    </row>
    <row r="49" spans="1:3" x14ac:dyDescent="0.55000000000000004">
      <c r="A49" s="107">
        <v>218992</v>
      </c>
      <c r="B49" s="92">
        <f>IFERROR(VLOOKUP($A49,Volume!$U:$W,3,FALSE),0)+IFERROR(VLOOKUP(A49,Volume!AO:AQ,3,FALSE),0)+IFERROR(VLOOKUP(A49,Volume!AS:AV,4,FALSE),0)+IFERROR(VLOOKUP(A49,Volume!AX:AZ,3,FALSE),0)</f>
        <v>12016.25</v>
      </c>
      <c r="C49" s="92">
        <f>IFERROR(VLOOKUP($A49,Volume!$U:$W,2,FALSE),0)+IFERROR(VLOOKUP(A49,Volume!AO:AQ,2,FALSE),0)+IFERROR(VLOOKUP(A49,Volume!AS:AV,3,FALSE),0)+IFERROR(VLOOKUP(A49,Volume!AX:AZ,2,FALSE),0)</f>
        <v>0.90693495800000001</v>
      </c>
    </row>
    <row r="51" spans="1:3" x14ac:dyDescent="0.55000000000000004">
      <c r="A51" s="107" t="s">
        <v>302</v>
      </c>
      <c r="B51" s="92">
        <v>817823880.20999968</v>
      </c>
      <c r="C51" s="92">
        <v>57435.595952203097</v>
      </c>
    </row>
    <row r="53" spans="1:3" ht="15" x14ac:dyDescent="0.5">
      <c r="A53" s="107">
        <v>990099</v>
      </c>
      <c r="B53" s="230">
        <f>SUMIF($A:$A,"210004",B:B)+SUMIF($A:$A,"210065",B:B)</f>
        <v>3294170.54</v>
      </c>
      <c r="C53" s="230">
        <f>SUMIF($A:$A,"210004",C:C)+SUMIF($A:$A,"210065",C:C)</f>
        <v>255.79875542799999</v>
      </c>
    </row>
  </sheetData>
  <sheetCalcPr fullCalcOnLoad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2"/>
  <sheetViews>
    <sheetView workbookViewId="0">
      <selection activeCell="N46" sqref="N46"/>
    </sheetView>
  </sheetViews>
  <sheetFormatPr defaultColWidth="9.15625" defaultRowHeight="15.3" x14ac:dyDescent="0.55000000000000004"/>
  <cols>
    <col min="1" max="1" width="13.15625" style="107" bestFit="1" customWidth="1"/>
    <col min="2" max="2" width="35.26171875" style="107" bestFit="1" customWidth="1"/>
    <col min="3" max="3" width="17.41796875" style="194" bestFit="1" customWidth="1"/>
    <col min="4" max="4" width="12" style="107" bestFit="1" customWidth="1"/>
    <col min="5" max="5" width="9.15625" style="107"/>
    <col min="6" max="6" width="12.83984375" style="107" bestFit="1" customWidth="1"/>
    <col min="7" max="16384" width="9.15625" style="107"/>
  </cols>
  <sheetData>
    <row r="1" spans="1:4" s="269" customFormat="1" ht="15" x14ac:dyDescent="0.5">
      <c r="A1" s="269" t="s">
        <v>283</v>
      </c>
      <c r="B1" s="269" t="s">
        <v>307</v>
      </c>
      <c r="C1" s="270" t="s">
        <v>359</v>
      </c>
      <c r="D1" s="269" t="s">
        <v>358</v>
      </c>
    </row>
    <row r="2" spans="1:4" ht="15" x14ac:dyDescent="0.5">
      <c r="A2" s="107">
        <v>210001</v>
      </c>
      <c r="B2" s="107" t="str">
        <f>VLOOKUP(A2,'GBR Case Mix Reconciliation'!$1:$65533,2,FALSE)</f>
        <v>Meritus</v>
      </c>
      <c r="C2" s="268">
        <f>IFERROR(VLOOKUP($A2,Volume!$Y:$AA,3,FALSE),0)</f>
        <v>0</v>
      </c>
      <c r="D2" s="418">
        <f>IFERROR(VLOOKUP($A2,Volume!$Y:$AA,2,FALSE),0)</f>
        <v>0</v>
      </c>
    </row>
    <row r="3" spans="1:4" ht="15" x14ac:dyDescent="0.5">
      <c r="A3" s="107">
        <v>210002</v>
      </c>
      <c r="B3" s="107" t="str">
        <f>VLOOKUP(A3,'GBR Case Mix Reconciliation'!$1:$65533,2,FALSE)</f>
        <v>University Medical Center</v>
      </c>
      <c r="C3" s="268">
        <f>IFERROR(VLOOKUP($A3,Volume!$Y:$AA,3,FALSE),0)</f>
        <v>0</v>
      </c>
      <c r="D3" s="418">
        <f>IFERROR(VLOOKUP($A3,Volume!$Y:$AA,2,FALSE),0)</f>
        <v>0</v>
      </c>
    </row>
    <row r="4" spans="1:4" ht="15" x14ac:dyDescent="0.5">
      <c r="A4" s="107">
        <v>210003</v>
      </c>
      <c r="B4" s="107" t="str">
        <f>VLOOKUP(A4,'GBR Case Mix Reconciliation'!$1:$65533,2,FALSE)</f>
        <v>Prince Georges Hospital</v>
      </c>
      <c r="C4" s="268">
        <f>IFERROR(VLOOKUP($A4,Volume!$Y:$AA,3,FALSE),0)</f>
        <v>0</v>
      </c>
      <c r="D4" s="418">
        <f>IFERROR(VLOOKUP($A4,Volume!$Y:$AA,2,FALSE),0)</f>
        <v>0</v>
      </c>
    </row>
    <row r="5" spans="1:4" ht="15" x14ac:dyDescent="0.5">
      <c r="A5" s="107">
        <v>210004</v>
      </c>
      <c r="B5" s="107" t="str">
        <f>VLOOKUP(A5,'GBR Case Mix Reconciliation'!$1:$65533,2,FALSE)</f>
        <v>Holy Cross</v>
      </c>
      <c r="C5" s="268">
        <f>IFERROR(VLOOKUP($A5,Volume!$Y:$AA,3,FALSE),0)</f>
        <v>0</v>
      </c>
      <c r="D5" s="418">
        <f>IFERROR(VLOOKUP($A5,Volume!$Y:$AA,2,FALSE),0)</f>
        <v>0</v>
      </c>
    </row>
    <row r="6" spans="1:4" ht="15" x14ac:dyDescent="0.5">
      <c r="A6" s="107">
        <v>210005</v>
      </c>
      <c r="B6" s="107" t="str">
        <f>VLOOKUP(A6,'GBR Case Mix Reconciliation'!$1:$65533,2,FALSE)</f>
        <v>Frederick Memorial</v>
      </c>
      <c r="C6" s="268">
        <f>IFERROR(VLOOKUP($A6,Volume!$Y:$AA,3,FALSE),0)</f>
        <v>0</v>
      </c>
      <c r="D6" s="418">
        <f>IFERROR(VLOOKUP($A6,Volume!$Y:$AA,2,FALSE),0)</f>
        <v>0</v>
      </c>
    </row>
    <row r="7" spans="1:4" ht="15" x14ac:dyDescent="0.5">
      <c r="A7" s="107">
        <v>210006</v>
      </c>
      <c r="B7" s="107" t="str">
        <f>VLOOKUP(A7,'GBR Case Mix Reconciliation'!$1:$65533,2,FALSE)</f>
        <v>Harford Memorial</v>
      </c>
      <c r="C7" s="268">
        <f>IFERROR(VLOOKUP($A7,Volume!$Y:$AA,3,FALSE),0)</f>
        <v>0</v>
      </c>
      <c r="D7" s="418">
        <f>IFERROR(VLOOKUP($A7,Volume!$Y:$AA,2,FALSE),0)</f>
        <v>0</v>
      </c>
    </row>
    <row r="8" spans="1:4" ht="15" x14ac:dyDescent="0.5">
      <c r="A8" s="107">
        <v>210008</v>
      </c>
      <c r="B8" s="107" t="str">
        <f>VLOOKUP(A8,'GBR Case Mix Reconciliation'!$1:$65533,2,FALSE)</f>
        <v>Mercy</v>
      </c>
      <c r="C8" s="268">
        <f>IFERROR(VLOOKUP($A8,Volume!$Y:$AA,3,FALSE),0)</f>
        <v>0</v>
      </c>
      <c r="D8" s="418">
        <f>IFERROR(VLOOKUP($A8,Volume!$Y:$AA,2,FALSE),0)</f>
        <v>0</v>
      </c>
    </row>
    <row r="9" spans="1:4" ht="15" x14ac:dyDescent="0.5">
      <c r="A9" s="107">
        <v>210009</v>
      </c>
      <c r="B9" s="107" t="str">
        <f>VLOOKUP(A9,'GBR Case Mix Reconciliation'!$1:$65533,2,FALSE)</f>
        <v>Johns Hopkins Hospital</v>
      </c>
      <c r="C9" s="268">
        <f>IFERROR(VLOOKUP($A9,Volume!$Y:$AA,3,FALSE),0)</f>
        <v>0</v>
      </c>
      <c r="D9" s="418">
        <f>IFERROR(VLOOKUP($A9,Volume!$Y:$AA,2,FALSE),0)</f>
        <v>0</v>
      </c>
    </row>
    <row r="10" spans="1:4" ht="15" x14ac:dyDescent="0.5">
      <c r="A10" s="107">
        <v>210010</v>
      </c>
      <c r="B10" s="107" t="str">
        <f>VLOOKUP(A10,'GBR Case Mix Reconciliation'!$1:$65533,2,FALSE)</f>
        <v>Shore Medical Dorchester</v>
      </c>
      <c r="C10" s="268">
        <f>IFERROR(VLOOKUP($A10,Volume!$Y:$AA,3,FALSE),0)</f>
        <v>0</v>
      </c>
      <c r="D10" s="418">
        <f>IFERROR(VLOOKUP($A10,Volume!$Y:$AA,2,FALSE),0)</f>
        <v>0</v>
      </c>
    </row>
    <row r="11" spans="1:4" ht="15" x14ac:dyDescent="0.5">
      <c r="A11" s="107">
        <v>210011</v>
      </c>
      <c r="B11" s="107" t="str">
        <f>VLOOKUP(A11,'GBR Case Mix Reconciliation'!$1:$65533,2,FALSE)</f>
        <v>St. Agnes</v>
      </c>
      <c r="C11" s="268">
        <f>IFERROR(VLOOKUP($A11,Volume!$Y:$AA,3,FALSE),0)</f>
        <v>0</v>
      </c>
      <c r="D11" s="418">
        <f>IFERROR(VLOOKUP($A11,Volume!$Y:$AA,2,FALSE),0)</f>
        <v>0</v>
      </c>
    </row>
    <row r="12" spans="1:4" ht="15" x14ac:dyDescent="0.5">
      <c r="A12" s="107">
        <v>210012</v>
      </c>
      <c r="B12" s="107" t="str">
        <f>VLOOKUP(A12,'GBR Case Mix Reconciliation'!$1:$65533,2,FALSE)</f>
        <v>Sinai</v>
      </c>
      <c r="C12" s="268">
        <f>IFERROR(VLOOKUP($A12,Volume!$Y:$AA,3,FALSE),0)</f>
        <v>0</v>
      </c>
      <c r="D12" s="418">
        <f>IFERROR(VLOOKUP($A12,Volume!$Y:$AA,2,FALSE),0)</f>
        <v>0</v>
      </c>
    </row>
    <row r="13" spans="1:4" ht="15" x14ac:dyDescent="0.5">
      <c r="A13" s="107">
        <v>210013</v>
      </c>
      <c r="B13" s="107" t="str">
        <f>VLOOKUP(A13,'GBR Case Mix Reconciliation'!$1:$65533,2,FALSE)</f>
        <v>Bon Secours</v>
      </c>
      <c r="C13" s="268">
        <f>IFERROR(VLOOKUP($A13,Volume!$Y:$AA,3,FALSE),0)</f>
        <v>0</v>
      </c>
      <c r="D13" s="418">
        <f>IFERROR(VLOOKUP($A13,Volume!$Y:$AA,2,FALSE),0)</f>
        <v>0</v>
      </c>
    </row>
    <row r="14" spans="1:4" ht="15" x14ac:dyDescent="0.5">
      <c r="A14" s="107">
        <v>210015</v>
      </c>
      <c r="B14" s="107" t="str">
        <f>VLOOKUP(A14,'GBR Case Mix Reconciliation'!$1:$65533,2,FALSE)</f>
        <v>Franklin Square</v>
      </c>
      <c r="C14" s="268">
        <f>IFERROR(VLOOKUP($A14,Volume!$Y:$AA,3,FALSE),0)</f>
        <v>0</v>
      </c>
      <c r="D14" s="418">
        <f>IFERROR(VLOOKUP($A14,Volume!$Y:$AA,2,FALSE),0)</f>
        <v>0</v>
      </c>
    </row>
    <row r="15" spans="1:4" ht="15" x14ac:dyDescent="0.5">
      <c r="A15" s="107">
        <v>210016</v>
      </c>
      <c r="B15" s="107" t="str">
        <f>VLOOKUP(A15,'GBR Case Mix Reconciliation'!$1:$65533,2,FALSE)</f>
        <v>Washington Adventist</v>
      </c>
      <c r="C15" s="268">
        <f>IFERROR(VLOOKUP($A15,Volume!$Y:$AA,3,FALSE),0)</f>
        <v>0</v>
      </c>
      <c r="D15" s="418">
        <f>IFERROR(VLOOKUP($A15,Volume!$Y:$AA,2,FALSE),0)</f>
        <v>0</v>
      </c>
    </row>
    <row r="16" spans="1:4" ht="15" x14ac:dyDescent="0.5">
      <c r="A16" s="107">
        <v>210017</v>
      </c>
      <c r="B16" s="107" t="str">
        <f>VLOOKUP(A16,'GBR Case Mix Reconciliation'!$1:$65533,2,FALSE)</f>
        <v>Garrett County</v>
      </c>
      <c r="C16" s="268">
        <f>IFERROR(VLOOKUP($A16,Volume!$Y:$AA,3,FALSE),0)</f>
        <v>0</v>
      </c>
      <c r="D16" s="418">
        <f>IFERROR(VLOOKUP($A16,Volume!$Y:$AA,2,FALSE),0)</f>
        <v>0</v>
      </c>
    </row>
    <row r="17" spans="1:6" ht="15" x14ac:dyDescent="0.5">
      <c r="A17" s="107">
        <v>210018</v>
      </c>
      <c r="B17" s="107" t="str">
        <f>VLOOKUP(A17,'GBR Case Mix Reconciliation'!$1:$65533,2,FALSE)</f>
        <v>Montgomery General</v>
      </c>
      <c r="C17" s="268">
        <f>IFERROR(VLOOKUP($A17,Volume!$Y:$AA,3,FALSE),0)</f>
        <v>0</v>
      </c>
      <c r="D17" s="418">
        <f>IFERROR(VLOOKUP($A17,Volume!$Y:$AA,2,FALSE),0)</f>
        <v>0</v>
      </c>
    </row>
    <row r="18" spans="1:6" ht="15" x14ac:dyDescent="0.5">
      <c r="A18" s="107">
        <v>210019</v>
      </c>
      <c r="B18" s="107" t="str">
        <f>VLOOKUP(A18,'GBR Case Mix Reconciliation'!$1:$65533,2,FALSE)</f>
        <v>Peninsula Regional</v>
      </c>
      <c r="C18" s="268">
        <f>IFERROR(VLOOKUP($A18,Volume!$Y:$AA,3,FALSE),0)</f>
        <v>0</v>
      </c>
      <c r="D18" s="418">
        <f>IFERROR(VLOOKUP($A18,Volume!$Y:$AA,2,FALSE),0)</f>
        <v>0</v>
      </c>
    </row>
    <row r="19" spans="1:6" ht="15" x14ac:dyDescent="0.5">
      <c r="A19" s="107">
        <v>210022</v>
      </c>
      <c r="B19" s="107" t="str">
        <f>VLOOKUP(A19,'GBR Case Mix Reconciliation'!$1:$65533,2,FALSE)</f>
        <v>Suburban</v>
      </c>
      <c r="C19" s="268">
        <f>IFERROR(VLOOKUP($A19,Volume!$Y:$AA,3,FALSE),0)</f>
        <v>0</v>
      </c>
      <c r="D19" s="418">
        <f>IFERROR(VLOOKUP($A19,Volume!$Y:$AA,2,FALSE),0)</f>
        <v>0</v>
      </c>
    </row>
    <row r="20" spans="1:6" ht="15" x14ac:dyDescent="0.5">
      <c r="A20" s="107">
        <v>210023</v>
      </c>
      <c r="B20" s="107" t="str">
        <f>VLOOKUP(A20,'GBR Case Mix Reconciliation'!$1:$65533,2,FALSE)</f>
        <v>Anne Arundel</v>
      </c>
      <c r="C20" s="268">
        <f>IFERROR(VLOOKUP($A20,Volume!$Y:$AA,3,FALSE),0)</f>
        <v>0</v>
      </c>
      <c r="D20" s="418">
        <f>IFERROR(VLOOKUP($A20,Volume!$Y:$AA,2,FALSE),0)</f>
        <v>0</v>
      </c>
    </row>
    <row r="21" spans="1:6" ht="15" x14ac:dyDescent="0.5">
      <c r="A21" s="107">
        <v>210024</v>
      </c>
      <c r="B21" s="107" t="str">
        <f>VLOOKUP(A21,'GBR Case Mix Reconciliation'!$1:$65533,2,FALSE)</f>
        <v>Union Memorial</v>
      </c>
      <c r="C21" s="268">
        <f>IFERROR(VLOOKUP($A21,Volume!$Y:$AA,3,FALSE),0)</f>
        <v>0</v>
      </c>
      <c r="D21" s="418">
        <f>IFERROR(VLOOKUP($A21,Volume!$Y:$AA,2,FALSE),0)</f>
        <v>0</v>
      </c>
    </row>
    <row r="22" spans="1:6" ht="15" x14ac:dyDescent="0.5">
      <c r="A22" s="107">
        <v>210027</v>
      </c>
      <c r="B22" s="107" t="str">
        <f>VLOOKUP(A22,'GBR Case Mix Reconciliation'!$1:$65533,2,FALSE)</f>
        <v>Western Maryland Health System</v>
      </c>
      <c r="C22" s="268">
        <f>IFERROR(VLOOKUP($A22,Volume!$Y:$AA,3,FALSE),0)</f>
        <v>0</v>
      </c>
      <c r="D22" s="418">
        <f>IFERROR(VLOOKUP($A22,Volume!$Y:$AA,2,FALSE),0)</f>
        <v>0</v>
      </c>
    </row>
    <row r="23" spans="1:6" ht="15" x14ac:dyDescent="0.5">
      <c r="A23" s="107">
        <v>210028</v>
      </c>
      <c r="B23" s="107" t="str">
        <f>VLOOKUP(A23,'GBR Case Mix Reconciliation'!$1:$65533,2,FALSE)</f>
        <v>St. Mary's</v>
      </c>
      <c r="C23" s="268">
        <f>IFERROR(VLOOKUP($A23,Volume!$Y:$AA,3,FALSE),0)</f>
        <v>0</v>
      </c>
      <c r="D23" s="418">
        <f>IFERROR(VLOOKUP($A23,Volume!$Y:$AA,2,FALSE),0)</f>
        <v>0</v>
      </c>
    </row>
    <row r="24" spans="1:6" ht="15" x14ac:dyDescent="0.5">
      <c r="A24" s="107">
        <v>210029</v>
      </c>
      <c r="B24" s="107" t="str">
        <f>VLOOKUP(A24,'GBR Case Mix Reconciliation'!$1:$65533,2,FALSE)</f>
        <v>JH Bayview Medical Center</v>
      </c>
      <c r="C24" s="268">
        <f>IFERROR(VLOOKUP($A24,Volume!$Y:$AA,3,FALSE),0)</f>
        <v>11010014.49</v>
      </c>
      <c r="D24" s="418">
        <f>IFERROR(VLOOKUP($A24,Volume!$Y:$AA,2,FALSE),0)</f>
        <v>212.39623699999999</v>
      </c>
    </row>
    <row r="25" spans="1:6" ht="15" x14ac:dyDescent="0.5">
      <c r="A25" s="107">
        <v>210030</v>
      </c>
      <c r="B25" s="107" t="str">
        <f>VLOOKUP(A25,'GBR Case Mix Reconciliation'!$1:$65533,2,FALSE)</f>
        <v>Shore Medical Chestertown</v>
      </c>
      <c r="C25" s="268">
        <f>IFERROR(VLOOKUP($A25,Volume!$Y:$AA,3,FALSE),0)</f>
        <v>0</v>
      </c>
      <c r="D25" s="418">
        <f>IFERROR(VLOOKUP($A25,Volume!$Y:$AA,2,FALSE),0)</f>
        <v>0</v>
      </c>
    </row>
    <row r="26" spans="1:6" ht="15" x14ac:dyDescent="0.5">
      <c r="A26" s="107">
        <v>210032</v>
      </c>
      <c r="B26" s="107" t="str">
        <f>VLOOKUP(A26,'GBR Case Mix Reconciliation'!$1:$65533,2,FALSE)</f>
        <v>Union of Cecil</v>
      </c>
      <c r="C26" s="268">
        <f>IFERROR(VLOOKUP($A26,Volume!$Y:$AA,3,FALSE),0)</f>
        <v>0</v>
      </c>
      <c r="D26" s="418">
        <f>IFERROR(VLOOKUP($A26,Volume!$Y:$AA,2,FALSE),0)</f>
        <v>0</v>
      </c>
    </row>
    <row r="27" spans="1:6" ht="15" x14ac:dyDescent="0.5">
      <c r="A27" s="107">
        <v>210033</v>
      </c>
      <c r="B27" s="107" t="str">
        <f>VLOOKUP(A27,'GBR Case Mix Reconciliation'!$1:$65533,2,FALSE)</f>
        <v>Carroll County</v>
      </c>
      <c r="C27" s="268">
        <f>IFERROR(VLOOKUP($A27,Volume!$Y:$AA,3,FALSE),0)</f>
        <v>0</v>
      </c>
      <c r="D27" s="418">
        <f>IFERROR(VLOOKUP($A27,Volume!$Y:$AA,2,FALSE),0)</f>
        <v>0</v>
      </c>
    </row>
    <row r="28" spans="1:6" ht="15" x14ac:dyDescent="0.5">
      <c r="A28" s="107">
        <v>210034</v>
      </c>
      <c r="B28" s="107" t="str">
        <f>VLOOKUP(A28,'GBR Case Mix Reconciliation'!$1:$65533,2,FALSE)</f>
        <v>Harbor Hospital</v>
      </c>
      <c r="C28" s="268">
        <f>IFERROR(VLOOKUP($A28,Volume!$Y:$AA,3,FALSE),0)</f>
        <v>0</v>
      </c>
      <c r="D28" s="418">
        <f>IFERROR(VLOOKUP($A28,Volume!$Y:$AA,2,FALSE),0)</f>
        <v>0</v>
      </c>
    </row>
    <row r="29" spans="1:6" ht="15" x14ac:dyDescent="0.5">
      <c r="A29" s="107">
        <v>210035</v>
      </c>
      <c r="B29" s="107" t="str">
        <f>VLOOKUP(A29,'GBR Case Mix Reconciliation'!$1:$65533,2,FALSE)</f>
        <v xml:space="preserve">Charles Regional </v>
      </c>
      <c r="C29" s="268">
        <f>IFERROR(VLOOKUP($A29,Volume!$Y:$AA,3,FALSE),0)</f>
        <v>0</v>
      </c>
      <c r="D29" s="418">
        <f>IFERROR(VLOOKUP($A29,Volume!$Y:$AA,2,FALSE),0)</f>
        <v>0</v>
      </c>
    </row>
    <row r="30" spans="1:6" ht="15" x14ac:dyDescent="0.5">
      <c r="A30" s="107">
        <v>210037</v>
      </c>
      <c r="B30" s="107" t="str">
        <f>VLOOKUP(A30,'GBR Case Mix Reconciliation'!$1:$65533,2,FALSE)</f>
        <v>Shore Medical Easton</v>
      </c>
      <c r="C30" s="268">
        <f>IFERROR(VLOOKUP($A30,Volume!$Y:$AA,3,FALSE),0)</f>
        <v>0</v>
      </c>
      <c r="D30" s="418">
        <f>IFERROR(VLOOKUP($A30,Volume!$Y:$AA,2,FALSE),0)</f>
        <v>0</v>
      </c>
    </row>
    <row r="31" spans="1:6" x14ac:dyDescent="0.55000000000000004">
      <c r="A31" s="107">
        <v>210038</v>
      </c>
      <c r="B31" s="107" t="str">
        <f>VLOOKUP(A31,'GBR Case Mix Reconciliation'!$1:$65533,2,FALSE)</f>
        <v>UMMC Midtown</v>
      </c>
      <c r="C31" s="268">
        <f>IFERROR(VLOOKUP($A31,Volume!$Y:$AA,3,FALSE),0)</f>
        <v>17819418.710000001</v>
      </c>
      <c r="D31" s="418">
        <f>IFERROR(VLOOKUP($A31,Volume!$Y:$AA,2,FALSE),0)</f>
        <v>353.11728200000005</v>
      </c>
      <c r="F31" s="194"/>
    </row>
    <row r="32" spans="1:6" ht="15" x14ac:dyDescent="0.5">
      <c r="A32" s="107">
        <v>210039</v>
      </c>
      <c r="B32" s="107" t="str">
        <f>VLOOKUP(A32,'GBR Case Mix Reconciliation'!$1:$65533,2,FALSE)</f>
        <v>Calvert</v>
      </c>
      <c r="C32" s="268">
        <f>IFERROR(VLOOKUP($A32,Volume!$Y:$AA,3,FALSE),0)</f>
        <v>0</v>
      </c>
      <c r="D32" s="418">
        <f>IFERROR(VLOOKUP($A32,Volume!$Y:$AA,2,FALSE),0)</f>
        <v>0</v>
      </c>
    </row>
    <row r="33" spans="1:4" ht="15" x14ac:dyDescent="0.5">
      <c r="A33" s="107">
        <v>210040</v>
      </c>
      <c r="B33" s="107" t="str">
        <f>VLOOKUP(A33,'GBR Case Mix Reconciliation'!$1:$65533,2,FALSE)</f>
        <v>Northwest</v>
      </c>
      <c r="C33" s="268">
        <f>IFERROR(VLOOKUP($A33,Volume!$Y:$AA,3,FALSE),0)</f>
        <v>0</v>
      </c>
      <c r="D33" s="418">
        <f>IFERROR(VLOOKUP($A33,Volume!$Y:$AA,2,FALSE),0)</f>
        <v>0</v>
      </c>
    </row>
    <row r="34" spans="1:4" ht="15" x14ac:dyDescent="0.5">
      <c r="A34" s="107">
        <v>210043</v>
      </c>
      <c r="B34" s="107" t="str">
        <f>VLOOKUP(A34,'GBR Case Mix Reconciliation'!$1:$65533,2,FALSE)</f>
        <v>Baltimore Washington</v>
      </c>
      <c r="C34" s="268">
        <f>IFERROR(VLOOKUP($A34,Volume!$Y:$AA,3,FALSE),0)</f>
        <v>0</v>
      </c>
      <c r="D34" s="418">
        <f>IFERROR(VLOOKUP($A34,Volume!$Y:$AA,2,FALSE),0)</f>
        <v>0</v>
      </c>
    </row>
    <row r="35" spans="1:4" ht="15" x14ac:dyDescent="0.5">
      <c r="A35" s="107">
        <v>210044</v>
      </c>
      <c r="B35" s="107" t="str">
        <f>VLOOKUP(A35,'GBR Case Mix Reconciliation'!$1:$65533,2,FALSE)</f>
        <v>Greater Baltimore Medical Center</v>
      </c>
      <c r="C35" s="268">
        <f>IFERROR(VLOOKUP($A35,Volume!$Y:$AA,3,FALSE),0)</f>
        <v>0</v>
      </c>
      <c r="D35" s="418">
        <f>IFERROR(VLOOKUP($A35,Volume!$Y:$AA,2,FALSE),0)</f>
        <v>0</v>
      </c>
    </row>
    <row r="36" spans="1:4" ht="15" x14ac:dyDescent="0.5">
      <c r="A36" s="107">
        <v>210045</v>
      </c>
      <c r="B36" s="107" t="str">
        <f>VLOOKUP(A36,'GBR Case Mix Reconciliation'!$1:$65533,2,FALSE)</f>
        <v>McCready</v>
      </c>
      <c r="C36" s="268">
        <f>IFERROR(VLOOKUP($A36,Volume!$Y:$AA,3,FALSE),0)</f>
        <v>0</v>
      </c>
      <c r="D36" s="418">
        <f>IFERROR(VLOOKUP($A36,Volume!$Y:$AA,2,FALSE),0)</f>
        <v>0</v>
      </c>
    </row>
    <row r="37" spans="1:4" ht="15" x14ac:dyDescent="0.5">
      <c r="A37" s="107">
        <v>210048</v>
      </c>
      <c r="B37" s="107" t="str">
        <f>VLOOKUP(A37,'GBR Case Mix Reconciliation'!$1:$65533,2,FALSE)</f>
        <v>Howard County</v>
      </c>
      <c r="C37" s="268">
        <f>IFERROR(VLOOKUP($A37,Volume!$Y:$AA,3,FALSE),0)</f>
        <v>0</v>
      </c>
      <c r="D37" s="418">
        <f>IFERROR(VLOOKUP($A37,Volume!$Y:$AA,2,FALSE),0)</f>
        <v>0</v>
      </c>
    </row>
    <row r="38" spans="1:4" ht="15" x14ac:dyDescent="0.5">
      <c r="A38" s="107">
        <v>210049</v>
      </c>
      <c r="B38" s="107" t="str">
        <f>VLOOKUP(A38,'GBR Case Mix Reconciliation'!$1:$65533,2,FALSE)</f>
        <v>Upper Chesapeake</v>
      </c>
      <c r="C38" s="268">
        <f>IFERROR(VLOOKUP($A38,Volume!$Y:$AA,3,FALSE),0)</f>
        <v>0</v>
      </c>
      <c r="D38" s="418">
        <f>IFERROR(VLOOKUP($A38,Volume!$Y:$AA,2,FALSE),0)</f>
        <v>0</v>
      </c>
    </row>
    <row r="39" spans="1:4" ht="15" x14ac:dyDescent="0.5">
      <c r="A39" s="107">
        <v>210051</v>
      </c>
      <c r="B39" s="107" t="str">
        <f>VLOOKUP(A39,'GBR Case Mix Reconciliation'!$1:$65533,2,FALSE)</f>
        <v>Doctors Community</v>
      </c>
      <c r="C39" s="268">
        <f>IFERROR(VLOOKUP($A39,Volume!$Y:$AA,3,FALSE),0)</f>
        <v>0</v>
      </c>
      <c r="D39" s="418">
        <f>IFERROR(VLOOKUP($A39,Volume!$Y:$AA,2,FALSE),0)</f>
        <v>0</v>
      </c>
    </row>
    <row r="40" spans="1:4" ht="15" x14ac:dyDescent="0.5">
      <c r="A40" s="107">
        <v>210055</v>
      </c>
      <c r="B40" s="107" t="str">
        <f>VLOOKUP(A40,'GBR Case Mix Reconciliation'!$1:$65533,2,FALSE)</f>
        <v>Laurel Regional</v>
      </c>
      <c r="C40" s="268">
        <f>IFERROR(VLOOKUP($A40,Volume!$Y:$AA,3,FALSE),0)</f>
        <v>0</v>
      </c>
      <c r="D40" s="418">
        <f>IFERROR(VLOOKUP($A40,Volume!$Y:$AA,2,FALSE),0)</f>
        <v>0</v>
      </c>
    </row>
    <row r="41" spans="1:4" ht="15" x14ac:dyDescent="0.5">
      <c r="A41" s="107">
        <v>210056</v>
      </c>
      <c r="B41" s="107" t="str">
        <f>VLOOKUP(A41,'GBR Case Mix Reconciliation'!$1:$65533,2,FALSE)</f>
        <v>Good Samaritan</v>
      </c>
      <c r="C41" s="268">
        <f>IFERROR(VLOOKUP($A41,Volume!$Y:$AA,3,FALSE),0)</f>
        <v>0</v>
      </c>
      <c r="D41" s="418">
        <f>IFERROR(VLOOKUP($A41,Volume!$Y:$AA,2,FALSE),0)</f>
        <v>0</v>
      </c>
    </row>
    <row r="42" spans="1:4" ht="15" x14ac:dyDescent="0.5">
      <c r="A42" s="107">
        <v>210057</v>
      </c>
      <c r="B42" s="107" t="str">
        <f>VLOOKUP(A42,'GBR Case Mix Reconciliation'!$1:$65533,2,FALSE)</f>
        <v>Shady Grove</v>
      </c>
      <c r="C42" s="268">
        <f>IFERROR(VLOOKUP($A42,Volume!$Y:$AA,3,FALSE),0)</f>
        <v>0</v>
      </c>
      <c r="D42" s="418">
        <f>IFERROR(VLOOKUP($A42,Volume!$Y:$AA,2,FALSE),0)</f>
        <v>0</v>
      </c>
    </row>
    <row r="43" spans="1:4" ht="15" x14ac:dyDescent="0.5">
      <c r="A43" s="107">
        <v>210058</v>
      </c>
      <c r="B43" s="107" t="str">
        <f>VLOOKUP(A43,'GBR Case Mix Reconciliation'!$1:$65533,2,FALSE)</f>
        <v>Rehab &amp; Ortho Institue</v>
      </c>
      <c r="C43" s="268">
        <f>IFERROR(VLOOKUP($A43,Volume!$Y:$AA,3,FALSE),0)</f>
        <v>17564928.510000002</v>
      </c>
      <c r="D43" s="418">
        <f>IFERROR(VLOOKUP($A43,Volume!$Y:$AA,2,FALSE),0)</f>
        <v>659.3582869999999</v>
      </c>
    </row>
    <row r="44" spans="1:4" ht="15" x14ac:dyDescent="0.5">
      <c r="A44" s="107">
        <v>210060</v>
      </c>
      <c r="B44" s="107" t="str">
        <f>VLOOKUP(A44,'GBR Case Mix Reconciliation'!$1:$65533,2,FALSE)</f>
        <v>Fort Washington</v>
      </c>
      <c r="C44" s="268">
        <f>IFERROR(VLOOKUP($A44,Volume!$Y:$AA,3,FALSE),0)</f>
        <v>0</v>
      </c>
      <c r="D44" s="418">
        <f>IFERROR(VLOOKUP($A44,Volume!$Y:$AA,2,FALSE),0)</f>
        <v>0</v>
      </c>
    </row>
    <row r="45" spans="1:4" ht="15" x14ac:dyDescent="0.5">
      <c r="A45" s="107">
        <v>210061</v>
      </c>
      <c r="B45" s="107" t="str">
        <f>VLOOKUP(A45,'GBR Case Mix Reconciliation'!$1:$65533,2,FALSE)</f>
        <v>Atlantic General</v>
      </c>
      <c r="C45" s="268">
        <f>IFERROR(VLOOKUP($A45,Volume!$Y:$AA,3,FALSE),0)</f>
        <v>0</v>
      </c>
      <c r="D45" s="418">
        <f>IFERROR(VLOOKUP($A45,Volume!$Y:$AA,2,FALSE),0)</f>
        <v>0</v>
      </c>
    </row>
    <row r="46" spans="1:4" ht="15" x14ac:dyDescent="0.5">
      <c r="A46" s="107">
        <v>210062</v>
      </c>
      <c r="B46" s="107" t="str">
        <f>VLOOKUP(A46,'GBR Case Mix Reconciliation'!$1:$65533,2,FALSE)</f>
        <v>Southern Maryland</v>
      </c>
      <c r="C46" s="268">
        <f>IFERROR(VLOOKUP($A46,Volume!$Y:$AA,3,FALSE),0)</f>
        <v>0</v>
      </c>
      <c r="D46" s="418">
        <f>IFERROR(VLOOKUP($A46,Volume!$Y:$AA,2,FALSE),0)</f>
        <v>0</v>
      </c>
    </row>
    <row r="47" spans="1:4" ht="15" x14ac:dyDescent="0.5">
      <c r="A47" s="107">
        <v>210063</v>
      </c>
      <c r="B47" s="107" t="str">
        <f>VLOOKUP(A47,'GBR Case Mix Reconciliation'!$1:$65533,2,FALSE)</f>
        <v>St. Joseph</v>
      </c>
      <c r="C47" s="268">
        <f>IFERROR(VLOOKUP($A47,Volume!$Y:$AA,3,FALSE),0)</f>
        <v>0</v>
      </c>
      <c r="D47" s="418">
        <f>IFERROR(VLOOKUP($A47,Volume!$Y:$AA,2,FALSE),0)</f>
        <v>0</v>
      </c>
    </row>
    <row r="48" spans="1:4" ht="15" x14ac:dyDescent="0.5">
      <c r="A48" s="107">
        <v>210065</v>
      </c>
      <c r="B48" s="107" t="str">
        <f>VLOOKUP(A48,'GBR Case Mix Reconciliation'!$1:$65533,2,FALSE)</f>
        <v>Holy Cross Germantown</v>
      </c>
      <c r="C48" s="268">
        <f>IFERROR(VLOOKUP($A48,Volume!$Y:$AA,3,FALSE),0)</f>
        <v>0</v>
      </c>
      <c r="D48" s="418">
        <f>IFERROR(VLOOKUP($A48,Volume!$Y:$AA,2,FALSE),0)</f>
        <v>0</v>
      </c>
    </row>
    <row r="49" spans="1:4" ht="15" x14ac:dyDescent="0.5">
      <c r="C49" s="107"/>
    </row>
    <row r="50" spans="1:4" ht="18.3" x14ac:dyDescent="0.7">
      <c r="A50" s="452" t="s">
        <v>302</v>
      </c>
      <c r="B50" s="452"/>
      <c r="C50" s="194">
        <f>SUM(C2:C48)</f>
        <v>46394361.710000008</v>
      </c>
      <c r="D50" s="194">
        <f>SUM(D2:D48)</f>
        <v>1224.8718060000001</v>
      </c>
    </row>
    <row r="51" spans="1:4" ht="18.3" x14ac:dyDescent="0.7">
      <c r="A51" s="267"/>
      <c r="B51" s="267"/>
    </row>
    <row r="52" spans="1:4" ht="18.3" x14ac:dyDescent="0.7">
      <c r="A52" s="267"/>
      <c r="B52" s="267"/>
    </row>
  </sheetData>
  <sheetCalcPr fullCalcOnLoad="1"/>
  <autoFilter ref="A1:D1"/>
  <mergeCells count="1">
    <mergeCell ref="A50:B5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52"/>
  <sheetViews>
    <sheetView workbookViewId="0">
      <selection activeCell="C1" sqref="C1"/>
    </sheetView>
  </sheetViews>
  <sheetFormatPr defaultColWidth="9.578125" defaultRowHeight="15" x14ac:dyDescent="0.5"/>
  <cols>
    <col min="1" max="1" width="13.15625" style="107" bestFit="1" customWidth="1"/>
    <col min="2" max="2" width="43.578125" style="323" bestFit="1" customWidth="1"/>
    <col min="3" max="3" width="13.26171875" style="324" customWidth="1"/>
    <col min="4" max="4" width="19.26171875" style="324" bestFit="1" customWidth="1"/>
    <col min="5" max="16384" width="9.578125" style="323"/>
  </cols>
  <sheetData>
    <row r="1" spans="1:4" x14ac:dyDescent="0.5">
      <c r="B1" s="321" t="s">
        <v>265</v>
      </c>
      <c r="C1" s="322" t="s">
        <v>92</v>
      </c>
      <c r="D1" s="322" t="s">
        <v>361</v>
      </c>
    </row>
    <row r="2" spans="1:4" x14ac:dyDescent="0.5">
      <c r="A2" s="107">
        <v>210001</v>
      </c>
      <c r="C2" s="324">
        <f>IFERROR(VLOOKUP($A2,Volume!$AC:$AE,2,FALSE),0)</f>
        <v>0</v>
      </c>
      <c r="D2" s="324">
        <f>IFERROR(VLOOKUP($A2,Volume!$AC:$AE,3,FALSE),0)</f>
        <v>0</v>
      </c>
    </row>
    <row r="3" spans="1:4" x14ac:dyDescent="0.5">
      <c r="A3" s="107">
        <v>210002</v>
      </c>
      <c r="B3" s="323" t="s">
        <v>110</v>
      </c>
      <c r="C3" s="324">
        <f>IFERROR(VLOOKUP($A3,Volume!$AC:$AE,2,FALSE),0)</f>
        <v>10170.629116</v>
      </c>
      <c r="D3" s="324">
        <f>IFERROR(VLOOKUP($A3,Volume!$AC:$AE,3,FALSE),0)</f>
        <v>309778883.31</v>
      </c>
    </row>
    <row r="4" spans="1:4" x14ac:dyDescent="0.5">
      <c r="A4" s="107">
        <v>210003</v>
      </c>
      <c r="C4" s="324">
        <f>IFERROR(VLOOKUP($A4,Volume!$AC:$AE,2,FALSE),0)</f>
        <v>0</v>
      </c>
      <c r="D4" s="324">
        <f>IFERROR(VLOOKUP($A4,Volume!$AC:$AE,3,FALSE),0)</f>
        <v>0</v>
      </c>
    </row>
    <row r="5" spans="1:4" x14ac:dyDescent="0.5">
      <c r="A5" s="107">
        <v>210004</v>
      </c>
      <c r="C5" s="324">
        <f>IFERROR(VLOOKUP($A5,Volume!$AC:$AE,2,FALSE),0)</f>
        <v>0</v>
      </c>
      <c r="D5" s="324">
        <f>IFERROR(VLOOKUP($A5,Volume!$AC:$AE,3,FALSE),0)</f>
        <v>0</v>
      </c>
    </row>
    <row r="6" spans="1:4" x14ac:dyDescent="0.5">
      <c r="A6" s="107">
        <v>210005</v>
      </c>
      <c r="C6" s="324">
        <f>IFERROR(VLOOKUP($A6,Volume!$AC:$AE,2,FALSE),0)</f>
        <v>0</v>
      </c>
      <c r="D6" s="324">
        <f>IFERROR(VLOOKUP($A6,Volume!$AC:$AE,3,FALSE),0)</f>
        <v>0</v>
      </c>
    </row>
    <row r="7" spans="1:4" x14ac:dyDescent="0.5">
      <c r="A7" s="107">
        <v>210006</v>
      </c>
      <c r="C7" s="324">
        <f>IFERROR(VLOOKUP($A7,Volume!$AC:$AE,2,FALSE),0)</f>
        <v>0</v>
      </c>
      <c r="D7" s="324">
        <f>IFERROR(VLOOKUP($A7,Volume!$AC:$AE,3,FALSE),0)</f>
        <v>0</v>
      </c>
    </row>
    <row r="8" spans="1:4" x14ac:dyDescent="0.5">
      <c r="A8" s="107">
        <v>210008</v>
      </c>
      <c r="C8" s="324">
        <f>IFERROR(VLOOKUP($A8,Volume!$AC:$AE,2,FALSE),0)</f>
        <v>0</v>
      </c>
      <c r="D8" s="324">
        <f>IFERROR(VLOOKUP($A8,Volume!$AC:$AE,3,FALSE),0)</f>
        <v>0</v>
      </c>
    </row>
    <row r="9" spans="1:4" x14ac:dyDescent="0.5">
      <c r="A9" s="107">
        <v>210009</v>
      </c>
      <c r="B9" s="323" t="s">
        <v>111</v>
      </c>
      <c r="C9" s="324">
        <f>IFERROR(VLOOKUP($A9,Volume!$AC:$AE,2,FALSE),0)</f>
        <v>9858.1055330000036</v>
      </c>
      <c r="D9" s="324">
        <f>IFERROR(VLOOKUP($A9,Volume!$AC:$AE,3,FALSE),0)</f>
        <v>283218941.56</v>
      </c>
    </row>
    <row r="10" spans="1:4" x14ac:dyDescent="0.5">
      <c r="A10" s="107">
        <v>210010</v>
      </c>
      <c r="C10" s="324">
        <f>IFERROR(VLOOKUP($A10,Volume!$AC:$AE,2,FALSE),0)</f>
        <v>0</v>
      </c>
      <c r="D10" s="324">
        <f>IFERROR(VLOOKUP($A10,Volume!$AC:$AE,3,FALSE),0)</f>
        <v>0</v>
      </c>
    </row>
    <row r="11" spans="1:4" x14ac:dyDescent="0.5">
      <c r="A11" s="107">
        <v>210011</v>
      </c>
      <c r="C11" s="324">
        <f>IFERROR(VLOOKUP($A11,Volume!$AC:$AE,2,FALSE),0)</f>
        <v>0</v>
      </c>
      <c r="D11" s="324">
        <f>IFERROR(VLOOKUP($A11,Volume!$AC:$AE,3,FALSE),0)</f>
        <v>0</v>
      </c>
    </row>
    <row r="12" spans="1:4" x14ac:dyDescent="0.5">
      <c r="A12" s="107">
        <v>210012</v>
      </c>
      <c r="C12" s="324">
        <f>IFERROR(VLOOKUP($A12,Volume!$AC:$AE,2,FALSE),0)</f>
        <v>0</v>
      </c>
      <c r="D12" s="324">
        <f>IFERROR(VLOOKUP($A12,Volume!$AC:$AE,3,FALSE),0)</f>
        <v>0</v>
      </c>
    </row>
    <row r="13" spans="1:4" x14ac:dyDescent="0.5">
      <c r="A13" s="107">
        <v>210013</v>
      </c>
      <c r="C13" s="324">
        <f>IFERROR(VLOOKUP($A13,Volume!$AC:$AE,2,FALSE),0)</f>
        <v>0</v>
      </c>
      <c r="D13" s="324">
        <f>IFERROR(VLOOKUP($A13,Volume!$AC:$AE,3,FALSE),0)</f>
        <v>0</v>
      </c>
    </row>
    <row r="14" spans="1:4" x14ac:dyDescent="0.5">
      <c r="A14" s="107">
        <v>210015</v>
      </c>
      <c r="C14" s="324">
        <f>IFERROR(VLOOKUP($A14,Volume!$AC:$AE,2,FALSE),0)</f>
        <v>0</v>
      </c>
      <c r="D14" s="324">
        <f>IFERROR(VLOOKUP($A14,Volume!$AC:$AE,3,FALSE),0)</f>
        <v>0</v>
      </c>
    </row>
    <row r="15" spans="1:4" x14ac:dyDescent="0.5">
      <c r="A15" s="107">
        <v>210016</v>
      </c>
      <c r="C15" s="324">
        <f>IFERROR(VLOOKUP($A15,Volume!$AC:$AE,2,FALSE),0)</f>
        <v>0</v>
      </c>
      <c r="D15" s="324">
        <f>IFERROR(VLOOKUP($A15,Volume!$AC:$AE,3,FALSE),0)</f>
        <v>0</v>
      </c>
    </row>
    <row r="16" spans="1:4" x14ac:dyDescent="0.5">
      <c r="A16" s="107">
        <v>210017</v>
      </c>
      <c r="C16" s="324">
        <f>IFERROR(VLOOKUP($A16,Volume!$AC:$AE,2,FALSE),0)</f>
        <v>0</v>
      </c>
      <c r="D16" s="324">
        <f>IFERROR(VLOOKUP($A16,Volume!$AC:$AE,3,FALSE),0)</f>
        <v>0</v>
      </c>
    </row>
    <row r="17" spans="1:4" x14ac:dyDescent="0.5">
      <c r="A17" s="107">
        <v>210018</v>
      </c>
      <c r="C17" s="324">
        <f>IFERROR(VLOOKUP($A17,Volume!$AC:$AE,2,FALSE),0)</f>
        <v>0</v>
      </c>
      <c r="D17" s="324">
        <f>IFERROR(VLOOKUP($A17,Volume!$AC:$AE,3,FALSE),0)</f>
        <v>0</v>
      </c>
    </row>
    <row r="18" spans="1:4" x14ac:dyDescent="0.5">
      <c r="A18" s="107">
        <v>210019</v>
      </c>
      <c r="C18" s="324">
        <f>IFERROR(VLOOKUP($A18,Volume!$AC:$AE,2,FALSE),0)</f>
        <v>0</v>
      </c>
      <c r="D18" s="324">
        <f>IFERROR(VLOOKUP($A18,Volume!$AC:$AE,3,FALSE),0)</f>
        <v>0</v>
      </c>
    </row>
    <row r="19" spans="1:4" x14ac:dyDescent="0.5">
      <c r="A19" s="107">
        <v>210022</v>
      </c>
      <c r="C19" s="324">
        <f>IFERROR(VLOOKUP($A19,Volume!$AC:$AE,2,FALSE),0)</f>
        <v>0</v>
      </c>
      <c r="D19" s="324">
        <f>IFERROR(VLOOKUP($A19,Volume!$AC:$AE,3,FALSE),0)</f>
        <v>0</v>
      </c>
    </row>
    <row r="20" spans="1:4" x14ac:dyDescent="0.5">
      <c r="A20" s="107">
        <v>210023</v>
      </c>
      <c r="C20" s="324">
        <f>IFERROR(VLOOKUP($A20,Volume!$AC:$AE,2,FALSE),0)</f>
        <v>0</v>
      </c>
      <c r="D20" s="324">
        <f>IFERROR(VLOOKUP($A20,Volume!$AC:$AE,3,FALSE),0)</f>
        <v>0</v>
      </c>
    </row>
    <row r="21" spans="1:4" x14ac:dyDescent="0.5">
      <c r="A21" s="107">
        <v>210024</v>
      </c>
      <c r="C21" s="324">
        <f>IFERROR(VLOOKUP($A21,Volume!$AC:$AE,2,FALSE),0)</f>
        <v>0</v>
      </c>
      <c r="D21" s="324">
        <f>IFERROR(VLOOKUP($A21,Volume!$AC:$AE,3,FALSE),0)</f>
        <v>0</v>
      </c>
    </row>
    <row r="22" spans="1:4" x14ac:dyDescent="0.5">
      <c r="A22" s="107">
        <v>210027</v>
      </c>
      <c r="C22" s="324">
        <f>IFERROR(VLOOKUP($A22,Volume!$AC:$AE,2,FALSE),0)</f>
        <v>0</v>
      </c>
      <c r="D22" s="324">
        <f>IFERROR(VLOOKUP($A22,Volume!$AC:$AE,3,FALSE),0)</f>
        <v>0</v>
      </c>
    </row>
    <row r="23" spans="1:4" x14ac:dyDescent="0.5">
      <c r="A23" s="107">
        <v>210028</v>
      </c>
      <c r="C23" s="324">
        <f>IFERROR(VLOOKUP($A23,Volume!$AC:$AE,2,FALSE),0)</f>
        <v>0</v>
      </c>
      <c r="D23" s="324">
        <f>IFERROR(VLOOKUP($A23,Volume!$AC:$AE,3,FALSE),0)</f>
        <v>0</v>
      </c>
    </row>
    <row r="24" spans="1:4" x14ac:dyDescent="0.5">
      <c r="A24" s="107">
        <v>210029</v>
      </c>
      <c r="B24" s="323" t="s">
        <v>116</v>
      </c>
      <c r="C24" s="324">
        <f>IFERROR(VLOOKUP($A24,Volume!$AC:$AE,2,FALSE),0)</f>
        <v>419.97501200000028</v>
      </c>
      <c r="D24" s="324">
        <f>IFERROR(VLOOKUP($A24,Volume!$AC:$AE,3,FALSE),0)</f>
        <v>20263860.219999999</v>
      </c>
    </row>
    <row r="25" spans="1:4" x14ac:dyDescent="0.5">
      <c r="A25" s="107">
        <v>210030</v>
      </c>
      <c r="C25" s="324">
        <f>IFERROR(VLOOKUP($A25,Volume!$AC:$AE,2,FALSE),0)</f>
        <v>0</v>
      </c>
      <c r="D25" s="324">
        <f>IFERROR(VLOOKUP($A25,Volume!$AC:$AE,3,FALSE),0)</f>
        <v>0</v>
      </c>
    </row>
    <row r="26" spans="1:4" x14ac:dyDescent="0.5">
      <c r="A26" s="107">
        <v>210032</v>
      </c>
      <c r="C26" s="324">
        <f>IFERROR(VLOOKUP($A26,Volume!$AC:$AE,2,FALSE),0)</f>
        <v>0</v>
      </c>
      <c r="D26" s="324">
        <f>IFERROR(VLOOKUP($A26,Volume!$AC:$AE,3,FALSE),0)</f>
        <v>0</v>
      </c>
    </row>
    <row r="27" spans="1:4" x14ac:dyDescent="0.5">
      <c r="A27" s="107">
        <v>210033</v>
      </c>
      <c r="C27" s="324">
        <f>IFERROR(VLOOKUP($A27,Volume!$AC:$AE,2,FALSE),0)</f>
        <v>0</v>
      </c>
      <c r="D27" s="324">
        <f>IFERROR(VLOOKUP($A27,Volume!$AC:$AE,3,FALSE),0)</f>
        <v>0</v>
      </c>
    </row>
    <row r="28" spans="1:4" x14ac:dyDescent="0.5">
      <c r="A28" s="107">
        <v>210034</v>
      </c>
      <c r="C28" s="324">
        <f>IFERROR(VLOOKUP($A28,Volume!$AC:$AE,2,FALSE),0)</f>
        <v>0</v>
      </c>
      <c r="D28" s="324">
        <f>IFERROR(VLOOKUP($A28,Volume!$AC:$AE,3,FALSE),0)</f>
        <v>0</v>
      </c>
    </row>
    <row r="29" spans="1:4" x14ac:dyDescent="0.5">
      <c r="A29" s="107">
        <v>210035</v>
      </c>
      <c r="C29" s="324">
        <f>IFERROR(VLOOKUP($A29,Volume!$AC:$AE,2,FALSE),0)</f>
        <v>0</v>
      </c>
      <c r="D29" s="324">
        <f>IFERROR(VLOOKUP($A29,Volume!$AC:$AE,3,FALSE),0)</f>
        <v>0</v>
      </c>
    </row>
    <row r="30" spans="1:4" x14ac:dyDescent="0.5">
      <c r="A30" s="107">
        <v>210037</v>
      </c>
      <c r="C30" s="324">
        <f>IFERROR(VLOOKUP($A30,Volume!$AC:$AE,2,FALSE),0)</f>
        <v>0</v>
      </c>
      <c r="D30" s="324">
        <f>IFERROR(VLOOKUP($A30,Volume!$AC:$AE,3,FALSE),0)</f>
        <v>0</v>
      </c>
    </row>
    <row r="31" spans="1:4" x14ac:dyDescent="0.5">
      <c r="A31" s="107">
        <v>210038</v>
      </c>
      <c r="C31" s="324">
        <f>IFERROR(VLOOKUP($A31,Volume!$AC:$AE,2,FALSE),0)</f>
        <v>0</v>
      </c>
      <c r="D31" s="324">
        <f>IFERROR(VLOOKUP($A31,Volume!$AC:$AE,3,FALSE),0)</f>
        <v>0</v>
      </c>
    </row>
    <row r="32" spans="1:4" x14ac:dyDescent="0.5">
      <c r="A32" s="107">
        <v>210039</v>
      </c>
      <c r="C32" s="324">
        <f>IFERROR(VLOOKUP($A32,Volume!$AC:$AE,2,FALSE),0)</f>
        <v>0</v>
      </c>
      <c r="D32" s="324">
        <f>IFERROR(VLOOKUP($A32,Volume!$AC:$AE,3,FALSE),0)</f>
        <v>0</v>
      </c>
    </row>
    <row r="33" spans="1:4" x14ac:dyDescent="0.5">
      <c r="A33" s="107">
        <v>210040</v>
      </c>
      <c r="C33" s="324">
        <f>IFERROR(VLOOKUP($A33,Volume!$AC:$AE,2,FALSE),0)</f>
        <v>0</v>
      </c>
      <c r="D33" s="324">
        <f>IFERROR(VLOOKUP($A33,Volume!$AC:$AE,3,FALSE),0)</f>
        <v>0</v>
      </c>
    </row>
    <row r="34" spans="1:4" x14ac:dyDescent="0.5">
      <c r="A34" s="107">
        <v>210043</v>
      </c>
      <c r="C34" s="324">
        <f>IFERROR(VLOOKUP($A34,Volume!$AC:$AE,2,FALSE),0)</f>
        <v>0</v>
      </c>
      <c r="D34" s="324">
        <f>IFERROR(VLOOKUP($A34,Volume!$AC:$AE,3,FALSE),0)</f>
        <v>0</v>
      </c>
    </row>
    <row r="35" spans="1:4" x14ac:dyDescent="0.5">
      <c r="A35" s="107">
        <v>210044</v>
      </c>
      <c r="C35" s="324">
        <f>IFERROR(VLOOKUP($A35,Volume!$AC:$AE,2,FALSE),0)</f>
        <v>0</v>
      </c>
      <c r="D35" s="324">
        <f>IFERROR(VLOOKUP($A35,Volume!$AC:$AE,3,FALSE),0)</f>
        <v>0</v>
      </c>
    </row>
    <row r="36" spans="1:4" x14ac:dyDescent="0.5">
      <c r="A36" s="107">
        <v>210045</v>
      </c>
      <c r="C36" s="324">
        <f>IFERROR(VLOOKUP($A36,Volume!$AC:$AE,2,FALSE),0)</f>
        <v>0</v>
      </c>
      <c r="D36" s="324">
        <f>IFERROR(VLOOKUP($A36,Volume!$AC:$AE,3,FALSE),0)</f>
        <v>0</v>
      </c>
    </row>
    <row r="37" spans="1:4" x14ac:dyDescent="0.5">
      <c r="A37" s="107">
        <v>210048</v>
      </c>
      <c r="C37" s="324">
        <f>IFERROR(VLOOKUP($A37,Volume!$AC:$AE,2,FALSE),0)</f>
        <v>0</v>
      </c>
      <c r="D37" s="324">
        <f>IFERROR(VLOOKUP($A37,Volume!$AC:$AE,3,FALSE),0)</f>
        <v>0</v>
      </c>
    </row>
    <row r="38" spans="1:4" x14ac:dyDescent="0.5">
      <c r="A38" s="107">
        <v>210049</v>
      </c>
      <c r="C38" s="324">
        <f>IFERROR(VLOOKUP($A38,Volume!$AC:$AE,2,FALSE),0)</f>
        <v>0</v>
      </c>
      <c r="D38" s="324">
        <f>IFERROR(VLOOKUP($A38,Volume!$AC:$AE,3,FALSE),0)</f>
        <v>0</v>
      </c>
    </row>
    <row r="39" spans="1:4" x14ac:dyDescent="0.5">
      <c r="A39" s="107">
        <v>210051</v>
      </c>
      <c r="C39" s="324">
        <f>IFERROR(VLOOKUP($A39,Volume!$AC:$AE,2,FALSE),0)</f>
        <v>0</v>
      </c>
      <c r="D39" s="324">
        <f>IFERROR(VLOOKUP($A39,Volume!$AC:$AE,3,FALSE),0)</f>
        <v>0</v>
      </c>
    </row>
    <row r="40" spans="1:4" x14ac:dyDescent="0.5">
      <c r="A40" s="107">
        <v>210055</v>
      </c>
      <c r="C40" s="324">
        <f>IFERROR(VLOOKUP($A40,Volume!$AC:$AE,2,FALSE),0)</f>
        <v>0</v>
      </c>
      <c r="D40" s="324">
        <f>IFERROR(VLOOKUP($A40,Volume!$AC:$AE,3,FALSE),0)</f>
        <v>0</v>
      </c>
    </row>
    <row r="41" spans="1:4" x14ac:dyDescent="0.5">
      <c r="A41" s="107">
        <v>210056</v>
      </c>
      <c r="C41" s="324">
        <f>IFERROR(VLOOKUP($A41,Volume!$AC:$AE,2,FALSE),0)</f>
        <v>0</v>
      </c>
      <c r="D41" s="324">
        <f>IFERROR(VLOOKUP($A41,Volume!$AC:$AE,3,FALSE),0)</f>
        <v>0</v>
      </c>
    </row>
    <row r="42" spans="1:4" x14ac:dyDescent="0.5">
      <c r="A42" s="107">
        <v>210057</v>
      </c>
      <c r="C42" s="324">
        <f>IFERROR(VLOOKUP($A42,Volume!$AC:$AE,2,FALSE),0)</f>
        <v>0</v>
      </c>
      <c r="D42" s="324">
        <f>IFERROR(VLOOKUP($A42,Volume!$AC:$AE,3,FALSE),0)</f>
        <v>0</v>
      </c>
    </row>
    <row r="43" spans="1:4" x14ac:dyDescent="0.5">
      <c r="A43" s="107">
        <v>210058</v>
      </c>
      <c r="C43" s="324">
        <f>IFERROR(VLOOKUP($A43,Volume!$AC:$AE,2,FALSE),0)</f>
        <v>0</v>
      </c>
      <c r="D43" s="324">
        <f>IFERROR(VLOOKUP($A43,Volume!$AC:$AE,3,FALSE),0)</f>
        <v>0</v>
      </c>
    </row>
    <row r="44" spans="1:4" x14ac:dyDescent="0.5">
      <c r="A44" s="107">
        <v>210060</v>
      </c>
      <c r="C44" s="324">
        <f>IFERROR(VLOOKUP($A44,Volume!$AC:$AE,2,FALSE),0)</f>
        <v>0</v>
      </c>
      <c r="D44" s="324">
        <f>IFERROR(VLOOKUP($A44,Volume!$AC:$AE,3,FALSE),0)</f>
        <v>0</v>
      </c>
    </row>
    <row r="45" spans="1:4" x14ac:dyDescent="0.5">
      <c r="A45" s="107">
        <v>210061</v>
      </c>
      <c r="C45" s="324">
        <f>IFERROR(VLOOKUP($A45,Volume!$AC:$AE,2,FALSE),0)</f>
        <v>0</v>
      </c>
      <c r="D45" s="324">
        <f>IFERROR(VLOOKUP($A45,Volume!$AC:$AE,3,FALSE),0)</f>
        <v>0</v>
      </c>
    </row>
    <row r="46" spans="1:4" x14ac:dyDescent="0.5">
      <c r="A46" s="107">
        <v>210062</v>
      </c>
      <c r="C46" s="324">
        <f>IFERROR(VLOOKUP($A46,Volume!$AC:$AE,2,FALSE),0)</f>
        <v>0</v>
      </c>
      <c r="D46" s="324">
        <f>IFERROR(VLOOKUP($A46,Volume!$AC:$AE,3,FALSE),0)</f>
        <v>0</v>
      </c>
    </row>
    <row r="47" spans="1:4" x14ac:dyDescent="0.5">
      <c r="A47" s="107">
        <v>210063</v>
      </c>
      <c r="C47" s="324">
        <f>IFERROR(VLOOKUP($A47,Volume!$AC:$AE,2,FALSE),0)</f>
        <v>0</v>
      </c>
      <c r="D47" s="324">
        <f>IFERROR(VLOOKUP($A47,Volume!$AC:$AE,3,FALSE),0)</f>
        <v>0</v>
      </c>
    </row>
    <row r="48" spans="1:4" x14ac:dyDescent="0.5">
      <c r="A48" s="107">
        <v>210065</v>
      </c>
      <c r="C48" s="324">
        <f>IFERROR(VLOOKUP($A48,Volume!$AC:$AE,2,FALSE),0)</f>
        <v>0</v>
      </c>
      <c r="D48" s="324">
        <f>IFERROR(VLOOKUP($A48,Volume!$AC:$AE,3,FALSE),0)</f>
        <v>0</v>
      </c>
    </row>
    <row r="49" spans="1:4" x14ac:dyDescent="0.5">
      <c r="A49" s="107">
        <v>218992</v>
      </c>
      <c r="B49" s="323" t="s">
        <v>360</v>
      </c>
      <c r="C49" s="324">
        <f>IFERROR(VLOOKUP($A49,Volume!$AC:$AE,2,FALSE),0)</f>
        <v>0</v>
      </c>
      <c r="D49" s="324">
        <f>IFERROR(VLOOKUP($A49,Volume!$AC:$AE,3,FALSE),0)</f>
        <v>0</v>
      </c>
    </row>
    <row r="51" spans="1:4" x14ac:dyDescent="0.5">
      <c r="A51" s="323" t="s">
        <v>302</v>
      </c>
      <c r="B51" s="325"/>
      <c r="C51" s="324">
        <f>SUM(C3:C49)</f>
        <v>20448.709661000004</v>
      </c>
      <c r="D51" s="324">
        <f>SUM(D3:D49)</f>
        <v>613261685.09000003</v>
      </c>
    </row>
    <row r="52" spans="1:4" ht="18.3" x14ac:dyDescent="0.7">
      <c r="A52" s="267"/>
    </row>
  </sheetData>
  <sheetCalcPr fullCalcOnLoa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G76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3" sqref="H3:H54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17.68359375" style="11" customWidth="1"/>
    <col min="5" max="7" width="17.68359375" style="11" hidden="1" customWidth="1"/>
    <col min="8" max="8" width="17.68359375" style="11" customWidth="1"/>
    <col min="9" max="9" width="18.15625" style="10" bestFit="1" customWidth="1"/>
    <col min="10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bestFit="1" customWidth="1"/>
    <col min="28" max="28" width="17" style="10" customWidth="1"/>
    <col min="29" max="29" width="17.68359375" style="10" bestFit="1" customWidth="1"/>
    <col min="30" max="30" width="18" style="10" customWidth="1"/>
    <col min="31" max="31" width="12.41796875" style="10" hidden="1" customWidth="1"/>
    <col min="32" max="32" width="12.41796875" style="10"/>
    <col min="33" max="33" width="30.68359375" style="10" bestFit="1" customWidth="1"/>
    <col min="34" max="16384" width="12.41796875" style="10"/>
  </cols>
  <sheetData>
    <row r="1" spans="1:33" ht="46.5" x14ac:dyDescent="1.5">
      <c r="A1" s="56" t="s">
        <v>496</v>
      </c>
      <c r="B1" s="55"/>
      <c r="C1" s="55"/>
      <c r="D1" s="50"/>
      <c r="E1" s="50"/>
      <c r="F1" s="50"/>
      <c r="G1" s="50"/>
      <c r="H1" s="50"/>
      <c r="I1" s="55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</row>
    <row r="2" spans="1:33" ht="87" x14ac:dyDescent="0.55000000000000004">
      <c r="A2" s="48" t="s">
        <v>106</v>
      </c>
      <c r="B2" s="47" t="s">
        <v>105</v>
      </c>
      <c r="C2" s="47" t="s">
        <v>104</v>
      </c>
      <c r="D2" s="40" t="s">
        <v>470</v>
      </c>
      <c r="E2" s="287" t="s">
        <v>174</v>
      </c>
      <c r="F2" s="40" t="s">
        <v>173</v>
      </c>
      <c r="G2" s="40" t="s">
        <v>172</v>
      </c>
      <c r="H2" s="40" t="s">
        <v>171</v>
      </c>
      <c r="I2" s="41" t="s">
        <v>92</v>
      </c>
      <c r="J2" s="40" t="s">
        <v>170</v>
      </c>
      <c r="K2" s="40" t="s">
        <v>169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</row>
    <row r="3" spans="1:33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IF(C3=1,'Rate Application - REM Cycle I'!$X$65,IF(C3=3,'Rate Application - REM Cycle I'!$X$66,IF(C3=4,'Rate Application - REM Cycle I'!$X$67,IF(C3=5,'Rate Application - REM Cycle I'!$X$68,0))))</f>
        <v>14752.82215273459</v>
      </c>
      <c r="E3" s="87">
        <v>0</v>
      </c>
      <c r="F3" s="87">
        <v>0</v>
      </c>
      <c r="G3" s="87">
        <v>0</v>
      </c>
      <c r="H3" s="87">
        <f>D3*(1-PROFIT!$H$58)</f>
        <v>14702.345540121258</v>
      </c>
      <c r="I3" s="65">
        <f>VLOOKUP(A3,'Rate Application - REM Cycle I'!$1:$65535,15,FALSE)</f>
        <v>29234.020255178955</v>
      </c>
      <c r="J3" s="19">
        <f>VLOOKUP(A3,'Rate Application - REM Cycle I'!$1:$65535,20,FALSE)</f>
        <v>81.226447456567413</v>
      </c>
      <c r="K3" s="11">
        <f t="shared" ref="K3:K54" si="0">+H3+J3</f>
        <v>14783.571987577825</v>
      </c>
      <c r="L3" s="11">
        <f t="shared" ref="L3:L54" si="1">K3*I3</f>
        <v>432183242.92874634</v>
      </c>
      <c r="M3" s="36">
        <f>VLOOKUP(A3,'Variable Input'!$1:$1048576,23,FALSE)</f>
        <v>0.99671861092415948</v>
      </c>
      <c r="N3" s="22">
        <f t="shared" ref="N3:N54" si="2">L3*M3</f>
        <v>430765081.5566386</v>
      </c>
      <c r="O3" s="19">
        <f t="shared" ref="O3:O54" si="3">IFERROR(N3/I3,0)</f>
        <v>14735.061335955885</v>
      </c>
      <c r="P3" s="18">
        <f>VLOOKUP(A3,'Rate Application - REM Cycle I'!$1:$65535,11,FALSE)</f>
        <v>6625379.0220225165</v>
      </c>
      <c r="Q3" s="18">
        <f t="shared" ref="Q3:Q54" si="4">N3+P3</f>
        <v>437390460.57866114</v>
      </c>
      <c r="R3" s="19">
        <f t="shared" ref="R3:R54" si="5">IFERROR(Q3/I3,0)</f>
        <v>14961.693833443083</v>
      </c>
      <c r="S3" s="81">
        <f>VLOOKUP(A3,'Rate Application - REM Cycle I'!$1:$65535,9,FALSE)</f>
        <v>1.1196537153887776</v>
      </c>
      <c r="T3" s="19">
        <f t="shared" ref="T3:T54" si="6">Q3*S3</f>
        <v>489725854.2625066</v>
      </c>
      <c r="U3" s="22">
        <f t="shared" ref="U3:U54" si="7">IFERROR(T3/I3,0)</f>
        <v>16751.916089123908</v>
      </c>
      <c r="V3" s="88">
        <f>IFERROR(VLOOKUP(A4,'PAU Volume'!AX:AZ,3,FALSE)-VLOOKUP(A4,'PAU Volume'!#REF!,4,FALSE)+VLOOKUP(A4,'PAU Volume'!#REF!,2,FALSE),0)*0</f>
        <v>0</v>
      </c>
      <c r="W3" s="79">
        <f t="shared" ref="W3:W54" si="8">I3+V3</f>
        <v>29234.020255178955</v>
      </c>
      <c r="X3" s="15">
        <f t="shared" ref="X3:X54" si="9">W3*U3</f>
        <v>489725854.26250654</v>
      </c>
      <c r="Y3" s="11">
        <f>VLOOKUP(A3,'Rate Application - REM Cycle I'!$1:$65535,7,FALSE)</f>
        <v>409229772.57070911</v>
      </c>
      <c r="Z3" s="78">
        <f t="shared" ref="Z3:Z54" si="10">IFERROR(X3/Y3-1," ")</f>
        <v>0.19670143055852285</v>
      </c>
      <c r="AA3" s="82">
        <f>IFERROR(VLOOKUP(A3,'GBR Revenue for ICC'!#REF!,17,FALSE),0)</f>
        <v>0</v>
      </c>
      <c r="AB3" s="82">
        <f t="shared" ref="AB3:AB54" si="11">IFERROR(AA3*(1+Z3),0)</f>
        <v>0</v>
      </c>
      <c r="AC3" s="11">
        <f t="shared" ref="AC3:AC54" si="12">Y3+AA3</f>
        <v>409229772.57070911</v>
      </c>
      <c r="AD3" s="11">
        <f t="shared" ref="AD3:AD54" si="13">X3+AB3</f>
        <v>489725854.26250654</v>
      </c>
      <c r="AE3" s="10">
        <v>1</v>
      </c>
      <c r="AG3" s="271"/>
    </row>
    <row r="4" spans="1:33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IF(C4=1,'Rate Application - REM Cycle I'!$X$65,IF(C4=3,'Rate Application - REM Cycle I'!$X$66,IF(C4=4,'Rate Application - REM Cycle I'!$X$67,IF(C4=5,'Rate Application - REM Cycle I'!$X$68,0))))</f>
        <v>16863.368236533166</v>
      </c>
      <c r="E4" s="87">
        <v>0</v>
      </c>
      <c r="F4" s="87">
        <v>0</v>
      </c>
      <c r="G4" s="87">
        <v>0</v>
      </c>
      <c r="H4" s="87">
        <f>D4*(1-PROFIT!$H$58)</f>
        <v>16805.670414582964</v>
      </c>
      <c r="I4" s="65">
        <f>VLOOKUP(A4,'Rate Application - REM Cycle I'!$1:$65535,15,FALSE)</f>
        <v>53406.112545307114</v>
      </c>
      <c r="J4" s="19">
        <f>VLOOKUP(A4,'Rate Application - REM Cycle I'!$1:$65535,20,FALSE)</f>
        <v>2904.7925350190649</v>
      </c>
      <c r="K4" s="11">
        <f t="shared" si="0"/>
        <v>19710.462949602028</v>
      </c>
      <c r="L4" s="11">
        <f t="shared" si="1"/>
        <v>1052659202.6065519</v>
      </c>
      <c r="M4" s="36">
        <f>VLOOKUP(A4,'Variable Input'!$1:$1048576,23,FALSE)</f>
        <v>0.99671861092415948</v>
      </c>
      <c r="N4" s="22">
        <f t="shared" si="2"/>
        <v>1049205018.1985358</v>
      </c>
      <c r="O4" s="19">
        <f t="shared" si="3"/>
        <v>19645.785251799443</v>
      </c>
      <c r="P4" s="18">
        <f>VLOOKUP(A4,'Rate Application - REM Cycle I'!$1:$65535,11,FALSE)</f>
        <v>59584704.514455065</v>
      </c>
      <c r="Q4" s="18">
        <f t="shared" si="4"/>
        <v>1108789722.7129908</v>
      </c>
      <c r="R4" s="19">
        <f t="shared" si="5"/>
        <v>20761.475978472467</v>
      </c>
      <c r="S4" s="81">
        <f>VLOOKUP(A4,'Rate Application - REM Cycle I'!$1:$65535,9,FALSE)</f>
        <v>1.1149630516096494</v>
      </c>
      <c r="T4" s="19">
        <f t="shared" si="6"/>
        <v>1236259572.829493</v>
      </c>
      <c r="U4" s="22">
        <f t="shared" si="7"/>
        <v>23148.278612878094</v>
      </c>
      <c r="V4" s="88">
        <f>IFERROR(VLOOKUP(A5,'PAU Volume'!AX:AZ,3,FALSE)-VLOOKUP(A5,'PAU Volume'!#REF!,4,FALSE)+VLOOKUP(A5,'PAU Volume'!#REF!,2,FALSE),0)*0</f>
        <v>0</v>
      </c>
      <c r="W4" s="79">
        <f t="shared" si="8"/>
        <v>53406.112545307114</v>
      </c>
      <c r="X4" s="15">
        <f t="shared" si="9"/>
        <v>1236259572.829493</v>
      </c>
      <c r="Y4" s="11">
        <f>VLOOKUP(A4,'Rate Application - REM Cycle I'!$1:$65535,7,FALSE)</f>
        <v>1331249266.2329757</v>
      </c>
      <c r="Z4" s="78">
        <f t="shared" si="10"/>
        <v>-7.1353799632336457E-2</v>
      </c>
      <c r="AA4" s="82">
        <f>IFERROR(VLOOKUP(A4,'GBR Revenue for ICC'!#REF!,17,FALSE),0)</f>
        <v>0</v>
      </c>
      <c r="AB4" s="82">
        <f t="shared" si="11"/>
        <v>0</v>
      </c>
      <c r="AC4" s="11">
        <f t="shared" si="12"/>
        <v>1331249266.2329757</v>
      </c>
      <c r="AD4" s="11">
        <f t="shared" si="13"/>
        <v>1236259572.829493</v>
      </c>
      <c r="AE4" s="10">
        <v>1</v>
      </c>
      <c r="AG4" s="271"/>
    </row>
    <row r="5" spans="1:33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IF(C5=1,'Rate Application - REM Cycle I'!$X$65,IF(C5=3,'Rate Application - REM Cycle I'!$X$66,IF(C5=4,'Rate Application - REM Cycle I'!$X$67,IF(C5=5,'Rate Application - REM Cycle I'!$X$68,0))))</f>
        <v>14752.82215273459</v>
      </c>
      <c r="E5" s="87">
        <v>0</v>
      </c>
      <c r="F5" s="87">
        <v>0</v>
      </c>
      <c r="G5" s="87">
        <v>0</v>
      </c>
      <c r="H5" s="87">
        <f>D5*(1-PROFIT!$H$58)</f>
        <v>14702.345540121258</v>
      </c>
      <c r="I5" s="65">
        <f>VLOOKUP(A5,'Rate Application - REM Cycle I'!$1:$65535,15,FALSE)</f>
        <v>16622.361523679996</v>
      </c>
      <c r="J5" s="19">
        <f>VLOOKUP(A5,'Rate Application - REM Cycle I'!$1:$65535,20,FALSE)</f>
        <v>380.94476637289404</v>
      </c>
      <c r="K5" s="11">
        <f t="shared" si="0"/>
        <v>15083.290306494151</v>
      </c>
      <c r="L5" s="11">
        <f t="shared" si="1"/>
        <v>250719904.44116384</v>
      </c>
      <c r="M5" s="36">
        <f>VLOOKUP(A5,'Variable Input'!$1:$1048576,23,FALSE)</f>
        <v>1.0181752931904677</v>
      </c>
      <c r="N5" s="22">
        <f t="shared" si="2"/>
        <v>255276812.21306804</v>
      </c>
      <c r="O5" s="19">
        <f t="shared" si="3"/>
        <v>15357.433530091623</v>
      </c>
      <c r="P5" s="18">
        <f>VLOOKUP(A5,'Rate Application - REM Cycle I'!$1:$65535,11,FALSE)</f>
        <v>10600897.780621644</v>
      </c>
      <c r="Q5" s="18">
        <f t="shared" si="4"/>
        <v>265877709.99368969</v>
      </c>
      <c r="R5" s="19">
        <f t="shared" si="5"/>
        <v>15995.182731101344</v>
      </c>
      <c r="S5" s="81">
        <f>VLOOKUP(A5,'Rate Application - REM Cycle I'!$1:$65535,9,FALSE)</f>
        <v>1.1150592197193865</v>
      </c>
      <c r="T5" s="19">
        <f t="shared" si="6"/>
        <v>296469391.84634095</v>
      </c>
      <c r="U5" s="22">
        <f t="shared" si="7"/>
        <v>17835.575975410869</v>
      </c>
      <c r="V5" s="88">
        <f>IFERROR(VLOOKUP(A6,'PAU Volume'!AX:AZ,3,FALSE)-VLOOKUP(A6,'PAU Volume'!#REF!,4,FALSE)+VLOOKUP(A6,'PAU Volume'!#REF!,2,FALSE),0)*0</f>
        <v>0</v>
      </c>
      <c r="W5" s="79">
        <f t="shared" si="8"/>
        <v>16622.361523679996</v>
      </c>
      <c r="X5" s="15">
        <f t="shared" si="9"/>
        <v>296469391.84634095</v>
      </c>
      <c r="Y5" s="11">
        <f>VLOOKUP(A5,'Rate Application - REM Cycle I'!$1:$65535,7,FALSE)</f>
        <v>379598110.09410959</v>
      </c>
      <c r="Z5" s="78">
        <f t="shared" si="10"/>
        <v>-0.2189913912562933</v>
      </c>
      <c r="AA5" s="82">
        <f>IFERROR(VLOOKUP(A5,'GBR Revenue for ICC'!#REF!,17,FALSE),0)</f>
        <v>0</v>
      </c>
      <c r="AB5" s="82">
        <f t="shared" si="11"/>
        <v>0</v>
      </c>
      <c r="AC5" s="11">
        <f t="shared" si="12"/>
        <v>379598110.09410959</v>
      </c>
      <c r="AD5" s="11">
        <f t="shared" si="13"/>
        <v>296469391.84634095</v>
      </c>
      <c r="AE5" s="10">
        <v>1</v>
      </c>
      <c r="AG5" s="271"/>
    </row>
    <row r="6" spans="1:33" ht="17.7" x14ac:dyDescent="0.6">
      <c r="A6" s="37">
        <v>210004</v>
      </c>
      <c r="B6" s="26" t="str">
        <f>VLOOKUP(A6,'Variable Input'!$1:$1048576,2,FALSE)</f>
        <v>HOLY CROSS HOSPITAL</v>
      </c>
      <c r="C6" s="31" t="s">
        <v>80</v>
      </c>
      <c r="D6" s="87">
        <f>IF(C6=1,'Rate Application - REM Cycle I'!$X$65,IF(C6=3,'Rate Application - REM Cycle I'!$X$66,IF(C6=4,'Rate Application - REM Cycle I'!$X$67,IF(C6=5,'Rate Application - REM Cycle I'!$X$68,0))))</f>
        <v>0</v>
      </c>
      <c r="E6" s="87">
        <v>0</v>
      </c>
      <c r="F6" s="87">
        <v>0</v>
      </c>
      <c r="G6" s="87">
        <v>0</v>
      </c>
      <c r="H6" s="87">
        <f>D6*(1-PROFIT!$H$58)</f>
        <v>0</v>
      </c>
      <c r="I6" s="65">
        <f>VLOOKUP(A6,'Rate Application - REM Cycle I'!$1:$65535,15,FALSE)</f>
        <v>35389.172988776867</v>
      </c>
      <c r="J6" s="19">
        <f>VLOOKUP(A6,'Rate Application - REM Cycle I'!$1:$65535,20,FALSE)</f>
        <v>70.826647410772608</v>
      </c>
      <c r="K6" s="11">
        <f t="shared" si="0"/>
        <v>70.826647410772608</v>
      </c>
      <c r="L6" s="11">
        <f t="shared" si="1"/>
        <v>2506496.4774349369</v>
      </c>
      <c r="M6" s="36">
        <f>VLOOKUP(A6,'Variable Input'!$1:$1048576,23,FALSE)</f>
        <v>1.0181752931904677</v>
      </c>
      <c r="N6" s="22">
        <f t="shared" si="2"/>
        <v>2552052.7857931913</v>
      </c>
      <c r="O6" s="19">
        <f t="shared" si="3"/>
        <v>72.113942493161275</v>
      </c>
      <c r="P6" s="18">
        <f>VLOOKUP(A6,'Rate Application - REM Cycle I'!$1:$65535,11,FALSE)</f>
        <v>1942313.1270902995</v>
      </c>
      <c r="Q6" s="18">
        <f t="shared" si="4"/>
        <v>4494365.9128834903</v>
      </c>
      <c r="R6" s="19">
        <f t="shared" si="5"/>
        <v>126.9983312214956</v>
      </c>
      <c r="S6" s="81">
        <f>VLOOKUP(A6,'Rate Application - REM Cycle I'!$1:$65535,9,FALSE)</f>
        <v>1.1099846191041804</v>
      </c>
      <c r="T6" s="19">
        <f t="shared" si="6"/>
        <v>4988677.0359267937</v>
      </c>
      <c r="U6" s="22">
        <f t="shared" si="7"/>
        <v>140.96619430775837</v>
      </c>
      <c r="V6" s="88">
        <f>IFERROR(VLOOKUP(A7,'PAU Volume'!AX:AZ,3,FALSE)-VLOOKUP(A7,'PAU Volume'!#REF!,4,FALSE)+VLOOKUP(A7,'PAU Volume'!#REF!,2,FALSE),0)*0</f>
        <v>0</v>
      </c>
      <c r="W6" s="79">
        <f t="shared" si="8"/>
        <v>35389.172988776867</v>
      </c>
      <c r="X6" s="15">
        <f t="shared" si="9"/>
        <v>4988677.0359267937</v>
      </c>
      <c r="Y6" s="11">
        <f>VLOOKUP(A6,'Rate Application - REM Cycle I'!$1:$65535,7,FALSE)</f>
        <v>562162526.23688054</v>
      </c>
      <c r="Z6" s="78">
        <f t="shared" si="10"/>
        <v>-0.9911259167890093</v>
      </c>
      <c r="AA6" s="82">
        <f>IFERROR(VLOOKUP(A6,'GBR Revenue for ICC'!#REF!,17,FALSE),0)</f>
        <v>0</v>
      </c>
      <c r="AB6" s="82">
        <f t="shared" si="11"/>
        <v>0</v>
      </c>
      <c r="AC6" s="11">
        <f t="shared" si="12"/>
        <v>562162526.23688054</v>
      </c>
      <c r="AD6" s="11">
        <f t="shared" si="13"/>
        <v>4988677.0359267937</v>
      </c>
      <c r="AG6" s="271"/>
    </row>
    <row r="7" spans="1:33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IF(C7=1,'Rate Application - REM Cycle I'!$X$65,IF(C7=3,'Rate Application - REM Cycle I'!$X$66,IF(C7=4,'Rate Application - REM Cycle I'!$X$67,IF(C7=5,'Rate Application - REM Cycle I'!$X$68,0))))</f>
        <v>14752.82215273459</v>
      </c>
      <c r="E7" s="87">
        <v>0</v>
      </c>
      <c r="F7" s="87">
        <v>0</v>
      </c>
      <c r="G7" s="87">
        <v>0</v>
      </c>
      <c r="H7" s="87">
        <f>D7*(1-PROFIT!$H$58)</f>
        <v>14702.345540121258</v>
      </c>
      <c r="I7" s="65">
        <f>VLOOKUP(A7,'Rate Application - REM Cycle I'!$1:$65535,15,FALSE)</f>
        <v>24661.79924888902</v>
      </c>
      <c r="J7" s="19">
        <f>VLOOKUP(A7,'Rate Application - REM Cycle I'!$1:$65535,20,FALSE)</f>
        <v>0</v>
      </c>
      <c r="K7" s="11">
        <f t="shared" si="0"/>
        <v>14702.345540121258</v>
      </c>
      <c r="L7" s="11">
        <f t="shared" si="1"/>
        <v>362586294.19826925</v>
      </c>
      <c r="M7" s="36">
        <f>VLOOKUP(A7,'Variable Input'!$1:$1048576,23,FALSE)</f>
        <v>0.99671861092415948</v>
      </c>
      <c r="N7" s="22">
        <f t="shared" si="2"/>
        <v>361396507.49343753</v>
      </c>
      <c r="O7" s="19">
        <f t="shared" si="3"/>
        <v>14654.101424076669</v>
      </c>
      <c r="P7" s="18">
        <f>VLOOKUP(A7,'Rate Application - REM Cycle I'!$1:$65535,11,FALSE)</f>
        <v>424862.32800000021</v>
      </c>
      <c r="Q7" s="18">
        <f t="shared" si="4"/>
        <v>361821369.82143754</v>
      </c>
      <c r="R7" s="19">
        <f t="shared" si="5"/>
        <v>14671.32897198233</v>
      </c>
      <c r="S7" s="81">
        <f>VLOOKUP(A7,'Rate Application - REM Cycle I'!$1:$65535,9,FALSE)</f>
        <v>1.1133096880777904</v>
      </c>
      <c r="T7" s="19">
        <f t="shared" si="6"/>
        <v>402819236.37578344</v>
      </c>
      <c r="U7" s="22">
        <f t="shared" si="7"/>
        <v>16333.732681484296</v>
      </c>
      <c r="V7" s="88">
        <f>IFERROR(VLOOKUP(A8,'PAU Volume'!AX:AZ,3,FALSE)-VLOOKUP(A8,'PAU Volume'!#REF!,4,FALSE)+VLOOKUP(A8,'PAU Volume'!#REF!,2,FALSE),0)*0</f>
        <v>0</v>
      </c>
      <c r="W7" s="79">
        <f t="shared" si="8"/>
        <v>24661.79924888902</v>
      </c>
      <c r="X7" s="15">
        <f t="shared" si="9"/>
        <v>402819236.37578344</v>
      </c>
      <c r="Y7" s="11">
        <f>VLOOKUP(A7,'Rate Application - REM Cycle I'!$1:$65535,7,FALSE)</f>
        <v>403201661.03720772</v>
      </c>
      <c r="Z7" s="78">
        <f t="shared" si="10"/>
        <v>-9.4846995530850631E-4</v>
      </c>
      <c r="AA7" s="82">
        <f>IFERROR(VLOOKUP(A7,'GBR Revenue for ICC'!#REF!,17,FALSE),0)</f>
        <v>0</v>
      </c>
      <c r="AB7" s="82">
        <f t="shared" si="11"/>
        <v>0</v>
      </c>
      <c r="AC7" s="11">
        <f t="shared" si="12"/>
        <v>403201661.03720772</v>
      </c>
      <c r="AD7" s="11">
        <f t="shared" si="13"/>
        <v>402819236.37578344</v>
      </c>
      <c r="AE7" s="10">
        <v>1</v>
      </c>
      <c r="AG7" s="271"/>
    </row>
    <row r="8" spans="1:33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IF(C8=1,'Rate Application - REM Cycle I'!$X$65,IF(C8=3,'Rate Application - REM Cycle I'!$X$66,IF(C8=4,'Rate Application - REM Cycle I'!$X$67,IF(C8=5,'Rate Application - REM Cycle I'!$X$68,0))))</f>
        <v>14752.82215273459</v>
      </c>
      <c r="E8" s="87">
        <v>0</v>
      </c>
      <c r="F8" s="87">
        <v>0</v>
      </c>
      <c r="G8" s="87">
        <v>0</v>
      </c>
      <c r="H8" s="87">
        <f>D8*(1-PROFIT!$H$58)</f>
        <v>14702.345540121258</v>
      </c>
      <c r="I8" s="65">
        <f>VLOOKUP(A8,'Rate Application - REM Cycle I'!$1:$65535,15,FALSE)</f>
        <v>6404.5558703010038</v>
      </c>
      <c r="J8" s="19">
        <f>VLOOKUP(A8,'Rate Application - REM Cycle I'!$1:$65535,20,FALSE)</f>
        <v>0</v>
      </c>
      <c r="K8" s="11">
        <f t="shared" si="0"/>
        <v>14702.345540121258</v>
      </c>
      <c r="L8" s="11">
        <f t="shared" si="1"/>
        <v>94161993.436177388</v>
      </c>
      <c r="M8" s="36">
        <f>VLOOKUP(A8,'Variable Input'!$1:$1048576,23,FALSE)</f>
        <v>0.99671861092415948</v>
      </c>
      <c r="N8" s="22">
        <f t="shared" si="2"/>
        <v>93853011.299556553</v>
      </c>
      <c r="O8" s="19">
        <f t="shared" si="3"/>
        <v>14654.101424076673</v>
      </c>
      <c r="P8" s="18">
        <f>VLOOKUP(A8,'Rate Application - REM Cycle I'!$1:$65535,11,FALSE)</f>
        <v>0</v>
      </c>
      <c r="Q8" s="18">
        <f t="shared" si="4"/>
        <v>93853011.299556553</v>
      </c>
      <c r="R8" s="19">
        <f t="shared" si="5"/>
        <v>14654.101424076673</v>
      </c>
      <c r="S8" s="81">
        <f>VLOOKUP(A8,'Rate Application - REM Cycle I'!$1:$65535,9,FALSE)</f>
        <v>1.1180012832443968</v>
      </c>
      <c r="T8" s="19">
        <f t="shared" si="6"/>
        <v>104927787.0692551</v>
      </c>
      <c r="U8" s="22">
        <f t="shared" si="7"/>
        <v>16383.304196911262</v>
      </c>
      <c r="V8" s="88">
        <f>IFERROR(VLOOKUP(A9,'PAU Volume'!AX:AZ,3,FALSE)-VLOOKUP(A9,'PAU Volume'!#REF!,4,FALSE)+VLOOKUP(A9,'PAU Volume'!#REF!,2,FALSE),0)*0</f>
        <v>0</v>
      </c>
      <c r="W8" s="79">
        <f t="shared" si="8"/>
        <v>6404.5558703010038</v>
      </c>
      <c r="X8" s="15">
        <f t="shared" si="9"/>
        <v>104927787.0692551</v>
      </c>
      <c r="Y8" s="11">
        <f>VLOOKUP(A8,'Rate Application - REM Cycle I'!$1:$65535,7,FALSE)</f>
        <v>115237915.49091636</v>
      </c>
      <c r="Z8" s="78">
        <f t="shared" si="10"/>
        <v>-8.9468196103165032E-2</v>
      </c>
      <c r="AA8" s="82">
        <f>IFERROR(VLOOKUP(A8,'GBR Revenue for ICC'!#REF!,17,FALSE),0)</f>
        <v>0</v>
      </c>
      <c r="AB8" s="82">
        <f t="shared" si="11"/>
        <v>0</v>
      </c>
      <c r="AC8" s="11">
        <f t="shared" si="12"/>
        <v>115237915.49091636</v>
      </c>
      <c r="AD8" s="11">
        <f t="shared" si="13"/>
        <v>104927787.0692551</v>
      </c>
      <c r="AE8" s="10">
        <v>1</v>
      </c>
      <c r="AG8" s="271"/>
    </row>
    <row r="9" spans="1:33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IF(C9=1,'Rate Application - REM Cycle I'!$X$65,IF(C9=3,'Rate Application - REM Cycle I'!$X$66,IF(C9=4,'Rate Application - REM Cycle I'!$X$67,IF(C9=5,'Rate Application - REM Cycle I'!$X$68,0))))</f>
        <v>14752.82215273459</v>
      </c>
      <c r="E9" s="87">
        <v>0</v>
      </c>
      <c r="F9" s="87">
        <v>0</v>
      </c>
      <c r="G9" s="87">
        <v>0</v>
      </c>
      <c r="H9" s="87">
        <f>D9*(1-PROFIT!$H$58)</f>
        <v>14702.345540121258</v>
      </c>
      <c r="I9" s="65">
        <f>VLOOKUP(A9,'Rate Application - REM Cycle I'!$1:$65535,15,FALSE)</f>
        <v>37187.68418079293</v>
      </c>
      <c r="J9" s="19">
        <f>VLOOKUP(A9,'Rate Application - REM Cycle I'!$1:$65535,20,FALSE)</f>
        <v>171.73315453928049</v>
      </c>
      <c r="K9" s="11">
        <f t="shared" si="0"/>
        <v>14874.078694660539</v>
      </c>
      <c r="L9" s="11">
        <f t="shared" si="1"/>
        <v>553132540.97729683</v>
      </c>
      <c r="M9" s="36">
        <f>VLOOKUP(A9,'Variable Input'!$1:$1048576,23,FALSE)</f>
        <v>0.99671861092415948</v>
      </c>
      <c r="N9" s="22">
        <f t="shared" si="2"/>
        <v>551317497.89984202</v>
      </c>
      <c r="O9" s="19">
        <f t="shared" si="3"/>
        <v>14825.271055318686</v>
      </c>
      <c r="P9" s="18">
        <f>VLOOKUP(A9,'Rate Application - REM Cycle I'!$1:$65535,11,FALSE)</f>
        <v>5003207.6874727393</v>
      </c>
      <c r="Q9" s="18">
        <f t="shared" si="4"/>
        <v>556320705.58731472</v>
      </c>
      <c r="R9" s="19">
        <f t="shared" si="5"/>
        <v>14959.810427632083</v>
      </c>
      <c r="S9" s="81">
        <f>VLOOKUP(A9,'Rate Application - REM Cycle I'!$1:$65535,9,FALSE)</f>
        <v>1.1102695565875482</v>
      </c>
      <c r="T9" s="19">
        <f t="shared" si="6"/>
        <v>617665943.1128999</v>
      </c>
      <c r="U9" s="22">
        <f t="shared" si="7"/>
        <v>16609.422090120854</v>
      </c>
      <c r="V9" s="88">
        <f>IFERROR(VLOOKUP(A10,'PAU Volume'!AX:AZ,3,FALSE)-VLOOKUP(A10,'PAU Volume'!#REF!,4,FALSE)+VLOOKUP(A10,'PAU Volume'!#REF!,2,FALSE),0)*0</f>
        <v>0</v>
      </c>
      <c r="W9" s="79">
        <f t="shared" si="8"/>
        <v>37187.68418079293</v>
      </c>
      <c r="X9" s="15">
        <f t="shared" si="9"/>
        <v>617665943.1128999</v>
      </c>
      <c r="Y9" s="11">
        <f>VLOOKUP(A9,'Rate Application - REM Cycle I'!$1:$65535,7,FALSE)</f>
        <v>630435213.30233288</v>
      </c>
      <c r="Z9" s="78">
        <f t="shared" si="10"/>
        <v>-2.0254690601029801E-2</v>
      </c>
      <c r="AA9" s="82">
        <f>IFERROR(VLOOKUP(A9,'GBR Revenue for ICC'!#REF!,17,FALSE),0)</f>
        <v>0</v>
      </c>
      <c r="AB9" s="82">
        <f t="shared" si="11"/>
        <v>0</v>
      </c>
      <c r="AC9" s="11">
        <f t="shared" si="12"/>
        <v>630435213.30233288</v>
      </c>
      <c r="AD9" s="11">
        <f t="shared" si="13"/>
        <v>617665943.1128999</v>
      </c>
      <c r="AE9" s="10">
        <v>1</v>
      </c>
      <c r="AG9" s="271"/>
    </row>
    <row r="10" spans="1:33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IF(C10=1,'Rate Application - REM Cycle I'!$X$65,IF(C10=3,'Rate Application - REM Cycle I'!$X$66,IF(C10=4,'Rate Application - REM Cycle I'!$X$67,IF(C10=5,'Rate Application - REM Cycle I'!$X$68,0))))</f>
        <v>16863.368236533166</v>
      </c>
      <c r="E10" s="87">
        <v>0</v>
      </c>
      <c r="F10" s="87">
        <v>0</v>
      </c>
      <c r="G10" s="87">
        <v>0</v>
      </c>
      <c r="H10" s="87">
        <f>D10*(1-PROFIT!$H$58)</f>
        <v>16805.670414582964</v>
      </c>
      <c r="I10" s="65">
        <f>VLOOKUP(A10,'Rate Application - REM Cycle I'!$1:$65535,15,FALSE)</f>
        <v>104111.82276682714</v>
      </c>
      <c r="J10" s="19">
        <f>VLOOKUP(A10,'Rate Application - REM Cycle I'!$1:$65535,20,FALSE)</f>
        <v>2718.743197387912</v>
      </c>
      <c r="K10" s="11">
        <f t="shared" si="0"/>
        <v>19524.413611970878</v>
      </c>
      <c r="L10" s="11">
        <f t="shared" si="1"/>
        <v>2032722289.5957394</v>
      </c>
      <c r="M10" s="36">
        <f>VLOOKUP(A10,'Variable Input'!$1:$1048576,23,FALSE)</f>
        <v>0.99671861092415948</v>
      </c>
      <c r="N10" s="22">
        <f t="shared" si="2"/>
        <v>2026052136.8804424</v>
      </c>
      <c r="O10" s="19">
        <f t="shared" si="3"/>
        <v>19460.346414432363</v>
      </c>
      <c r="P10" s="18">
        <f>VLOOKUP(A10,'Rate Application - REM Cycle I'!$1:$65535,11,FALSE)</f>
        <v>121878078.47076836</v>
      </c>
      <c r="Q10" s="18">
        <f t="shared" si="4"/>
        <v>2147930215.3512106</v>
      </c>
      <c r="R10" s="19">
        <f t="shared" si="5"/>
        <v>20630.992314502051</v>
      </c>
      <c r="S10" s="81">
        <f>VLOOKUP(A10,'Rate Application - REM Cycle I'!$1:$65535,9,FALSE)</f>
        <v>1.106052155233989</v>
      </c>
      <c r="T10" s="19">
        <f t="shared" si="6"/>
        <v>2375722843.9814129</v>
      </c>
      <c r="U10" s="22">
        <f t="shared" si="7"/>
        <v>22818.953514070861</v>
      </c>
      <c r="V10" s="88">
        <f>IFERROR(VLOOKUP(A11,'PAU Volume'!AX:AZ,3,FALSE)-VLOOKUP(A11,'PAU Volume'!#REF!,4,FALSE)+VLOOKUP(A11,'PAU Volume'!#REF!,2,FALSE),0)*0</f>
        <v>0</v>
      </c>
      <c r="W10" s="79">
        <f t="shared" si="8"/>
        <v>104111.82276682714</v>
      </c>
      <c r="X10" s="15">
        <f t="shared" si="9"/>
        <v>2375722843.9814129</v>
      </c>
      <c r="Y10" s="11">
        <f>VLOOKUP(A10,'Rate Application - REM Cycle I'!$1:$65535,7,FALSE)</f>
        <v>2426767253.0622015</v>
      </c>
      <c r="Z10" s="78">
        <f t="shared" si="10"/>
        <v>-2.1033912097000007E-2</v>
      </c>
      <c r="AA10" s="82">
        <f>IFERROR(VLOOKUP(A10,'GBR Revenue for ICC'!#REF!,17,FALSE),0)</f>
        <v>0</v>
      </c>
      <c r="AB10" s="82">
        <f t="shared" si="11"/>
        <v>0</v>
      </c>
      <c r="AC10" s="11">
        <f t="shared" si="12"/>
        <v>2426767253.0622015</v>
      </c>
      <c r="AD10" s="11">
        <f t="shared" si="13"/>
        <v>2375722843.9814129</v>
      </c>
      <c r="AE10" s="10">
        <v>1</v>
      </c>
      <c r="AG10" s="271"/>
    </row>
    <row r="11" spans="1:33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IF(C11=1,'Rate Application - REM Cycle I'!$X$65,IF(C11=3,'Rate Application - REM Cycle I'!$X$66,IF(C11=4,'Rate Application - REM Cycle I'!$X$67,IF(C11=5,'Rate Application - REM Cycle I'!$X$68,0))))</f>
        <v>0</v>
      </c>
      <c r="E11" s="87">
        <v>0</v>
      </c>
      <c r="F11" s="87">
        <v>0</v>
      </c>
      <c r="G11" s="87">
        <v>0</v>
      </c>
      <c r="H11" s="87">
        <f>D11*(1-PROFIT!$H$58)</f>
        <v>0</v>
      </c>
      <c r="I11" s="65">
        <f>VLOOKUP(A11,'Rate Application - REM Cycle I'!$1:$65535,15,FALSE)</f>
        <v>1185.4899110060007</v>
      </c>
      <c r="J11" s="19">
        <f>VLOOKUP(A11,'Rate Application - REM Cycle I'!$1:$65535,20,FALSE)</f>
        <v>0</v>
      </c>
      <c r="K11" s="11">
        <f t="shared" si="0"/>
        <v>0</v>
      </c>
      <c r="L11" s="11">
        <f t="shared" si="1"/>
        <v>0</v>
      </c>
      <c r="M11" s="36">
        <f>VLOOKUP(A11,'Variable Input'!$1:$1048576,23,FALSE)</f>
        <v>0.99671861092415948</v>
      </c>
      <c r="N11" s="22">
        <f t="shared" si="2"/>
        <v>0</v>
      </c>
      <c r="O11" s="19">
        <f t="shared" si="3"/>
        <v>0</v>
      </c>
      <c r="P11" s="18">
        <f>VLOOKUP(A11,'Rate Application - REM Cycle I'!$1:$65535,11,FALSE)</f>
        <v>62612.30027663122</v>
      </c>
      <c r="Q11" s="18">
        <f t="shared" si="4"/>
        <v>62612.30027663122</v>
      </c>
      <c r="R11" s="19">
        <f t="shared" si="5"/>
        <v>52.815548825294293</v>
      </c>
      <c r="S11" s="81">
        <f>VLOOKUP(A11,'Rate Application - REM Cycle I'!$1:$65535,9,FALSE)</f>
        <v>1.1237799950517624</v>
      </c>
      <c r="T11" s="19">
        <f t="shared" si="6"/>
        <v>70362.450495052093</v>
      </c>
      <c r="U11" s="22">
        <f t="shared" si="7"/>
        <v>59.35305719754534</v>
      </c>
      <c r="V11" s="88">
        <f>IFERROR(VLOOKUP(A12,'PAU Volume'!AX:AZ,3,FALSE)-VLOOKUP(A12,'PAU Volume'!#REF!,4,FALSE)+VLOOKUP(A12,'PAU Volume'!#REF!,2,FALSE),0)*0</f>
        <v>0</v>
      </c>
      <c r="W11" s="79">
        <f t="shared" si="8"/>
        <v>1185.4899110060007</v>
      </c>
      <c r="X11" s="15">
        <f t="shared" si="9"/>
        <v>70362.450495052093</v>
      </c>
      <c r="Y11" s="11">
        <f>VLOOKUP(A11,'Rate Application - REM Cycle I'!$1:$65535,7,FALSE)</f>
        <v>13980115.965862775</v>
      </c>
      <c r="Z11" s="78">
        <f t="shared" si="10"/>
        <v>-0.99496696231512916</v>
      </c>
      <c r="AA11" s="82">
        <f>IFERROR(VLOOKUP(A11,'GBR Revenue for ICC'!#REF!,17,FALSE),0)</f>
        <v>0</v>
      </c>
      <c r="AB11" s="82">
        <f t="shared" si="11"/>
        <v>0</v>
      </c>
      <c r="AC11" s="11">
        <f t="shared" si="12"/>
        <v>13980115.965862775</v>
      </c>
      <c r="AD11" s="11">
        <f t="shared" si="13"/>
        <v>70362.450495052093</v>
      </c>
      <c r="AE11" s="10">
        <v>1</v>
      </c>
      <c r="AG11" s="271"/>
    </row>
    <row r="12" spans="1:33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IF(C12=1,'Rate Application - REM Cycle I'!$X$65,IF(C12=3,'Rate Application - REM Cycle I'!$X$66,IF(C12=4,'Rate Application - REM Cycle I'!$X$67,IF(C12=5,'Rate Application - REM Cycle I'!$X$68,0))))</f>
        <v>14752.82215273459</v>
      </c>
      <c r="E12" s="87">
        <v>0</v>
      </c>
      <c r="F12" s="87">
        <v>0</v>
      </c>
      <c r="G12" s="87">
        <v>0</v>
      </c>
      <c r="H12" s="87">
        <f>D12*(1-PROFIT!$H$58)</f>
        <v>14702.345540121258</v>
      </c>
      <c r="I12" s="65">
        <f>VLOOKUP(A12,'Rate Application - REM Cycle I'!$1:$65535,15,FALSE)</f>
        <v>24239.679898120015</v>
      </c>
      <c r="J12" s="19">
        <f>VLOOKUP(A12,'Rate Application - REM Cycle I'!$1:$65535,20,FALSE)</f>
        <v>352.12016602018389</v>
      </c>
      <c r="K12" s="11">
        <f t="shared" si="0"/>
        <v>15054.465706141442</v>
      </c>
      <c r="L12" s="11">
        <f t="shared" si="1"/>
        <v>364915429.75409383</v>
      </c>
      <c r="M12" s="36">
        <f>VLOOKUP(A12,'Variable Input'!$1:$1048576,23,FALSE)</f>
        <v>0.99671861092415948</v>
      </c>
      <c r="N12" s="22">
        <f t="shared" si="2"/>
        <v>363718000.24929309</v>
      </c>
      <c r="O12" s="19">
        <f t="shared" si="3"/>
        <v>15005.066146830692</v>
      </c>
      <c r="P12" s="18">
        <f>VLOOKUP(A12,'Rate Application - REM Cycle I'!$1:$65535,11,FALSE)</f>
        <v>5944161.5154257026</v>
      </c>
      <c r="Q12" s="18">
        <f t="shared" si="4"/>
        <v>369662161.76471877</v>
      </c>
      <c r="R12" s="19">
        <f t="shared" si="5"/>
        <v>15250.290569777248</v>
      </c>
      <c r="S12" s="81">
        <f>VLOOKUP(A12,'Rate Application - REM Cycle I'!$1:$65535,9,FALSE)</f>
        <v>1.1208321340194023</v>
      </c>
      <c r="T12" s="19">
        <f t="shared" si="6"/>
        <v>414329229.63697523</v>
      </c>
      <c r="U12" s="22">
        <f t="shared" si="7"/>
        <v>17093.015723739398</v>
      </c>
      <c r="V12" s="88">
        <f>IFERROR(VLOOKUP(A13,'PAU Volume'!AX:AZ,3,FALSE)-VLOOKUP(A13,'PAU Volume'!#REF!,4,FALSE)+VLOOKUP(A13,'PAU Volume'!#REF!,2,FALSE),0)*0</f>
        <v>0</v>
      </c>
      <c r="W12" s="79">
        <f t="shared" si="8"/>
        <v>24239.679898120015</v>
      </c>
      <c r="X12" s="15">
        <f t="shared" si="9"/>
        <v>414329229.63697523</v>
      </c>
      <c r="Y12" s="11">
        <f>VLOOKUP(A12,'Rate Application - REM Cycle I'!$1:$65535,7,FALSE)</f>
        <v>463292938.08589423</v>
      </c>
      <c r="Z12" s="78">
        <f t="shared" si="10"/>
        <v>-0.10568628274631964</v>
      </c>
      <c r="AA12" s="82">
        <f>IFERROR(VLOOKUP(A12,'GBR Revenue for ICC'!#REF!,17,FALSE),0)</f>
        <v>0</v>
      </c>
      <c r="AB12" s="82">
        <f t="shared" si="11"/>
        <v>0</v>
      </c>
      <c r="AC12" s="11">
        <f t="shared" si="12"/>
        <v>463292938.08589423</v>
      </c>
      <c r="AD12" s="11">
        <f t="shared" si="13"/>
        <v>414329229.63697523</v>
      </c>
      <c r="AE12" s="10">
        <v>1</v>
      </c>
      <c r="AG12" s="271"/>
    </row>
    <row r="13" spans="1:33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IF(C13=1,'Rate Application - REM Cycle I'!$X$65,IF(C13=3,'Rate Application - REM Cycle I'!$X$66,IF(C13=4,'Rate Application - REM Cycle I'!$X$67,IF(C13=5,'Rate Application - REM Cycle I'!$X$68,0))))</f>
        <v>14752.82215273459</v>
      </c>
      <c r="E13" s="87">
        <v>0</v>
      </c>
      <c r="F13" s="87">
        <v>0</v>
      </c>
      <c r="G13" s="87">
        <v>0</v>
      </c>
      <c r="H13" s="87">
        <f>D13*(1-PROFIT!$H$58)</f>
        <v>14702.345540121258</v>
      </c>
      <c r="I13" s="65">
        <f>VLOOKUP(A13,'Rate Application - REM Cycle I'!$1:$65535,15,FALSE)</f>
        <v>39233.431532673072</v>
      </c>
      <c r="J13" s="19">
        <f>VLOOKUP(A13,'Rate Application - REM Cycle I'!$1:$65535,20,FALSE)</f>
        <v>423.6700340006721</v>
      </c>
      <c r="K13" s="11">
        <f t="shared" si="0"/>
        <v>15126.01557412193</v>
      </c>
      <c r="L13" s="11">
        <f t="shared" si="1"/>
        <v>593445496.38945925</v>
      </c>
      <c r="M13" s="36">
        <f>VLOOKUP(A13,'Variable Input'!$1:$1048576,23,FALSE)</f>
        <v>0.99671861092415948</v>
      </c>
      <c r="N13" s="22">
        <f t="shared" si="2"/>
        <v>591498170.82050014</v>
      </c>
      <c r="O13" s="19">
        <f t="shared" si="3"/>
        <v>15076.381231856012</v>
      </c>
      <c r="P13" s="18">
        <f>VLOOKUP(A13,'Rate Application - REM Cycle I'!$1:$65535,11,FALSE)</f>
        <v>20760568.355981968</v>
      </c>
      <c r="Q13" s="18">
        <f t="shared" si="4"/>
        <v>612258739.17648208</v>
      </c>
      <c r="R13" s="19">
        <f t="shared" si="5"/>
        <v>15605.536280113589</v>
      </c>
      <c r="S13" s="81">
        <f>VLOOKUP(A13,'Rate Application - REM Cycle I'!$1:$65535,9,FALSE)</f>
        <v>1.1214469245143464</v>
      </c>
      <c r="T13" s="19">
        <f t="shared" si="6"/>
        <v>686615680.05649722</v>
      </c>
      <c r="U13" s="22">
        <f t="shared" si="7"/>
        <v>17500.780666730436</v>
      </c>
      <c r="V13" s="88">
        <f>IFERROR(VLOOKUP(A14,'PAU Volume'!AX:AZ,3,FALSE)-VLOOKUP(A14,'PAU Volume'!#REF!,4,FALSE)+VLOOKUP(A14,'PAU Volume'!#REF!,2,FALSE),0)*0</f>
        <v>0</v>
      </c>
      <c r="W13" s="79">
        <f t="shared" si="8"/>
        <v>39233.431532673072</v>
      </c>
      <c r="X13" s="15">
        <f t="shared" si="9"/>
        <v>686615680.0564971</v>
      </c>
      <c r="Y13" s="11">
        <f>VLOOKUP(A13,'Rate Application - REM Cycle I'!$1:$65535,7,FALSE)</f>
        <v>853868775.33511937</v>
      </c>
      <c r="Z13" s="78">
        <f t="shared" si="10"/>
        <v>-0.1958768139905106</v>
      </c>
      <c r="AA13" s="82">
        <f>IFERROR(VLOOKUP(A13,'GBR Revenue for ICC'!#REF!,17,FALSE),0)</f>
        <v>0</v>
      </c>
      <c r="AB13" s="82">
        <f t="shared" si="11"/>
        <v>0</v>
      </c>
      <c r="AC13" s="11">
        <f t="shared" si="12"/>
        <v>853868775.33511937</v>
      </c>
      <c r="AD13" s="11">
        <f t="shared" si="13"/>
        <v>686615680.0564971</v>
      </c>
      <c r="AE13" s="10">
        <v>1</v>
      </c>
      <c r="AG13" s="271"/>
    </row>
    <row r="14" spans="1:33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IF(C14=1,'Rate Application - REM Cycle I'!$X$65,IF(C14=3,'Rate Application - REM Cycle I'!$X$66,IF(C14=4,'Rate Application - REM Cycle I'!$X$67,IF(C14=5,'Rate Application - REM Cycle I'!$X$68,0))))</f>
        <v>0</v>
      </c>
      <c r="E14" s="87">
        <v>0</v>
      </c>
      <c r="F14" s="87">
        <v>0</v>
      </c>
      <c r="G14" s="87">
        <v>0</v>
      </c>
      <c r="H14" s="87">
        <f>D14*(1-PROFIT!$H$58)</f>
        <v>0</v>
      </c>
      <c r="I14" s="65">
        <f>VLOOKUP(A14,'Rate Application - REM Cycle I'!$1:$65535,15,FALSE)</f>
        <v>1608.5265612699982</v>
      </c>
      <c r="J14" s="19">
        <f>VLOOKUP(A14,'Rate Application - REM Cycle I'!$1:$65535,20,FALSE)</f>
        <v>0</v>
      </c>
      <c r="K14" s="11">
        <f t="shared" si="0"/>
        <v>0</v>
      </c>
      <c r="L14" s="11">
        <f t="shared" si="1"/>
        <v>0</v>
      </c>
      <c r="M14" s="36">
        <f>VLOOKUP(A14,'Variable Input'!$1:$1048576,23,FALSE)</f>
        <v>0.99671861092415948</v>
      </c>
      <c r="N14" s="22">
        <f t="shared" si="2"/>
        <v>0</v>
      </c>
      <c r="O14" s="19">
        <f t="shared" si="3"/>
        <v>0</v>
      </c>
      <c r="P14" s="18">
        <f>VLOOKUP(A14,'Rate Application - REM Cycle I'!$1:$65535,11,FALSE)</f>
        <v>0</v>
      </c>
      <c r="Q14" s="18">
        <f t="shared" si="4"/>
        <v>0</v>
      </c>
      <c r="R14" s="19">
        <f t="shared" si="5"/>
        <v>0</v>
      </c>
      <c r="S14" s="81">
        <f>VLOOKUP(A14,'Rate Application - REM Cycle I'!$1:$65535,9,FALSE)</f>
        <v>1.1357641348932981</v>
      </c>
      <c r="T14" s="19">
        <f t="shared" si="6"/>
        <v>0</v>
      </c>
      <c r="U14" s="22">
        <f t="shared" si="7"/>
        <v>0</v>
      </c>
      <c r="V14" s="88">
        <f>IFERROR(VLOOKUP(A15,'PAU Volume'!AX:AZ,3,FALSE)-VLOOKUP(A15,'PAU Volume'!#REF!,4,FALSE)+VLOOKUP(A15,'PAU Volume'!#REF!,2,FALSE),0)*0</f>
        <v>0</v>
      </c>
      <c r="W14" s="79">
        <f t="shared" si="8"/>
        <v>1608.5265612699982</v>
      </c>
      <c r="X14" s="15">
        <f t="shared" si="9"/>
        <v>0</v>
      </c>
      <c r="Y14" s="11">
        <f>VLOOKUP(A14,'Rate Application - REM Cycle I'!$1:$65535,7,FALSE)</f>
        <v>24727459.158067033</v>
      </c>
      <c r="Z14" s="78">
        <f t="shared" si="10"/>
        <v>-1</v>
      </c>
      <c r="AA14" s="82">
        <f>IFERROR(VLOOKUP(A14,'GBR Revenue for ICC'!#REF!,17,FALSE),0)</f>
        <v>0</v>
      </c>
      <c r="AB14" s="82">
        <f t="shared" si="11"/>
        <v>0</v>
      </c>
      <c r="AC14" s="11">
        <f t="shared" si="12"/>
        <v>24727459.158067033</v>
      </c>
      <c r="AD14" s="11">
        <f t="shared" si="13"/>
        <v>0</v>
      </c>
      <c r="AE14" s="10">
        <v>1</v>
      </c>
      <c r="AG14" s="271"/>
    </row>
    <row r="15" spans="1:33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IF(C15=1,'Rate Application - REM Cycle I'!$X$65,IF(C15=3,'Rate Application - REM Cycle I'!$X$66,IF(C15=4,'Rate Application - REM Cycle I'!$X$67,IF(C15=5,'Rate Application - REM Cycle I'!$X$68,0))))</f>
        <v>14752.82215273459</v>
      </c>
      <c r="E15" s="87">
        <v>0</v>
      </c>
      <c r="F15" s="87">
        <v>0</v>
      </c>
      <c r="G15" s="87">
        <v>0</v>
      </c>
      <c r="H15" s="87">
        <f>D15*(1-PROFIT!$H$58)</f>
        <v>14702.345540121258</v>
      </c>
      <c r="I15" s="65">
        <f>VLOOKUP(A15,'Rate Application - REM Cycle I'!$1:$65535,15,FALSE)</f>
        <v>36896.780287905021</v>
      </c>
      <c r="J15" s="19">
        <f>VLOOKUP(A15,'Rate Application - REM Cycle I'!$1:$65535,20,FALSE)</f>
        <v>278.88145154984312</v>
      </c>
      <c r="K15" s="11">
        <f t="shared" si="0"/>
        <v>14981.226991671101</v>
      </c>
      <c r="L15" s="11">
        <f t="shared" si="1"/>
        <v>552759040.75492096</v>
      </c>
      <c r="M15" s="36">
        <f>VLOOKUP(A15,'Variable Input'!$1:$1048576,23,FALSE)</f>
        <v>0.99671861092415948</v>
      </c>
      <c r="N15" s="22">
        <f t="shared" si="2"/>
        <v>550945223.27701569</v>
      </c>
      <c r="O15" s="19">
        <f t="shared" si="3"/>
        <v>14932.067757077946</v>
      </c>
      <c r="P15" s="18">
        <f>VLOOKUP(A15,'Rate Application - REM Cycle I'!$1:$65535,11,FALSE)</f>
        <v>10719878.177063769</v>
      </c>
      <c r="Q15" s="18">
        <f t="shared" si="4"/>
        <v>561665101.45407951</v>
      </c>
      <c r="R15" s="19">
        <f t="shared" si="5"/>
        <v>15222.604711614813</v>
      </c>
      <c r="S15" s="81">
        <f>VLOOKUP(A15,'Rate Application - REM Cycle I'!$1:$65535,9,FALSE)</f>
        <v>1.1215228084765592</v>
      </c>
      <c r="T15" s="19">
        <f t="shared" si="6"/>
        <v>629920222.00605083</v>
      </c>
      <c r="U15" s="22">
        <f t="shared" si="7"/>
        <v>17072.498388498749</v>
      </c>
      <c r="V15" s="88">
        <f>IFERROR(VLOOKUP(A16,'PAU Volume'!AX:AZ,3,FALSE)-VLOOKUP(A16,'PAU Volume'!#REF!,4,FALSE)+VLOOKUP(A16,'PAU Volume'!#REF!,2,FALSE),0)*0</f>
        <v>0</v>
      </c>
      <c r="W15" s="79">
        <f t="shared" si="8"/>
        <v>36896.780287905021</v>
      </c>
      <c r="X15" s="15">
        <f t="shared" si="9"/>
        <v>629920222.00605083</v>
      </c>
      <c r="Y15" s="11">
        <f>VLOOKUP(A15,'Rate Application - REM Cycle I'!$1:$65535,7,FALSE)</f>
        <v>604791227.6741339</v>
      </c>
      <c r="Z15" s="78">
        <f t="shared" si="10"/>
        <v>4.1549865775263317E-2</v>
      </c>
      <c r="AA15" s="82">
        <f>IFERROR(VLOOKUP(A15,'GBR Revenue for ICC'!#REF!,17,FALSE),0)</f>
        <v>0</v>
      </c>
      <c r="AB15" s="82">
        <f t="shared" si="11"/>
        <v>0</v>
      </c>
      <c r="AC15" s="11">
        <f t="shared" si="12"/>
        <v>604791227.6741339</v>
      </c>
      <c r="AD15" s="11">
        <f t="shared" si="13"/>
        <v>629920222.00605083</v>
      </c>
      <c r="AE15" s="10">
        <v>1</v>
      </c>
      <c r="AG15" s="271"/>
    </row>
    <row r="16" spans="1:33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IF(C16=1,'Rate Application - REM Cycle I'!$X$65,IF(C16=3,'Rate Application - REM Cycle I'!$X$66,IF(C16=4,'Rate Application - REM Cycle I'!$X$67,IF(C16=5,'Rate Application - REM Cycle I'!$X$68,0))))</f>
        <v>14752.82215273459</v>
      </c>
      <c r="E16" s="87">
        <v>0</v>
      </c>
      <c r="F16" s="87">
        <v>0</v>
      </c>
      <c r="G16" s="87">
        <v>0</v>
      </c>
      <c r="H16" s="87">
        <f>D16*(1-PROFIT!$H$58)</f>
        <v>14702.345540121258</v>
      </c>
      <c r="I16" s="65">
        <f>VLOOKUP(A16,'Rate Application - REM Cycle I'!$1:$65535,15,FALSE)</f>
        <v>19503.503490301038</v>
      </c>
      <c r="J16" s="19">
        <f>VLOOKUP(A16,'Rate Application - REM Cycle I'!$1:$65535,20,FALSE)</f>
        <v>0</v>
      </c>
      <c r="K16" s="11">
        <f t="shared" si="0"/>
        <v>14702.345540121258</v>
      </c>
      <c r="L16" s="11">
        <f t="shared" si="1"/>
        <v>286747247.55736685</v>
      </c>
      <c r="M16" s="36">
        <f>VLOOKUP(A16,'Variable Input'!$1:$1048576,23,FALSE)</f>
        <v>1.0181752931904677</v>
      </c>
      <c r="N16" s="22">
        <f t="shared" si="2"/>
        <v>291958962.85328162</v>
      </c>
      <c r="O16" s="19">
        <f t="shared" si="3"/>
        <v>14969.564980900526</v>
      </c>
      <c r="P16" s="18">
        <f>VLOOKUP(A16,'Rate Application - REM Cycle I'!$1:$65535,11,FALSE)</f>
        <v>0</v>
      </c>
      <c r="Q16" s="18">
        <f t="shared" si="4"/>
        <v>291958962.85328162</v>
      </c>
      <c r="R16" s="19">
        <f t="shared" si="5"/>
        <v>14969.564980900526</v>
      </c>
      <c r="S16" s="81">
        <f>VLOOKUP(A16,'Rate Application - REM Cycle I'!$1:$65535,9,FALSE)</f>
        <v>1.1206186736274211</v>
      </c>
      <c r="T16" s="19">
        <f t="shared" si="6"/>
        <v>327174665.70628196</v>
      </c>
      <c r="U16" s="22">
        <f t="shared" si="7"/>
        <v>16775.174053676241</v>
      </c>
      <c r="V16" s="88">
        <f>IFERROR(VLOOKUP(A17,'PAU Volume'!AX:AZ,3,FALSE)-VLOOKUP(A17,'PAU Volume'!#REF!,4,FALSE)+VLOOKUP(A17,'PAU Volume'!#REF!,2,FALSE),0)*0</f>
        <v>0</v>
      </c>
      <c r="W16" s="79">
        <f t="shared" si="8"/>
        <v>19503.503490301038</v>
      </c>
      <c r="X16" s="15">
        <f t="shared" si="9"/>
        <v>327174665.70628196</v>
      </c>
      <c r="Y16" s="11">
        <f>VLOOKUP(A16,'Rate Application - REM Cycle I'!$1:$65535,7,FALSE)</f>
        <v>348939116.84586889</v>
      </c>
      <c r="Z16" s="78">
        <f t="shared" si="10"/>
        <v>-6.2373205206456062E-2</v>
      </c>
      <c r="AA16" s="82">
        <f>IFERROR(VLOOKUP(A16,'GBR Revenue for ICC'!#REF!,17,FALSE),0)</f>
        <v>0</v>
      </c>
      <c r="AB16" s="82">
        <f t="shared" si="11"/>
        <v>0</v>
      </c>
      <c r="AC16" s="11">
        <f t="shared" si="12"/>
        <v>348939116.84586889</v>
      </c>
      <c r="AD16" s="11">
        <f t="shared" si="13"/>
        <v>327174665.70628196</v>
      </c>
      <c r="AE16" s="10">
        <v>1</v>
      </c>
      <c r="AG16" s="271"/>
    </row>
    <row r="17" spans="1:33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IF(C17=1,'Rate Application - REM Cycle I'!$X$65,IF(C17=3,'Rate Application - REM Cycle I'!$X$66,IF(C17=4,'Rate Application - REM Cycle I'!$X$67,IF(C17=5,'Rate Application - REM Cycle I'!$X$68,0))))</f>
        <v>14752.82215273459</v>
      </c>
      <c r="E17" s="87">
        <v>0</v>
      </c>
      <c r="F17" s="87">
        <v>0</v>
      </c>
      <c r="G17" s="87">
        <v>0</v>
      </c>
      <c r="H17" s="87">
        <f>D17*(1-PROFIT!$H$58)</f>
        <v>14702.345540121258</v>
      </c>
      <c r="I17" s="65">
        <f>VLOOKUP(A17,'Rate Application - REM Cycle I'!$1:$65535,15,FALSE)</f>
        <v>5661.7590092090077</v>
      </c>
      <c r="J17" s="19">
        <f>VLOOKUP(A17,'Rate Application - REM Cycle I'!$1:$65535,20,FALSE)</f>
        <v>0</v>
      </c>
      <c r="K17" s="11">
        <f t="shared" si="0"/>
        <v>14702.345540121258</v>
      </c>
      <c r="L17" s="11">
        <f t="shared" si="1"/>
        <v>83241137.318285406</v>
      </c>
      <c r="M17" s="36">
        <f>VLOOKUP(A17,'Variable Input'!$1:$1048576,23,FALSE)</f>
        <v>0.99671861092415948</v>
      </c>
      <c r="N17" s="22">
        <f t="shared" si="2"/>
        <v>82967990.759628639</v>
      </c>
      <c r="O17" s="19">
        <f t="shared" si="3"/>
        <v>14654.101424076671</v>
      </c>
      <c r="P17" s="18">
        <f>VLOOKUP(A17,'Rate Application - REM Cycle I'!$1:$65535,11,FALSE)</f>
        <v>0</v>
      </c>
      <c r="Q17" s="18">
        <f t="shared" si="4"/>
        <v>82967990.759628639</v>
      </c>
      <c r="R17" s="19">
        <f t="shared" si="5"/>
        <v>14654.101424076671</v>
      </c>
      <c r="S17" s="81">
        <f>VLOOKUP(A17,'Rate Application - REM Cycle I'!$1:$65535,9,FALSE)</f>
        <v>1.1207568789217148</v>
      </c>
      <c r="T17" s="19">
        <f t="shared" si="6"/>
        <v>92986946.37416707</v>
      </c>
      <c r="U17" s="22">
        <f t="shared" si="7"/>
        <v>16423.684975450426</v>
      </c>
      <c r="V17" s="88">
        <f>IFERROR(VLOOKUP(A18,'PAU Volume'!AX:AZ,3,FALSE)-VLOOKUP(A18,'PAU Volume'!#REF!,4,FALSE)+VLOOKUP(A18,'PAU Volume'!#REF!,2,FALSE),0)*0</f>
        <v>0</v>
      </c>
      <c r="W17" s="79">
        <f t="shared" si="8"/>
        <v>5661.7590092090077</v>
      </c>
      <c r="X17" s="15">
        <f t="shared" si="9"/>
        <v>92986946.37416707</v>
      </c>
      <c r="Y17" s="11">
        <f>VLOOKUP(A17,'Rate Application - REM Cycle I'!$1:$65535,7,FALSE)</f>
        <v>73641018.606041223</v>
      </c>
      <c r="Z17" s="78">
        <f t="shared" si="10"/>
        <v>0.26270586874444435</v>
      </c>
      <c r="AA17" s="82">
        <f>IFERROR(VLOOKUP(A17,'GBR Revenue for ICC'!#REF!,17,FALSE),0)</f>
        <v>0</v>
      </c>
      <c r="AB17" s="82">
        <f t="shared" si="11"/>
        <v>0</v>
      </c>
      <c r="AC17" s="11">
        <f t="shared" si="12"/>
        <v>73641018.606041223</v>
      </c>
      <c r="AD17" s="11">
        <f t="shared" si="13"/>
        <v>92986946.37416707</v>
      </c>
      <c r="AE17" s="10">
        <v>1</v>
      </c>
      <c r="AG17" s="271"/>
    </row>
    <row r="18" spans="1:33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IF(C18=1,'Rate Application - REM Cycle I'!$X$65,IF(C18=3,'Rate Application - REM Cycle I'!$X$66,IF(C18=4,'Rate Application - REM Cycle I'!$X$67,IF(C18=5,'Rate Application - REM Cycle I'!$X$68,0))))</f>
        <v>14752.82215273459</v>
      </c>
      <c r="E18" s="87">
        <v>0</v>
      </c>
      <c r="F18" s="87">
        <v>0</v>
      </c>
      <c r="G18" s="87">
        <v>0</v>
      </c>
      <c r="H18" s="87">
        <f>D18*(1-PROFIT!$H$58)</f>
        <v>14702.345540121258</v>
      </c>
      <c r="I18" s="65">
        <f>VLOOKUP(A18,'Rate Application - REM Cycle I'!$1:$65535,15,FALSE)</f>
        <v>11828.629976083985</v>
      </c>
      <c r="J18" s="19">
        <f>VLOOKUP(A18,'Rate Application - REM Cycle I'!$1:$65535,20,FALSE)</f>
        <v>0</v>
      </c>
      <c r="K18" s="11">
        <f t="shared" si="0"/>
        <v>14702.345540121258</v>
      </c>
      <c r="L18" s="11">
        <f t="shared" si="1"/>
        <v>173908605.17462298</v>
      </c>
      <c r="M18" s="36">
        <f>VLOOKUP(A18,'Variable Input'!$1:$1048576,23,FALSE)</f>
        <v>1.0181752931904677</v>
      </c>
      <c r="N18" s="22">
        <f t="shared" si="2"/>
        <v>177069445.06201705</v>
      </c>
      <c r="O18" s="19">
        <f t="shared" si="3"/>
        <v>14969.564980900526</v>
      </c>
      <c r="P18" s="18">
        <f>VLOOKUP(A18,'Rate Application - REM Cycle I'!$1:$65535,11,FALSE)</f>
        <v>0</v>
      </c>
      <c r="Q18" s="18">
        <f t="shared" si="4"/>
        <v>177069445.06201705</v>
      </c>
      <c r="R18" s="19">
        <f t="shared" si="5"/>
        <v>14969.564980900526</v>
      </c>
      <c r="S18" s="81">
        <f>VLOOKUP(A18,'Rate Application - REM Cycle I'!$1:$65535,9,FALSE)</f>
        <v>1.1159266108518389</v>
      </c>
      <c r="T18" s="19">
        <f t="shared" si="6"/>
        <v>197596505.71347257</v>
      </c>
      <c r="U18" s="22">
        <f t="shared" si="7"/>
        <v>16704.935915062699</v>
      </c>
      <c r="V18" s="88">
        <f>IFERROR(VLOOKUP(A19,'PAU Volume'!AX:AZ,3,FALSE)-VLOOKUP(A19,'PAU Volume'!#REF!,4,FALSE)+VLOOKUP(A19,'PAU Volume'!#REF!,2,FALSE),0)*0</f>
        <v>0</v>
      </c>
      <c r="W18" s="79">
        <f t="shared" si="8"/>
        <v>11828.629976083985</v>
      </c>
      <c r="X18" s="15">
        <f t="shared" si="9"/>
        <v>197596505.71347257</v>
      </c>
      <c r="Y18" s="11">
        <f>VLOOKUP(A18,'Rate Application - REM Cycle I'!$1:$65535,7,FALSE)</f>
        <v>196654013.68149054</v>
      </c>
      <c r="Z18" s="78">
        <f t="shared" si="10"/>
        <v>4.7926407111553715E-3</v>
      </c>
      <c r="AA18" s="82">
        <f>IFERROR(VLOOKUP(A18,'GBR Revenue for ICC'!#REF!,17,FALSE),0)</f>
        <v>0</v>
      </c>
      <c r="AB18" s="82">
        <f t="shared" si="11"/>
        <v>0</v>
      </c>
      <c r="AC18" s="11">
        <f t="shared" si="12"/>
        <v>196654013.68149054</v>
      </c>
      <c r="AD18" s="11">
        <f t="shared" si="13"/>
        <v>197596505.71347257</v>
      </c>
      <c r="AE18" s="10">
        <v>1</v>
      </c>
      <c r="AG18" s="271"/>
    </row>
    <row r="19" spans="1:33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IF(C19=1,'Rate Application - REM Cycle I'!$X$65,IF(C19=3,'Rate Application - REM Cycle I'!$X$66,IF(C19=4,'Rate Application - REM Cycle I'!$X$67,IF(C19=5,'Rate Application - REM Cycle I'!$X$68,0))))</f>
        <v>14752.82215273459</v>
      </c>
      <c r="E19" s="87">
        <v>0</v>
      </c>
      <c r="F19" s="87">
        <v>0</v>
      </c>
      <c r="G19" s="87">
        <v>0</v>
      </c>
      <c r="H19" s="87">
        <f>D19*(1-PROFIT!$H$58)</f>
        <v>14702.345540121258</v>
      </c>
      <c r="I19" s="65">
        <f>VLOOKUP(A19,'Rate Application - REM Cycle I'!$1:$65535,15,FALSE)</f>
        <v>35575.296562612995</v>
      </c>
      <c r="J19" s="19">
        <f>VLOOKUP(A19,'Rate Application - REM Cycle I'!$1:$65535,20,FALSE)</f>
        <v>37.082155310001518</v>
      </c>
      <c r="K19" s="11">
        <f t="shared" si="0"/>
        <v>14739.427695431259</v>
      </c>
      <c r="L19" s="11">
        <f t="shared" si="1"/>
        <v>524359511.42815846</v>
      </c>
      <c r="M19" s="36">
        <f>VLOOKUP(A19,'Variable Input'!$1:$1048576,23,FALSE)</f>
        <v>0.99671861092415948</v>
      </c>
      <c r="N19" s="22">
        <f t="shared" si="2"/>
        <v>522638883.85554504</v>
      </c>
      <c r="O19" s="19">
        <f t="shared" si="3"/>
        <v>14691.06189840733</v>
      </c>
      <c r="P19" s="18">
        <f>VLOOKUP(A19,'Rate Application - REM Cycle I'!$1:$65535,11,FALSE)</f>
        <v>3385733.4707238162</v>
      </c>
      <c r="Q19" s="18">
        <f t="shared" si="4"/>
        <v>526024617.32626885</v>
      </c>
      <c r="R19" s="19">
        <f t="shared" si="5"/>
        <v>14786.232811874344</v>
      </c>
      <c r="S19" s="81">
        <f>VLOOKUP(A19,'Rate Application - REM Cycle I'!$1:$65535,9,FALSE)</f>
        <v>1.1235285459397526</v>
      </c>
      <c r="T19" s="19">
        <f t="shared" si="6"/>
        <v>591003673.4330976</v>
      </c>
      <c r="U19" s="22">
        <f t="shared" si="7"/>
        <v>16612.75465105184</v>
      </c>
      <c r="V19" s="88">
        <f>IFERROR(VLOOKUP(A20,'PAU Volume'!AX:AZ,3,FALSE)-VLOOKUP(A20,'PAU Volume'!#REF!,4,FALSE)+VLOOKUP(A20,'PAU Volume'!#REF!,2,FALSE),0)*0</f>
        <v>0</v>
      </c>
      <c r="W19" s="79">
        <f t="shared" si="8"/>
        <v>35575.296562612995</v>
      </c>
      <c r="X19" s="15">
        <f t="shared" si="9"/>
        <v>591003673.4330976</v>
      </c>
      <c r="Y19" s="11">
        <f>VLOOKUP(A19,'Rate Application - REM Cycle I'!$1:$65535,7,FALSE)</f>
        <v>514736173.59971368</v>
      </c>
      <c r="Z19" s="78">
        <f t="shared" si="10"/>
        <v>0.14816813689238328</v>
      </c>
      <c r="AA19" s="82">
        <f>IFERROR(VLOOKUP(A19,'GBR Revenue for ICC'!#REF!,17,FALSE),0)</f>
        <v>0</v>
      </c>
      <c r="AB19" s="82">
        <f t="shared" si="11"/>
        <v>0</v>
      </c>
      <c r="AC19" s="11">
        <f t="shared" si="12"/>
        <v>514736173.59971368</v>
      </c>
      <c r="AD19" s="11">
        <f t="shared" si="13"/>
        <v>591003673.4330976</v>
      </c>
      <c r="AE19" s="10">
        <v>1</v>
      </c>
      <c r="AG19" s="271"/>
    </row>
    <row r="20" spans="1:33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IF(C20=1,'Rate Application - REM Cycle I'!$X$65,IF(C20=3,'Rate Application - REM Cycle I'!$X$66,IF(C20=4,'Rate Application - REM Cycle I'!$X$67,IF(C20=5,'Rate Application - REM Cycle I'!$X$68,0))))</f>
        <v>14752.82215273459</v>
      </c>
      <c r="E20" s="87">
        <v>0</v>
      </c>
      <c r="F20" s="87">
        <v>0</v>
      </c>
      <c r="G20" s="87">
        <v>0</v>
      </c>
      <c r="H20" s="87">
        <f>D20*(1-PROFIT!$H$58)</f>
        <v>14702.345540121258</v>
      </c>
      <c r="I20" s="65">
        <f>VLOOKUP(A20,'Rate Application - REM Cycle I'!$1:$65535,15,FALSE)</f>
        <v>24909.085237375984</v>
      </c>
      <c r="J20" s="19">
        <f>VLOOKUP(A20,'Rate Application - REM Cycle I'!$1:$65535,20,FALSE)</f>
        <v>21.184377664013301</v>
      </c>
      <c r="K20" s="11">
        <f t="shared" si="0"/>
        <v>14723.52991778527</v>
      </c>
      <c r="L20" s="11">
        <f t="shared" si="1"/>
        <v>366749661.71716869</v>
      </c>
      <c r="M20" s="36">
        <f>VLOOKUP(A20,'Variable Input'!$1:$1048576,23,FALSE)</f>
        <v>1.0181752931904677</v>
      </c>
      <c r="N20" s="22">
        <f t="shared" si="2"/>
        <v>373415444.34638309</v>
      </c>
      <c r="O20" s="19">
        <f t="shared" si="3"/>
        <v>14991.134390839639</v>
      </c>
      <c r="P20" s="18">
        <f>VLOOKUP(A20,'Rate Application - REM Cycle I'!$1:$65535,11,FALSE)</f>
        <v>4332162.9357895656</v>
      </c>
      <c r="Q20" s="18">
        <f t="shared" si="4"/>
        <v>377747607.28217268</v>
      </c>
      <c r="R20" s="19">
        <f t="shared" si="5"/>
        <v>15165.053380417354</v>
      </c>
      <c r="S20" s="81">
        <f>VLOOKUP(A20,'Rate Application - REM Cycle I'!$1:$65535,9,FALSE)</f>
        <v>1.106961162419857</v>
      </c>
      <c r="T20" s="19">
        <f t="shared" si="6"/>
        <v>418151930.45839351</v>
      </c>
      <c r="U20" s="22">
        <f t="shared" si="7"/>
        <v>16787.125118145977</v>
      </c>
      <c r="V20" s="88">
        <f>IFERROR(VLOOKUP(A21,'PAU Volume'!AX:AZ,3,FALSE)-VLOOKUP(A21,'PAU Volume'!#REF!,4,FALSE)+VLOOKUP(A21,'PAU Volume'!#REF!,2,FALSE),0)*0</f>
        <v>0</v>
      </c>
      <c r="W20" s="79">
        <f t="shared" si="8"/>
        <v>24909.085237375984</v>
      </c>
      <c r="X20" s="15">
        <f t="shared" si="9"/>
        <v>418151930.45839357</v>
      </c>
      <c r="Y20" s="11">
        <f>VLOOKUP(A20,'Rate Application - REM Cycle I'!$1:$65535,7,FALSE)</f>
        <v>398364615.39914006</v>
      </c>
      <c r="Z20" s="78">
        <f t="shared" si="10"/>
        <v>4.9671367120364573E-2</v>
      </c>
      <c r="AA20" s="82">
        <f>IFERROR(VLOOKUP(A20,'GBR Revenue for ICC'!#REF!,17,FALSE),0)</f>
        <v>0</v>
      </c>
      <c r="AB20" s="82">
        <f t="shared" si="11"/>
        <v>0</v>
      </c>
      <c r="AC20" s="11">
        <f t="shared" si="12"/>
        <v>398364615.39914006</v>
      </c>
      <c r="AD20" s="11">
        <f t="shared" si="13"/>
        <v>418151930.45839357</v>
      </c>
      <c r="AE20" s="10">
        <v>1</v>
      </c>
      <c r="AG20" s="271"/>
    </row>
    <row r="21" spans="1:33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IF(C21=1,'Rate Application - REM Cycle I'!$X$65,IF(C21=3,'Rate Application - REM Cycle I'!$X$66,IF(C21=4,'Rate Application - REM Cycle I'!$X$67,IF(C21=5,'Rate Application - REM Cycle I'!$X$68,0))))</f>
        <v>14752.82215273459</v>
      </c>
      <c r="E21" s="87">
        <v>0</v>
      </c>
      <c r="F21" s="87">
        <v>0</v>
      </c>
      <c r="G21" s="87">
        <v>0</v>
      </c>
      <c r="H21" s="87">
        <f>D21*(1-PROFIT!$H$58)</f>
        <v>14702.345540121258</v>
      </c>
      <c r="I21" s="65">
        <f>VLOOKUP(A21,'Rate Application - REM Cycle I'!$1:$65535,15,FALSE)</f>
        <v>47800.030712699874</v>
      </c>
      <c r="J21" s="19">
        <f>VLOOKUP(A21,'Rate Application - REM Cycle I'!$1:$65535,20,FALSE)</f>
        <v>152.06768021239117</v>
      </c>
      <c r="K21" s="11">
        <f t="shared" si="0"/>
        <v>14854.413220333648</v>
      </c>
      <c r="L21" s="11">
        <f t="shared" si="1"/>
        <v>710041408.15108347</v>
      </c>
      <c r="M21" s="36">
        <f>VLOOKUP(A21,'Variable Input'!$1:$1048576,23,FALSE)</f>
        <v>0.99671861092415948</v>
      </c>
      <c r="N21" s="22">
        <f t="shared" si="2"/>
        <v>707711486.03098214</v>
      </c>
      <c r="O21" s="19">
        <f t="shared" si="3"/>
        <v>14805.670111064426</v>
      </c>
      <c r="P21" s="18">
        <f>VLOOKUP(A21,'Rate Application - REM Cycle I'!$1:$65535,11,FALSE)</f>
        <v>6692185.3853537869</v>
      </c>
      <c r="Q21" s="18">
        <f t="shared" si="4"/>
        <v>714403671.41633594</v>
      </c>
      <c r="R21" s="19">
        <f t="shared" si="5"/>
        <v>14945.67389946316</v>
      </c>
      <c r="S21" s="81">
        <f>VLOOKUP(A21,'Rate Application - REM Cycle I'!$1:$65535,9,FALSE)</f>
        <v>1.1086069567461017</v>
      </c>
      <c r="T21" s="19">
        <f t="shared" si="6"/>
        <v>791992880.05710614</v>
      </c>
      <c r="U21" s="22">
        <f t="shared" si="7"/>
        <v>16568.878058203496</v>
      </c>
      <c r="V21" s="88">
        <f>IFERROR(VLOOKUP(A22,'PAU Volume'!AX:AZ,3,FALSE)-VLOOKUP(A22,'PAU Volume'!#REF!,4,FALSE)+VLOOKUP(A22,'PAU Volume'!#REF!,2,FALSE),0)*0</f>
        <v>0</v>
      </c>
      <c r="W21" s="79">
        <f t="shared" si="8"/>
        <v>47800.030712699874</v>
      </c>
      <c r="X21" s="15">
        <f t="shared" si="9"/>
        <v>791992880.05710614</v>
      </c>
      <c r="Y21" s="11">
        <f>VLOOKUP(A21,'Rate Application - REM Cycle I'!$1:$65535,7,FALSE)</f>
        <v>712352222.34826219</v>
      </c>
      <c r="Z21" s="78">
        <f t="shared" si="10"/>
        <v>0.11179954973160511</v>
      </c>
      <c r="AA21" s="82">
        <f>IFERROR(VLOOKUP(A21,'GBR Revenue for ICC'!#REF!,17,FALSE),0)</f>
        <v>0</v>
      </c>
      <c r="AB21" s="82">
        <f t="shared" si="11"/>
        <v>0</v>
      </c>
      <c r="AC21" s="11">
        <f t="shared" si="12"/>
        <v>712352222.34826219</v>
      </c>
      <c r="AD21" s="11">
        <f t="shared" si="13"/>
        <v>791992880.05710614</v>
      </c>
      <c r="AE21" s="10">
        <v>1</v>
      </c>
      <c r="AG21" s="271"/>
    </row>
    <row r="22" spans="1:33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IF(C22=1,'Rate Application - REM Cycle I'!$X$65,IF(C22=3,'Rate Application - REM Cycle I'!$X$66,IF(C22=4,'Rate Application - REM Cycle I'!$X$67,IF(C22=5,'Rate Application - REM Cycle I'!$X$68,0))))</f>
        <v>14752.82215273459</v>
      </c>
      <c r="E22" s="87">
        <v>0</v>
      </c>
      <c r="F22" s="87">
        <v>0</v>
      </c>
      <c r="G22" s="87">
        <v>0</v>
      </c>
      <c r="H22" s="87">
        <f>D22*(1-PROFIT!$H$58)</f>
        <v>14702.345540121258</v>
      </c>
      <c r="I22" s="65">
        <f>VLOOKUP(A22,'Rate Application - REM Cycle I'!$1:$65535,15,FALSE)</f>
        <v>26999.26188542712</v>
      </c>
      <c r="J22" s="19">
        <f>VLOOKUP(A22,'Rate Application - REM Cycle I'!$1:$65535,20,FALSE)</f>
        <v>429.97606252364841</v>
      </c>
      <c r="K22" s="11">
        <f t="shared" si="0"/>
        <v>15132.321602644906</v>
      </c>
      <c r="L22" s="11">
        <f t="shared" si="1"/>
        <v>408561513.88431609</v>
      </c>
      <c r="M22" s="36">
        <f>VLOOKUP(A22,'Variable Input'!$1:$1048576,23,FALSE)</f>
        <v>0.99671861092415948</v>
      </c>
      <c r="N22" s="22">
        <f t="shared" si="2"/>
        <v>407220864.59584725</v>
      </c>
      <c r="O22" s="19">
        <f t="shared" si="3"/>
        <v>15082.666567845883</v>
      </c>
      <c r="P22" s="18">
        <f>VLOOKUP(A22,'Rate Application - REM Cycle I'!$1:$65535,11,FALSE)</f>
        <v>12196844.09297953</v>
      </c>
      <c r="Q22" s="18">
        <f t="shared" si="4"/>
        <v>419417708.6888268</v>
      </c>
      <c r="R22" s="19">
        <f t="shared" si="5"/>
        <v>15534.41388392947</v>
      </c>
      <c r="S22" s="81">
        <f>VLOOKUP(A22,'Rate Application - REM Cycle I'!$1:$65535,9,FALSE)</f>
        <v>1.1223202362274129</v>
      </c>
      <c r="T22" s="19">
        <f t="shared" si="6"/>
        <v>470720981.89360434</v>
      </c>
      <c r="U22" s="22">
        <f t="shared" si="7"/>
        <v>17434.587059866124</v>
      </c>
      <c r="V22" s="88">
        <f>IFERROR(VLOOKUP(A23,'PAU Volume'!AX:AZ,3,FALSE)-VLOOKUP(A23,'PAU Volume'!#REF!,4,FALSE)+VLOOKUP(A23,'PAU Volume'!#REF!,2,FALSE),0)*0</f>
        <v>0</v>
      </c>
      <c r="W22" s="79">
        <f t="shared" si="8"/>
        <v>26999.26188542712</v>
      </c>
      <c r="X22" s="15">
        <f t="shared" si="9"/>
        <v>470720981.89360434</v>
      </c>
      <c r="Y22" s="11">
        <f>VLOOKUP(A22,'Rate Application - REM Cycle I'!$1:$65535,7,FALSE)</f>
        <v>481596679.12083691</v>
      </c>
      <c r="Z22" s="78">
        <f t="shared" si="10"/>
        <v>-2.2582583515912802E-2</v>
      </c>
      <c r="AA22" s="82">
        <f>IFERROR(VLOOKUP(A22,'GBR Revenue for ICC'!#REF!,17,FALSE),0)</f>
        <v>0</v>
      </c>
      <c r="AB22" s="82">
        <f t="shared" si="11"/>
        <v>0</v>
      </c>
      <c r="AC22" s="11">
        <f t="shared" si="12"/>
        <v>481596679.12083691</v>
      </c>
      <c r="AD22" s="11">
        <f t="shared" si="13"/>
        <v>470720981.89360434</v>
      </c>
      <c r="AE22" s="10">
        <v>1</v>
      </c>
      <c r="AG22" s="271"/>
    </row>
    <row r="23" spans="1:33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IF(C23=1,'Rate Application - REM Cycle I'!$X$65,IF(C23=3,'Rate Application - REM Cycle I'!$X$66,IF(C23=4,'Rate Application - REM Cycle I'!$X$67,IF(C23=5,'Rate Application - REM Cycle I'!$X$68,0))))</f>
        <v>14752.82215273459</v>
      </c>
      <c r="E23" s="87">
        <v>0</v>
      </c>
      <c r="F23" s="87">
        <v>0</v>
      </c>
      <c r="G23" s="87">
        <v>0</v>
      </c>
      <c r="H23" s="87">
        <f>D23*(1-PROFIT!$H$58)</f>
        <v>14702.345540121258</v>
      </c>
      <c r="I23" s="65">
        <f>VLOOKUP(A23,'Rate Application - REM Cycle I'!$1:$65535,15,FALSE)</f>
        <v>22692.781590576982</v>
      </c>
      <c r="J23" s="19">
        <f>VLOOKUP(A23,'Rate Application - REM Cycle I'!$1:$65535,20,FALSE)</f>
        <v>0</v>
      </c>
      <c r="K23" s="11">
        <f t="shared" si="0"/>
        <v>14702.345540121258</v>
      </c>
      <c r="L23" s="11">
        <f t="shared" si="1"/>
        <v>333637116.21116525</v>
      </c>
      <c r="M23" s="36">
        <f>VLOOKUP(A23,'Variable Input'!$1:$1048576,23,FALSE)</f>
        <v>0.99671861092415948</v>
      </c>
      <c r="N23" s="22">
        <f t="shared" si="2"/>
        <v>332542323.022735</v>
      </c>
      <c r="O23" s="19">
        <f t="shared" si="3"/>
        <v>14654.101424076671</v>
      </c>
      <c r="P23" s="18">
        <f>VLOOKUP(A23,'Rate Application - REM Cycle I'!$1:$65535,11,FALSE)</f>
        <v>1887638.9011087576</v>
      </c>
      <c r="Q23" s="18">
        <f t="shared" si="4"/>
        <v>334429961.92384374</v>
      </c>
      <c r="R23" s="19">
        <f t="shared" si="5"/>
        <v>14737.283774092879</v>
      </c>
      <c r="S23" s="81">
        <f>VLOOKUP(A23,'Rate Application - REM Cycle I'!$1:$65535,9,FALSE)</f>
        <v>1.1268001645719641</v>
      </c>
      <c r="T23" s="19">
        <f t="shared" si="6"/>
        <v>376835736.13358283</v>
      </c>
      <c r="U23" s="22">
        <f t="shared" si="7"/>
        <v>16605.973781991594</v>
      </c>
      <c r="V23" s="88">
        <f>IFERROR(VLOOKUP(A24,'PAU Volume'!AX:AZ,3,FALSE)-VLOOKUP(A24,'PAU Volume'!#REF!,4,FALSE)+VLOOKUP(A24,'PAU Volume'!#REF!,2,FALSE),0)*0</f>
        <v>0</v>
      </c>
      <c r="W23" s="79">
        <f t="shared" si="8"/>
        <v>22692.781590576982</v>
      </c>
      <c r="X23" s="15">
        <f t="shared" si="9"/>
        <v>376835736.13358283</v>
      </c>
      <c r="Y23" s="11">
        <f>VLOOKUP(A23,'Rate Application - REM Cycle I'!$1:$65535,7,FALSE)</f>
        <v>346927138.42145127</v>
      </c>
      <c r="Z23" s="78">
        <f t="shared" si="10"/>
        <v>8.6210026255709726E-2</v>
      </c>
      <c r="AA23" s="82">
        <f>IFERROR(VLOOKUP(A23,'GBR Revenue for ICC'!#REF!,17,FALSE),0)</f>
        <v>0</v>
      </c>
      <c r="AB23" s="82">
        <f t="shared" si="11"/>
        <v>0</v>
      </c>
      <c r="AC23" s="11">
        <f t="shared" si="12"/>
        <v>346927138.42145127</v>
      </c>
      <c r="AD23" s="11">
        <f t="shared" si="13"/>
        <v>376835736.13358283</v>
      </c>
      <c r="AE23" s="10">
        <v>1</v>
      </c>
      <c r="AG23" s="271"/>
    </row>
    <row r="24" spans="1:33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IF(C24=1,'Rate Application - REM Cycle I'!$X$65,IF(C24=3,'Rate Application - REM Cycle I'!$X$66,IF(C24=4,'Rate Application - REM Cycle I'!$X$67,IF(C24=5,'Rate Application - REM Cycle I'!$X$68,0))))</f>
        <v>14752.82215273459</v>
      </c>
      <c r="E24" s="87">
        <v>0</v>
      </c>
      <c r="F24" s="87">
        <v>0</v>
      </c>
      <c r="G24" s="87">
        <v>0</v>
      </c>
      <c r="H24" s="87">
        <f>D24*(1-PROFIT!$H$58)</f>
        <v>14702.345540121258</v>
      </c>
      <c r="I24" s="65">
        <f>VLOOKUP(A24,'Rate Application - REM Cycle I'!$1:$65535,15,FALSE)</f>
        <v>14672.575577466996</v>
      </c>
      <c r="J24" s="19">
        <f>VLOOKUP(A24,'Rate Application - REM Cycle I'!$1:$65535,20,FALSE)</f>
        <v>0</v>
      </c>
      <c r="K24" s="11">
        <f t="shared" si="0"/>
        <v>14702.345540121258</v>
      </c>
      <c r="L24" s="11">
        <f t="shared" si="1"/>
        <v>215721276.10346398</v>
      </c>
      <c r="M24" s="36">
        <f>VLOOKUP(A24,'Variable Input'!$1:$1048576,23,FALSE)</f>
        <v>0.99671861092415948</v>
      </c>
      <c r="N24" s="22">
        <f t="shared" si="2"/>
        <v>215013410.66463169</v>
      </c>
      <c r="O24" s="19">
        <f t="shared" si="3"/>
        <v>14654.101424076671</v>
      </c>
      <c r="P24" s="18">
        <f>VLOOKUP(A24,'Rate Application - REM Cycle I'!$1:$65535,11,FALSE)</f>
        <v>0</v>
      </c>
      <c r="Q24" s="18">
        <f t="shared" si="4"/>
        <v>215013410.66463169</v>
      </c>
      <c r="R24" s="19">
        <f t="shared" si="5"/>
        <v>14654.101424076671</v>
      </c>
      <c r="S24" s="81">
        <f>VLOOKUP(A24,'Rate Application - REM Cycle I'!$1:$65535,9,FALSE)</f>
        <v>1.1136722213908725</v>
      </c>
      <c r="T24" s="19">
        <f t="shared" si="6"/>
        <v>239454462.68370831</v>
      </c>
      <c r="U24" s="22">
        <f t="shared" si="7"/>
        <v>16319.865685438615</v>
      </c>
      <c r="V24" s="88">
        <f>IFERROR(VLOOKUP(A25,'PAU Volume'!AX:AZ,3,FALSE)-VLOOKUP(A25,'PAU Volume'!#REF!,4,FALSE)+VLOOKUP(A25,'PAU Volume'!#REF!,2,FALSE),0)*0</f>
        <v>0</v>
      </c>
      <c r="W24" s="79">
        <f t="shared" si="8"/>
        <v>14672.575577466996</v>
      </c>
      <c r="X24" s="15">
        <f t="shared" si="9"/>
        <v>239454462.68370831</v>
      </c>
      <c r="Y24" s="11">
        <f>VLOOKUP(A24,'Rate Application - REM Cycle I'!$1:$65535,7,FALSE)</f>
        <v>208234246.15730399</v>
      </c>
      <c r="Z24" s="78">
        <f t="shared" si="10"/>
        <v>0.14992834801447597</v>
      </c>
      <c r="AA24" s="82">
        <f>IFERROR(VLOOKUP(A24,'GBR Revenue for ICC'!#REF!,17,FALSE),0)</f>
        <v>0</v>
      </c>
      <c r="AB24" s="82">
        <f t="shared" si="11"/>
        <v>0</v>
      </c>
      <c r="AC24" s="11">
        <f t="shared" si="12"/>
        <v>208234246.15730399</v>
      </c>
      <c r="AD24" s="11">
        <f t="shared" si="13"/>
        <v>239454462.68370831</v>
      </c>
      <c r="AE24" s="10">
        <v>1</v>
      </c>
      <c r="AG24" s="271"/>
    </row>
    <row r="25" spans="1:33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IF(C25=1,'Rate Application - REM Cycle I'!$X$65,IF(C25=3,'Rate Application - REM Cycle I'!$X$66,IF(C25=4,'Rate Application - REM Cycle I'!$X$67,IF(C25=5,'Rate Application - REM Cycle I'!$X$68,0))))</f>
        <v>14752.82215273459</v>
      </c>
      <c r="E25" s="87">
        <v>0</v>
      </c>
      <c r="F25" s="87">
        <v>0</v>
      </c>
      <c r="G25" s="87">
        <v>0</v>
      </c>
      <c r="H25" s="87">
        <f>D25*(1-PROFIT!$H$58)</f>
        <v>14702.345540121258</v>
      </c>
      <c r="I25" s="65">
        <f>VLOOKUP(A25,'Rate Application - REM Cycle I'!$1:$65535,15,FALSE)</f>
        <v>35540.799933832066</v>
      </c>
      <c r="J25" s="19">
        <f>VLOOKUP(A25,'Rate Application - REM Cycle I'!$1:$65535,20,FALSE)</f>
        <v>523.78238472766361</v>
      </c>
      <c r="K25" s="11">
        <f t="shared" si="0"/>
        <v>15226.127924848921</v>
      </c>
      <c r="L25" s="11">
        <f t="shared" si="1"/>
        <v>541148766.34398913</v>
      </c>
      <c r="M25" s="36">
        <f>VLOOKUP(A25,'Variable Input'!$1:$1048576,23,FALSE)</f>
        <v>0.99671861092415948</v>
      </c>
      <c r="N25" s="22">
        <f t="shared" si="2"/>
        <v>539373046.69370341</v>
      </c>
      <c r="O25" s="19">
        <f t="shared" si="3"/>
        <v>15176.165075008972</v>
      </c>
      <c r="P25" s="18">
        <f>VLOOKUP(A25,'Rate Application - REM Cycle I'!$1:$65535,11,FALSE)</f>
        <v>27476780.845164478</v>
      </c>
      <c r="Q25" s="18">
        <f t="shared" si="4"/>
        <v>566849827.53886795</v>
      </c>
      <c r="R25" s="19">
        <f t="shared" si="5"/>
        <v>15949.270376418039</v>
      </c>
      <c r="S25" s="81">
        <f>VLOOKUP(A25,'Rate Application - REM Cycle I'!$1:$65535,9,FALSE)</f>
        <v>1.1160480491569686</v>
      </c>
      <c r="T25" s="19">
        <f t="shared" si="6"/>
        <v>632631644.18971765</v>
      </c>
      <c r="U25" s="22">
        <f t="shared" si="7"/>
        <v>17800.152089078383</v>
      </c>
      <c r="V25" s="88">
        <f>IFERROR(VLOOKUP(A26,'PAU Volume'!AX:AZ,3,FALSE)-VLOOKUP(A26,'PAU Volume'!#REF!,4,FALSE)+VLOOKUP(A26,'PAU Volume'!#REF!,2,FALSE),0)*0</f>
        <v>0</v>
      </c>
      <c r="W25" s="79">
        <f t="shared" si="8"/>
        <v>35540.799933832066</v>
      </c>
      <c r="X25" s="15">
        <f t="shared" si="9"/>
        <v>632631644.18971777</v>
      </c>
      <c r="Y25" s="11">
        <f>VLOOKUP(A25,'Rate Application - REM Cycle I'!$1:$65535,7,FALSE)</f>
        <v>714563622.53195643</v>
      </c>
      <c r="Z25" s="78">
        <f t="shared" si="10"/>
        <v>-0.11466015867407875</v>
      </c>
      <c r="AA25" s="82">
        <f>IFERROR(VLOOKUP(A25,'GBR Revenue for ICC'!#REF!,17,FALSE),0)</f>
        <v>0</v>
      </c>
      <c r="AB25" s="82">
        <f t="shared" si="11"/>
        <v>0</v>
      </c>
      <c r="AC25" s="11">
        <f t="shared" si="12"/>
        <v>714563622.53195643</v>
      </c>
      <c r="AD25" s="11">
        <f t="shared" si="13"/>
        <v>632631644.18971777</v>
      </c>
      <c r="AE25" s="10">
        <v>1</v>
      </c>
      <c r="AG25" s="271"/>
    </row>
    <row r="26" spans="1:33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IF(C26=1,'Rate Application - REM Cycle I'!$X$65,IF(C26=3,'Rate Application - REM Cycle I'!$X$66,IF(C26=4,'Rate Application - REM Cycle I'!$X$67,IF(C26=5,'Rate Application - REM Cycle I'!$X$68,0))))</f>
        <v>14752.82215273459</v>
      </c>
      <c r="E26" s="87">
        <v>0</v>
      </c>
      <c r="F26" s="87">
        <v>0</v>
      </c>
      <c r="G26" s="87">
        <v>0</v>
      </c>
      <c r="H26" s="87">
        <f>D26*(1-PROFIT!$H$58)</f>
        <v>14702.345540121258</v>
      </c>
      <c r="I26" s="65">
        <f>VLOOKUP(A26,'Rate Application - REM Cycle I'!$1:$65535,15,FALSE)</f>
        <v>2175.2241478610003</v>
      </c>
      <c r="J26" s="19">
        <f>VLOOKUP(A26,'Rate Application - REM Cycle I'!$1:$65535,20,FALSE)</f>
        <v>0</v>
      </c>
      <c r="K26" s="11">
        <f t="shared" si="0"/>
        <v>14702.345540121258</v>
      </c>
      <c r="L26" s="11">
        <f t="shared" si="1"/>
        <v>31980897.049068242</v>
      </c>
      <c r="M26" s="36">
        <f>VLOOKUP(A26,'Variable Input'!$1:$1048576,23,FALSE)</f>
        <v>0.99671861092415948</v>
      </c>
      <c r="N26" s="22">
        <f t="shared" si="2"/>
        <v>31875955.28285585</v>
      </c>
      <c r="O26" s="19">
        <f t="shared" si="3"/>
        <v>14654.101424076671</v>
      </c>
      <c r="P26" s="18">
        <f>VLOOKUP(A26,'Rate Application - REM Cycle I'!$1:$65535,11,FALSE)</f>
        <v>208535.14400062207</v>
      </c>
      <c r="Q26" s="18">
        <f t="shared" si="4"/>
        <v>32084490.426856473</v>
      </c>
      <c r="R26" s="19">
        <f t="shared" si="5"/>
        <v>14749.969771348233</v>
      </c>
      <c r="S26" s="81">
        <f>VLOOKUP(A26,'Rate Application - REM Cycle I'!$1:$65535,9,FALSE)</f>
        <v>1.1237498376689119</v>
      </c>
      <c r="T26" s="19">
        <f t="shared" si="6"/>
        <v>36054940.908869721</v>
      </c>
      <c r="U26" s="22">
        <f t="shared" si="7"/>
        <v>16575.276136173936</v>
      </c>
      <c r="V26" s="88">
        <f>IFERROR(VLOOKUP(A27,'PAU Volume'!AX:AZ,3,FALSE)-VLOOKUP(A27,'PAU Volume'!#REF!,4,FALSE)+VLOOKUP(A27,'PAU Volume'!#REF!,2,FALSE),0)*0</f>
        <v>0</v>
      </c>
      <c r="W26" s="79">
        <f t="shared" si="8"/>
        <v>2175.2241478610003</v>
      </c>
      <c r="X26" s="15">
        <f t="shared" si="9"/>
        <v>36054940.908869721</v>
      </c>
      <c r="Y26" s="11">
        <f>VLOOKUP(A26,'Rate Application - REM Cycle I'!$1:$65535,7,FALSE)</f>
        <v>53886862.099348657</v>
      </c>
      <c r="Z26" s="78">
        <f t="shared" si="10"/>
        <v>-0.33091407619176394</v>
      </c>
      <c r="AA26" s="82">
        <f>IFERROR(VLOOKUP(A26,'GBR Revenue for ICC'!#REF!,17,FALSE),0)</f>
        <v>0</v>
      </c>
      <c r="AB26" s="82">
        <f t="shared" si="11"/>
        <v>0</v>
      </c>
      <c r="AC26" s="11">
        <f t="shared" si="12"/>
        <v>53886862.099348657</v>
      </c>
      <c r="AD26" s="11">
        <f t="shared" si="13"/>
        <v>36054940.908869721</v>
      </c>
      <c r="AE26" s="10">
        <v>1</v>
      </c>
      <c r="AG26" s="271"/>
    </row>
    <row r="27" spans="1:33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IF(C27=1,'Rate Application - REM Cycle I'!$X$65,IF(C27=3,'Rate Application - REM Cycle I'!$X$66,IF(C27=4,'Rate Application - REM Cycle I'!$X$67,IF(C27=5,'Rate Application - REM Cycle I'!$X$68,0))))</f>
        <v>14752.82215273459</v>
      </c>
      <c r="E27" s="87">
        <v>0</v>
      </c>
      <c r="F27" s="87">
        <v>0</v>
      </c>
      <c r="G27" s="87">
        <v>0</v>
      </c>
      <c r="H27" s="87">
        <f>D27*(1-PROFIT!$H$58)</f>
        <v>14702.345540121258</v>
      </c>
      <c r="I27" s="65">
        <f>VLOOKUP(A27,'Rate Application - REM Cycle I'!$1:$65535,15,FALSE)</f>
        <v>10926.435215269013</v>
      </c>
      <c r="J27" s="19">
        <f>VLOOKUP(A27,'Rate Application - REM Cycle I'!$1:$65535,20,FALSE)</f>
        <v>0</v>
      </c>
      <c r="K27" s="11">
        <f t="shared" si="0"/>
        <v>14702.345540121258</v>
      </c>
      <c r="L27" s="11">
        <f t="shared" si="1"/>
        <v>160644226.05663425</v>
      </c>
      <c r="M27" s="36">
        <f>VLOOKUP(A27,'Variable Input'!$1:$1048576,23,FALSE)</f>
        <v>0.99671861092415948</v>
      </c>
      <c r="N27" s="22">
        <f t="shared" si="2"/>
        <v>160117089.84815514</v>
      </c>
      <c r="O27" s="19">
        <f t="shared" si="3"/>
        <v>14654.101424076671</v>
      </c>
      <c r="P27" s="18">
        <f>VLOOKUP(A27,'Rate Application - REM Cycle I'!$1:$65535,11,FALSE)</f>
        <v>0</v>
      </c>
      <c r="Q27" s="18">
        <f t="shared" si="4"/>
        <v>160117089.84815514</v>
      </c>
      <c r="R27" s="19">
        <f t="shared" si="5"/>
        <v>14654.101424076671</v>
      </c>
      <c r="S27" s="81">
        <f>VLOOKUP(A27,'Rate Application - REM Cycle I'!$1:$65535,9,FALSE)</f>
        <v>1.1182795268578634</v>
      </c>
      <c r="T27" s="19">
        <f t="shared" si="6"/>
        <v>179055663.47725293</v>
      </c>
      <c r="U27" s="22">
        <f t="shared" si="7"/>
        <v>16387.381607043601</v>
      </c>
      <c r="V27" s="88">
        <f>IFERROR(VLOOKUP(A28,'PAU Volume'!AX:AZ,3,FALSE)-VLOOKUP(A28,'PAU Volume'!#REF!,4,FALSE)+VLOOKUP(A28,'PAU Volume'!#REF!,2,FALSE),0)*0</f>
        <v>0</v>
      </c>
      <c r="W27" s="79">
        <f t="shared" si="8"/>
        <v>10926.435215269013</v>
      </c>
      <c r="X27" s="15">
        <f t="shared" si="9"/>
        <v>179055663.47725293</v>
      </c>
      <c r="Y27" s="11">
        <f>VLOOKUP(A27,'Rate Application - REM Cycle I'!$1:$65535,7,FALSE)</f>
        <v>188376183.84885556</v>
      </c>
      <c r="Z27" s="78">
        <f t="shared" si="10"/>
        <v>-4.9478231171096398E-2</v>
      </c>
      <c r="AA27" s="82">
        <f>IFERROR(VLOOKUP(A27,'GBR Revenue for ICC'!#REF!,17,FALSE),0)</f>
        <v>0</v>
      </c>
      <c r="AB27" s="82">
        <f t="shared" si="11"/>
        <v>0</v>
      </c>
      <c r="AC27" s="11">
        <f t="shared" si="12"/>
        <v>188376183.84885556</v>
      </c>
      <c r="AD27" s="11">
        <f t="shared" si="13"/>
        <v>179055663.47725293</v>
      </c>
      <c r="AE27" s="10">
        <v>1</v>
      </c>
      <c r="AG27" s="271"/>
    </row>
    <row r="28" spans="1:33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IF(C28=1,'Rate Application - REM Cycle I'!$X$65,IF(C28=3,'Rate Application - REM Cycle I'!$X$66,IF(C28=4,'Rate Application - REM Cycle I'!$X$67,IF(C28=5,'Rate Application - REM Cycle I'!$X$68,0))))</f>
        <v>14752.82215273459</v>
      </c>
      <c r="E28" s="87">
        <v>0</v>
      </c>
      <c r="F28" s="87">
        <v>0</v>
      </c>
      <c r="G28" s="87">
        <v>0</v>
      </c>
      <c r="H28" s="87">
        <f>D28*(1-PROFIT!$H$58)</f>
        <v>14702.345540121258</v>
      </c>
      <c r="I28" s="65">
        <f>VLOOKUP(A28,'Rate Application - REM Cycle I'!$1:$65535,15,FALSE)</f>
        <v>16462.876928917998</v>
      </c>
      <c r="J28" s="19">
        <f>VLOOKUP(A28,'Rate Application - REM Cycle I'!$1:$65535,20,FALSE)</f>
        <v>0</v>
      </c>
      <c r="K28" s="11">
        <f t="shared" si="0"/>
        <v>14702.345540121258</v>
      </c>
      <c r="L28" s="11">
        <f t="shared" si="1"/>
        <v>242042905.19344267</v>
      </c>
      <c r="M28" s="36">
        <f>VLOOKUP(A28,'Variable Input'!$1:$1048576,23,FALSE)</f>
        <v>0.99671861092415948</v>
      </c>
      <c r="N28" s="22">
        <f t="shared" si="2"/>
        <v>241248668.24845621</v>
      </c>
      <c r="O28" s="19">
        <f t="shared" si="3"/>
        <v>14654.101424076671</v>
      </c>
      <c r="P28" s="18">
        <f>VLOOKUP(A28,'Rate Application - REM Cycle I'!$1:$65535,11,FALSE)</f>
        <v>0</v>
      </c>
      <c r="Q28" s="18">
        <f t="shared" si="4"/>
        <v>241248668.24845621</v>
      </c>
      <c r="R28" s="19">
        <f t="shared" si="5"/>
        <v>14654.101424076671</v>
      </c>
      <c r="S28" s="81">
        <f>VLOOKUP(A28,'Rate Application - REM Cycle I'!$1:$65535,9,FALSE)</f>
        <v>1.1165021686409196</v>
      </c>
      <c r="T28" s="19">
        <f t="shared" si="6"/>
        <v>269354661.28113508</v>
      </c>
      <c r="U28" s="22">
        <f t="shared" si="7"/>
        <v>16361.336019465589</v>
      </c>
      <c r="V28" s="88">
        <f>IFERROR(VLOOKUP(A29,'PAU Volume'!AX:AZ,3,FALSE)-VLOOKUP(A29,'PAU Volume'!#REF!,4,FALSE)+VLOOKUP(A29,'PAU Volume'!#REF!,2,FALSE),0)*0</f>
        <v>0</v>
      </c>
      <c r="W28" s="79">
        <f t="shared" si="8"/>
        <v>16462.876928917998</v>
      </c>
      <c r="X28" s="15">
        <f t="shared" si="9"/>
        <v>269354661.28113508</v>
      </c>
      <c r="Y28" s="11">
        <f>VLOOKUP(A28,'Rate Application - REM Cycle I'!$1:$65535,7,FALSE)</f>
        <v>270127753.60721987</v>
      </c>
      <c r="Z28" s="78">
        <f t="shared" si="10"/>
        <v>-2.8619507464935356E-3</v>
      </c>
      <c r="AA28" s="82">
        <f>IFERROR(VLOOKUP(A28,'GBR Revenue for ICC'!#REF!,17,FALSE),0)</f>
        <v>0</v>
      </c>
      <c r="AB28" s="82">
        <f t="shared" si="11"/>
        <v>0</v>
      </c>
      <c r="AC28" s="11">
        <f t="shared" si="12"/>
        <v>270127753.60721987</v>
      </c>
      <c r="AD28" s="11">
        <f t="shared" si="13"/>
        <v>269354661.28113508</v>
      </c>
      <c r="AE28" s="10">
        <v>1</v>
      </c>
      <c r="AG28" s="271"/>
    </row>
    <row r="29" spans="1:33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IF(C29=1,'Rate Application - REM Cycle I'!$X$65,IF(C29=3,'Rate Application - REM Cycle I'!$X$66,IF(C29=4,'Rate Application - REM Cycle I'!$X$67,IF(C29=5,'Rate Application - REM Cycle I'!$X$68,0))))</f>
        <v>14752.82215273459</v>
      </c>
      <c r="E29" s="87">
        <v>0</v>
      </c>
      <c r="F29" s="87">
        <v>0</v>
      </c>
      <c r="G29" s="87">
        <v>0</v>
      </c>
      <c r="H29" s="87">
        <f>D29*(1-PROFIT!$H$58)</f>
        <v>14702.345540121258</v>
      </c>
      <c r="I29" s="65">
        <f>VLOOKUP(A29,'Rate Application - REM Cycle I'!$1:$65535,15,FALSE)</f>
        <v>11637.098158323013</v>
      </c>
      <c r="J29" s="19">
        <f>VLOOKUP(A29,'Rate Application - REM Cycle I'!$1:$65535,20,FALSE)</f>
        <v>219.3949496707223</v>
      </c>
      <c r="K29" s="11">
        <f t="shared" si="0"/>
        <v>14921.740489791981</v>
      </c>
      <c r="L29" s="11">
        <f t="shared" si="1"/>
        <v>173645758.7727322</v>
      </c>
      <c r="M29" s="36">
        <f>VLOOKUP(A29,'Variable Input'!$1:$1048576,23,FALSE)</f>
        <v>0.99671861092415948</v>
      </c>
      <c r="N29" s="22">
        <f t="shared" si="2"/>
        <v>173075959.47682932</v>
      </c>
      <c r="O29" s="19">
        <f t="shared" si="3"/>
        <v>14872.776453556251</v>
      </c>
      <c r="P29" s="18">
        <f>VLOOKUP(A29,'Rate Application - REM Cycle I'!$1:$65535,11,FALSE)</f>
        <v>2578337.9692581748</v>
      </c>
      <c r="Q29" s="18">
        <f t="shared" si="4"/>
        <v>175654297.44608751</v>
      </c>
      <c r="R29" s="19">
        <f t="shared" si="5"/>
        <v>15094.338387139678</v>
      </c>
      <c r="S29" s="81">
        <f>VLOOKUP(A29,'Rate Application - REM Cycle I'!$1:$65535,9,FALSE)</f>
        <v>1.1252449607173489</v>
      </c>
      <c r="T29" s="19">
        <f t="shared" si="6"/>
        <v>197654113.02955627</v>
      </c>
      <c r="U29" s="22">
        <f t="shared" si="7"/>
        <v>16984.828205491362</v>
      </c>
      <c r="V29" s="88">
        <f>IFERROR(VLOOKUP(A30,'PAU Volume'!AX:AZ,3,FALSE)-VLOOKUP(A30,'PAU Volume'!#REF!,4,FALSE)+VLOOKUP(A30,'PAU Volume'!#REF!,2,FALSE),0)*0</f>
        <v>0</v>
      </c>
      <c r="W29" s="79">
        <f t="shared" si="8"/>
        <v>11637.098158323013</v>
      </c>
      <c r="X29" s="15">
        <f t="shared" si="9"/>
        <v>197654113.0295563</v>
      </c>
      <c r="Y29" s="11">
        <f>VLOOKUP(A29,'Rate Application - REM Cycle I'!$1:$65535,7,FALSE)</f>
        <v>207708721.24780929</v>
      </c>
      <c r="Z29" s="78">
        <f t="shared" si="10"/>
        <v>-4.8407251067022927E-2</v>
      </c>
      <c r="AA29" s="82">
        <f>IFERROR(VLOOKUP(A29,'GBR Revenue for ICC'!#REF!,17,FALSE),0)</f>
        <v>0</v>
      </c>
      <c r="AB29" s="82">
        <f t="shared" si="11"/>
        <v>0</v>
      </c>
      <c r="AC29" s="11">
        <f t="shared" si="12"/>
        <v>207708721.24780929</v>
      </c>
      <c r="AD29" s="11">
        <f t="shared" si="13"/>
        <v>197654113.0295563</v>
      </c>
      <c r="AE29" s="10">
        <v>1</v>
      </c>
      <c r="AG29" s="271"/>
    </row>
    <row r="30" spans="1:33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IF(C30=1,'Rate Application - REM Cycle I'!$X$65,IF(C30=3,'Rate Application - REM Cycle I'!$X$66,IF(C30=4,'Rate Application - REM Cycle I'!$X$67,IF(C30=5,'Rate Application - REM Cycle I'!$X$68,0))))</f>
        <v>14752.82215273459</v>
      </c>
      <c r="E30" s="87">
        <v>0</v>
      </c>
      <c r="F30" s="87">
        <v>0</v>
      </c>
      <c r="G30" s="87">
        <v>0</v>
      </c>
      <c r="H30" s="87">
        <f>D30*(1-PROFIT!$H$58)</f>
        <v>14702.345540121258</v>
      </c>
      <c r="I30" s="65">
        <f>VLOOKUP(A30,'Rate Application - REM Cycle I'!$1:$65535,15,FALSE)</f>
        <v>12134.106723412984</v>
      </c>
      <c r="J30" s="19">
        <f>VLOOKUP(A30,'Rate Application - REM Cycle I'!$1:$65535,20,FALSE)</f>
        <v>0</v>
      </c>
      <c r="K30" s="11">
        <f t="shared" si="0"/>
        <v>14702.345540121258</v>
      </c>
      <c r="L30" s="11">
        <f t="shared" si="1"/>
        <v>178399829.86832625</v>
      </c>
      <c r="M30" s="36">
        <f>VLOOKUP(A30,'Variable Input'!$1:$1048576,23,FALSE)</f>
        <v>0.99671861092415948</v>
      </c>
      <c r="N30" s="22">
        <f t="shared" si="2"/>
        <v>177814430.61546451</v>
      </c>
      <c r="O30" s="19">
        <f t="shared" si="3"/>
        <v>14654.101424076671</v>
      </c>
      <c r="P30" s="18">
        <f>VLOOKUP(A30,'Rate Application - REM Cycle I'!$1:$65535,11,FALSE)</f>
        <v>0</v>
      </c>
      <c r="Q30" s="18">
        <f t="shared" si="4"/>
        <v>177814430.61546451</v>
      </c>
      <c r="R30" s="19">
        <f t="shared" si="5"/>
        <v>14654.101424076671</v>
      </c>
      <c r="S30" s="81">
        <f>VLOOKUP(A30,'Rate Application - REM Cycle I'!$1:$65535,9,FALSE)</f>
        <v>1.1148847928711076</v>
      </c>
      <c r="T30" s="19">
        <f t="shared" si="6"/>
        <v>198242604.64621609</v>
      </c>
      <c r="U30" s="22">
        <f t="shared" si="7"/>
        <v>16337.634830893921</v>
      </c>
      <c r="V30" s="88">
        <f>IFERROR(VLOOKUP(A31,'PAU Volume'!AX:AZ,3,FALSE)-VLOOKUP(A31,'PAU Volume'!#REF!,4,FALSE)+VLOOKUP(A31,'PAU Volume'!#REF!,2,FALSE),0)*0</f>
        <v>0</v>
      </c>
      <c r="W30" s="79">
        <f t="shared" si="8"/>
        <v>12134.106723412984</v>
      </c>
      <c r="X30" s="15">
        <f t="shared" si="9"/>
        <v>198242604.64621609</v>
      </c>
      <c r="Y30" s="11">
        <f>VLOOKUP(A30,'Rate Application - REM Cycle I'!$1:$65535,7,FALSE)</f>
        <v>178746811.03130147</v>
      </c>
      <c r="Z30" s="78">
        <f t="shared" si="10"/>
        <v>0.10906932270529057</v>
      </c>
      <c r="AA30" s="82">
        <f>IFERROR(VLOOKUP(A30,'GBR Revenue for ICC'!#REF!,17,FALSE),0)</f>
        <v>0</v>
      </c>
      <c r="AB30" s="82">
        <f t="shared" si="11"/>
        <v>0</v>
      </c>
      <c r="AC30" s="11">
        <f t="shared" si="12"/>
        <v>178746811.03130147</v>
      </c>
      <c r="AD30" s="11">
        <f t="shared" si="13"/>
        <v>198242604.64621609</v>
      </c>
      <c r="AE30" s="10">
        <v>1</v>
      </c>
      <c r="AG30" s="271"/>
    </row>
    <row r="31" spans="1:33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IF(C31=1,'Rate Application - REM Cycle I'!$X$65,IF(C31=3,'Rate Application - REM Cycle I'!$X$66,IF(C31=4,'Rate Application - REM Cycle I'!$X$67,IF(C31=5,'Rate Application - REM Cycle I'!$X$68,0))))</f>
        <v>14752.82215273459</v>
      </c>
      <c r="E31" s="87">
        <v>0</v>
      </c>
      <c r="F31" s="87">
        <v>0</v>
      </c>
      <c r="G31" s="87">
        <v>0</v>
      </c>
      <c r="H31" s="87">
        <f>D31*(1-PROFIT!$H$58)</f>
        <v>14702.345540121258</v>
      </c>
      <c r="I31" s="65">
        <f>VLOOKUP(A31,'Rate Application - REM Cycle I'!$1:$65535,15,FALSE)</f>
        <v>14334.792159748988</v>
      </c>
      <c r="J31" s="19">
        <f>VLOOKUP(A31,'Rate Application - REM Cycle I'!$1:$65535,20,FALSE)</f>
        <v>0</v>
      </c>
      <c r="K31" s="11">
        <f t="shared" si="0"/>
        <v>14702.345540121258</v>
      </c>
      <c r="L31" s="11">
        <f t="shared" si="1"/>
        <v>210755067.57845071</v>
      </c>
      <c r="M31" s="36">
        <f>VLOOKUP(A31,'Variable Input'!$1:$1048576,23,FALSE)</f>
        <v>0.99671861092415948</v>
      </c>
      <c r="N31" s="22">
        <f t="shared" si="2"/>
        <v>210063498.20202076</v>
      </c>
      <c r="O31" s="19">
        <f t="shared" si="3"/>
        <v>14654.101424076673</v>
      </c>
      <c r="P31" s="18">
        <f>VLOOKUP(A31,'Rate Application - REM Cycle I'!$1:$65535,11,FALSE)</f>
        <v>832816.30724702065</v>
      </c>
      <c r="Q31" s="18">
        <f t="shared" si="4"/>
        <v>210896314.50926778</v>
      </c>
      <c r="R31" s="19">
        <f t="shared" si="5"/>
        <v>14712.198974286399</v>
      </c>
      <c r="S31" s="81">
        <f>VLOOKUP(A31,'Rate Application - REM Cycle I'!$1:$65535,9,FALSE)</f>
        <v>1.1240965147015685</v>
      </c>
      <c r="T31" s="19">
        <f t="shared" si="6"/>
        <v>237067812.10327372</v>
      </c>
      <c r="U31" s="22">
        <f t="shared" si="7"/>
        <v>16537.931590591332</v>
      </c>
      <c r="V31" s="88">
        <f>IFERROR(VLOOKUP(A32,'PAU Volume'!AX:AZ,3,FALSE)-VLOOKUP(A32,'PAU Volume'!#REF!,4,FALSE)+VLOOKUP(A32,'PAU Volume'!#REF!,2,FALSE),0)*0</f>
        <v>0</v>
      </c>
      <c r="W31" s="79">
        <f t="shared" si="8"/>
        <v>14334.792159748988</v>
      </c>
      <c r="X31" s="15">
        <f t="shared" si="9"/>
        <v>237067812.10327372</v>
      </c>
      <c r="Y31" s="11">
        <f>VLOOKUP(A31,'Rate Application - REM Cycle I'!$1:$65535,7,FALSE)</f>
        <v>263996559.9878093</v>
      </c>
      <c r="Z31" s="78">
        <f t="shared" si="10"/>
        <v>-0.10200416204582019</v>
      </c>
      <c r="AA31" s="82">
        <f>IFERROR(VLOOKUP(A31,'GBR Revenue for ICC'!#REF!,17,FALSE),0)</f>
        <v>0</v>
      </c>
      <c r="AB31" s="82">
        <f t="shared" si="11"/>
        <v>0</v>
      </c>
      <c r="AC31" s="11">
        <f t="shared" si="12"/>
        <v>263996559.9878093</v>
      </c>
      <c r="AD31" s="11">
        <f t="shared" si="13"/>
        <v>237067812.10327372</v>
      </c>
      <c r="AE31" s="10">
        <v>1</v>
      </c>
      <c r="AG31" s="271"/>
    </row>
    <row r="32" spans="1:33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IF(C32=1,'Rate Application - REM Cycle I'!$X$65,IF(C32=3,'Rate Application - REM Cycle I'!$X$66,IF(C32=4,'Rate Application - REM Cycle I'!$X$67,IF(C32=5,'Rate Application - REM Cycle I'!$X$68,0))))</f>
        <v>14752.82215273459</v>
      </c>
      <c r="E32" s="87">
        <v>0</v>
      </c>
      <c r="F32" s="87">
        <v>0</v>
      </c>
      <c r="G32" s="87">
        <v>0</v>
      </c>
      <c r="H32" s="87">
        <f>D32*(1-PROFIT!$H$58)</f>
        <v>14702.345540121258</v>
      </c>
      <c r="I32" s="65">
        <f>VLOOKUP(A32,'Rate Application - REM Cycle I'!$1:$65535,15,FALSE)</f>
        <v>10658.398211444006</v>
      </c>
      <c r="J32" s="19">
        <f>VLOOKUP(A32,'Rate Application - REM Cycle I'!$1:$65535,20,FALSE)</f>
        <v>458.6754750324082</v>
      </c>
      <c r="K32" s="11">
        <f t="shared" si="0"/>
        <v>15161.021015153667</v>
      </c>
      <c r="L32" s="11">
        <f t="shared" si="1"/>
        <v>161592199.27157882</v>
      </c>
      <c r="M32" s="36">
        <f>VLOOKUP(A32,'Variable Input'!$1:$1048576,23,FALSE)</f>
        <v>0.99671861092415948</v>
      </c>
      <c r="N32" s="22">
        <f t="shared" si="2"/>
        <v>161061952.39414802</v>
      </c>
      <c r="O32" s="19">
        <f t="shared" si="3"/>
        <v>15111.271806415953</v>
      </c>
      <c r="P32" s="18">
        <f>VLOOKUP(A32,'Rate Application - REM Cycle I'!$1:$65535,11,FALSE)</f>
        <v>2754406.3071728726</v>
      </c>
      <c r="Q32" s="18">
        <f t="shared" si="4"/>
        <v>163816358.70132089</v>
      </c>
      <c r="R32" s="19">
        <f t="shared" si="5"/>
        <v>15369.697721129425</v>
      </c>
      <c r="S32" s="81">
        <f>VLOOKUP(A32,'Rate Application - REM Cycle I'!$1:$65535,9,FALSE)</f>
        <v>1.1259331913445376</v>
      </c>
      <c r="T32" s="19">
        <f t="shared" si="6"/>
        <v>184446275.54701975</v>
      </c>
      <c r="U32" s="22">
        <f t="shared" si="7"/>
        <v>17305.252805152122</v>
      </c>
      <c r="V32" s="88">
        <f>IFERROR(VLOOKUP(A33,'PAU Volume'!AX:AZ,3,FALSE)-VLOOKUP(A33,'PAU Volume'!#REF!,4,FALSE)+VLOOKUP(A33,'PAU Volume'!#REF!,2,FALSE),0)*0</f>
        <v>0</v>
      </c>
      <c r="W32" s="79">
        <f t="shared" si="8"/>
        <v>10658.398211444006</v>
      </c>
      <c r="X32" s="15">
        <f t="shared" si="9"/>
        <v>184446275.54701975</v>
      </c>
      <c r="Y32" s="11">
        <f>VLOOKUP(A32,'Rate Application - REM Cycle I'!$1:$65535,7,FALSE)</f>
        <v>245342788.39216566</v>
      </c>
      <c r="Z32" s="78">
        <f t="shared" si="10"/>
        <v>-0.24820991578446772</v>
      </c>
      <c r="AA32" s="82">
        <f>IFERROR(VLOOKUP(A32,'GBR Revenue for ICC'!#REF!,17,FALSE),0)</f>
        <v>0</v>
      </c>
      <c r="AB32" s="82">
        <f t="shared" si="11"/>
        <v>0</v>
      </c>
      <c r="AC32" s="11">
        <f t="shared" si="12"/>
        <v>245342788.39216566</v>
      </c>
      <c r="AD32" s="11">
        <f t="shared" si="13"/>
        <v>184446275.54701975</v>
      </c>
      <c r="AE32" s="10">
        <v>1</v>
      </c>
      <c r="AG32" s="271"/>
    </row>
    <row r="33" spans="1:33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IF(C33=1,'Rate Application - REM Cycle I'!$X$65,IF(C33=3,'Rate Application - REM Cycle I'!$X$66,IF(C33=4,'Rate Application - REM Cycle I'!$X$67,IF(C33=5,'Rate Application - REM Cycle I'!$X$68,0))))</f>
        <v>14752.82215273459</v>
      </c>
      <c r="E33" s="87">
        <v>0</v>
      </c>
      <c r="F33" s="87">
        <v>0</v>
      </c>
      <c r="G33" s="87">
        <v>0</v>
      </c>
      <c r="H33" s="87">
        <f>D33*(1-PROFIT!$H$58)</f>
        <v>14702.345540121258</v>
      </c>
      <c r="I33" s="65">
        <f>VLOOKUP(A33,'Rate Application - REM Cycle I'!$1:$65535,15,FALSE)</f>
        <v>10412.594138032973</v>
      </c>
      <c r="J33" s="19">
        <f>VLOOKUP(A33,'Rate Application - REM Cycle I'!$1:$65535,20,FALSE)</f>
        <v>0</v>
      </c>
      <c r="K33" s="11">
        <f t="shared" si="0"/>
        <v>14702.345540121258</v>
      </c>
      <c r="L33" s="11">
        <f t="shared" si="1"/>
        <v>153089556.98640183</v>
      </c>
      <c r="M33" s="36">
        <f>VLOOKUP(A33,'Variable Input'!$1:$1048576,23,FALSE)</f>
        <v>0.99671861092415948</v>
      </c>
      <c r="N33" s="22">
        <f t="shared" si="2"/>
        <v>152587210.58648139</v>
      </c>
      <c r="O33" s="19">
        <f t="shared" si="3"/>
        <v>14654.101424076671</v>
      </c>
      <c r="P33" s="18">
        <f>VLOOKUP(A33,'Rate Application - REM Cycle I'!$1:$65535,11,FALSE)</f>
        <v>0</v>
      </c>
      <c r="Q33" s="18">
        <f t="shared" si="4"/>
        <v>152587210.58648139</v>
      </c>
      <c r="R33" s="19">
        <f t="shared" si="5"/>
        <v>14654.101424076671</v>
      </c>
      <c r="S33" s="81">
        <f>VLOOKUP(A33,'Rate Application - REM Cycle I'!$1:$65535,9,FALSE)</f>
        <v>1.1205505604288228</v>
      </c>
      <c r="T33" s="19">
        <f t="shared" si="6"/>
        <v>170981684.33695254</v>
      </c>
      <c r="U33" s="22">
        <f t="shared" si="7"/>
        <v>16420.661563329926</v>
      </c>
      <c r="V33" s="88">
        <f>IFERROR(VLOOKUP(A34,'PAU Volume'!AX:AZ,3,FALSE)-VLOOKUP(A34,'PAU Volume'!#REF!,4,FALSE)+VLOOKUP(A34,'PAU Volume'!#REF!,2,FALSE),0)*0</f>
        <v>0</v>
      </c>
      <c r="W33" s="79">
        <f t="shared" si="8"/>
        <v>10412.594138032973</v>
      </c>
      <c r="X33" s="15">
        <f t="shared" si="9"/>
        <v>170981684.33695254</v>
      </c>
      <c r="Y33" s="11">
        <f>VLOOKUP(A33,'Rate Application - REM Cycle I'!$1:$65535,7,FALSE)</f>
        <v>167288474.26448706</v>
      </c>
      <c r="Z33" s="78">
        <f t="shared" si="10"/>
        <v>2.2076894948700465E-2</v>
      </c>
      <c r="AA33" s="82">
        <f>IFERROR(VLOOKUP(A33,'GBR Revenue for ICC'!#REF!,17,FALSE),0)</f>
        <v>0</v>
      </c>
      <c r="AB33" s="82">
        <f t="shared" si="11"/>
        <v>0</v>
      </c>
      <c r="AC33" s="11">
        <f t="shared" si="12"/>
        <v>167288474.26448706</v>
      </c>
      <c r="AD33" s="11">
        <f t="shared" si="13"/>
        <v>170981684.33695254</v>
      </c>
      <c r="AE33" s="10">
        <v>1</v>
      </c>
      <c r="AG33" s="271"/>
    </row>
    <row r="34" spans="1:33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IF(C34=1,'Rate Application - REM Cycle I'!$X$65,IF(C34=3,'Rate Application - REM Cycle I'!$X$66,IF(C34=4,'Rate Application - REM Cycle I'!$X$67,IF(C34=5,'Rate Application - REM Cycle I'!$X$68,0))))</f>
        <v>14752.82215273459</v>
      </c>
      <c r="E34" s="87">
        <v>0</v>
      </c>
      <c r="F34" s="87">
        <v>0</v>
      </c>
      <c r="G34" s="87">
        <v>0</v>
      </c>
      <c r="H34" s="87">
        <f>D34*(1-PROFIT!$H$58)</f>
        <v>14702.345540121258</v>
      </c>
      <c r="I34" s="65">
        <f>VLOOKUP(A34,'Rate Application - REM Cycle I'!$1:$65535,15,FALSE)</f>
        <v>15965.725843327995</v>
      </c>
      <c r="J34" s="19">
        <f>VLOOKUP(A34,'Rate Application - REM Cycle I'!$1:$65535,20,FALSE)</f>
        <v>0</v>
      </c>
      <c r="K34" s="11">
        <f t="shared" si="0"/>
        <v>14702.345540121258</v>
      </c>
      <c r="L34" s="11">
        <f t="shared" si="1"/>
        <v>234733618.14745206</v>
      </c>
      <c r="M34" s="36">
        <f>VLOOKUP(A34,'Variable Input'!$1:$1048576,23,FALSE)</f>
        <v>0.99671861092415948</v>
      </c>
      <c r="N34" s="22">
        <f t="shared" si="2"/>
        <v>233963365.81713048</v>
      </c>
      <c r="O34" s="19">
        <f t="shared" si="3"/>
        <v>14654.101424076671</v>
      </c>
      <c r="P34" s="18">
        <f>VLOOKUP(A34,'Rate Application - REM Cycle I'!$1:$65535,11,FALSE)</f>
        <v>0</v>
      </c>
      <c r="Q34" s="18">
        <f t="shared" si="4"/>
        <v>233963365.81713048</v>
      </c>
      <c r="R34" s="19">
        <f t="shared" si="5"/>
        <v>14654.101424076671</v>
      </c>
      <c r="S34" s="81">
        <f>VLOOKUP(A34,'Rate Application - REM Cycle I'!$1:$65535,9,FALSE)</f>
        <v>1.120710322524318</v>
      </c>
      <c r="T34" s="19">
        <f t="shared" si="6"/>
        <v>262205159.1637913</v>
      </c>
      <c r="U34" s="22">
        <f t="shared" si="7"/>
        <v>16423.002733281035</v>
      </c>
      <c r="V34" s="88">
        <f>IFERROR(VLOOKUP(A35,'PAU Volume'!AX:AZ,3,FALSE)-VLOOKUP(A35,'PAU Volume'!#REF!,4,FALSE)+VLOOKUP(A35,'PAU Volume'!#REF!,2,FALSE),0)*0</f>
        <v>0</v>
      </c>
      <c r="W34" s="79">
        <f t="shared" si="8"/>
        <v>15965.725843327995</v>
      </c>
      <c r="X34" s="15">
        <f t="shared" si="9"/>
        <v>262205159.16379133</v>
      </c>
      <c r="Y34" s="11">
        <f>VLOOKUP(A34,'Rate Application - REM Cycle I'!$1:$65535,7,FALSE)</f>
        <v>293088731.67995536</v>
      </c>
      <c r="Z34" s="78">
        <f t="shared" si="10"/>
        <v>-0.10537277342306028</v>
      </c>
      <c r="AA34" s="82">
        <f>IFERROR(VLOOKUP(A34,'GBR Revenue for ICC'!#REF!,17,FALSE),0)</f>
        <v>0</v>
      </c>
      <c r="AB34" s="82">
        <f t="shared" si="11"/>
        <v>0</v>
      </c>
      <c r="AC34" s="11">
        <f t="shared" si="12"/>
        <v>293088731.67995536</v>
      </c>
      <c r="AD34" s="11">
        <f t="shared" si="13"/>
        <v>262205159.16379133</v>
      </c>
      <c r="AE34" s="10">
        <v>1</v>
      </c>
      <c r="AG34" s="271"/>
    </row>
    <row r="35" spans="1:33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IF(C35=1,'Rate Application - REM Cycle I'!$X$65,IF(C35=3,'Rate Application - REM Cycle I'!$X$66,IF(C35=4,'Rate Application - REM Cycle I'!$X$67,IF(C35=5,'Rate Application - REM Cycle I'!$X$68,0))))</f>
        <v>14752.82215273459</v>
      </c>
      <c r="E35" s="87">
        <v>0</v>
      </c>
      <c r="F35" s="87">
        <v>0</v>
      </c>
      <c r="G35" s="87">
        <v>0</v>
      </c>
      <c r="H35" s="87">
        <f>D35*(1-PROFIT!$H$58)</f>
        <v>14702.345540121258</v>
      </c>
      <c r="I35" s="65">
        <f>VLOOKUP(A35,'Rate Application - REM Cycle I'!$1:$65535,15,FALSE)</f>
        <v>30943.516611114035</v>
      </c>
      <c r="J35" s="19">
        <f>VLOOKUP(A35,'Rate Application - REM Cycle I'!$1:$65535,20,FALSE)</f>
        <v>21.316398664597084</v>
      </c>
      <c r="K35" s="11">
        <f t="shared" si="0"/>
        <v>14723.661938785855</v>
      </c>
      <c r="L35" s="11">
        <f t="shared" si="1"/>
        <v>455601877.77924758</v>
      </c>
      <c r="M35" s="36">
        <f>VLOOKUP(A35,'Variable Input'!$1:$1048576,23,FALSE)</f>
        <v>0.99671861092415948</v>
      </c>
      <c r="N35" s="22">
        <f t="shared" si="2"/>
        <v>454106870.75457031</v>
      </c>
      <c r="O35" s="19">
        <f t="shared" si="3"/>
        <v>14675.347875343554</v>
      </c>
      <c r="P35" s="18">
        <f>VLOOKUP(A35,'Rate Application - REM Cycle I'!$1:$65535,11,FALSE)</f>
        <v>751420.3248961916</v>
      </c>
      <c r="Q35" s="18">
        <f t="shared" si="4"/>
        <v>454858291.07946652</v>
      </c>
      <c r="R35" s="19">
        <f t="shared" si="5"/>
        <v>14699.631486490269</v>
      </c>
      <c r="S35" s="81">
        <f>VLOOKUP(A35,'Rate Application - REM Cycle I'!$1:$65535,9,FALSE)</f>
        <v>1.1174861425645124</v>
      </c>
      <c r="T35" s="19">
        <f t="shared" si="6"/>
        <v>508297837.11187923</v>
      </c>
      <c r="U35" s="22">
        <f t="shared" si="7"/>
        <v>16426.634486957861</v>
      </c>
      <c r="V35" s="88">
        <f>IFERROR(VLOOKUP(A36,'PAU Volume'!AX:AZ,3,FALSE)-VLOOKUP(A36,'PAU Volume'!#REF!,4,FALSE)+VLOOKUP(A36,'PAU Volume'!#REF!,2,FALSE),0)*0</f>
        <v>0</v>
      </c>
      <c r="W35" s="79">
        <f t="shared" si="8"/>
        <v>30943.516611114035</v>
      </c>
      <c r="X35" s="15">
        <f t="shared" si="9"/>
        <v>508297837.11187923</v>
      </c>
      <c r="Y35" s="11">
        <f>VLOOKUP(A35,'Rate Application - REM Cycle I'!$1:$65535,7,FALSE)</f>
        <v>494588494.72270107</v>
      </c>
      <c r="Z35" s="78">
        <f t="shared" si="10"/>
        <v>2.7718684392091575E-2</v>
      </c>
      <c r="AA35" s="82">
        <f>IFERROR(VLOOKUP(A35,'GBR Revenue for ICC'!#REF!,17,FALSE),0)</f>
        <v>0</v>
      </c>
      <c r="AB35" s="82">
        <f t="shared" si="11"/>
        <v>0</v>
      </c>
      <c r="AC35" s="11">
        <f t="shared" si="12"/>
        <v>494588494.72270107</v>
      </c>
      <c r="AD35" s="11">
        <f t="shared" si="13"/>
        <v>508297837.11187923</v>
      </c>
      <c r="AE35" s="10">
        <v>1</v>
      </c>
      <c r="AG35" s="271"/>
    </row>
    <row r="36" spans="1:33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IF(C36=1,'Rate Application - REM Cycle I'!$X$65,IF(C36=3,'Rate Application - REM Cycle I'!$X$66,IF(C36=4,'Rate Application - REM Cycle I'!$X$67,IF(C36=5,'Rate Application - REM Cycle I'!$X$68,0))))</f>
        <v>14752.82215273459</v>
      </c>
      <c r="E36" s="87">
        <v>0</v>
      </c>
      <c r="F36" s="87">
        <v>0</v>
      </c>
      <c r="G36" s="87">
        <v>0</v>
      </c>
      <c r="H36" s="87">
        <f>D36*(1-PROFIT!$H$58)</f>
        <v>14702.345540121258</v>
      </c>
      <c r="I36" s="65">
        <f>VLOOKUP(A36,'Rate Application - REM Cycle I'!$1:$65535,15,FALSE)</f>
        <v>30637.922123716067</v>
      </c>
      <c r="J36" s="19">
        <f>VLOOKUP(A36,'Rate Application - REM Cycle I'!$1:$65535,20,FALSE)</f>
        <v>249.73659338390533</v>
      </c>
      <c r="K36" s="11">
        <f t="shared" si="0"/>
        <v>14952.082133505162</v>
      </c>
      <c r="L36" s="11">
        <f t="shared" si="1"/>
        <v>458100727.99373758</v>
      </c>
      <c r="M36" s="36">
        <f>VLOOKUP(A36,'Variable Input'!$1:$1048576,23,FALSE)</f>
        <v>0.99671861092415948</v>
      </c>
      <c r="N36" s="22">
        <f t="shared" si="2"/>
        <v>456597521.26926434</v>
      </c>
      <c r="O36" s="19">
        <f t="shared" si="3"/>
        <v>14903.018534531209</v>
      </c>
      <c r="P36" s="18">
        <f>VLOOKUP(A36,'Rate Application - REM Cycle I'!$1:$65535,11,FALSE)</f>
        <v>7270460.1939369692</v>
      </c>
      <c r="Q36" s="18">
        <f t="shared" si="4"/>
        <v>463867981.46320128</v>
      </c>
      <c r="R36" s="19">
        <f t="shared" si="5"/>
        <v>15140.321187256117</v>
      </c>
      <c r="S36" s="81">
        <f>VLOOKUP(A36,'Rate Application - REM Cycle I'!$1:$65535,9,FALSE)</f>
        <v>1.1074866213835981</v>
      </c>
      <c r="T36" s="19">
        <f t="shared" si="6"/>
        <v>513727583.55871028</v>
      </c>
      <c r="U36" s="22">
        <f t="shared" si="7"/>
        <v>16767.703158336783</v>
      </c>
      <c r="V36" s="88">
        <f>IFERROR(VLOOKUP(A37,'PAU Volume'!AX:AZ,3,FALSE)-VLOOKUP(A37,'PAU Volume'!#REF!,4,FALSE)+VLOOKUP(A37,'PAU Volume'!#REF!,2,FALSE),0)*0</f>
        <v>0</v>
      </c>
      <c r="W36" s="79">
        <f t="shared" si="8"/>
        <v>30637.922123716067</v>
      </c>
      <c r="X36" s="15">
        <f t="shared" si="9"/>
        <v>513727583.55871028</v>
      </c>
      <c r="Y36" s="11">
        <f>VLOOKUP(A36,'Rate Application - REM Cycle I'!$1:$65535,7,FALSE)</f>
        <v>487480078.48555809</v>
      </c>
      <c r="Z36" s="78">
        <f t="shared" si="10"/>
        <v>5.3843236332230537E-2</v>
      </c>
      <c r="AA36" s="82">
        <f>IFERROR(VLOOKUP(A36,'GBR Revenue for ICC'!#REF!,17,FALSE),0)</f>
        <v>0</v>
      </c>
      <c r="AB36" s="82">
        <f t="shared" si="11"/>
        <v>0</v>
      </c>
      <c r="AC36" s="11">
        <f t="shared" si="12"/>
        <v>487480078.48555809</v>
      </c>
      <c r="AD36" s="11">
        <f t="shared" si="13"/>
        <v>513727583.55871028</v>
      </c>
      <c r="AE36" s="10">
        <v>1</v>
      </c>
      <c r="AG36" s="271"/>
    </row>
    <row r="37" spans="1:33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IF(C37=1,'Rate Application - REM Cycle I'!$X$65,IF(C37=3,'Rate Application - REM Cycle I'!$X$66,IF(C37=4,'Rate Application - REM Cycle I'!$X$67,IF(C37=5,'Rate Application - REM Cycle I'!$X$68,0))))</f>
        <v>0</v>
      </c>
      <c r="E37" s="87">
        <v>0</v>
      </c>
      <c r="F37" s="87">
        <v>0</v>
      </c>
      <c r="G37" s="87">
        <v>0</v>
      </c>
      <c r="H37" s="87">
        <f>D37*(1-PROFIT!$H$58)</f>
        <v>0</v>
      </c>
      <c r="I37" s="65">
        <f>VLOOKUP(A37,'Rate Application - REM Cycle I'!$1:$65535,15,FALSE)</f>
        <v>566.52872944799947</v>
      </c>
      <c r="J37" s="19">
        <f>VLOOKUP(A37,'Rate Application - REM Cycle I'!$1:$65535,20,FALSE)</f>
        <v>0</v>
      </c>
      <c r="K37" s="11">
        <f t="shared" si="0"/>
        <v>0</v>
      </c>
      <c r="L37" s="11">
        <f t="shared" si="1"/>
        <v>0</v>
      </c>
      <c r="M37" s="36">
        <f>VLOOKUP(A37,'Variable Input'!$1:$1048576,23,FALSE)</f>
        <v>0.99671861092415948</v>
      </c>
      <c r="N37" s="22">
        <f t="shared" si="2"/>
        <v>0</v>
      </c>
      <c r="O37" s="19">
        <f t="shared" si="3"/>
        <v>0</v>
      </c>
      <c r="P37" s="18">
        <f>VLOOKUP(A37,'Rate Application - REM Cycle I'!$1:$65535,11,FALSE)</f>
        <v>0</v>
      </c>
      <c r="Q37" s="18">
        <f t="shared" si="4"/>
        <v>0</v>
      </c>
      <c r="R37" s="19">
        <f t="shared" si="5"/>
        <v>0</v>
      </c>
      <c r="S37" s="81">
        <f>VLOOKUP(A37,'Rate Application - REM Cycle I'!$1:$65535,9,FALSE)</f>
        <v>1.1235285459397526</v>
      </c>
      <c r="T37" s="19">
        <f t="shared" si="6"/>
        <v>0</v>
      </c>
      <c r="U37" s="22">
        <f t="shared" si="7"/>
        <v>0</v>
      </c>
      <c r="V37" s="88">
        <f>IFERROR(VLOOKUP(A38,'PAU Volume'!AX:AZ,3,FALSE)-VLOOKUP(A38,'PAU Volume'!#REF!,4,FALSE)+VLOOKUP(A38,'PAU Volume'!#REF!,2,FALSE),0)*0</f>
        <v>0</v>
      </c>
      <c r="W37" s="79">
        <f t="shared" si="8"/>
        <v>566.52872944799947</v>
      </c>
      <c r="X37" s="15">
        <f t="shared" si="9"/>
        <v>0</v>
      </c>
      <c r="Y37" s="11">
        <f>VLOOKUP(A37,'Rate Application - REM Cycle I'!$1:$65535,7,FALSE)</f>
        <v>6750663.1586297443</v>
      </c>
      <c r="Z37" s="78">
        <f t="shared" si="10"/>
        <v>-1</v>
      </c>
      <c r="AA37" s="82">
        <f>IFERROR(VLOOKUP(A37,'GBR Revenue for ICC'!#REF!,17,FALSE),0)</f>
        <v>0</v>
      </c>
      <c r="AB37" s="82">
        <f t="shared" si="11"/>
        <v>0</v>
      </c>
      <c r="AC37" s="11">
        <f t="shared" si="12"/>
        <v>6750663.1586297443</v>
      </c>
      <c r="AD37" s="11">
        <f t="shared" si="13"/>
        <v>0</v>
      </c>
      <c r="AE37" s="10">
        <v>1</v>
      </c>
      <c r="AG37" s="271"/>
    </row>
    <row r="38" spans="1:33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IF(C38=1,'Rate Application - REM Cycle I'!$X$65,IF(C38=3,'Rate Application - REM Cycle I'!$X$66,IF(C38=4,'Rate Application - REM Cycle I'!$X$67,IF(C38=5,'Rate Application - REM Cycle I'!$X$68,0))))</f>
        <v>14752.82215273459</v>
      </c>
      <c r="E38" s="87">
        <v>0</v>
      </c>
      <c r="F38" s="87">
        <v>0</v>
      </c>
      <c r="G38" s="87">
        <v>0</v>
      </c>
      <c r="H38" s="87">
        <f>D38*(1-PROFIT!$H$58)</f>
        <v>14702.345540121258</v>
      </c>
      <c r="I38" s="65">
        <f>VLOOKUP(A38,'Rate Application - REM Cycle I'!$1:$65535,15,FALSE)</f>
        <v>24559.146065829038</v>
      </c>
      <c r="J38" s="19">
        <f>VLOOKUP(A38,'Rate Application - REM Cycle I'!$1:$65535,20,FALSE)</f>
        <v>0</v>
      </c>
      <c r="K38" s="11">
        <f t="shared" si="0"/>
        <v>14702.345540121258</v>
      </c>
      <c r="L38" s="11">
        <f t="shared" si="1"/>
        <v>361077051.63012809</v>
      </c>
      <c r="M38" s="36">
        <f>VLOOKUP(A38,'Variable Input'!$1:$1048576,23,FALSE)</f>
        <v>0.99671861092415948</v>
      </c>
      <c r="N38" s="22">
        <f t="shared" si="2"/>
        <v>359892217.3373723</v>
      </c>
      <c r="O38" s="19">
        <f t="shared" si="3"/>
        <v>14654.101424076673</v>
      </c>
      <c r="P38" s="18">
        <f>VLOOKUP(A38,'Rate Application - REM Cycle I'!$1:$65535,11,FALSE)</f>
        <v>0</v>
      </c>
      <c r="Q38" s="18">
        <f t="shared" si="4"/>
        <v>359892217.3373723</v>
      </c>
      <c r="R38" s="19">
        <f t="shared" si="5"/>
        <v>14654.101424076673</v>
      </c>
      <c r="S38" s="81">
        <f>VLOOKUP(A38,'Rate Application - REM Cycle I'!$1:$65535,9,FALSE)</f>
        <v>1.1035189993630976</v>
      </c>
      <c r="T38" s="19">
        <f t="shared" si="6"/>
        <v>397147899.55470353</v>
      </c>
      <c r="U38" s="22">
        <f t="shared" si="7"/>
        <v>16171.079340062433</v>
      </c>
      <c r="V38" s="88">
        <f>IFERROR(VLOOKUP(A39,'PAU Volume'!AX:AZ,3,FALSE)-VLOOKUP(A39,'PAU Volume'!#REF!,4,FALSE)+VLOOKUP(A39,'PAU Volume'!#REF!,2,FALSE),0)*0</f>
        <v>0</v>
      </c>
      <c r="W38" s="79">
        <f t="shared" si="8"/>
        <v>24559.146065829038</v>
      </c>
      <c r="X38" s="15">
        <f t="shared" si="9"/>
        <v>397147899.55470353</v>
      </c>
      <c r="Y38" s="11">
        <f>VLOOKUP(A38,'Rate Application - REM Cycle I'!$1:$65535,7,FALSE)</f>
        <v>347364244.13401937</v>
      </c>
      <c r="Z38" s="78">
        <f t="shared" si="10"/>
        <v>0.14331830711245197</v>
      </c>
      <c r="AA38" s="82">
        <f>IFERROR(VLOOKUP(A38,'GBR Revenue for ICC'!#REF!,17,FALSE),0)</f>
        <v>0</v>
      </c>
      <c r="AB38" s="82">
        <f t="shared" si="11"/>
        <v>0</v>
      </c>
      <c r="AC38" s="11">
        <f t="shared" si="12"/>
        <v>347364244.13401937</v>
      </c>
      <c r="AD38" s="11">
        <f t="shared" si="13"/>
        <v>397147899.55470353</v>
      </c>
      <c r="AE38" s="10">
        <v>1</v>
      </c>
      <c r="AG38" s="271"/>
    </row>
    <row r="39" spans="1:33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IF(C39=1,'Rate Application - REM Cycle I'!$X$65,IF(C39=3,'Rate Application - REM Cycle I'!$X$66,IF(C39=4,'Rate Application - REM Cycle I'!$X$67,IF(C39=5,'Rate Application - REM Cycle I'!$X$68,0))))</f>
        <v>14752.82215273459</v>
      </c>
      <c r="E39" s="87">
        <v>0</v>
      </c>
      <c r="F39" s="87">
        <v>0</v>
      </c>
      <c r="G39" s="87">
        <v>0</v>
      </c>
      <c r="H39" s="87">
        <f>D39*(1-PROFIT!$H$58)</f>
        <v>14702.345540121258</v>
      </c>
      <c r="I39" s="65">
        <f>VLOOKUP(A39,'Rate Application - REM Cycle I'!$1:$65535,15,FALSE)</f>
        <v>24233.031990069048</v>
      </c>
      <c r="J39" s="19">
        <f>VLOOKUP(A39,'Rate Application - REM Cycle I'!$1:$65535,20,FALSE)</f>
        <v>0</v>
      </c>
      <c r="K39" s="11">
        <f t="shared" si="0"/>
        <v>14702.345540121258</v>
      </c>
      <c r="L39" s="11">
        <f t="shared" si="1"/>
        <v>356282409.80280745</v>
      </c>
      <c r="M39" s="36">
        <f>VLOOKUP(A39,'Variable Input'!$1:$1048576,23,FALSE)</f>
        <v>0.99671861092415948</v>
      </c>
      <c r="N39" s="22">
        <f t="shared" si="2"/>
        <v>355113308.59536636</v>
      </c>
      <c r="O39" s="19">
        <f t="shared" si="3"/>
        <v>14654.101424076671</v>
      </c>
      <c r="P39" s="18">
        <f>VLOOKUP(A39,'Rate Application - REM Cycle I'!$1:$65535,11,FALSE)</f>
        <v>0</v>
      </c>
      <c r="Q39" s="18">
        <f t="shared" si="4"/>
        <v>355113308.59536636</v>
      </c>
      <c r="R39" s="19">
        <f t="shared" si="5"/>
        <v>14654.101424076671</v>
      </c>
      <c r="S39" s="81">
        <f>VLOOKUP(A39,'Rate Application - REM Cycle I'!$1:$65535,9,FALSE)</f>
        <v>1.1147926720978587</v>
      </c>
      <c r="T39" s="19">
        <f t="shared" si="6"/>
        <v>395877714.18653995</v>
      </c>
      <c r="U39" s="22">
        <f t="shared" si="7"/>
        <v>16336.284883739469</v>
      </c>
      <c r="V39" s="88">
        <f>IFERROR(VLOOKUP(A40,'PAU Volume'!AX:AZ,3,FALSE)-VLOOKUP(A40,'PAU Volume'!#REF!,4,FALSE)+VLOOKUP(A40,'PAU Volume'!#REF!,2,FALSE),0)*0</f>
        <v>0</v>
      </c>
      <c r="W39" s="79">
        <f t="shared" si="8"/>
        <v>24233.031990069048</v>
      </c>
      <c r="X39" s="15">
        <f t="shared" si="9"/>
        <v>395877714.18653995</v>
      </c>
      <c r="Y39" s="11">
        <f>VLOOKUP(A39,'Rate Application - REM Cycle I'!$1:$65535,7,FALSE)</f>
        <v>360755199.70698422</v>
      </c>
      <c r="Z39" s="78">
        <f t="shared" si="10"/>
        <v>9.735830421317071E-2</v>
      </c>
      <c r="AA39" s="82">
        <f>IFERROR(VLOOKUP(A39,'GBR Revenue for ICC'!#REF!,17,FALSE),0)</f>
        <v>0</v>
      </c>
      <c r="AB39" s="82">
        <f t="shared" si="11"/>
        <v>0</v>
      </c>
      <c r="AC39" s="11">
        <f t="shared" si="12"/>
        <v>360755199.70698422</v>
      </c>
      <c r="AD39" s="11">
        <f t="shared" si="13"/>
        <v>395877714.18653995</v>
      </c>
      <c r="AE39" s="10">
        <v>1</v>
      </c>
      <c r="AG39" s="271"/>
    </row>
    <row r="40" spans="1:33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IF(C40=1,'Rate Application - REM Cycle I'!$X$65,IF(C40=3,'Rate Application - REM Cycle I'!$X$66,IF(C40=4,'Rate Application - REM Cycle I'!$X$67,IF(C40=5,'Rate Application - REM Cycle I'!$X$68,0))))</f>
        <v>14752.82215273459</v>
      </c>
      <c r="E40" s="87">
        <v>0</v>
      </c>
      <c r="F40" s="87">
        <v>0</v>
      </c>
      <c r="G40" s="87">
        <v>0</v>
      </c>
      <c r="H40" s="87">
        <f>D40*(1-PROFIT!$H$58)</f>
        <v>14702.345540121258</v>
      </c>
      <c r="I40" s="65">
        <f>VLOOKUP(A40,'Rate Application - REM Cycle I'!$1:$65535,15,FALSE)</f>
        <v>15907.038226505023</v>
      </c>
      <c r="J40" s="19">
        <f>VLOOKUP(A40,'Rate Application - REM Cycle I'!$1:$65535,20,FALSE)</f>
        <v>0</v>
      </c>
      <c r="K40" s="11">
        <f t="shared" si="0"/>
        <v>14702.345540121258</v>
      </c>
      <c r="L40" s="11">
        <f t="shared" si="1"/>
        <v>233870772.52599448</v>
      </c>
      <c r="M40" s="36">
        <f>VLOOKUP(A40,'Variable Input'!$1:$1048576,23,FALSE)</f>
        <v>1.0181752931904677</v>
      </c>
      <c r="N40" s="22">
        <f t="shared" si="2"/>
        <v>238121442.38533562</v>
      </c>
      <c r="O40" s="19">
        <f t="shared" si="3"/>
        <v>14969.564980900528</v>
      </c>
      <c r="P40" s="18">
        <f>VLOOKUP(A40,'Rate Application - REM Cycle I'!$1:$65535,11,FALSE)</f>
        <v>0</v>
      </c>
      <c r="Q40" s="18">
        <f t="shared" si="4"/>
        <v>238121442.38533562</v>
      </c>
      <c r="R40" s="19">
        <f t="shared" si="5"/>
        <v>14969.564980900528</v>
      </c>
      <c r="S40" s="81">
        <f>VLOOKUP(A40,'Rate Application - REM Cycle I'!$1:$65535,9,FALSE)</f>
        <v>1.1175427593245362</v>
      </c>
      <c r="T40" s="19">
        <f t="shared" si="6"/>
        <v>266110893.77764654</v>
      </c>
      <c r="U40" s="22">
        <f t="shared" si="7"/>
        <v>16729.128954643522</v>
      </c>
      <c r="V40" s="88">
        <f>IFERROR(VLOOKUP(A41,'PAU Volume'!AX:AZ,3,FALSE)-VLOOKUP(A41,'PAU Volume'!#REF!,4,FALSE)+VLOOKUP(A41,'PAU Volume'!#REF!,2,FALSE),0)*0</f>
        <v>0</v>
      </c>
      <c r="W40" s="79">
        <f t="shared" si="8"/>
        <v>15907.038226505023</v>
      </c>
      <c r="X40" s="15">
        <f t="shared" si="9"/>
        <v>266110893.77764651</v>
      </c>
      <c r="Y40" s="11">
        <f>VLOOKUP(A40,'Rate Application - REM Cycle I'!$1:$65535,7,FALSE)</f>
        <v>285985121.35552841</v>
      </c>
      <c r="Z40" s="78">
        <f t="shared" si="10"/>
        <v>-6.9493921514800938E-2</v>
      </c>
      <c r="AA40" s="82">
        <f>IFERROR(VLOOKUP(A40,'GBR Revenue for ICC'!#REF!,17,FALSE),0)</f>
        <v>0</v>
      </c>
      <c r="AB40" s="82">
        <f t="shared" si="11"/>
        <v>0</v>
      </c>
      <c r="AC40" s="11">
        <f t="shared" si="12"/>
        <v>285985121.35552841</v>
      </c>
      <c r="AD40" s="11">
        <f t="shared" si="13"/>
        <v>266110893.77764651</v>
      </c>
      <c r="AE40" s="10">
        <v>1</v>
      </c>
      <c r="AG40" s="271"/>
    </row>
    <row r="41" spans="1:33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IF(C41=1,'Rate Application - REM Cycle I'!$X$65,IF(C41=3,'Rate Application - REM Cycle I'!$X$66,IF(C41=4,'Rate Application - REM Cycle I'!$X$67,IF(C41=5,'Rate Application - REM Cycle I'!$X$68,0))))</f>
        <v>0</v>
      </c>
      <c r="E41" s="87">
        <v>0</v>
      </c>
      <c r="F41" s="87">
        <v>0</v>
      </c>
      <c r="G41" s="87">
        <v>0</v>
      </c>
      <c r="H41" s="87">
        <f>D41*(1-PROFIT!$H$58)</f>
        <v>0</v>
      </c>
      <c r="I41" s="65">
        <f>VLOOKUP(A41,'Rate Application - REM Cycle I'!$1:$65535,15,FALSE)</f>
        <v>1984.4844588999965</v>
      </c>
      <c r="J41" s="19">
        <f>VLOOKUP(A41,'Rate Application - REM Cycle I'!$1:$65535,20,FALSE)</f>
        <v>0</v>
      </c>
      <c r="K41" s="11">
        <f t="shared" si="0"/>
        <v>0</v>
      </c>
      <c r="L41" s="11">
        <f t="shared" si="1"/>
        <v>0</v>
      </c>
      <c r="M41" s="36">
        <f>VLOOKUP(A41,'Variable Input'!$1:$1048576,23,FALSE)</f>
        <v>1.0181752931904677</v>
      </c>
      <c r="N41" s="22">
        <f t="shared" si="2"/>
        <v>0</v>
      </c>
      <c r="O41" s="19">
        <f t="shared" si="3"/>
        <v>0</v>
      </c>
      <c r="P41" s="18">
        <f>VLOOKUP(A41,'Rate Application - REM Cycle I'!$1:$65535,11,FALSE)</f>
        <v>141502.60406345228</v>
      </c>
      <c r="Q41" s="18">
        <f t="shared" si="4"/>
        <v>141502.60406345228</v>
      </c>
      <c r="R41" s="19">
        <f t="shared" si="5"/>
        <v>71.304465715940879</v>
      </c>
      <c r="S41" s="81">
        <f>VLOOKUP(A41,'Rate Application - REM Cycle I'!$1:$65535,9,FALSE)</f>
        <v>1.2317684965243516</v>
      </c>
      <c r="T41" s="19">
        <f t="shared" si="6"/>
        <v>174298.44986151921</v>
      </c>
      <c r="U41" s="22">
        <f t="shared" si="7"/>
        <v>87.830594530396667</v>
      </c>
      <c r="V41" s="88">
        <f>IFERROR(VLOOKUP(A42,'PAU Volume'!AX:AZ,3,FALSE)-VLOOKUP(A42,'PAU Volume'!#REF!,4,FALSE)+VLOOKUP(A42,'PAU Volume'!#REF!,2,FALSE),0)*0</f>
        <v>0</v>
      </c>
      <c r="W41" s="79">
        <f t="shared" si="8"/>
        <v>1984.4844588999965</v>
      </c>
      <c r="X41" s="15">
        <f t="shared" si="9"/>
        <v>174298.44986151921</v>
      </c>
      <c r="Y41" s="11">
        <f>VLOOKUP(A41,'Rate Application - REM Cycle I'!$1:$65535,7,FALSE)</f>
        <v>40225326.036725186</v>
      </c>
      <c r="Z41" s="78">
        <f t="shared" si="10"/>
        <v>-0.99566694749217477</v>
      </c>
      <c r="AA41" s="82">
        <f>IFERROR(VLOOKUP(A41,'GBR Revenue for ICC'!#REF!,17,FALSE),0)</f>
        <v>0</v>
      </c>
      <c r="AB41" s="82">
        <f t="shared" si="11"/>
        <v>0</v>
      </c>
      <c r="AC41" s="11">
        <f t="shared" si="12"/>
        <v>40225326.036725186</v>
      </c>
      <c r="AD41" s="11">
        <f t="shared" si="13"/>
        <v>174298.44986151921</v>
      </c>
      <c r="AE41" s="10">
        <v>1</v>
      </c>
      <c r="AG41" s="271"/>
    </row>
    <row r="42" spans="1:33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IF(C42=1,'Rate Application - REM Cycle I'!$X$65,IF(C42=3,'Rate Application - REM Cycle I'!$X$66,IF(C42=4,'Rate Application - REM Cycle I'!$X$67,IF(C42=5,'Rate Application - REM Cycle I'!$X$68,0))))</f>
        <v>14752.82215273459</v>
      </c>
      <c r="E42" s="87">
        <v>0</v>
      </c>
      <c r="F42" s="87">
        <v>0</v>
      </c>
      <c r="G42" s="87">
        <v>0</v>
      </c>
      <c r="H42" s="87">
        <f>D42*(1-PROFIT!$H$58)</f>
        <v>14702.345540121258</v>
      </c>
      <c r="I42" s="65">
        <f>VLOOKUP(A42,'Rate Application - REM Cycle I'!$1:$65535,15,FALSE)</f>
        <v>16881.552106553001</v>
      </c>
      <c r="J42" s="19">
        <f>VLOOKUP(A42,'Rate Application - REM Cycle I'!$1:$65535,20,FALSE)</f>
        <v>118.19803973248145</v>
      </c>
      <c r="K42" s="11">
        <f t="shared" si="0"/>
        <v>14820.54357985374</v>
      </c>
      <c r="L42" s="11">
        <f t="shared" si="1"/>
        <v>250193778.69074047</v>
      </c>
      <c r="M42" s="36">
        <f>VLOOKUP(A42,'Variable Input'!$1:$1048576,23,FALSE)</f>
        <v>0.99671861092415948</v>
      </c>
      <c r="N42" s="22">
        <f t="shared" si="2"/>
        <v>249372795.55850142</v>
      </c>
      <c r="O42" s="19">
        <f t="shared" si="3"/>
        <v>14771.91161005279</v>
      </c>
      <c r="P42" s="18">
        <f>VLOOKUP(A42,'Rate Application - REM Cycle I'!$1:$65535,11,FALSE)</f>
        <v>1799367.1419683334</v>
      </c>
      <c r="Q42" s="18">
        <f t="shared" si="4"/>
        <v>251172162.70046976</v>
      </c>
      <c r="R42" s="19">
        <f t="shared" si="5"/>
        <v>14878.499388866676</v>
      </c>
      <c r="S42" s="81">
        <f>VLOOKUP(A42,'Rate Application - REM Cycle I'!$1:$65535,9,FALSE)</f>
        <v>1.1293262174048309</v>
      </c>
      <c r="T42" s="19">
        <f t="shared" si="6"/>
        <v>283655308.41991228</v>
      </c>
      <c r="U42" s="22">
        <f t="shared" si="7"/>
        <v>16802.679435488892</v>
      </c>
      <c r="V42" s="88">
        <f>IFERROR(VLOOKUP(A43,'PAU Volume'!AX:AZ,3,FALSE)-VLOOKUP(A43,'PAU Volume'!#REF!,4,FALSE)+VLOOKUP(A43,'PAU Volume'!#REF!,2,FALSE),0)*0</f>
        <v>0</v>
      </c>
      <c r="W42" s="79">
        <f t="shared" si="8"/>
        <v>16881.552106553001</v>
      </c>
      <c r="X42" s="15">
        <f t="shared" si="9"/>
        <v>283655308.41991228</v>
      </c>
      <c r="Y42" s="11">
        <f>VLOOKUP(A42,'Rate Application - REM Cycle I'!$1:$65535,7,FALSE)</f>
        <v>303653479.39780694</v>
      </c>
      <c r="Z42" s="78">
        <f t="shared" si="10"/>
        <v>-6.5858527350169727E-2</v>
      </c>
      <c r="AA42" s="82">
        <f>IFERROR(VLOOKUP(A42,'GBR Revenue for ICC'!#REF!,17,FALSE),0)</f>
        <v>0</v>
      </c>
      <c r="AB42" s="82">
        <f t="shared" si="11"/>
        <v>0</v>
      </c>
      <c r="AC42" s="11">
        <f t="shared" si="12"/>
        <v>303653479.39780694</v>
      </c>
      <c r="AD42" s="11">
        <f t="shared" si="13"/>
        <v>283655308.41991228</v>
      </c>
      <c r="AE42" s="10">
        <v>1</v>
      </c>
    </row>
    <row r="43" spans="1:33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IF(C43=1,'Rate Application - REM Cycle I'!$X$65,IF(C43=3,'Rate Application - REM Cycle I'!$X$66,IF(C43=4,'Rate Application - REM Cycle I'!$X$67,IF(C43=5,'Rate Application - REM Cycle I'!$X$68,0))))</f>
        <v>14752.82215273459</v>
      </c>
      <c r="E43" s="87">
        <v>0</v>
      </c>
      <c r="F43" s="87">
        <v>0</v>
      </c>
      <c r="G43" s="87">
        <v>0</v>
      </c>
      <c r="H43" s="87">
        <f>D43*(1-PROFIT!$H$58)</f>
        <v>14702.345540121258</v>
      </c>
      <c r="I43" s="65">
        <f>VLOOKUP(A43,'Rate Application - REM Cycle I'!$1:$65535,15,FALSE)</f>
        <v>29567.442541858047</v>
      </c>
      <c r="J43" s="19">
        <f>VLOOKUP(A43,'Rate Application - REM Cycle I'!$1:$65535,20,FALSE)</f>
        <v>0</v>
      </c>
      <c r="K43" s="11">
        <f t="shared" si="0"/>
        <v>14702.345540121258</v>
      </c>
      <c r="L43" s="11">
        <f t="shared" si="1"/>
        <v>434710756.98807818</v>
      </c>
      <c r="M43" s="36">
        <f>VLOOKUP(A43,'Variable Input'!$1:$1048576,23,FALSE)</f>
        <v>1.0181752931904677</v>
      </c>
      <c r="N43" s="22">
        <f t="shared" si="2"/>
        <v>442611752.44938666</v>
      </c>
      <c r="O43" s="19">
        <f t="shared" si="3"/>
        <v>14969.564980900526</v>
      </c>
      <c r="P43" s="18">
        <f>VLOOKUP(A43,'Rate Application - REM Cycle I'!$1:$65535,11,FALSE)</f>
        <v>0</v>
      </c>
      <c r="Q43" s="18">
        <f t="shared" si="4"/>
        <v>442611752.44938666</v>
      </c>
      <c r="R43" s="19">
        <f t="shared" si="5"/>
        <v>14969.564980900526</v>
      </c>
      <c r="S43" s="81">
        <f>VLOOKUP(A43,'Rate Application - REM Cycle I'!$1:$65535,9,FALSE)</f>
        <v>1.1115105879568932</v>
      </c>
      <c r="T43" s="19">
        <f t="shared" si="6"/>
        <v>491967649.20164859</v>
      </c>
      <c r="U43" s="22">
        <f t="shared" si="7"/>
        <v>16638.829973379663</v>
      </c>
      <c r="V43" s="88">
        <f>IFERROR(VLOOKUP(A44,'PAU Volume'!AX:AZ,3,FALSE)-VLOOKUP(A44,'PAU Volume'!#REF!,4,FALSE)+VLOOKUP(A44,'PAU Volume'!#REF!,2,FALSE),0)*0</f>
        <v>0</v>
      </c>
      <c r="W43" s="79">
        <f t="shared" si="8"/>
        <v>29567.442541858047</v>
      </c>
      <c r="X43" s="15">
        <f t="shared" si="9"/>
        <v>491967649.20164865</v>
      </c>
      <c r="Y43" s="11">
        <f>VLOOKUP(A43,'Rate Application - REM Cycle I'!$1:$65535,7,FALSE)</f>
        <v>501735159.42853135</v>
      </c>
      <c r="Z43" s="78">
        <f t="shared" si="10"/>
        <v>-1.946746215275752E-2</v>
      </c>
      <c r="AA43" s="82">
        <f>IFERROR(VLOOKUP(A43,'GBR Revenue for ICC'!#REF!,17,FALSE),0)</f>
        <v>0</v>
      </c>
      <c r="AB43" s="82">
        <f t="shared" si="11"/>
        <v>0</v>
      </c>
      <c r="AC43" s="11">
        <f t="shared" si="12"/>
        <v>501735159.42853135</v>
      </c>
      <c r="AD43" s="11">
        <f t="shared" si="13"/>
        <v>491967649.20164865</v>
      </c>
      <c r="AE43" s="10">
        <v>1</v>
      </c>
    </row>
    <row r="44" spans="1:33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IF(C44=1,'Rate Application - REM Cycle I'!$X$65,IF(C44=3,'Rate Application - REM Cycle I'!$X$66,IF(C44=4,'Rate Application - REM Cycle I'!$X$67,IF(C44=5,'Rate Application - REM Cycle I'!$X$68,0))))</f>
        <v>14752.82215273459</v>
      </c>
      <c r="E44" s="87">
        <v>0</v>
      </c>
      <c r="F44" s="87">
        <v>0</v>
      </c>
      <c r="G44" s="87">
        <v>0</v>
      </c>
      <c r="H44" s="87">
        <f>D44*(1-PROFIT!$H$58)</f>
        <v>14702.345540121258</v>
      </c>
      <c r="I44" s="65">
        <f>VLOOKUP(A44,'Rate Application - REM Cycle I'!$1:$65535,15,FALSE)</f>
        <v>5264.4707007620054</v>
      </c>
      <c r="J44" s="19">
        <f>VLOOKUP(A44,'Rate Application - REM Cycle I'!$1:$65535,20,FALSE)</f>
        <v>238.48799212817485</v>
      </c>
      <c r="K44" s="11">
        <f t="shared" si="0"/>
        <v>14940.833532249433</v>
      </c>
      <c r="L44" s="11">
        <f t="shared" si="1"/>
        <v>78655580.375489637</v>
      </c>
      <c r="M44" s="36">
        <f>VLOOKUP(A44,'Variable Input'!$1:$1048576,23,FALSE)</f>
        <v>0.99671861092415948</v>
      </c>
      <c r="N44" s="22">
        <f t="shared" si="2"/>
        <v>78397480.813291609</v>
      </c>
      <c r="O44" s="19">
        <f t="shared" si="3"/>
        <v>14891.806844312758</v>
      </c>
      <c r="P44" s="18">
        <f>VLOOKUP(A44,'Rate Application - REM Cycle I'!$1:$65535,11,FALSE)</f>
        <v>1538688.3210319907</v>
      </c>
      <c r="Q44" s="18">
        <f t="shared" si="4"/>
        <v>79936169.134323597</v>
      </c>
      <c r="R44" s="19">
        <f t="shared" si="5"/>
        <v>15184.084721518773</v>
      </c>
      <c r="S44" s="81">
        <f>VLOOKUP(A44,'Rate Application - REM Cycle I'!$1:$65535,9,FALSE)</f>
        <v>1.1120223070717381</v>
      </c>
      <c r="T44" s="19">
        <f t="shared" si="6"/>
        <v>88890803.219227195</v>
      </c>
      <c r="U44" s="22">
        <f t="shared" si="7"/>
        <v>16885.040922796037</v>
      </c>
      <c r="V44" s="88">
        <f>IFERROR(VLOOKUP(A45,'PAU Volume'!AX:AZ,3,FALSE)-VLOOKUP(A45,'PAU Volume'!#REF!,4,FALSE)+VLOOKUP(A45,'PAU Volume'!#REF!,2,FALSE),0)*0</f>
        <v>0</v>
      </c>
      <c r="W44" s="79">
        <f t="shared" si="8"/>
        <v>5264.4707007620054</v>
      </c>
      <c r="X44" s="15">
        <f t="shared" si="9"/>
        <v>88890803.219227195</v>
      </c>
      <c r="Y44" s="11">
        <f>VLOOKUP(A44,'Rate Application - REM Cycle I'!$1:$65535,7,FALSE)</f>
        <v>117697098.70628487</v>
      </c>
      <c r="Z44" s="78">
        <f t="shared" si="10"/>
        <v>-0.24474941016978058</v>
      </c>
      <c r="AA44" s="82">
        <f>IFERROR(VLOOKUP(A44,'GBR Revenue for ICC'!#REF!,17,FALSE),0)</f>
        <v>0</v>
      </c>
      <c r="AB44" s="82">
        <f t="shared" si="11"/>
        <v>0</v>
      </c>
      <c r="AC44" s="11">
        <f t="shared" si="12"/>
        <v>117697098.70628487</v>
      </c>
      <c r="AD44" s="11">
        <f t="shared" si="13"/>
        <v>88890803.219227195</v>
      </c>
      <c r="AE44" s="10">
        <v>1</v>
      </c>
    </row>
    <row r="45" spans="1:33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IF(C45=1,'Rate Application - REM Cycle I'!$X$65,IF(C45=3,'Rate Application - REM Cycle I'!$X$66,IF(C45=4,'Rate Application - REM Cycle I'!$X$67,IF(C45=5,'Rate Application - REM Cycle I'!$X$68,0))))</f>
        <v>14752.82215273459</v>
      </c>
      <c r="E45" s="87">
        <v>0</v>
      </c>
      <c r="F45" s="87">
        <v>0</v>
      </c>
      <c r="G45" s="87">
        <v>0</v>
      </c>
      <c r="H45" s="87">
        <f>D45*(1-PROFIT!$H$58)</f>
        <v>14702.345540121258</v>
      </c>
      <c r="I45" s="65">
        <f>VLOOKUP(A45,'Rate Application - REM Cycle I'!$1:$65535,15,FALSE)</f>
        <v>3719.0107248960016</v>
      </c>
      <c r="J45" s="19">
        <f>VLOOKUP(A45,'Rate Application - REM Cycle I'!$1:$65535,20,FALSE)</f>
        <v>0</v>
      </c>
      <c r="K45" s="11">
        <f t="shared" si="0"/>
        <v>14702.345540121258</v>
      </c>
      <c r="L45" s="11">
        <f t="shared" si="1"/>
        <v>54678180.744837858</v>
      </c>
      <c r="M45" s="36">
        <f>VLOOKUP(A45,'Variable Input'!$1:$1048576,23,FALSE)</f>
        <v>1.0181752931904677</v>
      </c>
      <c r="N45" s="22">
        <f t="shared" si="2"/>
        <v>55671972.710996673</v>
      </c>
      <c r="O45" s="19">
        <f t="shared" si="3"/>
        <v>14969.564980900528</v>
      </c>
      <c r="P45" s="18">
        <f>VLOOKUP(A45,'Rate Application - REM Cycle I'!$1:$65535,11,FALSE)</f>
        <v>0</v>
      </c>
      <c r="Q45" s="18">
        <f t="shared" si="4"/>
        <v>55671972.710996673</v>
      </c>
      <c r="R45" s="19">
        <f t="shared" si="5"/>
        <v>14969.564980900528</v>
      </c>
      <c r="S45" s="81">
        <f>VLOOKUP(A45,'Rate Application - REM Cycle I'!$1:$65535,9,FALSE)</f>
        <v>1.1180896691644482</v>
      </c>
      <c r="T45" s="19">
        <f t="shared" si="6"/>
        <v>62246257.550170459</v>
      </c>
      <c r="U45" s="22">
        <f t="shared" si="7"/>
        <v>16737.31595703078</v>
      </c>
      <c r="V45" s="88">
        <f>IFERROR(VLOOKUP(A46,'PAU Volume'!AX:AZ,3,FALSE)-VLOOKUP(A46,'PAU Volume'!#REF!,4,FALSE)+VLOOKUP(A46,'PAU Volume'!#REF!,2,FALSE),0)*0</f>
        <v>0</v>
      </c>
      <c r="W45" s="79">
        <f t="shared" si="8"/>
        <v>3719.0107248960016</v>
      </c>
      <c r="X45" s="15">
        <f t="shared" si="9"/>
        <v>62246257.550170459</v>
      </c>
      <c r="Y45" s="11">
        <f>VLOOKUP(A45,'Rate Application - REM Cycle I'!$1:$65535,7,FALSE)</f>
        <v>66045058.94902806</v>
      </c>
      <c r="Z45" s="78">
        <f t="shared" si="10"/>
        <v>-5.751832853672556E-2</v>
      </c>
      <c r="AA45" s="82">
        <f>IFERROR(VLOOKUP(A45,'GBR Revenue for ICC'!#REF!,17,FALSE),0)</f>
        <v>0</v>
      </c>
      <c r="AB45" s="82">
        <f t="shared" si="11"/>
        <v>0</v>
      </c>
      <c r="AC45" s="11">
        <f t="shared" si="12"/>
        <v>66045058.94902806</v>
      </c>
      <c r="AD45" s="11">
        <f t="shared" si="13"/>
        <v>62246257.550170459</v>
      </c>
      <c r="AE45" s="10">
        <v>1</v>
      </c>
    </row>
    <row r="46" spans="1:33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IF(C46=1,'Rate Application - REM Cycle I'!$X$65,IF(C46=3,'Rate Application - REM Cycle I'!$X$66,IF(C46=4,'Rate Application - REM Cycle I'!$X$67,IF(C46=5,'Rate Application - REM Cycle I'!$X$68,0))))</f>
        <v>14752.82215273459</v>
      </c>
      <c r="E46" s="87">
        <v>0</v>
      </c>
      <c r="F46" s="87">
        <v>0</v>
      </c>
      <c r="G46" s="87">
        <v>0</v>
      </c>
      <c r="H46" s="87">
        <f>D46*(1-PROFIT!$H$58)</f>
        <v>14702.345540121258</v>
      </c>
      <c r="I46" s="65">
        <f>VLOOKUP(A46,'Rate Application - REM Cycle I'!$1:$65535,15,FALSE)</f>
        <v>9011.8464937300014</v>
      </c>
      <c r="J46" s="19">
        <f>VLOOKUP(A46,'Rate Application - REM Cycle I'!$1:$65535,20,FALSE)</f>
        <v>0</v>
      </c>
      <c r="K46" s="11">
        <f t="shared" si="0"/>
        <v>14702.345540121258</v>
      </c>
      <c r="L46" s="11">
        <f t="shared" si="1"/>
        <v>132495281.10534868</v>
      </c>
      <c r="M46" s="36">
        <f>VLOOKUP(A46,'Variable Input'!$1:$1048576,23,FALSE)</f>
        <v>0.99671861092415948</v>
      </c>
      <c r="N46" s="22">
        <f t="shared" si="2"/>
        <v>132060512.53732917</v>
      </c>
      <c r="O46" s="19">
        <f t="shared" si="3"/>
        <v>14654.101424076671</v>
      </c>
      <c r="P46" s="18">
        <f>VLOOKUP(A46,'Rate Application - REM Cycle I'!$1:$65535,11,FALSE)</f>
        <v>0</v>
      </c>
      <c r="Q46" s="18">
        <f t="shared" si="4"/>
        <v>132060512.53732917</v>
      </c>
      <c r="R46" s="19">
        <f t="shared" si="5"/>
        <v>14654.101424076671</v>
      </c>
      <c r="S46" s="81">
        <f>VLOOKUP(A46,'Rate Application - REM Cycle I'!$1:$65535,9,FALSE)</f>
        <v>1.1146605541082666</v>
      </c>
      <c r="T46" s="19">
        <f t="shared" si="6"/>
        <v>147202644.08068103</v>
      </c>
      <c r="U46" s="22">
        <f t="shared" si="7"/>
        <v>16334.348813320041</v>
      </c>
      <c r="V46" s="88">
        <f>IFERROR(VLOOKUP(A47,'PAU Volume'!AX:AZ,3,FALSE)-VLOOKUP(A47,'PAU Volume'!#REF!,4,FALSE)+VLOOKUP(A47,'PAU Volume'!#REF!,2,FALSE),0)*0</f>
        <v>0</v>
      </c>
      <c r="W46" s="79">
        <f t="shared" si="8"/>
        <v>9011.8464937300014</v>
      </c>
      <c r="X46" s="15">
        <f t="shared" si="9"/>
        <v>147202644.08068103</v>
      </c>
      <c r="Y46" s="11">
        <f>VLOOKUP(A46,'Rate Application - REM Cycle I'!$1:$65535,7,FALSE)</f>
        <v>123667555.66396882</v>
      </c>
      <c r="Z46" s="78">
        <f t="shared" si="10"/>
        <v>0.19030931993725231</v>
      </c>
      <c r="AA46" s="82">
        <f>IFERROR(VLOOKUP(A46,'GBR Revenue for ICC'!#REF!,17,FALSE),0)</f>
        <v>0</v>
      </c>
      <c r="AB46" s="82">
        <f t="shared" si="11"/>
        <v>0</v>
      </c>
      <c r="AC46" s="11">
        <f t="shared" si="12"/>
        <v>123667555.66396882</v>
      </c>
      <c r="AD46" s="11">
        <f t="shared" si="13"/>
        <v>147202644.08068103</v>
      </c>
      <c r="AE46" s="10">
        <v>1</v>
      </c>
    </row>
    <row r="47" spans="1:33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IF(C47=1,'Rate Application - REM Cycle I'!$X$65,IF(C47=3,'Rate Application - REM Cycle I'!$X$66,IF(C47=4,'Rate Application - REM Cycle I'!$X$67,IF(C47=5,'Rate Application - REM Cycle I'!$X$68,0))))</f>
        <v>14752.82215273459</v>
      </c>
      <c r="E47" s="87">
        <v>0</v>
      </c>
      <c r="F47" s="87">
        <v>0</v>
      </c>
      <c r="G47" s="87">
        <v>0</v>
      </c>
      <c r="H47" s="87">
        <f>D47*(1-PROFIT!$H$58)</f>
        <v>14702.345540121258</v>
      </c>
      <c r="I47" s="65">
        <f>VLOOKUP(A47,'Rate Application - REM Cycle I'!$1:$65535,15,FALSE)</f>
        <v>17485.311336287028</v>
      </c>
      <c r="J47" s="19">
        <f>VLOOKUP(A47,'Rate Application - REM Cycle I'!$1:$65535,20,FALSE)</f>
        <v>0</v>
      </c>
      <c r="K47" s="11">
        <f t="shared" si="0"/>
        <v>14702.345540121258</v>
      </c>
      <c r="L47" s="11">
        <f t="shared" si="1"/>
        <v>257075089.14269125</v>
      </c>
      <c r="M47" s="36">
        <f>VLOOKUP(A47,'Variable Input'!$1:$1048576,23,FALSE)</f>
        <v>1.0181752931904677</v>
      </c>
      <c r="N47" s="22">
        <f t="shared" si="2"/>
        <v>261747504.25982529</v>
      </c>
      <c r="O47" s="19">
        <f t="shared" si="3"/>
        <v>14969.564980900526</v>
      </c>
      <c r="P47" s="18">
        <f>VLOOKUP(A47,'Rate Application - REM Cycle I'!$1:$65535,11,FALSE)</f>
        <v>0</v>
      </c>
      <c r="Q47" s="18">
        <f t="shared" si="4"/>
        <v>261747504.25982529</v>
      </c>
      <c r="R47" s="19">
        <f t="shared" si="5"/>
        <v>14969.564980900526</v>
      </c>
      <c r="S47" s="81">
        <f>VLOOKUP(A47,'Rate Application - REM Cycle I'!$1:$65535,9,FALSE)</f>
        <v>1.1171440000317876</v>
      </c>
      <c r="T47" s="19">
        <f t="shared" si="6"/>
        <v>292409653.90715861</v>
      </c>
      <c r="U47" s="22">
        <f t="shared" si="7"/>
        <v>16723.159701498986</v>
      </c>
      <c r="V47" s="88">
        <f>IFERROR(VLOOKUP(A48,'PAU Volume'!AX:AZ,3,FALSE)-VLOOKUP(A48,'PAU Volume'!#REF!,4,FALSE)+VLOOKUP(A48,'PAU Volume'!#REF!,2,FALSE),0)*0</f>
        <v>0</v>
      </c>
      <c r="W47" s="79">
        <f t="shared" si="8"/>
        <v>17485.311336287028</v>
      </c>
      <c r="X47" s="15">
        <f t="shared" si="9"/>
        <v>292409653.90715861</v>
      </c>
      <c r="Y47" s="11">
        <f>VLOOKUP(A47,'Rate Application - REM Cycle I'!$1:$65535,7,FALSE)</f>
        <v>312472727.05601329</v>
      </c>
      <c r="Z47" s="78">
        <f t="shared" si="10"/>
        <v>-6.4207437679059232E-2</v>
      </c>
      <c r="AA47" s="82">
        <f>IFERROR(VLOOKUP(A47,'GBR Revenue for ICC'!#REF!,17,FALSE),0)</f>
        <v>0</v>
      </c>
      <c r="AB47" s="82">
        <f t="shared" si="11"/>
        <v>0</v>
      </c>
      <c r="AC47" s="11">
        <f t="shared" si="12"/>
        <v>312472727.05601329</v>
      </c>
      <c r="AD47" s="11">
        <f t="shared" si="13"/>
        <v>292409653.90715861</v>
      </c>
      <c r="AE47" s="10">
        <v>1</v>
      </c>
    </row>
    <row r="48" spans="1:33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IF(C48=1,'Rate Application - REM Cycle I'!$X$65,IF(C48=3,'Rate Application - REM Cycle I'!$X$66,IF(C48=4,'Rate Application - REM Cycle I'!$X$67,IF(C48=5,'Rate Application - REM Cycle I'!$X$68,0))))</f>
        <v>14752.82215273459</v>
      </c>
      <c r="E48" s="87">
        <v>0</v>
      </c>
      <c r="F48" s="87">
        <v>0</v>
      </c>
      <c r="G48" s="87">
        <v>0</v>
      </c>
      <c r="H48" s="87">
        <f>D48*(1-PROFIT!$H$58)</f>
        <v>14702.345540121258</v>
      </c>
      <c r="I48" s="65">
        <f>VLOOKUP(A48,'Rate Application - REM Cycle I'!$1:$65535,15,FALSE)</f>
        <v>30821.946526509015</v>
      </c>
      <c r="J48" s="19">
        <f>VLOOKUP(A48,'Rate Application - REM Cycle I'!$1:$65535,20,FALSE)</f>
        <v>0</v>
      </c>
      <c r="K48" s="11">
        <f t="shared" si="0"/>
        <v>14702.345540121258</v>
      </c>
      <c r="L48" s="11">
        <f t="shared" si="1"/>
        <v>453154908.05187571</v>
      </c>
      <c r="M48" s="36">
        <f>VLOOKUP(A48,'Variable Input'!$1:$1048576,23,FALSE)</f>
        <v>0.99671861092415948</v>
      </c>
      <c r="N48" s="22">
        <f t="shared" si="2"/>
        <v>451667930.48693079</v>
      </c>
      <c r="O48" s="19">
        <f t="shared" si="3"/>
        <v>14654.101424076673</v>
      </c>
      <c r="P48" s="18">
        <f>VLOOKUP(A48,'Rate Application - REM Cycle I'!$1:$65535,11,FALSE)</f>
        <v>0</v>
      </c>
      <c r="Q48" s="18">
        <f t="shared" si="4"/>
        <v>451667930.48693079</v>
      </c>
      <c r="R48" s="19">
        <f t="shared" si="5"/>
        <v>14654.101424076673</v>
      </c>
      <c r="S48" s="81">
        <f>VLOOKUP(A48,'Rate Application - REM Cycle I'!$1:$65535,9,FALSE)</f>
        <v>1.1140199775247721</v>
      </c>
      <c r="T48" s="19">
        <f t="shared" si="6"/>
        <v>503167097.76971096</v>
      </c>
      <c r="U48" s="22">
        <f t="shared" si="7"/>
        <v>16324.961739095625</v>
      </c>
      <c r="V48" s="88">
        <f>IFERROR(VLOOKUP(A49,'PAU Volume'!AX:AZ,3,FALSE)-VLOOKUP(A49,'PAU Volume'!#REF!,4,FALSE)+VLOOKUP(A49,'PAU Volume'!#REF!,2,FALSE),0)*0</f>
        <v>0</v>
      </c>
      <c r="W48" s="79">
        <f t="shared" si="8"/>
        <v>30821.946526509015</v>
      </c>
      <c r="X48" s="15">
        <f t="shared" si="9"/>
        <v>503167097.76971096</v>
      </c>
      <c r="Y48" s="11">
        <f>VLOOKUP(A48,'Rate Application - REM Cycle I'!$1:$65535,7,FALSE)</f>
        <v>440856003.87718481</v>
      </c>
      <c r="Z48" s="78">
        <f t="shared" si="10"/>
        <v>0.14134114845781931</v>
      </c>
      <c r="AA48" s="82">
        <f>IFERROR(VLOOKUP(A48,'GBR Revenue for ICC'!#REF!,17,FALSE),0)</f>
        <v>0</v>
      </c>
      <c r="AB48" s="82">
        <f t="shared" si="11"/>
        <v>0</v>
      </c>
      <c r="AC48" s="11">
        <f t="shared" si="12"/>
        <v>440856003.87718481</v>
      </c>
      <c r="AD48" s="11">
        <f t="shared" si="13"/>
        <v>503167097.76971096</v>
      </c>
      <c r="AE48" s="10">
        <v>1</v>
      </c>
    </row>
    <row r="49" spans="1:30" ht="17.7" x14ac:dyDescent="0.6">
      <c r="A49" s="37">
        <v>210065</v>
      </c>
      <c r="B49" s="26" t="s">
        <v>81</v>
      </c>
      <c r="C49" s="31" t="s">
        <v>80</v>
      </c>
      <c r="D49" s="87">
        <f>IF(C49=1,'Rate Application - REM Cycle I'!$X$65,IF(C49=3,'Rate Application - REM Cycle I'!$X$66,IF(C49=4,'Rate Application - REM Cycle I'!$X$67,IF(C49=5,'Rate Application - REM Cycle I'!$X$68,0))))</f>
        <v>0</v>
      </c>
      <c r="E49" s="87">
        <v>0</v>
      </c>
      <c r="F49" s="87">
        <v>0</v>
      </c>
      <c r="G49" s="87">
        <v>0</v>
      </c>
      <c r="H49" s="87">
        <f>D49*(1-PROFIT!$H$58)</f>
        <v>0</v>
      </c>
      <c r="I49" s="65">
        <f>VLOOKUP(A49,'Rate Application - REM Cycle I'!$1:$65535,15,FALSE)</f>
        <v>9743.687453664008</v>
      </c>
      <c r="J49" s="19">
        <f>VLOOKUP(A49,'Rate Application - REM Cycle I'!$1:$65535,20,FALSE)</f>
        <v>0</v>
      </c>
      <c r="K49" s="11">
        <f t="shared" si="0"/>
        <v>0</v>
      </c>
      <c r="L49" s="11">
        <f t="shared" si="1"/>
        <v>0</v>
      </c>
      <c r="M49" s="36">
        <f>VLOOKUP(A49,'Variable Input'!$1:$1048576,23,FALSE)</f>
        <v>1.0181752931904677</v>
      </c>
      <c r="N49" s="22">
        <f t="shared" si="2"/>
        <v>0</v>
      </c>
      <c r="O49" s="19">
        <f t="shared" si="3"/>
        <v>0</v>
      </c>
      <c r="P49" s="18">
        <f>VLOOKUP(A49,'Rate Application - REM Cycle I'!$1:$65535,11,FALSE)</f>
        <v>0</v>
      </c>
      <c r="Q49" s="18">
        <f t="shared" si="4"/>
        <v>0</v>
      </c>
      <c r="R49" s="19">
        <f t="shared" si="5"/>
        <v>0</v>
      </c>
      <c r="S49" s="81">
        <f>VLOOKUP(A49,'Rate Application - REM Cycle I'!$1:$65535,9,FALSE)</f>
        <v>1.1083143930424924</v>
      </c>
      <c r="T49" s="19">
        <f t="shared" si="6"/>
        <v>0</v>
      </c>
      <c r="U49" s="22">
        <f t="shared" si="7"/>
        <v>0</v>
      </c>
      <c r="V49" s="88">
        <f>IFERROR(VLOOKUP(A50,'PAU Volume'!AX:AZ,3,FALSE)-VLOOKUP(A50,'PAU Volume'!#REF!,4,FALSE)+VLOOKUP(A50,'PAU Volume'!#REF!,2,FALSE),0)*0</f>
        <v>0</v>
      </c>
      <c r="W49" s="79">
        <f t="shared" si="8"/>
        <v>9743.687453664008</v>
      </c>
      <c r="X49" s="15">
        <f t="shared" si="9"/>
        <v>0</v>
      </c>
      <c r="Y49" s="11">
        <f>VLOOKUP(A49,'Rate Application - REM Cycle I'!$1:$65535,7,FALSE)</f>
        <v>145302528.81887707</v>
      </c>
      <c r="Z49" s="78">
        <f t="shared" si="10"/>
        <v>-1</v>
      </c>
      <c r="AA49" s="82">
        <f>IFERROR(VLOOKUP(A49,'GBR Revenue for ICC'!#REF!,17,FALSE),0)</f>
        <v>0</v>
      </c>
      <c r="AB49" s="82">
        <f t="shared" si="11"/>
        <v>0</v>
      </c>
      <c r="AC49" s="11">
        <f t="shared" si="12"/>
        <v>145302528.81887707</v>
      </c>
      <c r="AD49" s="11">
        <f t="shared" si="13"/>
        <v>0</v>
      </c>
    </row>
    <row r="50" spans="1:30" ht="17.7" x14ac:dyDescent="0.6">
      <c r="A50" s="37">
        <v>910003</v>
      </c>
      <c r="B50" s="26" t="str">
        <f>VLOOKUP(A50,'Variable Input'!$1:$1048576,2,FALSE)</f>
        <v>Prince Georges Hospital</v>
      </c>
      <c r="C50" s="33">
        <f>VLOOKUP(A50,'Variable Input'!$1:$1048576,4,FALSE)</f>
        <v>5</v>
      </c>
      <c r="D50" s="87">
        <f>IF(C50=1,'Rate Application - REM Cycle I'!$X$65,IF(C50=3,'Rate Application - REM Cycle I'!$X$66,IF(C50=4,'Rate Application - REM Cycle I'!$X$67,IF(C50=5,'Rate Application - REM Cycle I'!$X$68,0))))</f>
        <v>16863.368236533166</v>
      </c>
      <c r="E50" s="87">
        <v>0</v>
      </c>
      <c r="F50" s="87">
        <v>0</v>
      </c>
      <c r="G50" s="87">
        <v>0</v>
      </c>
      <c r="H50" s="87">
        <f>D50*(1-PROFIT!$H$58)</f>
        <v>16805.670414582964</v>
      </c>
      <c r="I50" s="65">
        <f>VLOOKUP(A50,'Rate Application - REM Cycle I'!$1:$65535,15,FALSE)</f>
        <v>16622.361523679996</v>
      </c>
      <c r="J50" s="19">
        <f>VLOOKUP(A50,'Rate Application - REM Cycle I'!$1:$65535,20,FALSE)</f>
        <v>1047.5835053585402</v>
      </c>
      <c r="K50" s="11">
        <f t="shared" si="0"/>
        <v>17853.253919941504</v>
      </c>
      <c r="L50" s="11">
        <f t="shared" si="1"/>
        <v>296763241.03132474</v>
      </c>
      <c r="M50" s="36">
        <f>VLOOKUP(A50,'Variable Input'!$1:$1048576,23,FALSE)</f>
        <v>1.0181752931904677</v>
      </c>
      <c r="N50" s="22">
        <f t="shared" si="2"/>
        <v>302156999.9452225</v>
      </c>
      <c r="O50" s="19">
        <f t="shared" si="3"/>
        <v>18177.74204434031</v>
      </c>
      <c r="P50" s="18">
        <f>VLOOKUP(A50,'Rate Application - REM Cycle I'!$1:$65535,11,FALSE)</f>
        <v>10600897.780621644</v>
      </c>
      <c r="Q50" s="18">
        <f t="shared" si="4"/>
        <v>312757897.72584414</v>
      </c>
      <c r="R50" s="19">
        <f t="shared" si="5"/>
        <v>18815.491245350029</v>
      </c>
      <c r="S50" s="81">
        <f>VLOOKUP(A50,'Rate Application - REM Cycle I'!$1:$65535,9,FALSE)</f>
        <v>1.1150592197193865</v>
      </c>
      <c r="T50" s="19">
        <f t="shared" si="6"/>
        <v>348743577.39925545</v>
      </c>
      <c r="U50" s="22">
        <f t="shared" si="7"/>
        <v>20980.386986676953</v>
      </c>
      <c r="V50" s="35">
        <f>SUMIF($A$1:$A$65535,210003,V$1:V$65535)</f>
        <v>0</v>
      </c>
      <c r="W50" s="79">
        <f t="shared" si="8"/>
        <v>16622.361523679996</v>
      </c>
      <c r="X50" s="15">
        <f t="shared" si="9"/>
        <v>348743577.39925545</v>
      </c>
      <c r="Y50" s="11">
        <f>VLOOKUP(A50,'Rate Application - REM Cycle I'!$1:$65535,7,FALSE)</f>
        <v>379598110.09410959</v>
      </c>
      <c r="Z50" s="78">
        <f t="shared" si="10"/>
        <v>-8.1282103030504316E-2</v>
      </c>
      <c r="AA50" s="82">
        <f>IFERROR(VLOOKUP(A50,'GBR Revenue for ICC'!#REF!,17,FALSE),0)</f>
        <v>0</v>
      </c>
      <c r="AB50" s="82">
        <f t="shared" si="11"/>
        <v>0</v>
      </c>
      <c r="AC50" s="11">
        <f t="shared" si="12"/>
        <v>379598110.09410959</v>
      </c>
      <c r="AD50" s="11">
        <f t="shared" si="13"/>
        <v>348743577.39925545</v>
      </c>
    </row>
    <row r="51" spans="1:30" ht="17.7" x14ac:dyDescent="0.6">
      <c r="A51" s="37">
        <v>910008</v>
      </c>
      <c r="B51" s="26" t="str">
        <f>VLOOKUP(A51,'Variable Input'!$1:$1048576,2,FALSE)</f>
        <v>Mercy Medical Center</v>
      </c>
      <c r="C51" s="33">
        <f>VLOOKUP(A51,'Variable Input'!$1:$1048576,4,FALSE)</f>
        <v>5</v>
      </c>
      <c r="D51" s="87">
        <f>IF(C51=1,'Rate Application - REM Cycle I'!$X$65,IF(C51=3,'Rate Application - REM Cycle I'!$X$66,IF(C51=4,'Rate Application - REM Cycle I'!$X$67,IF(C51=5,'Rate Application - REM Cycle I'!$X$68,0))))</f>
        <v>16863.368236533166</v>
      </c>
      <c r="E51" s="87">
        <v>0</v>
      </c>
      <c r="F51" s="87">
        <v>0</v>
      </c>
      <c r="G51" s="87">
        <v>0</v>
      </c>
      <c r="H51" s="87">
        <f>D51*(1-PROFIT!$H$58)</f>
        <v>16805.670414582964</v>
      </c>
      <c r="I51" s="65">
        <f>VLOOKUP(A51,'Rate Application - REM Cycle I'!$1:$65535,15,FALSE)</f>
        <v>37187.68418079293</v>
      </c>
      <c r="J51" s="19">
        <f>VLOOKUP(A51,'Rate Application - REM Cycle I'!$1:$65535,20,FALSE)</f>
        <v>472.25959220144938</v>
      </c>
      <c r="K51" s="11">
        <f t="shared" si="0"/>
        <v>17277.930006784412</v>
      </c>
      <c r="L51" s="11">
        <f t="shared" si="1"/>
        <v>642526204.39014423</v>
      </c>
      <c r="M51" s="36">
        <f>VLOOKUP(A51,'Variable Input'!$1:$1048576,23,FALSE)</f>
        <v>0.99671861092415948</v>
      </c>
      <c r="N51" s="22">
        <f t="shared" si="2"/>
        <v>640417825.92211711</v>
      </c>
      <c r="O51" s="19">
        <f t="shared" si="3"/>
        <v>17221.234396007014</v>
      </c>
      <c r="P51" s="18">
        <f>VLOOKUP(A51,'Rate Application - REM Cycle I'!$1:$65535,11,FALSE)</f>
        <v>5003207.6874727393</v>
      </c>
      <c r="Q51" s="18">
        <f t="shared" si="4"/>
        <v>645421033.60958982</v>
      </c>
      <c r="R51" s="19">
        <f t="shared" si="5"/>
        <v>17355.77376832041</v>
      </c>
      <c r="S51" s="81">
        <f>VLOOKUP(A51,'Rate Application - REM Cycle I'!$1:$65535,9,FALSE)</f>
        <v>1.1102695565875482</v>
      </c>
      <c r="T51" s="19">
        <f t="shared" si="6"/>
        <v>716591324.7979964</v>
      </c>
      <c r="U51" s="22">
        <f t="shared" si="7"/>
        <v>19269.587245986902</v>
      </c>
      <c r="V51" s="35">
        <f>SUMIF($A$1:$A$65535,210008,V$1:V$65535)</f>
        <v>0</v>
      </c>
      <c r="W51" s="79">
        <f t="shared" si="8"/>
        <v>37187.68418079293</v>
      </c>
      <c r="X51" s="15">
        <f t="shared" si="9"/>
        <v>716591324.79799628</v>
      </c>
      <c r="Y51" s="11">
        <f>VLOOKUP(A51,'Rate Application - REM Cycle I'!$1:$65535,7,FALSE)</f>
        <v>630435213.30233288</v>
      </c>
      <c r="Z51" s="78">
        <f t="shared" si="10"/>
        <v>0.13666132487169014</v>
      </c>
      <c r="AA51" s="82">
        <f>IFERROR(VLOOKUP(A51,'GBR Revenue for ICC'!#REF!,17,FALSE),0)</f>
        <v>0</v>
      </c>
      <c r="AB51" s="82">
        <f t="shared" si="11"/>
        <v>0</v>
      </c>
      <c r="AC51" s="11">
        <f t="shared" si="12"/>
        <v>630435213.30233288</v>
      </c>
      <c r="AD51" s="11">
        <f t="shared" si="13"/>
        <v>716591324.79799628</v>
      </c>
    </row>
    <row r="52" spans="1:30" ht="17.7" x14ac:dyDescent="0.6">
      <c r="A52" s="37">
        <v>910012</v>
      </c>
      <c r="B52" s="26" t="str">
        <f>VLOOKUP(A52,'Variable Input'!$1:$1048576,2,FALSE)</f>
        <v>Sinai Hospital</v>
      </c>
      <c r="C52" s="33">
        <f>VLOOKUP(A52,'Variable Input'!$1:$1048576,4,FALSE)</f>
        <v>5</v>
      </c>
      <c r="D52" s="87">
        <f>IF(C52=1,'Rate Application - REM Cycle I'!$X$65,IF(C52=3,'Rate Application - REM Cycle I'!$X$66,IF(C52=4,'Rate Application - REM Cycle I'!$X$67,IF(C52=5,'Rate Application - REM Cycle I'!$X$68,0))))</f>
        <v>16863.368236533166</v>
      </c>
      <c r="E52" s="87">
        <v>0</v>
      </c>
      <c r="F52" s="87">
        <v>0</v>
      </c>
      <c r="G52" s="87">
        <v>0</v>
      </c>
      <c r="H52" s="87">
        <f>D52*(1-PROFIT!$H$58)</f>
        <v>16805.670414582964</v>
      </c>
      <c r="I52" s="65">
        <f>VLOOKUP(A52,'Rate Application - REM Cycle I'!$1:$65535,15,FALSE)</f>
        <v>39233.431532673072</v>
      </c>
      <c r="J52" s="19">
        <f>VLOOKUP(A52,'Rate Application - REM Cycle I'!$1:$65535,20,FALSE)</f>
        <v>1165.0763536132847</v>
      </c>
      <c r="K52" s="11">
        <f t="shared" si="0"/>
        <v>17970.746768196248</v>
      </c>
      <c r="L52" s="11">
        <f t="shared" si="1"/>
        <v>705054062.92103338</v>
      </c>
      <c r="M52" s="36">
        <f>VLOOKUP(A52,'Variable Input'!$1:$1048576,23,FALSE)</f>
        <v>0.99671861092415948</v>
      </c>
      <c r="N52" s="22">
        <f t="shared" si="2"/>
        <v>702740506.22108734</v>
      </c>
      <c r="O52" s="19">
        <f t="shared" si="3"/>
        <v>17911.777756066393</v>
      </c>
      <c r="P52" s="18">
        <f>VLOOKUP(A52,'Rate Application - REM Cycle I'!$1:$65535,11,FALSE)</f>
        <v>20760568.355981968</v>
      </c>
      <c r="Q52" s="18">
        <f t="shared" si="4"/>
        <v>723501074.57706928</v>
      </c>
      <c r="R52" s="19">
        <f t="shared" si="5"/>
        <v>18440.932804323969</v>
      </c>
      <c r="S52" s="81">
        <f>VLOOKUP(A52,'Rate Application - REM Cycle I'!$1:$65535,9,FALSE)</f>
        <v>1.1214469245143464</v>
      </c>
      <c r="T52" s="19">
        <f t="shared" si="6"/>
        <v>811368054.96727908</v>
      </c>
      <c r="U52" s="22">
        <f t="shared" si="7"/>
        <v>20680.527378584837</v>
      </c>
      <c r="V52" s="35">
        <f>SUMIF($A$1:$A$65535,210012,V$1:V$65535)</f>
        <v>0</v>
      </c>
      <c r="W52" s="79">
        <f t="shared" si="8"/>
        <v>39233.431532673072</v>
      </c>
      <c r="X52" s="15">
        <f t="shared" si="9"/>
        <v>811368054.96727908</v>
      </c>
      <c r="Y52" s="11">
        <f>VLOOKUP(A52,'Rate Application - REM Cycle I'!$1:$65535,7,FALSE)</f>
        <v>853868775.33511937</v>
      </c>
      <c r="Z52" s="78">
        <f t="shared" si="10"/>
        <v>-4.9774299746656037E-2</v>
      </c>
      <c r="AA52" s="82">
        <f>IFERROR(VLOOKUP(A52,'GBR Revenue for ICC'!#REF!,17,FALSE),0)</f>
        <v>0</v>
      </c>
      <c r="AB52" s="82">
        <f t="shared" si="11"/>
        <v>0</v>
      </c>
      <c r="AC52" s="11">
        <f t="shared" si="12"/>
        <v>853868775.33511937</v>
      </c>
      <c r="AD52" s="11">
        <f t="shared" si="13"/>
        <v>811368054.96727908</v>
      </c>
    </row>
    <row r="53" spans="1:30" ht="17.7" x14ac:dyDescent="0.6">
      <c r="A53" s="37">
        <v>910024</v>
      </c>
      <c r="B53" s="26" t="str">
        <f>VLOOKUP(A53,'Variable Input'!$1:$1048576,2,FALSE)</f>
        <v>Union Memorial Hospital</v>
      </c>
      <c r="C53" s="33">
        <f>VLOOKUP(A53,'Variable Input'!$1:$1048576,4,FALSE)</f>
        <v>5</v>
      </c>
      <c r="D53" s="87">
        <f>IF(C53=1,'Rate Application - REM Cycle I'!$X$65,IF(C53=3,'Rate Application - REM Cycle I'!$X$66,IF(C53=4,'Rate Application - REM Cycle I'!$X$67,IF(C53=5,'Rate Application - REM Cycle I'!$X$68,0))))</f>
        <v>16863.368236533166</v>
      </c>
      <c r="E53" s="87">
        <v>0</v>
      </c>
      <c r="F53" s="87">
        <v>0</v>
      </c>
      <c r="G53" s="87">
        <v>0</v>
      </c>
      <c r="H53" s="87">
        <f>D53*(1-PROFIT!$H$58)</f>
        <v>16805.670414582964</v>
      </c>
      <c r="I53" s="65">
        <f>VLOOKUP(A53,'Rate Application - REM Cycle I'!$1:$65535,15,FALSE)</f>
        <v>26999.26188542712</v>
      </c>
      <c r="J53" s="19">
        <f>VLOOKUP(A53,'Rate Application - REM Cycle I'!$1:$65535,20,FALSE)</f>
        <v>1182.417690332225</v>
      </c>
      <c r="K53" s="11">
        <f t="shared" si="0"/>
        <v>17988.08810491519</v>
      </c>
      <c r="L53" s="11">
        <f t="shared" si="1"/>
        <v>485665101.56274164</v>
      </c>
      <c r="M53" s="36">
        <f>VLOOKUP(A53,'Variable Input'!$1:$1048576,23,FALSE)</f>
        <v>0.99671861092415948</v>
      </c>
      <c r="N53" s="22">
        <f t="shared" si="2"/>
        <v>484071445.40395665</v>
      </c>
      <c r="O53" s="19">
        <f t="shared" si="3"/>
        <v>17929.062189112465</v>
      </c>
      <c r="P53" s="18">
        <f>VLOOKUP(A53,'Rate Application - REM Cycle I'!$1:$65535,11,FALSE)</f>
        <v>12196844.09297953</v>
      </c>
      <c r="Q53" s="18">
        <f t="shared" si="4"/>
        <v>496268289.4969362</v>
      </c>
      <c r="R53" s="19">
        <f t="shared" si="5"/>
        <v>18380.809505196048</v>
      </c>
      <c r="S53" s="81">
        <f>VLOOKUP(A53,'Rate Application - REM Cycle I'!$1:$65535,9,FALSE)</f>
        <v>1.1223202362274129</v>
      </c>
      <c r="T53" s="19">
        <f t="shared" si="6"/>
        <v>556971943.9003756</v>
      </c>
      <c r="U53" s="22">
        <f t="shared" si="7"/>
        <v>20629.154465922707</v>
      </c>
      <c r="V53" s="35">
        <f>SUMIF($A$1:$A$65535,210024,V$1:V$65535)</f>
        <v>0</v>
      </c>
      <c r="W53" s="79">
        <f t="shared" si="8"/>
        <v>26999.26188542712</v>
      </c>
      <c r="X53" s="15">
        <f t="shared" si="9"/>
        <v>556971943.9003756</v>
      </c>
      <c r="Y53" s="11">
        <f>VLOOKUP(A53,'Rate Application - REM Cycle I'!$1:$65535,7,FALSE)</f>
        <v>481596679.12083691</v>
      </c>
      <c r="Z53" s="78">
        <f t="shared" si="10"/>
        <v>0.15651118051133062</v>
      </c>
      <c r="AA53" s="82">
        <f>IFERROR(VLOOKUP(A53,'GBR Revenue for ICC'!#REF!,17,FALSE),0)</f>
        <v>0</v>
      </c>
      <c r="AB53" s="82">
        <f t="shared" si="11"/>
        <v>0</v>
      </c>
      <c r="AC53" s="11">
        <f t="shared" si="12"/>
        <v>481596679.12083691</v>
      </c>
      <c r="AD53" s="11">
        <f t="shared" si="13"/>
        <v>556971943.9003756</v>
      </c>
    </row>
    <row r="54" spans="1:30" ht="17.7" x14ac:dyDescent="0.6">
      <c r="A54" s="37">
        <v>910029</v>
      </c>
      <c r="B54" s="26" t="str">
        <f>VLOOKUP(A54,'Variable Input'!$1:$1048576,2,FALSE)</f>
        <v>Johns Hopkins Bayview Medical Center</v>
      </c>
      <c r="C54" s="33">
        <f>VLOOKUP(A54,'Variable Input'!$1:$1048576,4,FALSE)</f>
        <v>5</v>
      </c>
      <c r="D54" s="87">
        <f>IF(C54=1,'Rate Application - REM Cycle I'!$X$65,IF(C54=3,'Rate Application - REM Cycle I'!$X$66,IF(C54=4,'Rate Application - REM Cycle I'!$X$67,IF(C54=5,'Rate Application - REM Cycle I'!$X$68,0))))</f>
        <v>16863.368236533166</v>
      </c>
      <c r="E54" s="87">
        <v>0</v>
      </c>
      <c r="F54" s="87">
        <v>0</v>
      </c>
      <c r="G54" s="87">
        <v>0</v>
      </c>
      <c r="H54" s="87">
        <f>D54*(1-PROFIT!$H$58)</f>
        <v>16805.670414582964</v>
      </c>
      <c r="I54" s="65">
        <f>VLOOKUP(A54,'Rate Application - REM Cycle I'!$1:$65535,15,FALSE)</f>
        <v>35540.799933832066</v>
      </c>
      <c r="J54" s="19">
        <f>VLOOKUP(A54,'Rate Application - REM Cycle I'!$1:$65535,20,FALSE)</f>
        <v>1440.3814806605105</v>
      </c>
      <c r="K54" s="11">
        <f t="shared" si="0"/>
        <v>18246.051895243476</v>
      </c>
      <c r="L54" s="11">
        <f t="shared" si="1"/>
        <v>648479279.99116576</v>
      </c>
      <c r="M54" s="36">
        <f>VLOOKUP(A54,'Variable Input'!$1:$1048576,23,FALSE)</f>
        <v>0.99671861092415948</v>
      </c>
      <c r="N54" s="22">
        <f t="shared" si="2"/>
        <v>646351367.16589379</v>
      </c>
      <c r="O54" s="19">
        <f t="shared" si="3"/>
        <v>18186.179499877202</v>
      </c>
      <c r="P54" s="18">
        <f>VLOOKUP(A54,'Rate Application - REM Cycle I'!$1:$65535,11,FALSE)</f>
        <v>27476780.845164478</v>
      </c>
      <c r="Q54" s="18">
        <f t="shared" si="4"/>
        <v>673828148.01105833</v>
      </c>
      <c r="R54" s="19">
        <f t="shared" si="5"/>
        <v>18959.284801286271</v>
      </c>
      <c r="S54" s="81">
        <f>VLOOKUP(A54,'Rate Application - REM Cycle I'!$1:$65535,9,FALSE)</f>
        <v>1.1160480491569686</v>
      </c>
      <c r="T54" s="19">
        <f t="shared" si="6"/>
        <v>752024590.05479479</v>
      </c>
      <c r="U54" s="22">
        <f t="shared" si="7"/>
        <v>21159.472815886907</v>
      </c>
      <c r="V54" s="35">
        <f>SUMIF($A$1:$A$65535,210029,V$1:V$65535)</f>
        <v>0</v>
      </c>
      <c r="W54" s="79">
        <f t="shared" si="8"/>
        <v>35540.799933832066</v>
      </c>
      <c r="X54" s="15">
        <f t="shared" si="9"/>
        <v>752024590.05479479</v>
      </c>
      <c r="Y54" s="11">
        <f>VLOOKUP(A54,'Rate Application - REM Cycle I'!$1:$65535,7,FALSE)</f>
        <v>714563622.53195643</v>
      </c>
      <c r="Z54" s="78">
        <f t="shared" si="10"/>
        <v>5.2424957472786859E-2</v>
      </c>
      <c r="AA54" s="82">
        <f>IFERROR(VLOOKUP(A54,'GBR Revenue for ICC'!#REF!,17,FALSE),0)</f>
        <v>0</v>
      </c>
      <c r="AB54" s="82">
        <f t="shared" si="11"/>
        <v>0</v>
      </c>
      <c r="AC54" s="11">
        <f t="shared" si="12"/>
        <v>714563622.53195643</v>
      </c>
      <c r="AD54" s="11">
        <f t="shared" si="13"/>
        <v>752024590.05479479</v>
      </c>
    </row>
    <row r="55" spans="1:30" ht="17.7" x14ac:dyDescent="0.6">
      <c r="A55" s="26"/>
      <c r="B55" s="26"/>
      <c r="C55" s="31"/>
      <c r="D55" s="19"/>
      <c r="E55" s="19"/>
      <c r="F55" s="19"/>
      <c r="G55" s="19"/>
      <c r="H55" s="19"/>
      <c r="I55" s="31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</row>
    <row r="56" spans="1:30" ht="17.7" x14ac:dyDescent="0.6">
      <c r="A56" s="26"/>
      <c r="B56" s="26"/>
      <c r="C56" s="31"/>
      <c r="D56" s="19"/>
      <c r="E56" s="19"/>
      <c r="F56" s="85"/>
      <c r="G56" s="19"/>
      <c r="H56" s="19"/>
      <c r="I56" s="31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0" ht="17.7" x14ac:dyDescent="0.6">
      <c r="A57" s="26"/>
      <c r="B57" s="26"/>
      <c r="C57" s="31"/>
      <c r="D57" s="19"/>
      <c r="E57" s="19"/>
      <c r="F57" s="34"/>
      <c r="G57" s="19"/>
      <c r="H57" s="19"/>
      <c r="I57" s="31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0" ht="17.7" x14ac:dyDescent="0.6">
      <c r="A58" s="26"/>
      <c r="B58" s="26"/>
      <c r="C58" s="31"/>
      <c r="D58" s="19"/>
      <c r="E58" s="19"/>
      <c r="F58" s="19"/>
      <c r="G58" s="19"/>
      <c r="H58" s="19"/>
      <c r="I58" s="31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0" ht="17.7" x14ac:dyDescent="0.6">
      <c r="A59" s="26"/>
      <c r="B59" s="26"/>
      <c r="C59" s="31"/>
      <c r="D59" s="19"/>
      <c r="E59" s="19"/>
      <c r="F59" s="19"/>
      <c r="G59" s="19"/>
      <c r="H59" s="19"/>
      <c r="I59" s="31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0" ht="17.7" x14ac:dyDescent="0.6">
      <c r="A60" s="26"/>
      <c r="B60" s="26"/>
      <c r="C60" s="31"/>
      <c r="D60" s="19"/>
      <c r="E60" s="19"/>
      <c r="F60" s="19"/>
      <c r="G60" s="19"/>
      <c r="H60" s="19"/>
      <c r="I60" s="31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0" ht="21" customHeight="1" x14ac:dyDescent="0.6">
      <c r="A61" s="32" t="s">
        <v>78</v>
      </c>
      <c r="B61" s="26" t="s">
        <v>77</v>
      </c>
      <c r="C61" s="31"/>
      <c r="D61" s="65">
        <f>SUBTOTAL(1,D2:D59)</f>
        <v>13334.685415622724</v>
      </c>
      <c r="E61" s="22">
        <f>SUBTOTAL(1,E2:E59)</f>
        <v>0</v>
      </c>
      <c r="F61" s="65">
        <f>SUBTOTAL(1,F2:F59)</f>
        <v>0</v>
      </c>
      <c r="G61" s="65">
        <f>SUBTOTAL(1,G2:G59)</f>
        <v>0</v>
      </c>
      <c r="H61" s="65">
        <f>SUBTOTAL(1,H2:H59)</f>
        <v>13289.060941669422</v>
      </c>
      <c r="I61" s="65">
        <f>SUBTOTAL(9,I2:I59)</f>
        <v>1166982.8882188969</v>
      </c>
      <c r="J61" s="22"/>
      <c r="L61" s="22">
        <f>SUBTOTAL(9,L2:L59)</f>
        <v>17787176539.100952</v>
      </c>
      <c r="M61" s="36">
        <f>'Rate Application - REM Cycle I'!M61</f>
        <v>1.0003666335632411</v>
      </c>
      <c r="N61" s="22">
        <f>SUBTOTAL(9,N2:N59)</f>
        <v>17779398954.84687</v>
      </c>
      <c r="O61" s="19">
        <f>N61/I61</f>
        <v>15235.355320404577</v>
      </c>
      <c r="P61" s="22">
        <f>SUBTOTAL(9,P2:P59)</f>
        <v>393431841.98609471</v>
      </c>
      <c r="Q61" s="22">
        <f>SUBTOTAL(9,Q2:Q59)</f>
        <v>18172830796.832962</v>
      </c>
      <c r="R61" s="19">
        <f>Q61/I61</f>
        <v>15572.491233842489</v>
      </c>
      <c r="S61" s="81">
        <f>'Rate Application - REM Cycle I'!I61</f>
        <v>1.0900365956927256</v>
      </c>
      <c r="T61" s="22">
        <f>SUBTOTAL(9,T2:T59)</f>
        <v>20269702273.708385</v>
      </c>
      <c r="U61" s="22">
        <f>SUBTOTAL(9,U2:U59)</f>
        <v>800798.36092380108</v>
      </c>
      <c r="V61" s="65">
        <f>SUBTOTAL(9,V2:V59)</f>
        <v>0</v>
      </c>
      <c r="W61" s="79">
        <f>I61-V61</f>
        <v>1166982.8882188969</v>
      </c>
      <c r="X61" s="22">
        <f>SUBTOTAL(9,X2:X59)</f>
        <v>20269702273.708382</v>
      </c>
      <c r="Y61" s="22">
        <f>SUBTOTAL(9,Y2:Y59)</f>
        <v>21177755106.99963</v>
      </c>
      <c r="Z61" s="78">
        <f>X61/Y61-1</f>
        <v>-4.2877671816646923E-2</v>
      </c>
      <c r="AB61" s="10">
        <v>29.14</v>
      </c>
      <c r="AC61" s="10">
        <v>23.41</v>
      </c>
    </row>
    <row r="62" spans="1:30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87">
        <f>IF(C62=1,$F$71,IF(C62=3,$F$66,IF(C62=4,$F$67,IF(C62=5,$F$74,0))))</f>
        <v>0</v>
      </c>
      <c r="H62" s="19"/>
      <c r="I62" s="65">
        <f>SUM(I3:I54)-SUMPRODUCT((LEFT($A$3:$A$54,1)+0=9)*I3:I54)</f>
        <v>1011399.3491624917</v>
      </c>
      <c r="J62" s="22">
        <f>'Rate Application - ICC Cycle I'!U62</f>
        <v>543.38370905082365</v>
      </c>
      <c r="K62" s="11">
        <f>+H62+J62</f>
        <v>543.38370905082365</v>
      </c>
      <c r="L62" s="11">
        <f>K62*I62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N62/I62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15321054353.412464</v>
      </c>
      <c r="R62" s="19">
        <f>Q62/I62</f>
        <v>15148.372763042958</v>
      </c>
      <c r="S62" s="81">
        <f>'Rate Application - REM Cycle I'!I62</f>
        <v>1.090209793286856</v>
      </c>
      <c r="T62" s="22">
        <f>SUM(T3:T54)-SUMPRODUCT((LEFT($A$3:$A$54,1)+0=9)*T3:T54)</f>
        <v>17084002782.588684</v>
      </c>
      <c r="U62" s="22">
        <f>SUM(U3:U54)-SUMPRODUCT((LEFT($A$3:$A$54,1)+0=9)*U3:U54)</f>
        <v>698079.2320307428</v>
      </c>
      <c r="V62" s="65">
        <f>SUM(V3:V54)-SUMPRODUCT((LEFT($A$3:$A$54,1)+0=9)*V3:V54)</f>
        <v>0</v>
      </c>
      <c r="W62" s="79">
        <f>I62-V62</f>
        <v>1011399.3491624917</v>
      </c>
      <c r="X62" s="22">
        <f>SUM(X3:X54)-SUMPRODUCT((LEFT($A$3:$A$54,1)+0=9)*X3:X54)</f>
        <v>17084002782.58868</v>
      </c>
      <c r="Y62" s="22">
        <f>SUM(Y3:Y54)-SUMPRODUCT((LEFT($A$3:$A$54,1)+0=9)*Y3:Y54)</f>
        <v>18117692706.615276</v>
      </c>
      <c r="Z62" s="78">
        <f>X62/Y62-1</f>
        <v>-5.7054170239302482E-2</v>
      </c>
      <c r="AB62" s="10">
        <v>30.81</v>
      </c>
      <c r="AC62" s="10">
        <v>24.42</v>
      </c>
    </row>
    <row r="63" spans="1:30" ht="17.7" x14ac:dyDescent="0.6">
      <c r="I63" s="82"/>
      <c r="J63" s="22"/>
      <c r="K63" s="12"/>
      <c r="L63" s="12"/>
      <c r="M63" s="36"/>
      <c r="S63" s="81"/>
      <c r="T63" s="12"/>
      <c r="V63" s="83"/>
      <c r="X63" s="12"/>
      <c r="Y63" s="12"/>
      <c r="AB63" s="10">
        <f>AB62-AB61</f>
        <v>1.6699999999999982</v>
      </c>
      <c r="AC63" s="10">
        <f>AC62-AC61</f>
        <v>1.0100000000000016</v>
      </c>
    </row>
    <row r="64" spans="1:30" ht="17.7" x14ac:dyDescent="0.6">
      <c r="I64" s="8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14752.822152734605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0</v>
      </c>
      <c r="H65" s="23">
        <f>AVERAGEIF($C$1:$C$65535,1,H$1:H$65535)</f>
        <v>14702.345540121263</v>
      </c>
      <c r="I65" s="80">
        <f>SUMIF($C$1:$C$65535,1,I$1:I$65535)</f>
        <v>803403.52374729258</v>
      </c>
      <c r="J65" s="22">
        <f>'Rate Application - ICC Cycle I'!U65</f>
        <v>131.27420908993491</v>
      </c>
      <c r="K65" s="11">
        <f>+H65+J65</f>
        <v>14833.619749211199</v>
      </c>
      <c r="L65" s="11">
        <f>K65*I65</f>
        <v>11917382376.443708</v>
      </c>
      <c r="M65" s="36">
        <f>'Rate Application - REM Cycle I'!M65</f>
        <v>1.0014818635818203</v>
      </c>
      <c r="N65" s="18">
        <f>SUMIF($C$1:$C$65535,1,N$1:N$65535)</f>
        <v>11925851602.323816</v>
      </c>
      <c r="O65" s="19">
        <f>N65/I65</f>
        <v>14844.161432972562</v>
      </c>
      <c r="P65" s="18">
        <f>SUMIF($C$1:$C$65535,1,P$1:P$65535)</f>
        <v>133784332.20722046</v>
      </c>
      <c r="Q65" s="18">
        <f>SUMIF($C$1:$C$65535,1,Q$1:Q$65535)</f>
        <v>12059635934.531034</v>
      </c>
      <c r="R65" s="19">
        <f>Q65/I65</f>
        <v>15010.683396410326</v>
      </c>
      <c r="S65" s="81">
        <f>'Rate Application - REM Cycle I'!I65</f>
        <v>1.0993762674816792</v>
      </c>
      <c r="T65" s="18">
        <f>SUMIF($C$1:$C$65535,1,T$1:T$65535)</f>
        <v>13466787027.841496</v>
      </c>
      <c r="U65" s="18">
        <f>SUMIF($C$1:$C$65535,1,U$1:U$65535)</f>
        <v>651823.85005775804</v>
      </c>
      <c r="V65" s="80">
        <f>SUMIF($C$1:$C$65535,1,V$1:V$65535)</f>
        <v>0</v>
      </c>
      <c r="W65" s="79">
        <f>I65-V65</f>
        <v>803403.52374729258</v>
      </c>
      <c r="X65" s="18">
        <f>SUMIF($C$1:$C$65535,1,X$1:X$65535)</f>
        <v>13466787027.841496</v>
      </c>
      <c r="Y65" s="18">
        <f>SUMIF($C$1:$C$65535,1,Y$1:Y$65535)</f>
        <v>13566527567.945049</v>
      </c>
      <c r="Z65" s="78">
        <f>X65/Y65-1</f>
        <v>-7.3519579423714232E-3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23" t="e">
        <f>AVERAGEIF($C$1:$C$65535,3,H$1:H$65535)</f>
        <v>#DIV/0!</v>
      </c>
      <c r="I66" s="80">
        <f>SUMIF($C$1:$C$65535,3,I$1:I$65535)</f>
        <v>0</v>
      </c>
      <c r="J66" s="22" t="e">
        <f>'Rate Application - ICC Cycle I'!U66</f>
        <v>#DIV/0!</v>
      </c>
      <c r="K66" s="11" t="e">
        <f>+H66+J66</f>
        <v>#DIV/0!</v>
      </c>
      <c r="L66" s="11" t="e">
        <f>K66*I66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N66/I66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Q66/I66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I66-V66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23" t="e">
        <f>AVERAGEIF($C$1:$C$65535,4,H$1:H$65535)</f>
        <v>#DIV/0!</v>
      </c>
      <c r="I67" s="80">
        <f>SUMIF($C$1:$C$65535,4,I$1:I$65535)</f>
        <v>0</v>
      </c>
      <c r="J67" s="22" t="e">
        <f>'Rate Application - ICC Cycle I'!U67</f>
        <v>#DIV/0!</v>
      </c>
      <c r="K67" s="11" t="e">
        <f>+H67+J67</f>
        <v>#DIV/0!</v>
      </c>
      <c r="L67" s="11" t="e">
        <f>K67*I67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N67/I67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Q67/I67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I67-V67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16863.368236533166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0</v>
      </c>
      <c r="H68" s="23">
        <f>AVERAGEIF($C$1:$C$65535,5,H$1:H$65535)</f>
        <v>16805.670414582968</v>
      </c>
      <c r="I68" s="80">
        <f>SUMIF($C$1:$C$65535,5,I$1:I$65535)</f>
        <v>313101.47436853946</v>
      </c>
      <c r="J68" s="22">
        <f>'Rate Application - ICC Cycle I'!U68</f>
        <v>1922.6648445368019</v>
      </c>
      <c r="K68" s="11">
        <f>+H68+J68</f>
        <v>18728.335259119769</v>
      </c>
      <c r="L68" s="11">
        <f>K68*I68</f>
        <v>5863869382.0987024</v>
      </c>
      <c r="M68" s="36">
        <f>'Rate Application - REM Cycle I'!M68</f>
        <v>0.99790031034215976</v>
      </c>
      <c r="N68" s="18">
        <f>SUMIF($C$1:$C$65535,5,N$1:N$65535)</f>
        <v>5850995299.7372551</v>
      </c>
      <c r="O68" s="19">
        <f>N68/I68</f>
        <v>18687.217335969101</v>
      </c>
      <c r="P68" s="18">
        <f>SUMIF($C$1:$C$65535,5,P$1:P$65535)</f>
        <v>257501081.74744377</v>
      </c>
      <c r="Q68" s="18">
        <f>SUMIF($C$1:$C$65535,5,Q$1:Q$65535)</f>
        <v>6108496381.4846992</v>
      </c>
      <c r="R68" s="19">
        <f>Q68/I68</f>
        <v>19509.637869972557</v>
      </c>
      <c r="S68" s="81">
        <f>'Rate Application - REM Cycle I'!I68</f>
        <v>1.0695902147917553</v>
      </c>
      <c r="T68" s="18">
        <f>SUMIF($C$1:$C$65535,5,T$1:T$65535)</f>
        <v>6797681907.9306068</v>
      </c>
      <c r="U68" s="18">
        <f>SUMIF($C$1:$C$65535,5,U$1:U$65535)</f>
        <v>148686.36102000726</v>
      </c>
      <c r="V68" s="80">
        <f>SUMIF($C$1:$C$65535,5,V$1:V$65535)</f>
        <v>0</v>
      </c>
      <c r="W68" s="79">
        <f>I68-V68</f>
        <v>313101.47436853946</v>
      </c>
      <c r="X68" s="18">
        <f>SUMIF($C$1:$C$65535,5,X$1:X$65535)</f>
        <v>6797681907.9306068</v>
      </c>
      <c r="Y68" s="18">
        <f>SUMIF($C$1:$C$65535,5,Y$1:Y$65535)</f>
        <v>6818078919.679533</v>
      </c>
      <c r="Z68" s="78">
        <f>X68/Y68-1</f>
        <v>-2.991606871849628E-3</v>
      </c>
    </row>
    <row r="69" spans="1:26" x14ac:dyDescent="0.5">
      <c r="I69" s="77"/>
    </row>
    <row r="70" spans="1:26" x14ac:dyDescent="0.5">
      <c r="E70" s="74"/>
      <c r="F70" s="76"/>
      <c r="G70" s="74"/>
    </row>
    <row r="71" spans="1:26" x14ac:dyDescent="0.5">
      <c r="E71" s="74"/>
      <c r="F71" s="75">
        <f>-2%*D65</f>
        <v>-295.05644305469212</v>
      </c>
      <c r="G71" s="73">
        <f>G65/D65</f>
        <v>0</v>
      </c>
      <c r="H71" s="75"/>
    </row>
    <row r="72" spans="1:26" x14ac:dyDescent="0.5">
      <c r="E72" s="74"/>
      <c r="F72" s="75" t="e">
        <f>-2%*D66</f>
        <v>#DIV/0!</v>
      </c>
      <c r="G72" s="73" t="e">
        <f>G66/D66</f>
        <v>#DIV/0!</v>
      </c>
      <c r="H72" s="75"/>
    </row>
    <row r="73" spans="1:26" x14ac:dyDescent="0.5">
      <c r="E73" s="74"/>
      <c r="F73" s="75" t="e">
        <f>-2%*D67</f>
        <v>#DIV/0!</v>
      </c>
      <c r="G73" s="73" t="e">
        <f>G67/D67</f>
        <v>#DIV/0!</v>
      </c>
      <c r="H73" s="75"/>
    </row>
    <row r="74" spans="1:26" x14ac:dyDescent="0.5">
      <c r="F74" s="75">
        <f>-2%*D68</f>
        <v>-337.2673647306633</v>
      </c>
      <c r="G74" s="73">
        <f>G68/D68</f>
        <v>0</v>
      </c>
      <c r="H74" s="75"/>
    </row>
    <row r="75" spans="1:26" x14ac:dyDescent="0.5">
      <c r="G75" s="74"/>
    </row>
    <row r="76" spans="1:26" x14ac:dyDescent="0.5">
      <c r="G76" s="73">
        <f>G61/D61</f>
        <v>0</v>
      </c>
      <c r="H76" s="73"/>
    </row>
  </sheetData>
  <sheetCalcPr fullCalcOnLoad="1"/>
  <autoFilter ref="A2:AG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50"/>
  <sheetViews>
    <sheetView workbookViewId="0">
      <selection activeCell="H41" sqref="H41"/>
    </sheetView>
  </sheetViews>
  <sheetFormatPr defaultColWidth="9.15625" defaultRowHeight="15" x14ac:dyDescent="0.5"/>
  <cols>
    <col min="1" max="9" width="9.15625" style="107"/>
    <col min="10" max="10" width="67.26171875" style="107" bestFit="1" customWidth="1"/>
    <col min="11" max="11" width="26" style="107" bestFit="1" customWidth="1"/>
    <col min="12" max="16384" width="9.15625" style="107"/>
  </cols>
  <sheetData>
    <row r="1" spans="1:12" x14ac:dyDescent="0.5">
      <c r="A1" s="107" t="s">
        <v>106</v>
      </c>
      <c r="B1" s="107" t="s">
        <v>434</v>
      </c>
      <c r="C1" s="107" t="s">
        <v>433</v>
      </c>
      <c r="D1" s="107" t="s">
        <v>432</v>
      </c>
      <c r="E1" s="107" t="s">
        <v>431</v>
      </c>
      <c r="F1" s="107" t="s">
        <v>430</v>
      </c>
      <c r="G1" s="107" t="s">
        <v>429</v>
      </c>
      <c r="H1" s="107" t="s">
        <v>428</v>
      </c>
      <c r="I1" s="107" t="s">
        <v>427</v>
      </c>
      <c r="J1" s="107" t="s">
        <v>426</v>
      </c>
      <c r="K1" s="107" t="s">
        <v>281</v>
      </c>
      <c r="L1" s="107" t="s">
        <v>106</v>
      </c>
    </row>
    <row r="2" spans="1:12" x14ac:dyDescent="0.5">
      <c r="A2" s="107">
        <v>210023</v>
      </c>
      <c r="B2" s="107">
        <v>21</v>
      </c>
      <c r="C2" s="107">
        <v>23</v>
      </c>
      <c r="D2" s="107">
        <v>21</v>
      </c>
      <c r="E2" s="107" t="s">
        <v>366</v>
      </c>
      <c r="F2" s="107" t="s">
        <v>365</v>
      </c>
      <c r="G2" s="107" t="s">
        <v>4</v>
      </c>
      <c r="H2" s="107" t="s">
        <v>362</v>
      </c>
      <c r="J2" s="107" t="s">
        <v>407</v>
      </c>
      <c r="K2" s="107" t="s">
        <v>4</v>
      </c>
      <c r="L2" s="107">
        <v>210023</v>
      </c>
    </row>
    <row r="3" spans="1:12" x14ac:dyDescent="0.5">
      <c r="A3" s="107">
        <v>210061</v>
      </c>
      <c r="B3" s="107">
        <v>58</v>
      </c>
      <c r="C3" s="107">
        <v>61</v>
      </c>
      <c r="D3" s="107">
        <v>58</v>
      </c>
      <c r="E3" s="107" t="s">
        <v>366</v>
      </c>
      <c r="F3" s="107" t="s">
        <v>365</v>
      </c>
      <c r="G3" s="107" t="s">
        <v>66</v>
      </c>
      <c r="H3" s="107" t="s">
        <v>362</v>
      </c>
      <c r="J3" s="107" t="s">
        <v>380</v>
      </c>
      <c r="K3" s="107" t="s">
        <v>5</v>
      </c>
      <c r="L3" s="107">
        <v>210061</v>
      </c>
    </row>
    <row r="4" spans="1:12" x14ac:dyDescent="0.5">
      <c r="A4" s="107">
        <v>210013</v>
      </c>
      <c r="B4" s="107">
        <v>13</v>
      </c>
      <c r="C4" s="107">
        <v>13</v>
      </c>
      <c r="D4" s="107">
        <v>13</v>
      </c>
      <c r="E4" s="107" t="s">
        <v>366</v>
      </c>
      <c r="F4" s="107" t="s">
        <v>365</v>
      </c>
      <c r="G4" s="107" t="s">
        <v>53</v>
      </c>
      <c r="H4" s="107" t="s">
        <v>362</v>
      </c>
      <c r="J4" s="107" t="s">
        <v>414</v>
      </c>
      <c r="K4" s="107" t="s">
        <v>6</v>
      </c>
      <c r="L4" s="107">
        <v>210013</v>
      </c>
    </row>
    <row r="5" spans="1:12" x14ac:dyDescent="0.5">
      <c r="A5" s="107">
        <v>210039</v>
      </c>
      <c r="B5" s="107">
        <v>37</v>
      </c>
      <c r="C5" s="107">
        <v>39</v>
      </c>
      <c r="D5" s="107">
        <v>37</v>
      </c>
      <c r="E5" s="107" t="s">
        <v>366</v>
      </c>
      <c r="F5" s="107" t="s">
        <v>390</v>
      </c>
      <c r="G5" s="107" t="s">
        <v>7</v>
      </c>
      <c r="H5" s="107" t="s">
        <v>362</v>
      </c>
      <c r="J5" s="107" t="s">
        <v>394</v>
      </c>
      <c r="K5" s="107" t="s">
        <v>7</v>
      </c>
      <c r="L5" s="107">
        <v>210039</v>
      </c>
    </row>
    <row r="6" spans="1:12" x14ac:dyDescent="0.5">
      <c r="A6" s="107">
        <v>210033</v>
      </c>
      <c r="B6" s="107">
        <v>31</v>
      </c>
      <c r="C6" s="107">
        <v>33</v>
      </c>
      <c r="D6" s="107">
        <v>31</v>
      </c>
      <c r="E6" s="107" t="s">
        <v>366</v>
      </c>
      <c r="F6" s="107" t="s">
        <v>390</v>
      </c>
      <c r="G6" s="107" t="s">
        <v>8</v>
      </c>
      <c r="H6" s="107" t="s">
        <v>362</v>
      </c>
      <c r="I6" s="107" t="s">
        <v>370</v>
      </c>
      <c r="J6" s="107" t="s">
        <v>399</v>
      </c>
      <c r="K6" s="107" t="s">
        <v>8</v>
      </c>
      <c r="L6" s="107">
        <v>210033</v>
      </c>
    </row>
    <row r="7" spans="1:12" x14ac:dyDescent="0.5">
      <c r="A7" s="107">
        <v>210051</v>
      </c>
      <c r="B7" s="107">
        <v>48</v>
      </c>
      <c r="C7" s="107">
        <v>51</v>
      </c>
      <c r="D7" s="107">
        <v>48</v>
      </c>
      <c r="E7" s="107" t="s">
        <v>366</v>
      </c>
      <c r="F7" s="107" t="s">
        <v>365</v>
      </c>
      <c r="G7" s="107" t="s">
        <v>61</v>
      </c>
      <c r="H7" s="107" t="s">
        <v>362</v>
      </c>
      <c r="J7" s="107" t="s">
        <v>386</v>
      </c>
      <c r="K7" s="107" t="s">
        <v>9</v>
      </c>
      <c r="L7" s="107">
        <v>210051</v>
      </c>
    </row>
    <row r="8" spans="1:12" x14ac:dyDescent="0.5">
      <c r="A8" s="107">
        <v>210060</v>
      </c>
      <c r="B8" s="107">
        <v>60</v>
      </c>
      <c r="C8" s="107">
        <v>60</v>
      </c>
      <c r="D8" s="107">
        <v>60</v>
      </c>
      <c r="E8" s="107" t="s">
        <v>366</v>
      </c>
      <c r="F8" s="107" t="s">
        <v>365</v>
      </c>
      <c r="G8" s="107" t="s">
        <v>61</v>
      </c>
      <c r="H8" s="107" t="s">
        <v>362</v>
      </c>
      <c r="J8" s="107" t="s">
        <v>381</v>
      </c>
      <c r="K8" s="107" t="s">
        <v>11</v>
      </c>
      <c r="L8" s="107">
        <v>210060</v>
      </c>
    </row>
    <row r="9" spans="1:12" x14ac:dyDescent="0.5">
      <c r="A9" s="107">
        <v>210005</v>
      </c>
      <c r="B9" s="107">
        <v>5</v>
      </c>
      <c r="C9" s="107">
        <v>5</v>
      </c>
      <c r="D9" s="107">
        <v>5</v>
      </c>
      <c r="E9" s="107" t="s">
        <v>366</v>
      </c>
      <c r="F9" s="107" t="s">
        <v>365</v>
      </c>
      <c r="G9" s="107" t="s">
        <v>10</v>
      </c>
      <c r="H9" s="107" t="s">
        <v>362</v>
      </c>
      <c r="J9" s="107" t="s">
        <v>421</v>
      </c>
      <c r="K9" s="107" t="s">
        <v>10</v>
      </c>
      <c r="L9" s="107">
        <v>210005</v>
      </c>
    </row>
    <row r="10" spans="1:12" x14ac:dyDescent="0.5">
      <c r="A10" s="107">
        <v>210017</v>
      </c>
      <c r="B10" s="107">
        <v>16</v>
      </c>
      <c r="C10" s="107">
        <v>17</v>
      </c>
      <c r="D10" s="107">
        <v>16</v>
      </c>
      <c r="E10" s="107" t="s">
        <v>366</v>
      </c>
      <c r="F10" s="107" t="s">
        <v>390</v>
      </c>
      <c r="G10" s="107" t="s">
        <v>12</v>
      </c>
      <c r="H10" s="107" t="s">
        <v>362</v>
      </c>
      <c r="J10" s="107" t="s">
        <v>411</v>
      </c>
      <c r="K10" s="107" t="s">
        <v>12</v>
      </c>
      <c r="L10" s="107">
        <v>210017</v>
      </c>
    </row>
    <row r="11" spans="1:12" x14ac:dyDescent="0.5">
      <c r="A11" s="107">
        <v>210044</v>
      </c>
      <c r="B11" s="107">
        <v>42</v>
      </c>
      <c r="C11" s="107">
        <v>44</v>
      </c>
      <c r="D11" s="107">
        <v>42</v>
      </c>
      <c r="E11" s="107" t="s">
        <v>366</v>
      </c>
      <c r="F11" s="107" t="s">
        <v>365</v>
      </c>
      <c r="G11" s="107" t="s">
        <v>368</v>
      </c>
      <c r="H11" s="107" t="s">
        <v>364</v>
      </c>
      <c r="J11" s="107" t="s">
        <v>391</v>
      </c>
      <c r="K11" s="107" t="s">
        <v>13</v>
      </c>
      <c r="L11" s="107">
        <v>210044</v>
      </c>
    </row>
    <row r="12" spans="1:12" x14ac:dyDescent="0.5">
      <c r="A12" s="107">
        <v>210004</v>
      </c>
      <c r="B12" s="107">
        <v>4</v>
      </c>
      <c r="C12" s="107">
        <v>4</v>
      </c>
      <c r="D12" s="107">
        <v>4</v>
      </c>
      <c r="E12" s="107" t="s">
        <v>366</v>
      </c>
      <c r="F12" s="107" t="s">
        <v>365</v>
      </c>
      <c r="G12" s="107" t="s">
        <v>60</v>
      </c>
      <c r="H12" s="107" t="s">
        <v>364</v>
      </c>
      <c r="I12" s="107" t="s">
        <v>374</v>
      </c>
      <c r="J12" s="107" t="s">
        <v>422</v>
      </c>
      <c r="K12" s="107" t="s">
        <v>15</v>
      </c>
      <c r="L12" s="107">
        <v>210004</v>
      </c>
    </row>
    <row r="13" spans="1:12" x14ac:dyDescent="0.5">
      <c r="A13" s="107">
        <v>210065</v>
      </c>
      <c r="C13" s="107">
        <v>65</v>
      </c>
      <c r="E13" s="107" t="s">
        <v>366</v>
      </c>
      <c r="F13" s="107" t="s">
        <v>375</v>
      </c>
      <c r="G13" s="107" t="s">
        <v>372</v>
      </c>
      <c r="H13" s="107" t="s">
        <v>362</v>
      </c>
      <c r="I13" s="107" t="s">
        <v>374</v>
      </c>
      <c r="J13" s="107" t="s">
        <v>373</v>
      </c>
      <c r="K13" s="107" t="s">
        <v>14</v>
      </c>
      <c r="L13" s="107">
        <v>210065</v>
      </c>
    </row>
    <row r="14" spans="1:12" x14ac:dyDescent="0.5">
      <c r="A14" s="107">
        <v>990099</v>
      </c>
      <c r="J14" s="110" t="s">
        <v>79</v>
      </c>
      <c r="L14" s="107">
        <v>990099</v>
      </c>
    </row>
    <row r="15" spans="1:12" x14ac:dyDescent="0.5">
      <c r="A15" s="107">
        <v>210048</v>
      </c>
      <c r="B15" s="107">
        <v>46</v>
      </c>
      <c r="C15" s="107">
        <v>48</v>
      </c>
      <c r="D15" s="107">
        <v>46</v>
      </c>
      <c r="E15" s="107" t="s">
        <v>366</v>
      </c>
      <c r="F15" s="107" t="s">
        <v>365</v>
      </c>
      <c r="G15" s="107" t="s">
        <v>58</v>
      </c>
      <c r="H15" s="107" t="s">
        <v>362</v>
      </c>
      <c r="I15" s="107" t="s">
        <v>371</v>
      </c>
      <c r="J15" s="107" t="s">
        <v>388</v>
      </c>
      <c r="K15" s="107" t="s">
        <v>16</v>
      </c>
      <c r="L15" s="107">
        <v>210048</v>
      </c>
    </row>
    <row r="16" spans="1:12" x14ac:dyDescent="0.5">
      <c r="A16" s="107">
        <v>210029</v>
      </c>
      <c r="B16" s="107">
        <v>27</v>
      </c>
      <c r="C16" s="107">
        <v>29</v>
      </c>
      <c r="D16" s="107">
        <v>27</v>
      </c>
      <c r="E16" s="107" t="s">
        <v>366</v>
      </c>
      <c r="F16" s="107" t="s">
        <v>365</v>
      </c>
      <c r="G16" s="107" t="s">
        <v>53</v>
      </c>
      <c r="H16" s="107" t="s">
        <v>364</v>
      </c>
      <c r="I16" s="107" t="s">
        <v>371</v>
      </c>
      <c r="J16" s="107" t="s">
        <v>402</v>
      </c>
      <c r="K16" s="107" t="s">
        <v>17</v>
      </c>
      <c r="L16" s="107">
        <v>210029</v>
      </c>
    </row>
    <row r="17" spans="1:12" x14ac:dyDescent="0.5">
      <c r="A17" s="107">
        <v>210009</v>
      </c>
      <c r="B17" s="107">
        <v>9</v>
      </c>
      <c r="C17" s="107">
        <v>9</v>
      </c>
      <c r="D17" s="107">
        <v>9</v>
      </c>
      <c r="E17" s="107" t="s">
        <v>366</v>
      </c>
      <c r="F17" s="107" t="s">
        <v>365</v>
      </c>
      <c r="G17" s="107" t="s">
        <v>53</v>
      </c>
      <c r="H17" s="107" t="s">
        <v>364</v>
      </c>
      <c r="I17" s="107" t="s">
        <v>371</v>
      </c>
      <c r="J17" s="107" t="s">
        <v>418</v>
      </c>
      <c r="K17" s="107" t="s">
        <v>18</v>
      </c>
      <c r="L17" s="107">
        <v>210009</v>
      </c>
    </row>
    <row r="18" spans="1:12" x14ac:dyDescent="0.5">
      <c r="A18" s="107">
        <v>210055</v>
      </c>
      <c r="B18" s="107">
        <v>50</v>
      </c>
      <c r="C18" s="107">
        <v>55</v>
      </c>
      <c r="D18" s="107">
        <v>50</v>
      </c>
      <c r="E18" s="107" t="s">
        <v>366</v>
      </c>
      <c r="F18" s="107" t="s">
        <v>365</v>
      </c>
      <c r="G18" s="107" t="s">
        <v>61</v>
      </c>
      <c r="H18" s="107" t="s">
        <v>362</v>
      </c>
      <c r="I18" s="107" t="s">
        <v>369</v>
      </c>
      <c r="J18" s="107" t="s">
        <v>385</v>
      </c>
      <c r="K18" s="107" t="s">
        <v>215</v>
      </c>
      <c r="L18" s="107">
        <v>210055</v>
      </c>
    </row>
    <row r="19" spans="1:12" x14ac:dyDescent="0.5">
      <c r="A19" s="107">
        <v>210064</v>
      </c>
      <c r="C19" s="107">
        <v>5033</v>
      </c>
      <c r="F19" s="107" t="s">
        <v>365</v>
      </c>
      <c r="H19" s="107" t="s">
        <v>362</v>
      </c>
      <c r="I19" s="107" t="s">
        <v>370</v>
      </c>
      <c r="J19" s="107" t="s">
        <v>279</v>
      </c>
      <c r="K19" s="107" t="s">
        <v>376</v>
      </c>
      <c r="L19" s="107">
        <v>210064</v>
      </c>
    </row>
    <row r="20" spans="1:12" x14ac:dyDescent="0.5">
      <c r="A20" s="107">
        <v>210045</v>
      </c>
      <c r="B20" s="107">
        <v>43</v>
      </c>
      <c r="C20" s="107">
        <v>45</v>
      </c>
      <c r="D20" s="107">
        <v>43</v>
      </c>
      <c r="E20" s="107" t="s">
        <v>366</v>
      </c>
      <c r="F20" s="107" t="s">
        <v>390</v>
      </c>
      <c r="G20" s="107" t="s">
        <v>62</v>
      </c>
      <c r="H20" s="107" t="s">
        <v>362</v>
      </c>
      <c r="J20" s="107" t="s">
        <v>389</v>
      </c>
      <c r="K20" s="107" t="s">
        <v>19</v>
      </c>
      <c r="L20" s="107">
        <v>210045</v>
      </c>
    </row>
    <row r="21" spans="1:12" x14ac:dyDescent="0.5">
      <c r="A21" s="107">
        <v>210015</v>
      </c>
      <c r="B21" s="107">
        <v>14</v>
      </c>
      <c r="C21" s="107">
        <v>15</v>
      </c>
      <c r="D21" s="107">
        <v>14</v>
      </c>
      <c r="E21" s="107" t="s">
        <v>366</v>
      </c>
      <c r="F21" s="107" t="s">
        <v>365</v>
      </c>
      <c r="G21" s="107" t="s">
        <v>368</v>
      </c>
      <c r="H21" s="107" t="s">
        <v>364</v>
      </c>
      <c r="I21" s="107" t="s">
        <v>379</v>
      </c>
      <c r="J21" s="107" t="s">
        <v>413</v>
      </c>
      <c r="K21" s="107" t="s">
        <v>20</v>
      </c>
      <c r="L21" s="107">
        <v>210015</v>
      </c>
    </row>
    <row r="22" spans="1:12" x14ac:dyDescent="0.5">
      <c r="A22" s="107">
        <v>210056</v>
      </c>
      <c r="B22" s="107">
        <v>52</v>
      </c>
      <c r="C22" s="107">
        <v>2004</v>
      </c>
      <c r="D22" s="107">
        <v>52</v>
      </c>
      <c r="E22" s="107" t="s">
        <v>366</v>
      </c>
      <c r="F22" s="107" t="s">
        <v>365</v>
      </c>
      <c r="G22" s="107" t="s">
        <v>53</v>
      </c>
      <c r="H22" s="107" t="s">
        <v>364</v>
      </c>
      <c r="I22" s="107" t="s">
        <v>379</v>
      </c>
      <c r="J22" s="107" t="s">
        <v>384</v>
      </c>
      <c r="K22" s="107" t="s">
        <v>21</v>
      </c>
      <c r="L22" s="107">
        <v>210056</v>
      </c>
    </row>
    <row r="23" spans="1:12" x14ac:dyDescent="0.5">
      <c r="A23" s="107">
        <v>210034</v>
      </c>
      <c r="B23" s="107">
        <v>32</v>
      </c>
      <c r="C23" s="107">
        <v>34</v>
      </c>
      <c r="D23" s="107">
        <v>32</v>
      </c>
      <c r="E23" s="107" t="s">
        <v>366</v>
      </c>
      <c r="F23" s="107" t="s">
        <v>365</v>
      </c>
      <c r="G23" s="107" t="s">
        <v>53</v>
      </c>
      <c r="H23" s="107" t="s">
        <v>364</v>
      </c>
      <c r="I23" s="107" t="s">
        <v>379</v>
      </c>
      <c r="J23" s="107" t="s">
        <v>398</v>
      </c>
      <c r="K23" s="107" t="s">
        <v>22</v>
      </c>
      <c r="L23" s="107">
        <v>210034</v>
      </c>
    </row>
    <row r="24" spans="1:12" x14ac:dyDescent="0.5">
      <c r="A24" s="107">
        <v>210018</v>
      </c>
      <c r="B24" s="107">
        <v>17</v>
      </c>
      <c r="C24" s="107">
        <v>18</v>
      </c>
      <c r="D24" s="107">
        <v>17</v>
      </c>
      <c r="E24" s="107" t="s">
        <v>366</v>
      </c>
      <c r="F24" s="107" t="s">
        <v>365</v>
      </c>
      <c r="G24" s="107" t="s">
        <v>60</v>
      </c>
      <c r="H24" s="107" t="s">
        <v>362</v>
      </c>
      <c r="I24" s="107" t="s">
        <v>379</v>
      </c>
      <c r="J24" s="107" t="s">
        <v>410</v>
      </c>
      <c r="K24" s="107" t="s">
        <v>23</v>
      </c>
      <c r="L24" s="107">
        <v>210018</v>
      </c>
    </row>
    <row r="25" spans="1:12" x14ac:dyDescent="0.5">
      <c r="A25" s="107">
        <v>210062</v>
      </c>
      <c r="C25" s="107">
        <v>62</v>
      </c>
      <c r="E25" s="107" t="s">
        <v>366</v>
      </c>
      <c r="F25" s="107" t="s">
        <v>365</v>
      </c>
      <c r="G25" s="107" t="s">
        <v>61</v>
      </c>
      <c r="H25" s="107" t="s">
        <v>362</v>
      </c>
      <c r="I25" s="107" t="s">
        <v>379</v>
      </c>
      <c r="J25" s="107" t="s">
        <v>378</v>
      </c>
      <c r="K25" s="107" t="s">
        <v>24</v>
      </c>
      <c r="L25" s="107">
        <v>210062</v>
      </c>
    </row>
    <row r="26" spans="1:12" x14ac:dyDescent="0.5">
      <c r="A26" s="107">
        <v>210028</v>
      </c>
      <c r="B26" s="107">
        <v>26</v>
      </c>
      <c r="C26" s="107">
        <v>28</v>
      </c>
      <c r="D26" s="107">
        <v>26</v>
      </c>
      <c r="E26" s="107" t="s">
        <v>366</v>
      </c>
      <c r="F26" s="107" t="s">
        <v>365</v>
      </c>
      <c r="G26" s="107" t="s">
        <v>404</v>
      </c>
      <c r="H26" s="107" t="s">
        <v>362</v>
      </c>
      <c r="I26" s="107" t="s">
        <v>379</v>
      </c>
      <c r="J26" s="107" t="s">
        <v>403</v>
      </c>
      <c r="K26" s="107" t="s">
        <v>25</v>
      </c>
      <c r="L26" s="107">
        <v>210028</v>
      </c>
    </row>
    <row r="27" spans="1:12" x14ac:dyDescent="0.5">
      <c r="A27" s="107">
        <v>210024</v>
      </c>
      <c r="B27" s="107">
        <v>22</v>
      </c>
      <c r="C27" s="107">
        <v>24</v>
      </c>
      <c r="D27" s="107">
        <v>22</v>
      </c>
      <c r="E27" s="107" t="s">
        <v>366</v>
      </c>
      <c r="F27" s="107" t="s">
        <v>365</v>
      </c>
      <c r="G27" s="107" t="s">
        <v>53</v>
      </c>
      <c r="H27" s="107" t="s">
        <v>364</v>
      </c>
      <c r="I27" s="107" t="s">
        <v>379</v>
      </c>
      <c r="J27" s="107" t="s">
        <v>406</v>
      </c>
      <c r="K27" s="107" t="s">
        <v>26</v>
      </c>
      <c r="L27" s="107">
        <v>210024</v>
      </c>
    </row>
    <row r="28" spans="1:12" x14ac:dyDescent="0.5">
      <c r="A28" s="107">
        <v>210008</v>
      </c>
      <c r="B28" s="107">
        <v>8</v>
      </c>
      <c r="C28" s="107">
        <v>8</v>
      </c>
      <c r="D28" s="107">
        <v>8</v>
      </c>
      <c r="E28" s="107" t="s">
        <v>366</v>
      </c>
      <c r="F28" s="107" t="s">
        <v>365</v>
      </c>
      <c r="G28" s="107" t="s">
        <v>53</v>
      </c>
      <c r="H28" s="107" t="s">
        <v>364</v>
      </c>
      <c r="J28" s="107" t="s">
        <v>419</v>
      </c>
      <c r="K28" s="107" t="s">
        <v>27</v>
      </c>
      <c r="L28" s="107">
        <v>210008</v>
      </c>
    </row>
    <row r="29" spans="1:12" x14ac:dyDescent="0.5">
      <c r="A29" s="107">
        <v>210001</v>
      </c>
      <c r="B29" s="107">
        <v>1</v>
      </c>
      <c r="C29" s="107">
        <v>1</v>
      </c>
      <c r="D29" s="107">
        <v>1</v>
      </c>
      <c r="E29" s="107" t="s">
        <v>366</v>
      </c>
      <c r="F29" s="107" t="s">
        <v>390</v>
      </c>
      <c r="G29" s="107" t="s">
        <v>64</v>
      </c>
      <c r="H29" s="107" t="s">
        <v>362</v>
      </c>
      <c r="J29" s="107" t="s">
        <v>425</v>
      </c>
      <c r="K29" s="107" t="s">
        <v>28</v>
      </c>
      <c r="L29" s="107">
        <v>210001</v>
      </c>
    </row>
    <row r="30" spans="1:12" x14ac:dyDescent="0.5">
      <c r="A30" s="107">
        <v>210040</v>
      </c>
      <c r="B30" s="107">
        <v>38</v>
      </c>
      <c r="C30" s="107">
        <v>40</v>
      </c>
      <c r="D30" s="107">
        <v>38</v>
      </c>
      <c r="E30" s="107" t="s">
        <v>366</v>
      </c>
      <c r="F30" s="107" t="s">
        <v>365</v>
      </c>
      <c r="G30" s="107" t="s">
        <v>368</v>
      </c>
      <c r="H30" s="107" t="s">
        <v>362</v>
      </c>
      <c r="I30" s="107" t="s">
        <v>370</v>
      </c>
      <c r="J30" s="107" t="s">
        <v>393</v>
      </c>
      <c r="K30" s="107" t="s">
        <v>29</v>
      </c>
      <c r="L30" s="107">
        <v>210040</v>
      </c>
    </row>
    <row r="31" spans="1:12" x14ac:dyDescent="0.5">
      <c r="A31" s="107">
        <v>210019</v>
      </c>
      <c r="B31" s="107">
        <v>18</v>
      </c>
      <c r="C31" s="107">
        <v>19</v>
      </c>
      <c r="D31" s="107">
        <v>18</v>
      </c>
      <c r="E31" s="107" t="s">
        <v>366</v>
      </c>
      <c r="F31" s="107" t="s">
        <v>365</v>
      </c>
      <c r="G31" s="107" t="s">
        <v>65</v>
      </c>
      <c r="H31" s="107" t="s">
        <v>362</v>
      </c>
      <c r="J31" s="107" t="s">
        <v>409</v>
      </c>
      <c r="K31" s="107" t="s">
        <v>30</v>
      </c>
      <c r="L31" s="107">
        <v>210019</v>
      </c>
    </row>
    <row r="32" spans="1:12" x14ac:dyDescent="0.5">
      <c r="A32" s="107">
        <v>210003</v>
      </c>
      <c r="B32" s="107">
        <v>3</v>
      </c>
      <c r="C32" s="107">
        <v>3</v>
      </c>
      <c r="D32" s="107">
        <v>3</v>
      </c>
      <c r="E32" s="107" t="s">
        <v>366</v>
      </c>
      <c r="F32" s="107" t="s">
        <v>365</v>
      </c>
      <c r="G32" s="107" t="s">
        <v>61</v>
      </c>
      <c r="H32" s="107" t="s">
        <v>364</v>
      </c>
      <c r="I32" s="107" t="s">
        <v>369</v>
      </c>
      <c r="J32" s="107" t="s">
        <v>423</v>
      </c>
      <c r="K32" s="107" t="s">
        <v>216</v>
      </c>
      <c r="L32" s="107">
        <v>210003</v>
      </c>
    </row>
    <row r="33" spans="1:12" x14ac:dyDescent="0.5">
      <c r="A33" s="107">
        <v>210057</v>
      </c>
      <c r="B33" s="107">
        <v>53</v>
      </c>
      <c r="C33" s="107">
        <v>5050</v>
      </c>
      <c r="D33" s="107">
        <v>53</v>
      </c>
      <c r="E33" s="107" t="s">
        <v>366</v>
      </c>
      <c r="F33" s="107" t="s">
        <v>365</v>
      </c>
      <c r="G33" s="107" t="s">
        <v>60</v>
      </c>
      <c r="H33" s="107" t="s">
        <v>364</v>
      </c>
      <c r="I33" s="107" t="s">
        <v>367</v>
      </c>
      <c r="J33" s="107" t="s">
        <v>383</v>
      </c>
      <c r="K33" s="107" t="s">
        <v>31</v>
      </c>
      <c r="L33" s="107">
        <v>210057</v>
      </c>
    </row>
    <row r="34" spans="1:12" x14ac:dyDescent="0.5">
      <c r="A34" s="107">
        <v>210012</v>
      </c>
      <c r="B34" s="107">
        <v>12</v>
      </c>
      <c r="C34" s="107">
        <v>12</v>
      </c>
      <c r="D34" s="107">
        <v>12</v>
      </c>
      <c r="E34" s="107" t="s">
        <v>366</v>
      </c>
      <c r="F34" s="107" t="s">
        <v>365</v>
      </c>
      <c r="G34" s="107" t="s">
        <v>53</v>
      </c>
      <c r="H34" s="107" t="s">
        <v>364</v>
      </c>
      <c r="I34" s="107" t="s">
        <v>370</v>
      </c>
      <c r="J34" s="107" t="s">
        <v>415</v>
      </c>
      <c r="K34" s="107" t="s">
        <v>32</v>
      </c>
      <c r="L34" s="107">
        <v>210012</v>
      </c>
    </row>
    <row r="35" spans="1:12" x14ac:dyDescent="0.5">
      <c r="A35" s="107">
        <v>210011</v>
      </c>
      <c r="B35" s="107">
        <v>11</v>
      </c>
      <c r="C35" s="107">
        <v>11</v>
      </c>
      <c r="D35" s="107">
        <v>11</v>
      </c>
      <c r="E35" s="107" t="s">
        <v>366</v>
      </c>
      <c r="F35" s="107" t="s">
        <v>365</v>
      </c>
      <c r="G35" s="107" t="s">
        <v>53</v>
      </c>
      <c r="H35" s="107" t="s">
        <v>364</v>
      </c>
      <c r="J35" s="107" t="s">
        <v>416</v>
      </c>
      <c r="K35" s="107" t="s">
        <v>33</v>
      </c>
      <c r="L35" s="107">
        <v>210011</v>
      </c>
    </row>
    <row r="36" spans="1:12" x14ac:dyDescent="0.5">
      <c r="A36" s="107">
        <v>210022</v>
      </c>
      <c r="B36" s="107">
        <v>20</v>
      </c>
      <c r="C36" s="107">
        <v>22</v>
      </c>
      <c r="D36" s="107">
        <v>20</v>
      </c>
      <c r="E36" s="107" t="s">
        <v>366</v>
      </c>
      <c r="F36" s="107" t="s">
        <v>365</v>
      </c>
      <c r="G36" s="107" t="s">
        <v>60</v>
      </c>
      <c r="H36" s="107" t="s">
        <v>364</v>
      </c>
      <c r="I36" s="107" t="s">
        <v>371</v>
      </c>
      <c r="J36" s="107" t="s">
        <v>408</v>
      </c>
      <c r="K36" s="107" t="s">
        <v>34</v>
      </c>
      <c r="L36" s="107">
        <v>210022</v>
      </c>
    </row>
    <row r="37" spans="1:12" x14ac:dyDescent="0.5">
      <c r="A37" s="107">
        <v>210043</v>
      </c>
      <c r="B37" s="107">
        <v>41</v>
      </c>
      <c r="C37" s="107">
        <v>43</v>
      </c>
      <c r="D37" s="107">
        <v>41</v>
      </c>
      <c r="E37" s="107" t="s">
        <v>366</v>
      </c>
      <c r="F37" s="107" t="s">
        <v>365</v>
      </c>
      <c r="G37" s="107" t="s">
        <v>4</v>
      </c>
      <c r="H37" s="107" t="s">
        <v>364</v>
      </c>
      <c r="I37" s="107" t="s">
        <v>363</v>
      </c>
      <c r="J37" s="107" t="s">
        <v>392</v>
      </c>
      <c r="K37" s="107" t="s">
        <v>35</v>
      </c>
      <c r="L37" s="107">
        <v>210043</v>
      </c>
    </row>
    <row r="38" spans="1:12" x14ac:dyDescent="0.5">
      <c r="A38" s="107">
        <v>210035</v>
      </c>
      <c r="B38" s="107">
        <v>33</v>
      </c>
      <c r="C38" s="107">
        <v>35</v>
      </c>
      <c r="D38" s="107">
        <v>33</v>
      </c>
      <c r="E38" s="107" t="s">
        <v>366</v>
      </c>
      <c r="F38" s="107" t="s">
        <v>365</v>
      </c>
      <c r="G38" s="107" t="s">
        <v>55</v>
      </c>
      <c r="H38" s="107" t="s">
        <v>362</v>
      </c>
      <c r="I38" s="107" t="s">
        <v>363</v>
      </c>
      <c r="J38" s="107" t="s">
        <v>397</v>
      </c>
      <c r="K38" s="107" t="s">
        <v>36</v>
      </c>
      <c r="L38" s="107">
        <v>210035</v>
      </c>
    </row>
    <row r="39" spans="1:12" x14ac:dyDescent="0.5">
      <c r="A39" s="107">
        <v>210006</v>
      </c>
      <c r="B39" s="107">
        <v>6</v>
      </c>
      <c r="C39" s="107">
        <v>6</v>
      </c>
      <c r="D39" s="107">
        <v>6</v>
      </c>
      <c r="E39" s="107" t="s">
        <v>366</v>
      </c>
      <c r="F39" s="107" t="s">
        <v>365</v>
      </c>
      <c r="G39" s="107" t="s">
        <v>57</v>
      </c>
      <c r="H39" s="107" t="s">
        <v>362</v>
      </c>
      <c r="I39" s="107" t="s">
        <v>363</v>
      </c>
      <c r="J39" s="107" t="s">
        <v>420</v>
      </c>
      <c r="K39" s="107" t="s">
        <v>40</v>
      </c>
      <c r="L39" s="107">
        <v>210006</v>
      </c>
    </row>
    <row r="40" spans="1:12" x14ac:dyDescent="0.5">
      <c r="A40" s="107">
        <v>210038</v>
      </c>
      <c r="B40" s="107">
        <v>36</v>
      </c>
      <c r="C40" s="107">
        <v>38</v>
      </c>
      <c r="D40" s="107">
        <v>36</v>
      </c>
      <c r="E40" s="107" t="s">
        <v>366</v>
      </c>
      <c r="F40" s="107" t="s">
        <v>365</v>
      </c>
      <c r="G40" s="107" t="s">
        <v>53</v>
      </c>
      <c r="H40" s="107" t="s">
        <v>364</v>
      </c>
      <c r="I40" s="107" t="s">
        <v>363</v>
      </c>
      <c r="J40" s="107" t="s">
        <v>395</v>
      </c>
      <c r="K40" s="107" t="s">
        <v>43</v>
      </c>
      <c r="L40" s="107">
        <v>210038</v>
      </c>
    </row>
    <row r="41" spans="1:12" x14ac:dyDescent="0.5">
      <c r="A41" s="107">
        <v>210058</v>
      </c>
      <c r="B41" s="107">
        <v>51</v>
      </c>
      <c r="C41" s="107">
        <v>2001</v>
      </c>
      <c r="D41" s="107">
        <v>51</v>
      </c>
      <c r="E41" s="107" t="s">
        <v>366</v>
      </c>
      <c r="F41" s="107" t="s">
        <v>365</v>
      </c>
      <c r="G41" s="107" t="s">
        <v>53</v>
      </c>
      <c r="H41" s="107" t="s">
        <v>362</v>
      </c>
      <c r="I41" s="107" t="s">
        <v>363</v>
      </c>
      <c r="J41" s="107" t="s">
        <v>382</v>
      </c>
      <c r="K41" s="107" t="s">
        <v>45</v>
      </c>
      <c r="L41" s="107">
        <v>210058</v>
      </c>
    </row>
    <row r="42" spans="1:12" x14ac:dyDescent="0.5">
      <c r="A42" s="107">
        <v>210030</v>
      </c>
      <c r="B42" s="107">
        <v>28</v>
      </c>
      <c r="C42" s="107">
        <v>30</v>
      </c>
      <c r="D42" s="107">
        <v>28</v>
      </c>
      <c r="E42" s="107" t="s">
        <v>366</v>
      </c>
      <c r="F42" s="107" t="s">
        <v>390</v>
      </c>
      <c r="G42" s="107" t="s">
        <v>59</v>
      </c>
      <c r="H42" s="107" t="s">
        <v>362</v>
      </c>
      <c r="I42" s="107" t="s">
        <v>363</v>
      </c>
      <c r="J42" s="107" t="s">
        <v>401</v>
      </c>
      <c r="K42" s="107" t="s">
        <v>37</v>
      </c>
      <c r="L42" s="107">
        <v>210030</v>
      </c>
    </row>
    <row r="43" spans="1:12" x14ac:dyDescent="0.5">
      <c r="A43" s="107">
        <v>210010</v>
      </c>
      <c r="B43" s="107">
        <v>10</v>
      </c>
      <c r="C43" s="107">
        <v>10</v>
      </c>
      <c r="D43" s="107">
        <v>10</v>
      </c>
      <c r="E43" s="107" t="s">
        <v>366</v>
      </c>
      <c r="F43" s="107" t="s">
        <v>390</v>
      </c>
      <c r="G43" s="107" t="s">
        <v>56</v>
      </c>
      <c r="H43" s="107" t="s">
        <v>362</v>
      </c>
      <c r="I43" s="107" t="s">
        <v>363</v>
      </c>
      <c r="J43" s="107" t="s">
        <v>417</v>
      </c>
      <c r="K43" s="107" t="s">
        <v>38</v>
      </c>
      <c r="L43" s="107">
        <v>210010</v>
      </c>
    </row>
    <row r="44" spans="1:12" x14ac:dyDescent="0.5">
      <c r="A44" s="107">
        <v>210037</v>
      </c>
      <c r="B44" s="107">
        <v>35</v>
      </c>
      <c r="C44" s="107">
        <v>37</v>
      </c>
      <c r="D44" s="107">
        <v>35</v>
      </c>
      <c r="E44" s="107" t="s">
        <v>366</v>
      </c>
      <c r="F44" s="107" t="s">
        <v>390</v>
      </c>
      <c r="G44" s="107" t="s">
        <v>63</v>
      </c>
      <c r="H44" s="107" t="s">
        <v>362</v>
      </c>
      <c r="I44" s="107" t="s">
        <v>363</v>
      </c>
      <c r="J44" s="107" t="s">
        <v>396</v>
      </c>
      <c r="K44" s="107" t="s">
        <v>39</v>
      </c>
      <c r="L44" s="107">
        <v>210037</v>
      </c>
    </row>
    <row r="45" spans="1:12" x14ac:dyDescent="0.5">
      <c r="A45" s="107">
        <v>210063</v>
      </c>
      <c r="C45" s="107">
        <v>63</v>
      </c>
      <c r="E45" s="107" t="s">
        <v>366</v>
      </c>
      <c r="F45" s="107" t="s">
        <v>365</v>
      </c>
      <c r="G45" s="107" t="s">
        <v>368</v>
      </c>
      <c r="H45" s="107" t="s">
        <v>362</v>
      </c>
      <c r="I45" s="107" t="s">
        <v>363</v>
      </c>
      <c r="J45" s="107" t="s">
        <v>377</v>
      </c>
      <c r="K45" s="107" t="s">
        <v>46</v>
      </c>
      <c r="L45" s="107">
        <v>210063</v>
      </c>
    </row>
    <row r="46" spans="1:12" x14ac:dyDescent="0.5">
      <c r="A46" s="107">
        <v>210049</v>
      </c>
      <c r="B46" s="107">
        <v>47</v>
      </c>
      <c r="C46" s="107">
        <v>49</v>
      </c>
      <c r="D46" s="107">
        <v>47</v>
      </c>
      <c r="E46" s="107" t="s">
        <v>366</v>
      </c>
      <c r="F46" s="107" t="s">
        <v>365</v>
      </c>
      <c r="G46" s="107" t="s">
        <v>57</v>
      </c>
      <c r="H46" s="107" t="s">
        <v>362</v>
      </c>
      <c r="I46" s="107" t="s">
        <v>363</v>
      </c>
      <c r="J46" s="107" t="s">
        <v>387</v>
      </c>
      <c r="K46" s="107" t="s">
        <v>47</v>
      </c>
      <c r="L46" s="107">
        <v>210049</v>
      </c>
    </row>
    <row r="47" spans="1:12" x14ac:dyDescent="0.5">
      <c r="A47" s="107">
        <v>210032</v>
      </c>
      <c r="B47" s="107">
        <v>30</v>
      </c>
      <c r="C47" s="107">
        <v>32</v>
      </c>
      <c r="D47" s="107">
        <v>30</v>
      </c>
      <c r="E47" s="107" t="s">
        <v>366</v>
      </c>
      <c r="F47" s="107" t="s">
        <v>390</v>
      </c>
      <c r="G47" s="107" t="s">
        <v>54</v>
      </c>
      <c r="H47" s="107" t="s">
        <v>362</v>
      </c>
      <c r="J47" s="107" t="s">
        <v>400</v>
      </c>
      <c r="K47" s="107" t="s">
        <v>48</v>
      </c>
      <c r="L47" s="107">
        <v>210032</v>
      </c>
    </row>
    <row r="48" spans="1:12" x14ac:dyDescent="0.5">
      <c r="A48" s="107">
        <v>210002</v>
      </c>
      <c r="B48" s="107">
        <v>2</v>
      </c>
      <c r="C48" s="107">
        <v>2</v>
      </c>
      <c r="D48" s="107">
        <v>2</v>
      </c>
      <c r="E48" s="107" t="s">
        <v>366</v>
      </c>
      <c r="F48" s="107" t="s">
        <v>365</v>
      </c>
      <c r="G48" s="107" t="s">
        <v>53</v>
      </c>
      <c r="H48" s="107" t="s">
        <v>364</v>
      </c>
      <c r="I48" s="107" t="s">
        <v>363</v>
      </c>
      <c r="J48" s="107" t="s">
        <v>424</v>
      </c>
      <c r="K48" s="107" t="s">
        <v>42</v>
      </c>
      <c r="L48" s="107">
        <v>210002</v>
      </c>
    </row>
    <row r="49" spans="1:12" x14ac:dyDescent="0.5">
      <c r="A49" s="107">
        <v>210016</v>
      </c>
      <c r="B49" s="107">
        <v>15</v>
      </c>
      <c r="C49" s="107">
        <v>16</v>
      </c>
      <c r="D49" s="107">
        <v>15</v>
      </c>
      <c r="E49" s="107" t="s">
        <v>366</v>
      </c>
      <c r="F49" s="107" t="s">
        <v>365</v>
      </c>
      <c r="G49" s="107" t="s">
        <v>60</v>
      </c>
      <c r="H49" s="107" t="s">
        <v>362</v>
      </c>
      <c r="I49" s="107" t="s">
        <v>367</v>
      </c>
      <c r="J49" s="107" t="s">
        <v>412</v>
      </c>
      <c r="K49" s="107" t="s">
        <v>49</v>
      </c>
      <c r="L49" s="107">
        <v>210016</v>
      </c>
    </row>
    <row r="50" spans="1:12" x14ac:dyDescent="0.5">
      <c r="A50" s="107">
        <v>210027</v>
      </c>
      <c r="B50" s="107">
        <v>25</v>
      </c>
      <c r="C50" s="107">
        <v>27</v>
      </c>
      <c r="D50" s="107">
        <v>25</v>
      </c>
      <c r="E50" s="107" t="s">
        <v>366</v>
      </c>
      <c r="F50" s="107" t="s">
        <v>390</v>
      </c>
      <c r="G50" s="107" t="s">
        <v>52</v>
      </c>
      <c r="H50" s="107" t="s">
        <v>362</v>
      </c>
      <c r="I50" s="107" t="s">
        <v>280</v>
      </c>
      <c r="J50" s="107" t="s">
        <v>405</v>
      </c>
      <c r="K50" s="107" t="s">
        <v>50</v>
      </c>
      <c r="L50" s="107">
        <v>210027</v>
      </c>
    </row>
  </sheetData>
  <autoFilter ref="A1:L50"/>
  <dataValidations count="1">
    <dataValidation type="list" allowBlank="1" showInputMessage="1" showErrorMessage="1" sqref="J1:J50">
      <formula1>$J$1:$J$50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3"/>
  <sheetViews>
    <sheetView zoomScaleNormal="100" workbookViewId="0">
      <pane xSplit="2" ySplit="3" topLeftCell="C30" activePane="bottomRight" state="frozen"/>
      <selection pane="topRight" activeCell="C1" sqref="C1"/>
      <selection pane="bottomLeft" activeCell="A4" sqref="A4"/>
      <selection pane="bottomRight" activeCell="G31" sqref="G31"/>
    </sheetView>
  </sheetViews>
  <sheetFormatPr defaultColWidth="12.41796875" defaultRowHeight="15" x14ac:dyDescent="0.5"/>
  <cols>
    <col min="1" max="1" width="15.15625" style="10" customWidth="1"/>
    <col min="2" max="2" width="49" style="10" bestFit="1" customWidth="1"/>
    <col min="3" max="3" width="13" style="58" customWidth="1"/>
    <col min="4" max="4" width="20.15625" style="11" customWidth="1"/>
    <col min="5" max="5" width="17.68359375" style="11" customWidth="1"/>
    <col min="6" max="8" width="20.15625" style="11" customWidth="1"/>
    <col min="9" max="9" width="12.41796875" style="10" customWidth="1"/>
    <col min="10" max="10" width="22.578125" style="11" customWidth="1"/>
    <col min="11" max="11" width="22.578125" style="57" customWidth="1"/>
    <col min="12" max="12" width="20.578125" style="11" customWidth="1"/>
    <col min="13" max="13" width="26.15625" style="12" bestFit="1" customWidth="1"/>
    <col min="14" max="14" width="12.41796875" style="10" customWidth="1"/>
    <col min="15" max="15" width="20.15625" style="12" customWidth="1"/>
    <col min="16" max="16" width="16.26171875" style="10" customWidth="1"/>
    <col min="17" max="17" width="20.578125" style="12" customWidth="1"/>
    <col min="18" max="18" width="19.41796875" style="12" customWidth="1"/>
    <col min="19" max="19" width="20.83984375" style="10" customWidth="1"/>
    <col min="20" max="20" width="18.41796875" style="11" customWidth="1"/>
    <col min="21" max="21" width="31.26171875" style="11" bestFit="1" customWidth="1"/>
    <col min="22" max="22" width="19.15625" style="11" customWidth="1"/>
    <col min="23" max="23" width="20.26171875" style="10" customWidth="1"/>
    <col min="24" max="24" width="18.83984375" style="11" customWidth="1"/>
    <col min="25" max="25" width="20" style="11" customWidth="1"/>
    <col min="26" max="26" width="20" style="10" customWidth="1"/>
    <col min="27" max="27" width="20.15625" style="10" customWidth="1"/>
    <col min="28" max="28" width="20.15625" style="10" hidden="1" customWidth="1"/>
    <col min="29" max="29" width="19.578125" style="10" hidden="1" customWidth="1"/>
    <col min="30" max="16384" width="12.41796875" style="10"/>
  </cols>
  <sheetData>
    <row r="1" spans="1:29" ht="46.5" x14ac:dyDescent="1.5">
      <c r="A1" s="56" t="s">
        <v>498</v>
      </c>
      <c r="B1" s="55"/>
      <c r="C1" s="70"/>
      <c r="D1" s="50"/>
      <c r="E1" s="50"/>
      <c r="F1" s="50"/>
      <c r="G1" s="50"/>
      <c r="H1" s="50"/>
      <c r="I1" s="51"/>
      <c r="J1" s="50"/>
      <c r="K1" s="69"/>
      <c r="L1" s="50"/>
      <c r="M1" s="53"/>
      <c r="N1" s="49"/>
      <c r="O1" s="53"/>
      <c r="P1" s="49"/>
      <c r="Q1" s="53"/>
      <c r="R1" s="53"/>
      <c r="S1" s="52"/>
      <c r="T1" s="50"/>
      <c r="U1" s="50"/>
      <c r="V1" s="50"/>
      <c r="W1" s="51"/>
      <c r="X1" s="50"/>
      <c r="Y1" s="50"/>
      <c r="Z1" s="49"/>
      <c r="AA1" s="49"/>
      <c r="AB1" s="49"/>
    </row>
    <row r="2" spans="1:29" ht="90.3" x14ac:dyDescent="0.55000000000000004">
      <c r="A2" s="48" t="s">
        <v>106</v>
      </c>
      <c r="B2" s="47" t="s">
        <v>105</v>
      </c>
      <c r="C2" s="48" t="s">
        <v>104</v>
      </c>
      <c r="D2" s="46" t="s">
        <v>103</v>
      </c>
      <c r="E2" s="46" t="s">
        <v>102</v>
      </c>
      <c r="F2" s="286" t="s">
        <v>101</v>
      </c>
      <c r="G2" s="45" t="s">
        <v>100</v>
      </c>
      <c r="H2" s="45" t="s">
        <v>99</v>
      </c>
      <c r="I2" s="44" t="s">
        <v>98</v>
      </c>
      <c r="J2" s="40" t="s">
        <v>97</v>
      </c>
      <c r="K2" s="68" t="s">
        <v>109</v>
      </c>
      <c r="L2" s="287" t="s">
        <v>96</v>
      </c>
      <c r="M2" s="42" t="s">
        <v>95</v>
      </c>
      <c r="N2" s="44" t="s">
        <v>94</v>
      </c>
      <c r="O2" s="42" t="s">
        <v>93</v>
      </c>
      <c r="P2" s="41" t="s">
        <v>92</v>
      </c>
      <c r="Q2" s="42" t="s">
        <v>91</v>
      </c>
      <c r="R2" s="42" t="s">
        <v>90</v>
      </c>
      <c r="S2" s="43" t="s">
        <v>89</v>
      </c>
      <c r="T2" s="287" t="s">
        <v>88</v>
      </c>
      <c r="U2" s="40" t="s">
        <v>508</v>
      </c>
      <c r="V2" s="42" t="s">
        <v>85</v>
      </c>
      <c r="W2" s="41" t="s">
        <v>86</v>
      </c>
      <c r="X2" s="40" t="s">
        <v>108</v>
      </c>
      <c r="Y2" s="40" t="s">
        <v>107</v>
      </c>
      <c r="Z2" s="39" t="s">
        <v>83</v>
      </c>
      <c r="AA2" s="39" t="s">
        <v>82</v>
      </c>
      <c r="AB2" s="39" t="s">
        <v>469</v>
      </c>
      <c r="AC2" s="39" t="s">
        <v>463</v>
      </c>
    </row>
    <row r="3" spans="1:29" ht="18.75" customHeight="1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19">
        <f>IFERROR(VLOOKUP(A3,'Variable Input'!$1:$1048576,6,FALSE),0)</f>
        <v>406935783.94573671</v>
      </c>
      <c r="E3" s="19">
        <f t="shared" ref="E3:E34" si="0">IFERROR(D3/P3,0)</f>
        <v>13919.939180231155</v>
      </c>
      <c r="F3" s="19">
        <f>IFERROR(VLOOKUP(A3,'Drug Overhead'!$1:$1048576,13,FALSE)*VLOOKUP(A3,Volume!A:K,11,FALSE),0)</f>
        <v>2293988.6249724138</v>
      </c>
      <c r="G3" s="19">
        <f t="shared" ref="G3:G34" si="1">D3+F3</f>
        <v>409229772.57070911</v>
      </c>
      <c r="H3" s="19">
        <f>IFERROR(G3/P3,0)</f>
        <v>13998.409011097678</v>
      </c>
      <c r="I3" s="36">
        <f>VLOOKUP(A3,'Variable Input'!$1:$1048576,8,FALSE)</f>
        <v>1.1196537153887776</v>
      </c>
      <c r="J3" s="19">
        <f t="shared" ref="J3:J34" si="2">G3/I3</f>
        <v>365496730.77145302</v>
      </c>
      <c r="K3" s="63">
        <f>IFERROR(J3*(1-VLOOKUP(A3,PROFIT!$A$1:$IT$65527,7,FALSE)),J3)</f>
        <v>330855649.76606548</v>
      </c>
      <c r="L3" s="19">
        <f>IFERROR(VLOOKUP(A3,'Variable Input'!$1:$1048576,26,FALSE)*VLOOKUP(A3,Volume!A:K,11,FALSE),0)</f>
        <v>6625379.0220225165</v>
      </c>
      <c r="M3" s="22">
        <f t="shared" ref="M3:M34" si="3">K3-L3</f>
        <v>324230270.74404293</v>
      </c>
      <c r="N3" s="36">
        <f>VLOOKUP(A3,'Variable Input'!$1:$1048576,23,FALSE)</f>
        <v>0.99671861092415948</v>
      </c>
      <c r="O3" s="22">
        <f t="shared" ref="O3:O34" si="4">M3/N3</f>
        <v>325297699.06013495</v>
      </c>
      <c r="P3" s="27">
        <f>IFERROR(VLOOKUP(A3,'Variable Input'!$1:$1048576,7,FALSE),0)</f>
        <v>29234.020255178955</v>
      </c>
      <c r="Q3" s="18">
        <f t="shared" ref="Q3:Q34" si="5">IFERROR(+O3/P3,0)</f>
        <v>11127.367916580231</v>
      </c>
      <c r="R3" s="18">
        <f t="shared" ref="R3:R34" si="6">+Q3*P3</f>
        <v>325297699.06013495</v>
      </c>
      <c r="S3" s="20">
        <f>IFERROR(VLOOKUP(A3,RESCMAD!$1:$1048576,8,FALSE),0)</f>
        <v>6.1572099365331744E-4</v>
      </c>
      <c r="T3" s="19">
        <f>IF(C3=5,(S3*P3)*IME!$M$7,(S3*P3)*IME!$M$8)</f>
        <v>2374575.6102015208</v>
      </c>
      <c r="U3" s="19">
        <f>IFERROR(VLOOKUP(A3,'DSH (Cumulative)'!$1:$1048576,12,FALSE)*P3*'DSH (Cumulative)'!$AB$2,0)</f>
        <v>88034101.408408701</v>
      </c>
      <c r="V3" s="22">
        <f t="shared" ref="V3:V34" si="7">R3-T3</f>
        <v>322923123.44993341</v>
      </c>
      <c r="W3" s="17">
        <f t="shared" ref="W3:W34" si="8">IFERROR((V3/R3)-1,0)</f>
        <v>-7.2996999888479408E-3</v>
      </c>
      <c r="X3" s="19">
        <f>R3-T3-U3</f>
        <v>234889022.04152471</v>
      </c>
      <c r="Y3" s="15">
        <f t="shared" ref="Y3:Y34" si="9">IFERROR(X3/P3,0)</f>
        <v>8034.7834472035338</v>
      </c>
      <c r="Z3" s="14">
        <f>IFERROR(Y3/VLOOKUP(C3,$61:$68,25,FALSE)-1," ")</f>
        <v>-0.23185250700329063</v>
      </c>
      <c r="AA3" s="14">
        <f t="shared" ref="AA3:AA34" si="10">Y3/$Y$62-1</f>
        <v>-0.26852889486468368</v>
      </c>
      <c r="AB3" s="80">
        <v>1</v>
      </c>
      <c r="AC3" s="11">
        <f>IFERROR(K3/J3*G3/P3,0)</f>
        <v>12671.666581756486</v>
      </c>
    </row>
    <row r="4" spans="1:29" ht="18.75" customHeight="1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19">
        <f>IFERROR(VLOOKUP(A4,'Variable Input'!$1:$1048576,6,FALSE),0)</f>
        <v>1254329650.1456954</v>
      </c>
      <c r="E4" s="19">
        <f t="shared" si="0"/>
        <v>23486.630843643299</v>
      </c>
      <c r="F4" s="19">
        <f>IFERROR(VLOOKUP(A4,'Drug Overhead'!$1:$1048576,13,FALSE)*VLOOKUP(A4,Volume!A:K,11,FALSE),0)</f>
        <v>76919616.087280333</v>
      </c>
      <c r="G4" s="19">
        <f t="shared" si="1"/>
        <v>1331249266.2329757</v>
      </c>
      <c r="H4" s="19">
        <f t="shared" ref="H4:H34" si="11">IFERROR(G4/P4,0)</f>
        <v>24926.908228034936</v>
      </c>
      <c r="I4" s="36">
        <f>VLOOKUP(A4,'Variable Input'!$1:$1048576,8,FALSE)</f>
        <v>1.1149630516096494</v>
      </c>
      <c r="J4" s="19">
        <f t="shared" si="2"/>
        <v>1193985096.0182745</v>
      </c>
      <c r="K4" s="63">
        <f>IFERROR(J4*(1-VLOOKUP(A4,PROFIT!$A$1:$IT$65527,7,FALSE)),J4)</f>
        <v>1171505195.1831951</v>
      </c>
      <c r="L4" s="19">
        <f>IFERROR(VLOOKUP(A4,'Variable Input'!$1:$1048576,26,FALSE)*VLOOKUP(A4,Volume!A:K,11,FALSE),0)</f>
        <v>59584704.514455065</v>
      </c>
      <c r="M4" s="22">
        <f t="shared" si="3"/>
        <v>1111920490.66874</v>
      </c>
      <c r="N4" s="36">
        <f>VLOOKUP(A4,'Variable Input'!$1:$1048576,23,FALSE)</f>
        <v>0.99671861092415948</v>
      </c>
      <c r="O4" s="22">
        <f t="shared" si="4"/>
        <v>1115581146.4559343</v>
      </c>
      <c r="P4" s="27">
        <f>IFERROR(VLOOKUP(A4,'Variable Input'!$1:$1048576,7,FALSE),0)</f>
        <v>53406.112545307114</v>
      </c>
      <c r="Q4" s="18">
        <f t="shared" si="5"/>
        <v>20888.641642087881</v>
      </c>
      <c r="R4" s="18">
        <f t="shared" si="6"/>
        <v>1115581146.4559343</v>
      </c>
      <c r="S4" s="20">
        <f>IFERROR(VLOOKUP(A4,RESCMAD!$1:$1048576,8,FALSE),0)</f>
        <v>8.0070950123769438E-3</v>
      </c>
      <c r="T4" s="19">
        <f>IF(C4=5,(S4*P4)*IME!$M$7,(S4*P4)*IME!$M$8)</f>
        <v>155133677.04599613</v>
      </c>
      <c r="U4" s="19">
        <f>IFERROR(VLOOKUP(A4,'DSH (Cumulative)'!$1:$1048576,12,FALSE)*P4*'DSH (Cumulative)'!$AB$2,0)</f>
        <v>190506812.30562609</v>
      </c>
      <c r="V4" s="22">
        <f t="shared" si="7"/>
        <v>960447469.4099381</v>
      </c>
      <c r="W4" s="17">
        <f t="shared" si="8"/>
        <v>-0.13906086306570975</v>
      </c>
      <c r="X4" s="19">
        <f t="shared" ref="X4:X54" si="12">R4-T4-U4</f>
        <v>769940657.10431194</v>
      </c>
      <c r="Y4" s="15">
        <f t="shared" si="9"/>
        <v>14416.714125206778</v>
      </c>
      <c r="Z4" s="14">
        <f t="shared" ref="Z4:Z34" si="13">IFERROR(Y4/VLOOKUP(C4,$61:$68,25,FALSE)-1," ")</f>
        <v>0.14096084570734524</v>
      </c>
      <c r="AA4" s="14">
        <f t="shared" si="10"/>
        <v>0.31246969913734302</v>
      </c>
      <c r="AB4" s="80">
        <v>1</v>
      </c>
      <c r="AC4" s="11">
        <f t="shared" ref="AC4:AC54" si="14">IFERROR(K4/J4*G4/P4,0)</f>
        <v>24457.593806138022</v>
      </c>
    </row>
    <row r="5" spans="1:29" ht="18.75" customHeight="1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19">
        <f>IFERROR(VLOOKUP(A5,'Variable Input'!$1:$1048576,6,FALSE),0)</f>
        <v>379138438.61161411</v>
      </c>
      <c r="E5" s="19">
        <f t="shared" si="0"/>
        <v>22808.939516295475</v>
      </c>
      <c r="F5" s="19">
        <f>IFERROR(VLOOKUP(A5,'Drug Overhead'!$1:$1048576,13,FALSE)*VLOOKUP(A5,Volume!A:K,11,FALSE),0)</f>
        <v>459671.4824954826</v>
      </c>
      <c r="G5" s="19">
        <f t="shared" si="1"/>
        <v>379598110.09410959</v>
      </c>
      <c r="H5" s="19">
        <f t="shared" si="11"/>
        <v>22836.59331758241</v>
      </c>
      <c r="I5" s="36">
        <f>VLOOKUP(A5,'Variable Input'!$1:$1048576,8,FALSE)</f>
        <v>1.1150592197193865</v>
      </c>
      <c r="J5" s="19">
        <f t="shared" si="2"/>
        <v>340428654.71274114</v>
      </c>
      <c r="K5" s="63">
        <f>IFERROR(J5*(1-VLOOKUP(A5,PROFIT!$A$1:$IT$65527,7,FALSE)),J5)</f>
        <v>319587725.13393217</v>
      </c>
      <c r="L5" s="19">
        <f>IFERROR(VLOOKUP(A5,'Variable Input'!$1:$1048576,26,FALSE)*VLOOKUP(A5,Volume!A:K,11,FALSE),0)</f>
        <v>10600897.780621644</v>
      </c>
      <c r="M5" s="22">
        <f t="shared" si="3"/>
        <v>308986827.35331053</v>
      </c>
      <c r="N5" s="36">
        <f>VLOOKUP(A5,'Variable Input'!$1:$1048576,23,FALSE)</f>
        <v>1.0181752931904677</v>
      </c>
      <c r="O5" s="22">
        <f t="shared" si="4"/>
        <v>303471150.22315621</v>
      </c>
      <c r="P5" s="27">
        <f>IFERROR(VLOOKUP(A5,'Variable Input'!$1:$1048576,7,FALSE),0)</f>
        <v>16622.361523679996</v>
      </c>
      <c r="Q5" s="18">
        <f t="shared" si="5"/>
        <v>18256.801224713781</v>
      </c>
      <c r="R5" s="18">
        <f t="shared" si="6"/>
        <v>303471150.22315621</v>
      </c>
      <c r="S5" s="20">
        <f>IFERROR(VLOOKUP(A5,RESCMAD!$1:$1048576,8,FALSE),0)</f>
        <v>2.8876763347746859E-3</v>
      </c>
      <c r="T5" s="19">
        <f>IF(C5=5,(S5*P5)*IME!$M$7,(S5*P5)*IME!$M$8)</f>
        <v>6332201.6272040587</v>
      </c>
      <c r="U5" s="19">
        <f>IFERROR(VLOOKUP(A5,'DSH (Cumulative)'!$1:$1048576,12,FALSE)*P5*'DSH (Cumulative)'!$AB$2,0)</f>
        <v>70224081.820376605</v>
      </c>
      <c r="V5" s="22">
        <f t="shared" si="7"/>
        <v>297138948.59595215</v>
      </c>
      <c r="W5" s="17">
        <f t="shared" si="8"/>
        <v>-2.0865909733257082E-2</v>
      </c>
      <c r="X5" s="19">
        <f t="shared" si="12"/>
        <v>226914866.77557555</v>
      </c>
      <c r="Y5" s="15">
        <f t="shared" si="9"/>
        <v>13651.181058257916</v>
      </c>
      <c r="Z5" s="14">
        <f t="shared" si="13"/>
        <v>0.30509061946089244</v>
      </c>
      <c r="AA5" s="14">
        <f t="shared" si="10"/>
        <v>0.24277705313409514</v>
      </c>
      <c r="AB5" s="80">
        <v>1</v>
      </c>
      <c r="AC5" s="11">
        <f t="shared" si="14"/>
        <v>21438.544632305799</v>
      </c>
    </row>
    <row r="6" spans="1:29" ht="18.75" customHeight="1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19">
        <f>IFERROR(VLOOKUP(A6,'Variable Input'!$1:$1048576,6,FALSE),0)</f>
        <v>560071845.3178103</v>
      </c>
      <c r="E6" s="19">
        <f t="shared" si="0"/>
        <v>15826.078939324987</v>
      </c>
      <c r="F6" s="19">
        <f>IFERROR(VLOOKUP(A6,'Drug Overhead'!$1:$1048576,13,FALSE)*VLOOKUP(A6,Volume!A:K,11,FALSE),0)</f>
        <v>2090680.9190701842</v>
      </c>
      <c r="G6" s="19">
        <f t="shared" si="1"/>
        <v>562162526.23688054</v>
      </c>
      <c r="H6" s="19">
        <f t="shared" si="11"/>
        <v>15885.15579087315</v>
      </c>
      <c r="I6" s="36">
        <f>VLOOKUP(A6,'Variable Input'!$1:$1048576,8,FALSE)</f>
        <v>1.1099846191041804</v>
      </c>
      <c r="J6" s="19">
        <f t="shared" si="2"/>
        <v>506459744.18147981</v>
      </c>
      <c r="K6" s="63">
        <f>IFERROR(J6*(1-VLOOKUP(A6,PROFIT!$A$1:$IT$65527,7,FALSE)),J6)</f>
        <v>458727360.55655724</v>
      </c>
      <c r="L6" s="19">
        <f>IFERROR(VLOOKUP(A6,'Variable Input'!$1:$1048576,26,FALSE)*VLOOKUP(A6,Volume!A:K,11,FALSE),0)</f>
        <v>1942313.1270902995</v>
      </c>
      <c r="M6" s="22">
        <f t="shared" si="3"/>
        <v>456785047.42946696</v>
      </c>
      <c r="N6" s="36">
        <f>VLOOKUP(A6,'Variable Input'!$1:$1048576,23,FALSE)</f>
        <v>1.0181752931904677</v>
      </c>
      <c r="O6" s="22">
        <f t="shared" si="4"/>
        <v>448631046.62275207</v>
      </c>
      <c r="P6" s="27">
        <f>IFERROR(VLOOKUP(A6,'Variable Input'!$1:$1048576,7,FALSE),0)</f>
        <v>35389.172988776867</v>
      </c>
      <c r="Q6" s="18">
        <f t="shared" si="5"/>
        <v>12677.070661273394</v>
      </c>
      <c r="R6" s="18">
        <f t="shared" si="6"/>
        <v>448631046.62275207</v>
      </c>
      <c r="S6" s="20">
        <f>IFERROR(VLOOKUP(A6,RESCMAD!$1:$1048576,8,FALSE),0)</f>
        <v>5.3688736964906027E-4</v>
      </c>
      <c r="T6" s="19">
        <f>IF(C6=5,(S6*P6)*IME!$M$7,(S6*P6)*IME!$M$8)</f>
        <v>2506496.4774349369</v>
      </c>
      <c r="U6" s="19">
        <f>IFERROR(VLOOKUP(A6,'DSH (Cumulative)'!$1:$1048576,12,FALSE)*P6*'DSH (Cumulative)'!$AB$2,0)</f>
        <v>127566368.91719225</v>
      </c>
      <c r="V6" s="22">
        <f t="shared" si="7"/>
        <v>446124550.14531714</v>
      </c>
      <c r="W6" s="17">
        <f t="shared" si="8"/>
        <v>-5.5869884536604575E-3</v>
      </c>
      <c r="X6" s="19">
        <f t="shared" si="12"/>
        <v>318558181.22812486</v>
      </c>
      <c r="Y6" s="15">
        <f t="shared" si="9"/>
        <v>9001.5717894608806</v>
      </c>
      <c r="Z6" s="14">
        <f t="shared" si="13"/>
        <v>-0.13942487080832933</v>
      </c>
      <c r="AA6" s="14">
        <f t="shared" si="10"/>
        <v>-0.18051435884267664</v>
      </c>
      <c r="AB6" s="80">
        <v>1</v>
      </c>
      <c r="AC6" s="11">
        <f t="shared" si="14"/>
        <v>14388.025251155626</v>
      </c>
    </row>
    <row r="7" spans="1:29" ht="18.75" customHeight="1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19">
        <f>IFERROR(VLOOKUP(A7,'Variable Input'!$1:$1048576,6,FALSE),0)</f>
        <v>403101812.74028164</v>
      </c>
      <c r="E7" s="19">
        <f t="shared" si="0"/>
        <v>16345.190741038119</v>
      </c>
      <c r="F7" s="19">
        <f>IFERROR(VLOOKUP(A7,'Drug Overhead'!$1:$1048576,13,FALSE)*VLOOKUP(A7,Volume!A:K,11,FALSE),0)</f>
        <v>99848.296926082141</v>
      </c>
      <c r="G7" s="19">
        <f t="shared" si="1"/>
        <v>403201661.03720772</v>
      </c>
      <c r="H7" s="19">
        <f t="shared" si="11"/>
        <v>16349.23944388897</v>
      </c>
      <c r="I7" s="36">
        <f>VLOOKUP(A7,'Variable Input'!$1:$1048576,8,FALSE)</f>
        <v>1.1133096880777904</v>
      </c>
      <c r="J7" s="19">
        <f t="shared" si="2"/>
        <v>362164872.32170278</v>
      </c>
      <c r="K7" s="63">
        <f>IFERROR(J7*(1-VLOOKUP(A7,PROFIT!$A$1:$IT$65527,7,FALSE)),J7)</f>
        <v>338902468.60380644</v>
      </c>
      <c r="L7" s="19">
        <f>IFERROR(VLOOKUP(A7,'Variable Input'!$1:$1048576,26,FALSE)*VLOOKUP(A7,Volume!A:K,11,FALSE),0)</f>
        <v>424862.32800000021</v>
      </c>
      <c r="M7" s="22">
        <f t="shared" si="3"/>
        <v>338477606.27580643</v>
      </c>
      <c r="N7" s="36">
        <f>VLOOKUP(A7,'Variable Input'!$1:$1048576,23,FALSE)</f>
        <v>0.99671861092415948</v>
      </c>
      <c r="O7" s="22">
        <f t="shared" si="4"/>
        <v>339591939.55651063</v>
      </c>
      <c r="P7" s="27">
        <f>IFERROR(VLOOKUP(A7,'Variable Input'!$1:$1048576,7,FALSE),0)</f>
        <v>24661.79924888902</v>
      </c>
      <c r="Q7" s="18">
        <f t="shared" si="5"/>
        <v>13769.957987627718</v>
      </c>
      <c r="R7" s="18">
        <f t="shared" si="6"/>
        <v>339591939.55651063</v>
      </c>
      <c r="S7" s="20">
        <f>IFERROR(VLOOKUP(A7,RESCMAD!$1:$1048576,8,FALSE),0)</f>
        <v>0</v>
      </c>
      <c r="T7" s="19">
        <f>IF(C7=5,(S7*P7)*IME!$M$7,(S7*P7)*IME!$M$8)</f>
        <v>0</v>
      </c>
      <c r="U7" s="19">
        <f>IFERROR(VLOOKUP(A7,'DSH (Cumulative)'!$1:$1048576,12,FALSE)*P7*'DSH (Cumulative)'!$AB$2,0)</f>
        <v>56465281.132680252</v>
      </c>
      <c r="V7" s="22">
        <f t="shared" si="7"/>
        <v>339591939.55651063</v>
      </c>
      <c r="W7" s="17">
        <f t="shared" si="8"/>
        <v>0</v>
      </c>
      <c r="X7" s="19">
        <f t="shared" si="12"/>
        <v>283126658.42383039</v>
      </c>
      <c r="Y7" s="15">
        <f t="shared" si="9"/>
        <v>11480.373170119972</v>
      </c>
      <c r="Z7" s="14">
        <f t="shared" si="13"/>
        <v>9.7555388672437404E-2</v>
      </c>
      <c r="AA7" s="14">
        <f t="shared" si="10"/>
        <v>4.5150912316898717E-2</v>
      </c>
      <c r="AB7" s="14"/>
      <c r="AC7" s="11">
        <f t="shared" si="14"/>
        <v>15299.102786553334</v>
      </c>
    </row>
    <row r="8" spans="1:29" ht="18.75" customHeight="1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19">
        <f>IFERROR(VLOOKUP(A8,'Variable Input'!$1:$1048576,6,FALSE),0)</f>
        <v>114755783.67342256</v>
      </c>
      <c r="E8" s="19">
        <f t="shared" si="0"/>
        <v>17917.836302367868</v>
      </c>
      <c r="F8" s="19">
        <f>IFERROR(VLOOKUP(A8,'Drug Overhead'!$1:$1048576,13,FALSE)*VLOOKUP(A8,Volume!A:K,11,FALSE),0)</f>
        <v>482131.81749379146</v>
      </c>
      <c r="G8" s="19">
        <f t="shared" si="1"/>
        <v>115237915.49091636</v>
      </c>
      <c r="H8" s="19">
        <f t="shared" si="11"/>
        <v>17993.115810776799</v>
      </c>
      <c r="I8" s="36">
        <f>VLOOKUP(A8,'Variable Input'!$1:$1048576,8,FALSE)</f>
        <v>1.1180012832443968</v>
      </c>
      <c r="J8" s="19">
        <f t="shared" si="2"/>
        <v>103074940.26885223</v>
      </c>
      <c r="K8" s="63">
        <f>IFERROR(J8*(1-VLOOKUP(A8,PROFIT!$A$1:$IT$65527,7,FALSE)),J8)</f>
        <v>94182585.077894405</v>
      </c>
      <c r="L8" s="19">
        <f>IFERROR(VLOOKUP(A8,'Variable Input'!$1:$1048576,26,FALSE)*VLOOKUP(A8,Volume!A:K,11,FALSE),0)</f>
        <v>0</v>
      </c>
      <c r="M8" s="22">
        <f t="shared" si="3"/>
        <v>94182585.077894405</v>
      </c>
      <c r="N8" s="36">
        <f>VLOOKUP(A8,'Variable Input'!$1:$1048576,23,FALSE)</f>
        <v>0.99671861092415948</v>
      </c>
      <c r="O8" s="22">
        <f t="shared" si="4"/>
        <v>94492652.234684497</v>
      </c>
      <c r="P8" s="27">
        <f>IFERROR(VLOOKUP(A8,'Variable Input'!$1:$1048576,7,FALSE),0)</f>
        <v>6404.5558703010038</v>
      </c>
      <c r="Q8" s="18">
        <f t="shared" si="5"/>
        <v>14753.974225264037</v>
      </c>
      <c r="R8" s="18">
        <f t="shared" si="6"/>
        <v>94492652.234684497</v>
      </c>
      <c r="S8" s="20">
        <f>IFERROR(VLOOKUP(A8,RESCMAD!$1:$1048576,8,FALSE),0)</f>
        <v>0</v>
      </c>
      <c r="T8" s="19">
        <f>IF(C8=5,(S8*P8)*IME!$M$7,(S8*P8)*IME!$M$8)</f>
        <v>0</v>
      </c>
      <c r="U8" s="19">
        <f>IFERROR(VLOOKUP(A8,'DSH (Cumulative)'!$1:$1048576,12,FALSE)*P8*'DSH (Cumulative)'!$AB$2,0)</f>
        <v>22547393.563589465</v>
      </c>
      <c r="V8" s="22">
        <f t="shared" si="7"/>
        <v>94492652.234684497</v>
      </c>
      <c r="W8" s="17">
        <f t="shared" si="8"/>
        <v>0</v>
      </c>
      <c r="X8" s="19">
        <f t="shared" si="12"/>
        <v>71945258.671095029</v>
      </c>
      <c r="Y8" s="15">
        <f t="shared" si="9"/>
        <v>11233.450082732079</v>
      </c>
      <c r="Z8" s="14">
        <f t="shared" si="13"/>
        <v>7.3948859412954704E-2</v>
      </c>
      <c r="AA8" s="14">
        <f t="shared" si="10"/>
        <v>2.2671513238892604E-2</v>
      </c>
      <c r="AB8" s="80">
        <v>1</v>
      </c>
      <c r="AC8" s="11">
        <f t="shared" si="14"/>
        <v>16440.835728303478</v>
      </c>
    </row>
    <row r="9" spans="1:29" ht="18.75" customHeight="1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19">
        <f>IFERROR(VLOOKUP(A9,'Variable Input'!$1:$1048576,6,FALSE),0)</f>
        <v>616154621.82218134</v>
      </c>
      <c r="E9" s="19">
        <f t="shared" si="0"/>
        <v>16568.781718879367</v>
      </c>
      <c r="F9" s="19">
        <f>IFERROR(VLOOKUP(A9,'Drug Overhead'!$1:$1048576,13,FALSE)*VLOOKUP(A9,Volume!A:K,11,FALSE),0)</f>
        <v>14280591.48015156</v>
      </c>
      <c r="G9" s="19">
        <f t="shared" si="1"/>
        <v>630435213.30233288</v>
      </c>
      <c r="H9" s="19">
        <f t="shared" si="11"/>
        <v>16952.79572229847</v>
      </c>
      <c r="I9" s="36">
        <f>VLOOKUP(A9,'Variable Input'!$1:$1048576,8,FALSE)</f>
        <v>1.1102695565875482</v>
      </c>
      <c r="J9" s="19">
        <f t="shared" si="2"/>
        <v>567821759.64546597</v>
      </c>
      <c r="K9" s="63">
        <f>IFERROR(J9*(1-VLOOKUP(A9,PROFIT!$A$1:$IT$65527,7,FALSE)),J9)</f>
        <v>512198074.17627144</v>
      </c>
      <c r="L9" s="19">
        <f>IFERROR(VLOOKUP(A9,'Variable Input'!$1:$1048576,26,FALSE)*VLOOKUP(A9,Volume!A:K,11,FALSE),0)</f>
        <v>5003207.6874727393</v>
      </c>
      <c r="M9" s="22">
        <f t="shared" si="3"/>
        <v>507194866.48879868</v>
      </c>
      <c r="N9" s="36">
        <f>VLOOKUP(A9,'Variable Input'!$1:$1048576,23,FALSE)</f>
        <v>0.99671861092415948</v>
      </c>
      <c r="O9" s="22">
        <f t="shared" si="4"/>
        <v>508864649.39038974</v>
      </c>
      <c r="P9" s="27">
        <f>IFERROR(VLOOKUP(A9,'Variable Input'!$1:$1048576,7,FALSE),0)</f>
        <v>37187.68418079293</v>
      </c>
      <c r="Q9" s="18">
        <f t="shared" si="5"/>
        <v>13683.687505693439</v>
      </c>
      <c r="R9" s="18">
        <f t="shared" si="6"/>
        <v>508864649.39038974</v>
      </c>
      <c r="S9" s="20">
        <f>IFERROR(VLOOKUP(A9,RESCMAD!$1:$1048576,8,FALSE),0)</f>
        <v>1.3017891569452743E-3</v>
      </c>
      <c r="T9" s="19">
        <f>IF(C9=5,(S9*P9)*IME!$M$7,(S9*P9)*IME!$M$8)</f>
        <v>6386358.3143780688</v>
      </c>
      <c r="U9" s="19">
        <f>IFERROR(VLOOKUP(A9,'DSH (Cumulative)'!$1:$1048576,12,FALSE)*P9*'DSH (Cumulative)'!$AB$2,0)</f>
        <v>107891180.4676746</v>
      </c>
      <c r="V9" s="22">
        <f t="shared" si="7"/>
        <v>502478291.07601166</v>
      </c>
      <c r="W9" s="17">
        <f t="shared" si="8"/>
        <v>-1.2550210202317724E-2</v>
      </c>
      <c r="X9" s="19">
        <f t="shared" si="12"/>
        <v>394587110.60833704</v>
      </c>
      <c r="Y9" s="15">
        <f t="shared" si="9"/>
        <v>10610.693279258765</v>
      </c>
      <c r="Z9" s="14">
        <f t="shared" si="13"/>
        <v>1.4411588685245835E-2</v>
      </c>
      <c r="AA9" s="14">
        <f t="shared" si="10"/>
        <v>-3.4023058588765864E-2</v>
      </c>
      <c r="AB9" s="80">
        <v>1</v>
      </c>
      <c r="AC9" s="11">
        <f t="shared" si="14"/>
        <v>15292.103857179725</v>
      </c>
    </row>
    <row r="10" spans="1:29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19">
        <f>IFERROR(VLOOKUP(A10,'Variable Input'!$1:$1048576,6,FALSE),0)</f>
        <v>2316322513.6232748</v>
      </c>
      <c r="E10" s="19">
        <f t="shared" si="0"/>
        <v>22248.409950625879</v>
      </c>
      <c r="F10" s="19">
        <f>IFERROR(VLOOKUP(A10,'Drug Overhead'!$1:$1048576,13,FALSE)*VLOOKUP(A10,Volume!A:K,11,FALSE),0)</f>
        <v>110444739.43892661</v>
      </c>
      <c r="G10" s="19">
        <f t="shared" si="1"/>
        <v>2426767253.0622015</v>
      </c>
      <c r="H10" s="19">
        <f t="shared" si="11"/>
        <v>23309.23797672127</v>
      </c>
      <c r="I10" s="36">
        <f>VLOOKUP(A10,'Variable Input'!$1:$1048576,8,FALSE)</f>
        <v>1.106052155233989</v>
      </c>
      <c r="J10" s="19">
        <f t="shared" si="2"/>
        <v>2194080307.67664</v>
      </c>
      <c r="K10" s="63">
        <f>IFERROR(J10*(1-VLOOKUP(A10,PROFIT!$A$1:$IT$65527,7,FALSE)),J10)</f>
        <v>2101826405.7239029</v>
      </c>
      <c r="L10" s="19">
        <f>IFERROR(VLOOKUP(A10,'Variable Input'!$1:$1048576,26,FALSE)*VLOOKUP(A10,Volume!A:K,11,FALSE),0)</f>
        <v>121878078.47076836</v>
      </c>
      <c r="M10" s="22">
        <f t="shared" si="3"/>
        <v>1979948327.2531345</v>
      </c>
      <c r="N10" s="36">
        <f>VLOOKUP(A10,'Variable Input'!$1:$1048576,23,FALSE)</f>
        <v>0.99671861092415948</v>
      </c>
      <c r="O10" s="22">
        <f t="shared" si="4"/>
        <v>1986466697.3734167</v>
      </c>
      <c r="P10" s="27">
        <f>IFERROR(VLOOKUP(A10,'Variable Input'!$1:$1048576,7,FALSE),0)</f>
        <v>104111.82276682714</v>
      </c>
      <c r="Q10" s="18">
        <f t="shared" si="5"/>
        <v>19080.126008574302</v>
      </c>
      <c r="R10" s="18">
        <f t="shared" si="6"/>
        <v>1986466697.3734167</v>
      </c>
      <c r="S10" s="20">
        <f>IFERROR(VLOOKUP(A10,RESCMAD!$1:$1048576,8,FALSE),0)</f>
        <v>7.4942478105740583E-3</v>
      </c>
      <c r="T10" s="19">
        <f>IF(C10=5,(S10*P10)*IME!$M$7,(S10*P10)*IME!$M$8)</f>
        <v>283053309.91496724</v>
      </c>
      <c r="U10" s="19">
        <f>IFERROR(VLOOKUP(A10,'DSH (Cumulative)'!$1:$1048576,12,FALSE)*P10*'DSH (Cumulative)'!$AB$2,0)</f>
        <v>288996980.26452404</v>
      </c>
      <c r="V10" s="22">
        <f t="shared" si="7"/>
        <v>1703413387.4584494</v>
      </c>
      <c r="W10" s="17">
        <f t="shared" si="8"/>
        <v>-0.14249084079246399</v>
      </c>
      <c r="X10" s="19">
        <f t="shared" si="12"/>
        <v>1414416407.1939254</v>
      </c>
      <c r="Y10" s="15">
        <f t="shared" si="9"/>
        <v>13585.550320847873</v>
      </c>
      <c r="Z10" s="14">
        <f t="shared" si="13"/>
        <v>7.5181268689543446E-2</v>
      </c>
      <c r="AA10" s="14">
        <f t="shared" si="10"/>
        <v>0.23680215806198479</v>
      </c>
      <c r="AB10" s="80">
        <v>1</v>
      </c>
      <c r="AC10" s="11">
        <f t="shared" si="14"/>
        <v>22329.16074464651</v>
      </c>
    </row>
    <row r="11" spans="1:29" ht="18.75" customHeight="1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19">
        <f>IFERROR(VLOOKUP(A11,'Variable Input'!$1:$1048576,6,FALSE),0)</f>
        <v>13957386.461778674</v>
      </c>
      <c r="E11" s="19">
        <f t="shared" si="0"/>
        <v>11773.517709597803</v>
      </c>
      <c r="F11" s="19">
        <f>IFERROR(VLOOKUP(A11,'Drug Overhead'!$1:$1048576,13,FALSE)*VLOOKUP(A11,Volume!A:K,11,FALSE),0)</f>
        <v>22729.504084101292</v>
      </c>
      <c r="G11" s="19">
        <f t="shared" si="1"/>
        <v>13980115.965862775</v>
      </c>
      <c r="H11" s="19">
        <f t="shared" si="11"/>
        <v>11792.690799029508</v>
      </c>
      <c r="I11" s="36">
        <f>VLOOKUP(A11,'Variable Input'!$1:$1048576,8,FALSE)</f>
        <v>1.1237799950517624</v>
      </c>
      <c r="J11" s="19">
        <f t="shared" si="2"/>
        <v>12440260.573617738</v>
      </c>
      <c r="K11" s="63">
        <f>IFERROR(J11*(1-VLOOKUP(A11,PROFIT!$A$1:$IT$65527,7,FALSE)),J11)</f>
        <v>12440260.573617738</v>
      </c>
      <c r="L11" s="19">
        <f>IFERROR(VLOOKUP(A11,'Variable Input'!$1:$1048576,26,FALSE)*VLOOKUP(A11,Volume!A:K,11,FALSE),0)</f>
        <v>62612.30027663122</v>
      </c>
      <c r="M11" s="22">
        <f t="shared" si="3"/>
        <v>12377648.273341106</v>
      </c>
      <c r="N11" s="36">
        <f>VLOOKUP(A11,'Variable Input'!$1:$1048576,23,FALSE)</f>
        <v>0.99671861092415948</v>
      </c>
      <c r="O11" s="22">
        <f t="shared" si="4"/>
        <v>12418397.868446067</v>
      </c>
      <c r="P11" s="27">
        <f>IFERROR(VLOOKUP(A11,'Variable Input'!$1:$1048576,7,FALSE),0)</f>
        <v>1185.4899110060007</v>
      </c>
      <c r="Q11" s="18">
        <f t="shared" si="5"/>
        <v>10475.329864180689</v>
      </c>
      <c r="R11" s="18">
        <f t="shared" si="6"/>
        <v>12418397.868446067</v>
      </c>
      <c r="S11" s="20">
        <f>IFERROR(VLOOKUP(A11,RESCMAD!$1:$1048576,8,FALSE),0)</f>
        <v>0</v>
      </c>
      <c r="T11" s="19">
        <f>IF(C11=5,(S11*P11)*IME!$M$7,(S11*P11)*IME!$M$8)</f>
        <v>0</v>
      </c>
      <c r="U11" s="19">
        <f>IFERROR(VLOOKUP(A11,'DSH (Cumulative)'!$1:$1048576,12,FALSE)*P11*'DSH (Cumulative)'!$AB$2,0)</f>
        <v>0</v>
      </c>
      <c r="V11" s="22">
        <f t="shared" si="7"/>
        <v>12418397.868446067</v>
      </c>
      <c r="W11" s="17">
        <f t="shared" si="8"/>
        <v>0</v>
      </c>
      <c r="X11" s="19">
        <f t="shared" si="12"/>
        <v>12418397.868446067</v>
      </c>
      <c r="Y11" s="15">
        <f t="shared" si="9"/>
        <v>10475.329864180689</v>
      </c>
      <c r="Z11" s="14" t="str">
        <f t="shared" si="13"/>
        <v xml:space="preserve"> </v>
      </c>
      <c r="AA11" s="14">
        <f t="shared" si="10"/>
        <v>-4.6346281420180491E-2</v>
      </c>
      <c r="AB11" s="80">
        <v>1</v>
      </c>
      <c r="AC11" s="11">
        <f t="shared" si="14"/>
        <v>11792.690799029508</v>
      </c>
    </row>
    <row r="12" spans="1:29" ht="18.75" customHeight="1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19">
        <f>IFERROR(VLOOKUP(A12,'Variable Input'!$1:$1048576,6,FALSE),0)</f>
        <v>447394832.37144083</v>
      </c>
      <c r="E12" s="19">
        <f t="shared" si="0"/>
        <v>18457.126259581502</v>
      </c>
      <c r="F12" s="19">
        <f>IFERROR(VLOOKUP(A12,'Drug Overhead'!$1:$1048576,13,FALSE)*VLOOKUP(A12,Volume!A:K,11,FALSE),0)</f>
        <v>15898105.714453403</v>
      </c>
      <c r="G12" s="19">
        <f t="shared" si="1"/>
        <v>463292938.08589423</v>
      </c>
      <c r="H12" s="19">
        <f t="shared" si="11"/>
        <v>19112.997367668471</v>
      </c>
      <c r="I12" s="36">
        <f>VLOOKUP(A12,'Variable Input'!$1:$1048576,8,FALSE)</f>
        <v>1.1208321340194023</v>
      </c>
      <c r="J12" s="19">
        <f t="shared" si="2"/>
        <v>413347301.54861385</v>
      </c>
      <c r="K12" s="63">
        <f>IFERROR(J12*(1-VLOOKUP(A12,PROFIT!$A$1:$IT$65527,7,FALSE)),J12)</f>
        <v>334875436.42143035</v>
      </c>
      <c r="L12" s="19">
        <f>IFERROR(VLOOKUP(A12,'Variable Input'!$1:$1048576,26,FALSE)*VLOOKUP(A12,Volume!A:K,11,FALSE),0)</f>
        <v>5944161.5154257026</v>
      </c>
      <c r="M12" s="22">
        <f t="shared" si="3"/>
        <v>328931274.90600467</v>
      </c>
      <c r="N12" s="36">
        <f>VLOOKUP(A12,'Variable Input'!$1:$1048576,23,FALSE)</f>
        <v>0.99671861092415948</v>
      </c>
      <c r="O12" s="22">
        <f t="shared" si="4"/>
        <v>330014179.8305732</v>
      </c>
      <c r="P12" s="27">
        <f>IFERROR(VLOOKUP(A12,'Variable Input'!$1:$1048576,7,FALSE),0)</f>
        <v>24239.679898120015</v>
      </c>
      <c r="Q12" s="18">
        <f t="shared" si="5"/>
        <v>13614.626150907567</v>
      </c>
      <c r="R12" s="18">
        <f t="shared" si="6"/>
        <v>330014179.8305732</v>
      </c>
      <c r="S12" s="20">
        <f>IFERROR(VLOOKUP(A12,RESCMAD!$1:$1048576,8,FALSE),0)</f>
        <v>2.6691771620720953E-3</v>
      </c>
      <c r="T12" s="19">
        <f>IF(C12=5,(S12*P12)*IME!$M$7,(S12*P12)*IME!$M$8)</f>
        <v>8535280.110002134</v>
      </c>
      <c r="U12" s="19">
        <f>IFERROR(VLOOKUP(A12,'DSH (Cumulative)'!$1:$1048576,12,FALSE)*P12*'DSH (Cumulative)'!$AB$2,0)</f>
        <v>87480292.753245845</v>
      </c>
      <c r="V12" s="22">
        <f t="shared" si="7"/>
        <v>321478899.72057104</v>
      </c>
      <c r="W12" s="17">
        <f t="shared" si="8"/>
        <v>-2.5863373853766247E-2</v>
      </c>
      <c r="X12" s="19">
        <f t="shared" si="12"/>
        <v>233998606.96732521</v>
      </c>
      <c r="Y12" s="15">
        <f t="shared" si="9"/>
        <v>9653.5353581741692</v>
      </c>
      <c r="Z12" s="14">
        <f t="shared" si="13"/>
        <v>-7.7095352642335246E-2</v>
      </c>
      <c r="AA12" s="14">
        <f t="shared" si="10"/>
        <v>-0.12116085974113533</v>
      </c>
      <c r="AB12" s="80">
        <v>1</v>
      </c>
      <c r="AC12" s="11">
        <f t="shared" si="14"/>
        <v>15484.492848604863</v>
      </c>
    </row>
    <row r="13" spans="1:29" ht="18.75" customHeight="1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19">
        <f>IFERROR(VLOOKUP(A13,'Variable Input'!$1:$1048576,6,FALSE),0)</f>
        <v>820426817.23668432</v>
      </c>
      <c r="E13" s="19">
        <f t="shared" si="0"/>
        <v>20911.421335996161</v>
      </c>
      <c r="F13" s="19">
        <f>IFERROR(VLOOKUP(A13,'Drug Overhead'!$1:$1048576,13,FALSE)*VLOOKUP(A13,Volume!A:K,11,FALSE),0)</f>
        <v>33441958.098435093</v>
      </c>
      <c r="G13" s="19">
        <f t="shared" si="1"/>
        <v>853868775.33511937</v>
      </c>
      <c r="H13" s="19">
        <f t="shared" si="11"/>
        <v>21763.805560164397</v>
      </c>
      <c r="I13" s="36">
        <f>VLOOKUP(A13,'Variable Input'!$1:$1048576,8,FALSE)</f>
        <v>1.1214469245143464</v>
      </c>
      <c r="J13" s="19">
        <f t="shared" si="2"/>
        <v>761399185.88202083</v>
      </c>
      <c r="K13" s="63">
        <f>IFERROR(J13*(1-VLOOKUP(A13,PROFIT!$A$1:$IT$65527,7,FALSE)),J13)</f>
        <v>653192721.82398355</v>
      </c>
      <c r="L13" s="19">
        <f>IFERROR(VLOOKUP(A13,'Variable Input'!$1:$1048576,26,FALSE)*VLOOKUP(A13,Volume!A:K,11,FALSE),0)</f>
        <v>20760568.355981968</v>
      </c>
      <c r="M13" s="22">
        <f t="shared" si="3"/>
        <v>632432153.4680016</v>
      </c>
      <c r="N13" s="36">
        <f>VLOOKUP(A13,'Variable Input'!$1:$1048576,23,FALSE)</f>
        <v>0.99671861092415948</v>
      </c>
      <c r="O13" s="22">
        <f t="shared" si="4"/>
        <v>634514241.5687505</v>
      </c>
      <c r="P13" s="27">
        <f>IFERROR(VLOOKUP(A13,'Variable Input'!$1:$1048576,7,FALSE),0)</f>
        <v>39233.431532673072</v>
      </c>
      <c r="Q13" s="18">
        <f t="shared" si="5"/>
        <v>16172.794904272791</v>
      </c>
      <c r="R13" s="18">
        <f t="shared" si="6"/>
        <v>634514241.5687505</v>
      </c>
      <c r="S13" s="20">
        <f>IFERROR(VLOOKUP(A13,RESCMAD!$1:$1048576,8,FALSE),0)</f>
        <v>3.2115467619769343E-3</v>
      </c>
      <c r="T13" s="19">
        <f>IF(C13=5,(S13*P13)*IME!$M$7,(S13*P13)*IME!$M$8)</f>
        <v>16622029.271410642</v>
      </c>
      <c r="U13" s="19">
        <f>IFERROR(VLOOKUP(A13,'DSH (Cumulative)'!$1:$1048576,12,FALSE)*P13*'DSH (Cumulative)'!$AB$2,0)</f>
        <v>148981363.33180904</v>
      </c>
      <c r="V13" s="22">
        <f t="shared" si="7"/>
        <v>617892212.29733992</v>
      </c>
      <c r="W13" s="17">
        <f t="shared" si="8"/>
        <v>-2.6196463660634106E-2</v>
      </c>
      <c r="X13" s="19">
        <f t="shared" si="12"/>
        <v>468910848.96553087</v>
      </c>
      <c r="Y13" s="15">
        <f t="shared" si="9"/>
        <v>11951.818401992909</v>
      </c>
      <c r="Z13" s="14">
        <f t="shared" si="13"/>
        <v>0.14262685516908458</v>
      </c>
      <c r="AA13" s="14">
        <f t="shared" si="10"/>
        <v>8.8070372067726943E-2</v>
      </c>
      <c r="AB13" s="80">
        <v>1</v>
      </c>
      <c r="AC13" s="11">
        <f t="shared" si="14"/>
        <v>18670.836080056564</v>
      </c>
    </row>
    <row r="14" spans="1:29" ht="18.75" customHeight="1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19">
        <f>IFERROR(VLOOKUP(A14,'Variable Input'!$1:$1048576,6,FALSE),0)</f>
        <v>24685753.024731949</v>
      </c>
      <c r="E14" s="19">
        <f t="shared" si="0"/>
        <v>15346.810938105695</v>
      </c>
      <c r="F14" s="19">
        <f>IFERROR(VLOOKUP(A14,'Drug Overhead'!$1:$1048576,13,FALSE)*VLOOKUP(A14,Volume!A:K,11,FALSE),0)</f>
        <v>41706.133335082472</v>
      </c>
      <c r="G14" s="19">
        <f t="shared" si="1"/>
        <v>24727459.158067033</v>
      </c>
      <c r="H14" s="19">
        <f t="shared" si="11"/>
        <v>15372.739097664438</v>
      </c>
      <c r="I14" s="36">
        <f>VLOOKUP(A14,'Variable Input'!$1:$1048576,8,FALSE)</f>
        <v>1.1357641348932981</v>
      </c>
      <c r="J14" s="19">
        <f t="shared" si="2"/>
        <v>21771649.938911047</v>
      </c>
      <c r="K14" s="63">
        <f>IFERROR(J14*(1-VLOOKUP(A14,PROFIT!$A$1:$IT$65527,7,FALSE)),J14)</f>
        <v>21771649.938911047</v>
      </c>
      <c r="L14" s="19">
        <f>IFERROR(VLOOKUP(A14,'Variable Input'!$1:$1048576,26,FALSE)*VLOOKUP(A14,Volume!A:K,11,FALSE),0)</f>
        <v>0</v>
      </c>
      <c r="M14" s="22">
        <f t="shared" si="3"/>
        <v>21771649.938911047</v>
      </c>
      <c r="N14" s="36">
        <f>VLOOKUP(A14,'Variable Input'!$1:$1048576,23,FALSE)</f>
        <v>0.99671861092415948</v>
      </c>
      <c r="O14" s="22">
        <f t="shared" si="4"/>
        <v>21843326.391512174</v>
      </c>
      <c r="P14" s="27">
        <f>IFERROR(VLOOKUP(A14,'Variable Input'!$1:$1048576,7,FALSE),0)</f>
        <v>1608.5265612699982</v>
      </c>
      <c r="Q14" s="18">
        <f t="shared" si="5"/>
        <v>13579.711344191895</v>
      </c>
      <c r="R14" s="18">
        <f t="shared" si="6"/>
        <v>21843326.391512174</v>
      </c>
      <c r="S14" s="20">
        <f>IFERROR(VLOOKUP(A14,RESCMAD!$1:$1048576,8,FALSE),0)</f>
        <v>0</v>
      </c>
      <c r="T14" s="19">
        <f>IF(C14=5,(S14*P14)*IME!$M$7,(S14*P14)*IME!$M$8)</f>
        <v>0</v>
      </c>
      <c r="U14" s="19">
        <f>IFERROR(VLOOKUP(A14,'DSH (Cumulative)'!$1:$1048576,12,FALSE)*P14*'DSH (Cumulative)'!$AB$2,0)</f>
        <v>12656764.264227461</v>
      </c>
      <c r="V14" s="22">
        <f t="shared" si="7"/>
        <v>21843326.391512174</v>
      </c>
      <c r="W14" s="17">
        <f t="shared" si="8"/>
        <v>0</v>
      </c>
      <c r="X14" s="19">
        <f t="shared" si="12"/>
        <v>9186562.1272847131</v>
      </c>
      <c r="Y14" s="15">
        <f t="shared" si="9"/>
        <v>5711.1659505526241</v>
      </c>
      <c r="Z14" s="14" t="str">
        <f t="shared" si="13"/>
        <v xml:space="preserve"> </v>
      </c>
      <c r="AA14" s="14">
        <f t="shared" si="10"/>
        <v>-0.48006652613445433</v>
      </c>
      <c r="AB14" s="80">
        <v>1</v>
      </c>
      <c r="AC14" s="11">
        <f t="shared" si="14"/>
        <v>15372.739097664438</v>
      </c>
    </row>
    <row r="15" spans="1:29" ht="18.75" customHeight="1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19">
        <f>IFERROR(VLOOKUP(A15,'Variable Input'!$1:$1048576,6,FALSE),0)</f>
        <v>584590033.71573627</v>
      </c>
      <c r="E15" s="19">
        <f t="shared" si="0"/>
        <v>15843.930802476234</v>
      </c>
      <c r="F15" s="19">
        <f>IFERROR(VLOOKUP(A15,'Drug Overhead'!$1:$1048576,13,FALSE)*VLOOKUP(A15,Volume!A:K,11,FALSE),0)</f>
        <v>20201193.958397634</v>
      </c>
      <c r="G15" s="19">
        <f t="shared" si="1"/>
        <v>604791227.6741339</v>
      </c>
      <c r="H15" s="19">
        <f t="shared" si="11"/>
        <v>16391.436405967052</v>
      </c>
      <c r="I15" s="36">
        <f>VLOOKUP(A15,'Variable Input'!$1:$1048576,8,FALSE)</f>
        <v>1.1215228084765592</v>
      </c>
      <c r="J15" s="19">
        <f t="shared" si="2"/>
        <v>539258963.88648844</v>
      </c>
      <c r="K15" s="63">
        <f>IFERROR(J15*(1-VLOOKUP(A15,PROFIT!$A$1:$IT$65527,7,FALSE)),J15)</f>
        <v>510996030.08999103</v>
      </c>
      <c r="L15" s="19">
        <f>IFERROR(VLOOKUP(A15,'Variable Input'!$1:$1048576,26,FALSE)*VLOOKUP(A15,Volume!A:K,11,FALSE),0)</f>
        <v>10719878.177063769</v>
      </c>
      <c r="M15" s="22">
        <f t="shared" si="3"/>
        <v>500276151.91292727</v>
      </c>
      <c r="N15" s="36">
        <f>VLOOKUP(A15,'Variable Input'!$1:$1048576,23,FALSE)</f>
        <v>0.99671861092415948</v>
      </c>
      <c r="O15" s="22">
        <f t="shared" si="4"/>
        <v>501923157.07747269</v>
      </c>
      <c r="P15" s="27">
        <f>IFERROR(VLOOKUP(A15,'Variable Input'!$1:$1048576,7,FALSE),0)</f>
        <v>36896.780287905021</v>
      </c>
      <c r="Q15" s="18">
        <f t="shared" si="5"/>
        <v>13603.440548497019</v>
      </c>
      <c r="R15" s="18">
        <f t="shared" si="6"/>
        <v>501923157.07747269</v>
      </c>
      <c r="S15" s="20">
        <f>IFERROR(VLOOKUP(A15,RESCMAD!$1:$1048576,8,FALSE),0)</f>
        <v>2.1140055959183207E-3</v>
      </c>
      <c r="T15" s="19">
        <f>IF(C15=5,(S15*P15)*IME!$M$7,(S15*P15)*IME!$M$8)</f>
        <v>10289827.644206591</v>
      </c>
      <c r="U15" s="19">
        <f>IFERROR(VLOOKUP(A15,'DSH (Cumulative)'!$1:$1048576,12,FALSE)*P15*'DSH (Cumulative)'!$AB$2,0)</f>
        <v>137635770.0629921</v>
      </c>
      <c r="V15" s="22">
        <f t="shared" si="7"/>
        <v>491633329.4332661</v>
      </c>
      <c r="W15" s="17">
        <f t="shared" si="8"/>
        <v>-2.0500802760567427E-2</v>
      </c>
      <c r="X15" s="19">
        <f t="shared" si="12"/>
        <v>353997559.37027401</v>
      </c>
      <c r="Y15" s="15">
        <f t="shared" si="9"/>
        <v>9594.266941669066</v>
      </c>
      <c r="Z15" s="14">
        <f t="shared" si="13"/>
        <v>-8.2761576984464291E-2</v>
      </c>
      <c r="AA15" s="14">
        <f t="shared" si="10"/>
        <v>-0.12655654145495876</v>
      </c>
      <c r="AB15" s="80">
        <v>1</v>
      </c>
      <c r="AC15" s="11">
        <f t="shared" si="14"/>
        <v>15532.349931757122</v>
      </c>
    </row>
    <row r="16" spans="1:29" ht="18.75" customHeight="1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19">
        <f>IFERROR(VLOOKUP(A16,'Variable Input'!$1:$1048576,6,FALSE),0)</f>
        <v>348459464.41440386</v>
      </c>
      <c r="E16" s="19">
        <f t="shared" si="0"/>
        <v>17866.506117103032</v>
      </c>
      <c r="F16" s="19">
        <f>IFERROR(VLOOKUP(A16,'Drug Overhead'!$1:$1048576,13,FALSE)*VLOOKUP(A16,Volume!A:K,11,FALSE),0)</f>
        <v>479652.43146501947</v>
      </c>
      <c r="G16" s="19">
        <f t="shared" si="1"/>
        <v>348939116.84586889</v>
      </c>
      <c r="H16" s="19">
        <f t="shared" si="11"/>
        <v>17891.099259135364</v>
      </c>
      <c r="I16" s="36">
        <f>VLOOKUP(A16,'Variable Input'!$1:$1048576,8,FALSE)</f>
        <v>1.1206186736274211</v>
      </c>
      <c r="J16" s="19">
        <f t="shared" si="2"/>
        <v>311380780.15098542</v>
      </c>
      <c r="K16" s="63">
        <f>IFERROR(J16*(1-VLOOKUP(A16,PROFIT!$A$1:$IT$65527,7,FALSE)),J16)</f>
        <v>282729351.36970454</v>
      </c>
      <c r="L16" s="19">
        <f>IFERROR(VLOOKUP(A16,'Variable Input'!$1:$1048576,26,FALSE)*VLOOKUP(A16,Volume!A:K,11,FALSE),0)</f>
        <v>0</v>
      </c>
      <c r="M16" s="22">
        <f t="shared" si="3"/>
        <v>282729351.36970454</v>
      </c>
      <c r="N16" s="36">
        <f>VLOOKUP(A16,'Variable Input'!$1:$1048576,23,FALSE)</f>
        <v>1.0181752931904677</v>
      </c>
      <c r="O16" s="22">
        <f t="shared" si="4"/>
        <v>277682392.47268301</v>
      </c>
      <c r="P16" s="27">
        <f>IFERROR(VLOOKUP(A16,'Variable Input'!$1:$1048576,7,FALSE),0)</f>
        <v>19503.503490301038</v>
      </c>
      <c r="Q16" s="18">
        <f t="shared" si="5"/>
        <v>14237.564682200436</v>
      </c>
      <c r="R16" s="18">
        <f t="shared" si="6"/>
        <v>277682392.47268301</v>
      </c>
      <c r="S16" s="20">
        <f>IFERROR(VLOOKUP(A16,RESCMAD!$1:$1048576,8,FALSE),0)</f>
        <v>0</v>
      </c>
      <c r="T16" s="19">
        <f>IF(C16=5,(S16*P16)*IME!$M$7,(S16*P16)*IME!$M$8)</f>
        <v>0</v>
      </c>
      <c r="U16" s="19">
        <f>IFERROR(VLOOKUP(A16,'DSH (Cumulative)'!$1:$1048576,12,FALSE)*P16*'DSH (Cumulative)'!$AB$2,0)</f>
        <v>68645100.116657302</v>
      </c>
      <c r="V16" s="22">
        <f t="shared" si="7"/>
        <v>277682392.47268301</v>
      </c>
      <c r="W16" s="17">
        <f t="shared" si="8"/>
        <v>0</v>
      </c>
      <c r="X16" s="19">
        <f t="shared" si="12"/>
        <v>209037292.3560257</v>
      </c>
      <c r="Y16" s="15">
        <f t="shared" si="9"/>
        <v>10717.935496049648</v>
      </c>
      <c r="Z16" s="14">
        <f t="shared" si="13"/>
        <v>2.4664240858466302E-2</v>
      </c>
      <c r="AA16" s="14">
        <f t="shared" si="10"/>
        <v>-2.4259935120828358E-2</v>
      </c>
      <c r="AB16" s="80">
        <v>1</v>
      </c>
      <c r="AC16" s="11">
        <f t="shared" si="14"/>
        <v>16244.865487117109</v>
      </c>
    </row>
    <row r="17" spans="1:29" ht="18.75" customHeight="1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19">
        <f>IFERROR(VLOOKUP(A17,'Variable Input'!$1:$1048576,6,FALSE),0)</f>
        <v>72534416.621152684</v>
      </c>
      <c r="E17" s="19">
        <f t="shared" si="0"/>
        <v>12811.28647531155</v>
      </c>
      <c r="F17" s="19">
        <f>IFERROR(VLOOKUP(A17,'Drug Overhead'!$1:$1048576,13,FALSE)*VLOOKUP(A17,Volume!A:K,11,FALSE),0)</f>
        <v>1106601.9848885359</v>
      </c>
      <c r="G17" s="19">
        <f t="shared" si="1"/>
        <v>73641018.606041223</v>
      </c>
      <c r="H17" s="19">
        <f t="shared" si="11"/>
        <v>13006.738451117766</v>
      </c>
      <c r="I17" s="36">
        <f>VLOOKUP(A17,'Variable Input'!$1:$1048576,8,FALSE)</f>
        <v>1.1207568789217148</v>
      </c>
      <c r="J17" s="19">
        <f t="shared" si="2"/>
        <v>65706506.01483845</v>
      </c>
      <c r="K17" s="63">
        <f>IFERROR(J17*(1-VLOOKUP(A17,PROFIT!$A$1:$IT$65527,7,FALSE)),J17)</f>
        <v>58546426.985040635</v>
      </c>
      <c r="L17" s="19">
        <f>IFERROR(VLOOKUP(A17,'Variable Input'!$1:$1048576,26,FALSE)*VLOOKUP(A17,Volume!A:K,11,FALSE),0)</f>
        <v>0</v>
      </c>
      <c r="M17" s="22">
        <f t="shared" si="3"/>
        <v>58546426.985040635</v>
      </c>
      <c r="N17" s="36">
        <f>VLOOKUP(A17,'Variable Input'!$1:$1048576,23,FALSE)</f>
        <v>0.99671861092415948</v>
      </c>
      <c r="O17" s="22">
        <f t="shared" si="4"/>
        <v>58739173.065862864</v>
      </c>
      <c r="P17" s="27">
        <f>IFERROR(VLOOKUP(A17,'Variable Input'!$1:$1048576,7,FALSE),0)</f>
        <v>5661.7590092090077</v>
      </c>
      <c r="Q17" s="18">
        <f t="shared" si="5"/>
        <v>10374.721525646353</v>
      </c>
      <c r="R17" s="18">
        <f t="shared" si="6"/>
        <v>58739173.065862864</v>
      </c>
      <c r="S17" s="20">
        <f>IFERROR(VLOOKUP(A17,RESCMAD!$1:$1048576,8,FALSE),0)</f>
        <v>0</v>
      </c>
      <c r="T17" s="19">
        <f>IF(C17=5,(S17*P17)*IME!$M$7,(S17*P17)*IME!$M$8)</f>
        <v>0</v>
      </c>
      <c r="U17" s="19">
        <f>IFERROR(VLOOKUP(A17,'DSH (Cumulative)'!$1:$1048576,12,FALSE)*P17*'DSH (Cumulative)'!$AB$2,0)</f>
        <v>15487585.723237062</v>
      </c>
      <c r="V17" s="22">
        <f t="shared" si="7"/>
        <v>58739173.065862864</v>
      </c>
      <c r="W17" s="17">
        <f t="shared" si="8"/>
        <v>0</v>
      </c>
      <c r="X17" s="19">
        <f t="shared" si="12"/>
        <v>43251587.342625804</v>
      </c>
      <c r="Y17" s="15">
        <f t="shared" si="9"/>
        <v>7639.2490871257323</v>
      </c>
      <c r="Z17" s="14">
        <f t="shared" si="13"/>
        <v>-0.2696666844586354</v>
      </c>
      <c r="AA17" s="14">
        <f t="shared" si="10"/>
        <v>-0.3045375760427429</v>
      </c>
      <c r="AB17" s="80">
        <v>1</v>
      </c>
      <c r="AC17" s="11">
        <f t="shared" si="14"/>
        <v>11589.386032334731</v>
      </c>
    </row>
    <row r="18" spans="1:29" ht="18.75" customHeight="1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19">
        <f>IFERROR(VLOOKUP(A18,'Variable Input'!$1:$1048576,6,FALSE),0)</f>
        <v>191380034.25950557</v>
      </c>
      <c r="E18" s="19">
        <f t="shared" si="0"/>
        <v>16179.39141273775</v>
      </c>
      <c r="F18" s="19">
        <f>IFERROR(VLOOKUP(A18,'Drug Overhead'!$1:$1048576,13,FALSE)*VLOOKUP(A18,Volume!A:K,11,FALSE),0)</f>
        <v>5273979.4219849585</v>
      </c>
      <c r="G18" s="19">
        <f t="shared" si="1"/>
        <v>196654013.68149054</v>
      </c>
      <c r="H18" s="19">
        <f t="shared" si="11"/>
        <v>16625.257031380679</v>
      </c>
      <c r="I18" s="36">
        <f>VLOOKUP(A18,'Variable Input'!$1:$1048576,8,FALSE)</f>
        <v>1.1159266108518389</v>
      </c>
      <c r="J18" s="19">
        <f t="shared" si="2"/>
        <v>176224862.6111491</v>
      </c>
      <c r="K18" s="63">
        <f>IFERROR(J18*(1-VLOOKUP(A18,PROFIT!$A$1:$IT$65527,7,FALSE)),J18)</f>
        <v>173232333.58568579</v>
      </c>
      <c r="L18" s="19">
        <f>IFERROR(VLOOKUP(A18,'Variable Input'!$1:$1048576,26,FALSE)*VLOOKUP(A18,Volume!A:K,11,FALSE),0)</f>
        <v>0</v>
      </c>
      <c r="M18" s="22">
        <f t="shared" si="3"/>
        <v>173232333.58568579</v>
      </c>
      <c r="N18" s="36">
        <f>VLOOKUP(A18,'Variable Input'!$1:$1048576,23,FALSE)</f>
        <v>1.0181752931904677</v>
      </c>
      <c r="O18" s="22">
        <f t="shared" si="4"/>
        <v>170139989.39500844</v>
      </c>
      <c r="P18" s="27">
        <f>IFERROR(VLOOKUP(A18,'Variable Input'!$1:$1048576,7,FALSE),0)</f>
        <v>11828.629976083985</v>
      </c>
      <c r="Q18" s="18">
        <f t="shared" si="5"/>
        <v>14383.744333791004</v>
      </c>
      <c r="R18" s="18">
        <f t="shared" si="6"/>
        <v>170139989.39500844</v>
      </c>
      <c r="S18" s="20">
        <f>IFERROR(VLOOKUP(A18,RESCMAD!$1:$1048576,8,FALSE),0)</f>
        <v>0</v>
      </c>
      <c r="T18" s="19">
        <f>IF(C18=5,(S18*P18)*IME!$M$7,(S18*P18)*IME!$M$8)</f>
        <v>0</v>
      </c>
      <c r="U18" s="19">
        <f>IFERROR(VLOOKUP(A18,'DSH (Cumulative)'!$1:$1048576,12,FALSE)*P18*'DSH (Cumulative)'!$AB$2,0)</f>
        <v>30440416.4932332</v>
      </c>
      <c r="V18" s="22">
        <f t="shared" si="7"/>
        <v>170139989.39500844</v>
      </c>
      <c r="W18" s="17">
        <f t="shared" si="8"/>
        <v>0</v>
      </c>
      <c r="X18" s="19">
        <f t="shared" si="12"/>
        <v>139699572.90177524</v>
      </c>
      <c r="Y18" s="15">
        <f t="shared" si="9"/>
        <v>11810.291909057123</v>
      </c>
      <c r="Z18" s="14">
        <f t="shared" si="13"/>
        <v>0.1290965314888517</v>
      </c>
      <c r="AA18" s="14">
        <f t="shared" si="10"/>
        <v>7.5186074578701856E-2</v>
      </c>
      <c r="AB18" s="80">
        <v>1</v>
      </c>
      <c r="AC18" s="11">
        <f t="shared" si="14"/>
        <v>16342.938387546783</v>
      </c>
    </row>
    <row r="19" spans="1:29" ht="18.75" customHeight="1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19">
        <f>IFERROR(VLOOKUP(A19,'Variable Input'!$1:$1048576,6,FALSE),0)</f>
        <v>507580746.06614465</v>
      </c>
      <c r="E19" s="19">
        <f t="shared" si="0"/>
        <v>14267.786782122696</v>
      </c>
      <c r="F19" s="19">
        <f>IFERROR(VLOOKUP(A19,'Drug Overhead'!$1:$1048576,13,FALSE)*VLOOKUP(A19,Volume!A:K,11,FALSE),0)</f>
        <v>7155427.5335690174</v>
      </c>
      <c r="G19" s="19">
        <f t="shared" si="1"/>
        <v>514736173.59971368</v>
      </c>
      <c r="H19" s="19">
        <f t="shared" si="11"/>
        <v>14468.921508321686</v>
      </c>
      <c r="I19" s="36">
        <f>VLOOKUP(A19,'Variable Input'!$1:$1048576,8,FALSE)</f>
        <v>1.1235285459397526</v>
      </c>
      <c r="J19" s="19">
        <f t="shared" si="2"/>
        <v>458142497.09977156</v>
      </c>
      <c r="K19" s="63">
        <f>IFERROR(J19*(1-VLOOKUP(A19,PROFIT!$A$1:$IT$65527,7,FALSE)),J19)</f>
        <v>413447863.45143002</v>
      </c>
      <c r="L19" s="19">
        <f>IFERROR(VLOOKUP(A19,'Variable Input'!$1:$1048576,26,FALSE)*VLOOKUP(A19,Volume!A:K,11,FALSE),0)</f>
        <v>3385733.4707238162</v>
      </c>
      <c r="M19" s="22">
        <f t="shared" si="3"/>
        <v>410062129.98070621</v>
      </c>
      <c r="N19" s="36">
        <f>VLOOKUP(A19,'Variable Input'!$1:$1048576,23,FALSE)</f>
        <v>0.99671861092415948</v>
      </c>
      <c r="O19" s="22">
        <f t="shared" si="4"/>
        <v>411412133.26045531</v>
      </c>
      <c r="P19" s="27">
        <f>IFERROR(VLOOKUP(A19,'Variable Input'!$1:$1048576,7,FALSE),0)</f>
        <v>35575.296562612995</v>
      </c>
      <c r="Q19" s="18">
        <f t="shared" si="5"/>
        <v>11564.545429336464</v>
      </c>
      <c r="R19" s="18">
        <f t="shared" si="6"/>
        <v>411412133.26045531</v>
      </c>
      <c r="S19" s="20">
        <f>IFERROR(VLOOKUP(A19,RESCMAD!$1:$1048576,8,FALSE),0)</f>
        <v>2.8109393220095488E-4</v>
      </c>
      <c r="T19" s="19">
        <f>IF(C19=5,(S19*P19)*IME!$M$7,(S19*P19)*IME!$M$8)</f>
        <v>1319208.6723341784</v>
      </c>
      <c r="U19" s="19">
        <f>IFERROR(VLOOKUP(A19,'DSH (Cumulative)'!$1:$1048576,12,FALSE)*P19*'DSH (Cumulative)'!$AB$2,0)</f>
        <v>109898440.49882717</v>
      </c>
      <c r="V19" s="22">
        <f t="shared" si="7"/>
        <v>410092924.58812112</v>
      </c>
      <c r="W19" s="17">
        <f t="shared" si="8"/>
        <v>-3.20653808111937E-3</v>
      </c>
      <c r="X19" s="19">
        <f t="shared" si="12"/>
        <v>300194484.08929396</v>
      </c>
      <c r="Y19" s="15">
        <f t="shared" si="9"/>
        <v>8438.2847957696613</v>
      </c>
      <c r="Z19" s="14">
        <f t="shared" si="13"/>
        <v>-0.19327666344029604</v>
      </c>
      <c r="AA19" s="14">
        <f t="shared" si="10"/>
        <v>-0.23179491450308709</v>
      </c>
      <c r="AB19" s="80">
        <v>1</v>
      </c>
      <c r="AC19" s="11">
        <f t="shared" si="14"/>
        <v>13057.388742435931</v>
      </c>
    </row>
    <row r="20" spans="1:29" ht="18.75" customHeight="1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19">
        <f>IFERROR(VLOOKUP(A20,'Variable Input'!$1:$1048576,6,FALSE),0)</f>
        <v>397812348.9639039</v>
      </c>
      <c r="E20" s="19">
        <f t="shared" si="0"/>
        <v>15970.572390470126</v>
      </c>
      <c r="F20" s="19">
        <f>IFERROR(VLOOKUP(A20,'Drug Overhead'!$1:$1048576,13,FALSE)*VLOOKUP(A20,Volume!A:K,11,FALSE),0)</f>
        <v>552266.43523613329</v>
      </c>
      <c r="G20" s="19">
        <f t="shared" si="1"/>
        <v>398364615.39914006</v>
      </c>
      <c r="H20" s="19">
        <f t="shared" si="11"/>
        <v>15992.743675765159</v>
      </c>
      <c r="I20" s="36">
        <f>VLOOKUP(A20,'Variable Input'!$1:$1048576,8,FALSE)</f>
        <v>1.106961162419857</v>
      </c>
      <c r="J20" s="19">
        <f t="shared" si="2"/>
        <v>359872260.13268673</v>
      </c>
      <c r="K20" s="63">
        <f>IFERROR(J20*(1-VLOOKUP(A20,PROFIT!$A$1:$IT$65527,7,FALSE)),J20)</f>
        <v>329939331.04824656</v>
      </c>
      <c r="L20" s="19">
        <f>IFERROR(VLOOKUP(A20,'Variable Input'!$1:$1048576,26,FALSE)*VLOOKUP(A20,Volume!A:K,11,FALSE),0)</f>
        <v>4332162.9357895656</v>
      </c>
      <c r="M20" s="22">
        <f t="shared" si="3"/>
        <v>325607168.11245698</v>
      </c>
      <c r="N20" s="36">
        <f>VLOOKUP(A20,'Variable Input'!$1:$1048576,23,FALSE)</f>
        <v>1.0181752931904677</v>
      </c>
      <c r="O20" s="22">
        <f t="shared" si="4"/>
        <v>319794803.79273587</v>
      </c>
      <c r="P20" s="27">
        <f>IFERROR(VLOOKUP(A20,'Variable Input'!$1:$1048576,7,FALSE),0)</f>
        <v>24909.085237375984</v>
      </c>
      <c r="Q20" s="18">
        <f t="shared" si="5"/>
        <v>12838.480447804042</v>
      </c>
      <c r="R20" s="18">
        <f t="shared" si="6"/>
        <v>319794803.79273587</v>
      </c>
      <c r="S20" s="20">
        <f>IFERROR(VLOOKUP(A20,RESCMAD!$1:$1048576,8,FALSE),0)</f>
        <v>1.6058397817026276E-4</v>
      </c>
      <c r="T20" s="19">
        <f>IF(C20=5,(S20*P20)*IME!$M$7,(S20*P20)*IME!$M$8)</f>
        <v>527683.46893367125</v>
      </c>
      <c r="U20" s="19">
        <f>IFERROR(VLOOKUP(A20,'DSH (Cumulative)'!$1:$1048576,12,FALSE)*P20*'DSH (Cumulative)'!$AB$2,0)</f>
        <v>40629201.863235101</v>
      </c>
      <c r="V20" s="22">
        <f t="shared" si="7"/>
        <v>319267120.32380223</v>
      </c>
      <c r="W20" s="17">
        <f t="shared" si="8"/>
        <v>-1.6500689275603664E-3</v>
      </c>
      <c r="X20" s="19">
        <f t="shared" si="12"/>
        <v>278637918.46056712</v>
      </c>
      <c r="Y20" s="15">
        <f t="shared" si="9"/>
        <v>11186.196353869793</v>
      </c>
      <c r="Z20" s="14">
        <f t="shared" si="13"/>
        <v>6.9431272399088861E-2</v>
      </c>
      <c r="AA20" s="14">
        <f t="shared" si="10"/>
        <v>1.8369625390914468E-2</v>
      </c>
      <c r="AB20" s="80">
        <v>1</v>
      </c>
      <c r="AC20" s="11">
        <f t="shared" si="14"/>
        <v>14662.522607501089</v>
      </c>
    </row>
    <row r="21" spans="1:29" ht="18.75" customHeight="1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19">
        <f>IFERROR(VLOOKUP(A21,'Variable Input'!$1:$1048576,6,FALSE),0)</f>
        <v>693070351.52284181</v>
      </c>
      <c r="E21" s="19">
        <f t="shared" si="0"/>
        <v>14499.370422762127</v>
      </c>
      <c r="F21" s="19">
        <f>IFERROR(VLOOKUP(A21,'Drug Overhead'!$1:$1048576,13,FALSE)*VLOOKUP(A21,Volume!A:K,11,FALSE),0)</f>
        <v>19281870.825420387</v>
      </c>
      <c r="G21" s="19">
        <f t="shared" si="1"/>
        <v>712352222.34826219</v>
      </c>
      <c r="H21" s="19">
        <f t="shared" si="11"/>
        <v>14902.756582518243</v>
      </c>
      <c r="I21" s="36">
        <f>VLOOKUP(A21,'Variable Input'!$1:$1048576,8,FALSE)</f>
        <v>1.1086069567461017</v>
      </c>
      <c r="J21" s="19">
        <f t="shared" si="2"/>
        <v>642565174.26077127</v>
      </c>
      <c r="K21" s="63">
        <f>IFERROR(J21*(1-VLOOKUP(A21,PROFIT!$A$1:$IT$65527,7,FALSE)),J21)</f>
        <v>611619103.033692</v>
      </c>
      <c r="L21" s="19">
        <f>IFERROR(VLOOKUP(A21,'Variable Input'!$1:$1048576,26,FALSE)*VLOOKUP(A21,Volume!A:K,11,FALSE),0)</f>
        <v>6692185.3853537869</v>
      </c>
      <c r="M21" s="22">
        <f t="shared" si="3"/>
        <v>604926917.6483382</v>
      </c>
      <c r="N21" s="36">
        <f>VLOOKUP(A21,'Variable Input'!$1:$1048576,23,FALSE)</f>
        <v>0.99671861092415948</v>
      </c>
      <c r="O21" s="22">
        <f t="shared" si="4"/>
        <v>606918453.23069549</v>
      </c>
      <c r="P21" s="27">
        <f>IFERROR(VLOOKUP(A21,'Variable Input'!$1:$1048576,7,FALSE),0)</f>
        <v>47800.030712699874</v>
      </c>
      <c r="Q21" s="18">
        <f t="shared" si="5"/>
        <v>12697.030612355753</v>
      </c>
      <c r="R21" s="18">
        <f t="shared" si="6"/>
        <v>606918453.23069549</v>
      </c>
      <c r="S21" s="20">
        <f>IFERROR(VLOOKUP(A21,RESCMAD!$1:$1048576,8,FALSE),0)</f>
        <v>1.1527189246211215E-3</v>
      </c>
      <c r="T21" s="19">
        <f>IF(C21=5,(S21*P21)*IME!$M$7,(S21*P21)*IME!$M$8)</f>
        <v>7268839.7845613202</v>
      </c>
      <c r="U21" s="19">
        <f>IFERROR(VLOOKUP(A21,'DSH (Cumulative)'!$1:$1048576,12,FALSE)*P21*'DSH (Cumulative)'!$AB$2,0)</f>
        <v>83820667.717318162</v>
      </c>
      <c r="V21" s="22">
        <f t="shared" si="7"/>
        <v>599649613.44613421</v>
      </c>
      <c r="W21" s="17">
        <f t="shared" si="8"/>
        <v>-1.1976633344839671E-2</v>
      </c>
      <c r="X21" s="19">
        <f t="shared" si="12"/>
        <v>515828945.72881603</v>
      </c>
      <c r="Y21" s="15">
        <f t="shared" si="9"/>
        <v>10791.393604518473</v>
      </c>
      <c r="Z21" s="14">
        <f t="shared" si="13"/>
        <v>3.1687038950211521E-2</v>
      </c>
      <c r="AA21" s="14">
        <f t="shared" si="10"/>
        <v>-1.7572451365240327E-2</v>
      </c>
      <c r="AB21" s="80">
        <v>1</v>
      </c>
      <c r="AC21" s="11">
        <f t="shared" si="14"/>
        <v>14185.03675399969</v>
      </c>
    </row>
    <row r="22" spans="1:29" ht="18.75" customHeight="1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19">
        <f>IFERROR(VLOOKUP(A22,'Variable Input'!$1:$1048576,6,FALSE),0)</f>
        <v>481457430.39623797</v>
      </c>
      <c r="E22" s="19">
        <f t="shared" si="0"/>
        <v>17832.24417168623</v>
      </c>
      <c r="F22" s="19">
        <f>IFERROR(VLOOKUP(A22,'Drug Overhead'!$1:$1048576,13,FALSE)*VLOOKUP(A22,Volume!A:K,11,FALSE),0)</f>
        <v>139248.72459896962</v>
      </c>
      <c r="G22" s="19">
        <f t="shared" si="1"/>
        <v>481596679.12083691</v>
      </c>
      <c r="H22" s="19">
        <f t="shared" si="11"/>
        <v>17837.401672850145</v>
      </c>
      <c r="I22" s="36">
        <f>VLOOKUP(A22,'Variable Input'!$1:$1048576,8,FALSE)</f>
        <v>1.1223202362274129</v>
      </c>
      <c r="J22" s="19">
        <f t="shared" si="2"/>
        <v>429108077.69062823</v>
      </c>
      <c r="K22" s="63">
        <f>IFERROR(J22*(1-VLOOKUP(A22,PROFIT!$A$1:$IT$65527,7,FALSE)),J22)</f>
        <v>410123688.55888373</v>
      </c>
      <c r="L22" s="19">
        <f>IFERROR(VLOOKUP(A22,'Variable Input'!$1:$1048576,26,FALSE)*VLOOKUP(A22,Volume!A:K,11,FALSE),0)</f>
        <v>12196844.09297953</v>
      </c>
      <c r="M22" s="22">
        <f t="shared" si="3"/>
        <v>397926844.46590418</v>
      </c>
      <c r="N22" s="36">
        <f>VLOOKUP(A22,'Variable Input'!$1:$1048576,23,FALSE)</f>
        <v>0.99671861092415948</v>
      </c>
      <c r="O22" s="22">
        <f t="shared" si="4"/>
        <v>399236896.05529249</v>
      </c>
      <c r="P22" s="27">
        <f>IFERROR(VLOOKUP(A22,'Variable Input'!$1:$1048576,7,FALSE),0)</f>
        <v>26999.26188542712</v>
      </c>
      <c r="Q22" s="18">
        <f t="shared" si="5"/>
        <v>14786.955945294972</v>
      </c>
      <c r="R22" s="18">
        <f t="shared" si="6"/>
        <v>399236896.05529249</v>
      </c>
      <c r="S22" s="20">
        <f>IFERROR(VLOOKUP(A22,RESCMAD!$1:$1048576,8,FALSE),0)</f>
        <v>3.2593483619453344E-3</v>
      </c>
      <c r="T22" s="19">
        <f>IF(C22=5,(S22*P22)*IME!$M$7,(S22*P22)*IME!$M$8)</f>
        <v>11609036.316540768</v>
      </c>
      <c r="U22" s="19">
        <f>IFERROR(VLOOKUP(A22,'DSH (Cumulative)'!$1:$1048576,12,FALSE)*P22*'DSH (Cumulative)'!$AB$2,0)</f>
        <v>88523347.724761173</v>
      </c>
      <c r="V22" s="22">
        <f t="shared" si="7"/>
        <v>387627859.73875171</v>
      </c>
      <c r="W22" s="17">
        <f t="shared" si="8"/>
        <v>-2.90780647561516E-2</v>
      </c>
      <c r="X22" s="19">
        <f t="shared" si="12"/>
        <v>299104512.01399052</v>
      </c>
      <c r="Y22" s="15">
        <f t="shared" si="9"/>
        <v>11078.247741855213</v>
      </c>
      <c r="Z22" s="14">
        <f t="shared" si="13"/>
        <v>5.9111086891123099E-2</v>
      </c>
      <c r="AA22" s="14">
        <f t="shared" si="10"/>
        <v>8.5421930715519068E-3</v>
      </c>
      <c r="AB22" s="80">
        <v>1</v>
      </c>
      <c r="AC22" s="11">
        <f t="shared" si="14"/>
        <v>17048.248095786144</v>
      </c>
    </row>
    <row r="23" spans="1:29" ht="18.75" customHeight="1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19">
        <f>IFERROR(VLOOKUP(A23,'Variable Input'!$1:$1048576,6,FALSE),0)</f>
        <v>329427490.80074435</v>
      </c>
      <c r="E23" s="19">
        <f t="shared" si="0"/>
        <v>14516.840497752677</v>
      </c>
      <c r="F23" s="19">
        <f>IFERROR(VLOOKUP(A23,'Drug Overhead'!$1:$1048576,13,FALSE)*VLOOKUP(A23,Volume!A:K,11,FALSE),0)</f>
        <v>17499647.620706905</v>
      </c>
      <c r="G23" s="19">
        <f t="shared" si="1"/>
        <v>346927138.42145127</v>
      </c>
      <c r="H23" s="19">
        <f t="shared" si="11"/>
        <v>15287.995305322567</v>
      </c>
      <c r="I23" s="36">
        <f>VLOOKUP(A23,'Variable Input'!$1:$1048576,8,FALSE)</f>
        <v>1.1268001645719641</v>
      </c>
      <c r="J23" s="19">
        <f t="shared" si="2"/>
        <v>307887014.33429235</v>
      </c>
      <c r="K23" s="63">
        <f>IFERROR(J23*(1-VLOOKUP(A23,PROFIT!$A$1:$IT$65527,7,FALSE)),J23)</f>
        <v>235287223.58022779</v>
      </c>
      <c r="L23" s="19">
        <f>IFERROR(VLOOKUP(A23,'Variable Input'!$1:$1048576,26,FALSE)*VLOOKUP(A23,Volume!A:K,11,FALSE),0)</f>
        <v>1887638.9011087576</v>
      </c>
      <c r="M23" s="22">
        <f t="shared" si="3"/>
        <v>233399584.67911902</v>
      </c>
      <c r="N23" s="36">
        <f>VLOOKUP(A23,'Variable Input'!$1:$1048576,23,FALSE)</f>
        <v>0.99671861092415948</v>
      </c>
      <c r="O23" s="22">
        <f t="shared" si="4"/>
        <v>234167980.93366638</v>
      </c>
      <c r="P23" s="27">
        <f>IFERROR(VLOOKUP(A23,'Variable Input'!$1:$1048576,7,FALSE),0)</f>
        <v>22692.781590576982</v>
      </c>
      <c r="Q23" s="18">
        <f t="shared" si="5"/>
        <v>10319.051456913638</v>
      </c>
      <c r="R23" s="18">
        <f t="shared" si="6"/>
        <v>234167980.93366638</v>
      </c>
      <c r="S23" s="20">
        <f>IFERROR(VLOOKUP(A23,RESCMAD!$1:$1048576,8,FALSE),0)</f>
        <v>0</v>
      </c>
      <c r="T23" s="19">
        <f>IF(C23=5,(S23*P23)*IME!$M$7,(S23*P23)*IME!$M$8)</f>
        <v>0</v>
      </c>
      <c r="U23" s="19">
        <f>IFERROR(VLOOKUP(A23,'DSH (Cumulative)'!$1:$1048576,12,FALSE)*P23*'DSH (Cumulative)'!$AB$2,0)</f>
        <v>57922655.895022668</v>
      </c>
      <c r="V23" s="22">
        <f t="shared" si="7"/>
        <v>234167980.93366638</v>
      </c>
      <c r="W23" s="17">
        <f t="shared" si="8"/>
        <v>0</v>
      </c>
      <c r="X23" s="19">
        <f t="shared" si="12"/>
        <v>176245325.03864372</v>
      </c>
      <c r="Y23" s="15">
        <f t="shared" si="9"/>
        <v>7766.580942718294</v>
      </c>
      <c r="Z23" s="14">
        <f t="shared" si="13"/>
        <v>-0.25749340731996062</v>
      </c>
      <c r="AA23" s="14">
        <f t="shared" si="10"/>
        <v>-0.29294553081324293</v>
      </c>
      <c r="AB23" s="80">
        <v>1</v>
      </c>
      <c r="AC23" s="11">
        <f t="shared" si="14"/>
        <v>11683.084384946933</v>
      </c>
    </row>
    <row r="24" spans="1:29" ht="18.75" customHeight="1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19">
        <f>IFERROR(VLOOKUP(A24,'Variable Input'!$1:$1048576,6,FALSE),0)</f>
        <v>202378391.95282602</v>
      </c>
      <c r="E24" s="19">
        <f t="shared" si="0"/>
        <v>13792.969808492455</v>
      </c>
      <c r="F24" s="19">
        <f>IFERROR(VLOOKUP(A24,'Drug Overhead'!$1:$1048576,13,FALSE)*VLOOKUP(A24,Volume!A:K,11,FALSE),0)</f>
        <v>5855854.2044779686</v>
      </c>
      <c r="G24" s="19">
        <f t="shared" si="1"/>
        <v>208234246.15730399</v>
      </c>
      <c r="H24" s="19">
        <f t="shared" si="11"/>
        <v>14192.071804836636</v>
      </c>
      <c r="I24" s="36">
        <f>VLOOKUP(A24,'Variable Input'!$1:$1048576,8,FALSE)</f>
        <v>1.1136722213908725</v>
      </c>
      <c r="J24" s="19">
        <f t="shared" si="2"/>
        <v>186979833.16602695</v>
      </c>
      <c r="K24" s="63">
        <f>IFERROR(J24*(1-VLOOKUP(A24,PROFIT!$A$1:$IT$65527,7,FALSE)),J24)</f>
        <v>162538392.84462202</v>
      </c>
      <c r="L24" s="19">
        <f>IFERROR(VLOOKUP(A24,'Variable Input'!$1:$1048576,26,FALSE)*VLOOKUP(A24,Volume!A:K,11,FALSE),0)</f>
        <v>0</v>
      </c>
      <c r="M24" s="22">
        <f t="shared" si="3"/>
        <v>162538392.84462202</v>
      </c>
      <c r="N24" s="36">
        <f>VLOOKUP(A24,'Variable Input'!$1:$1048576,23,FALSE)</f>
        <v>0.99671861092415948</v>
      </c>
      <c r="O24" s="22">
        <f t="shared" si="4"/>
        <v>163073500.44754967</v>
      </c>
      <c r="P24" s="27">
        <f>IFERROR(VLOOKUP(A24,'Variable Input'!$1:$1048576,7,FALSE),0)</f>
        <v>14672.575577466996</v>
      </c>
      <c r="Q24" s="18">
        <f t="shared" si="5"/>
        <v>11114.170077814102</v>
      </c>
      <c r="R24" s="18">
        <f t="shared" si="6"/>
        <v>163073500.44754967</v>
      </c>
      <c r="S24" s="20">
        <f>IFERROR(VLOOKUP(A24,RESCMAD!$1:$1048576,8,FALSE),0)</f>
        <v>0</v>
      </c>
      <c r="T24" s="19">
        <f>IF(C24=5,(S24*P24)*IME!$M$7,(S24*P24)*IME!$M$8)</f>
        <v>0</v>
      </c>
      <c r="U24" s="19">
        <f>IFERROR(VLOOKUP(A24,'DSH (Cumulative)'!$1:$1048576,12,FALSE)*P24*'DSH (Cumulative)'!$AB$2,0)</f>
        <v>40280021.861881152</v>
      </c>
      <c r="V24" s="22">
        <f t="shared" si="7"/>
        <v>163073500.44754967</v>
      </c>
      <c r="W24" s="17">
        <f t="shared" si="8"/>
        <v>0</v>
      </c>
      <c r="X24" s="19">
        <f t="shared" si="12"/>
        <v>122793478.58566852</v>
      </c>
      <c r="Y24" s="15">
        <f t="shared" si="9"/>
        <v>8368.9109616341138</v>
      </c>
      <c r="Z24" s="14">
        <f t="shared" si="13"/>
        <v>-0.19990899362330017</v>
      </c>
      <c r="AA24" s="14">
        <f t="shared" si="10"/>
        <v>-0.23811057384301182</v>
      </c>
      <c r="AB24" s="80">
        <v>1</v>
      </c>
      <c r="AC24" s="11">
        <f t="shared" si="14"/>
        <v>12336.926946797299</v>
      </c>
    </row>
    <row r="25" spans="1:29" ht="18.75" customHeight="1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19">
        <f>IFERROR(VLOOKUP(A25,'Variable Input'!$1:$1048576,6,FALSE),0)</f>
        <v>685641223.73208022</v>
      </c>
      <c r="E25" s="19">
        <f t="shared" si="0"/>
        <v>19291.665494546265</v>
      </c>
      <c r="F25" s="19">
        <f>IFERROR(VLOOKUP(A25,'Drug Overhead'!$1:$1048576,13,FALSE)*VLOOKUP(A25,Volume!A:K,11,FALSE),0)</f>
        <v>28922398.799876198</v>
      </c>
      <c r="G25" s="19">
        <f t="shared" si="1"/>
        <v>714563622.53195643</v>
      </c>
      <c r="H25" s="19">
        <f t="shared" si="11"/>
        <v>20105.44568108462</v>
      </c>
      <c r="I25" s="36">
        <f>VLOOKUP(A25,'Variable Input'!$1:$1048576,8,FALSE)</f>
        <v>1.1160480491569686</v>
      </c>
      <c r="J25" s="19">
        <f t="shared" si="2"/>
        <v>640262417.97718096</v>
      </c>
      <c r="K25" s="63">
        <f>IFERROR(J25*(1-VLOOKUP(A25,PROFIT!$A$1:$IT$65527,7,FALSE)),J25)</f>
        <v>649367261.8051877</v>
      </c>
      <c r="L25" s="19">
        <f>IFERROR(VLOOKUP(A25,'Variable Input'!$1:$1048576,26,FALSE)*VLOOKUP(A25,Volume!A:K,11,FALSE),0)</f>
        <v>27476780.845164478</v>
      </c>
      <c r="M25" s="22">
        <f t="shared" si="3"/>
        <v>621890480.96002316</v>
      </c>
      <c r="N25" s="36">
        <f>VLOOKUP(A25,'Variable Input'!$1:$1048576,23,FALSE)</f>
        <v>0.99671861092415948</v>
      </c>
      <c r="O25" s="22">
        <f t="shared" si="4"/>
        <v>623937863.8504653</v>
      </c>
      <c r="P25" s="27">
        <f>IFERROR(VLOOKUP(A25,'Variable Input'!$1:$1048576,7,FALSE),0)</f>
        <v>35540.799933832066</v>
      </c>
      <c r="Q25" s="18">
        <f t="shared" si="5"/>
        <v>17555.53800173544</v>
      </c>
      <c r="R25" s="18">
        <f t="shared" si="6"/>
        <v>623937863.8504653</v>
      </c>
      <c r="S25" s="20">
        <f>IFERROR(VLOOKUP(A25,RESCMAD!$1:$1048576,8,FALSE),0)</f>
        <v>3.9704286039970822E-3</v>
      </c>
      <c r="T25" s="19">
        <f>IF(C25=5,(S25*P25)*IME!$M$7,(S25*P25)*IME!$M$8)</f>
        <v>18615644.944471348</v>
      </c>
      <c r="U25" s="19">
        <f>IFERROR(VLOOKUP(A25,'DSH (Cumulative)'!$1:$1048576,12,FALSE)*P25*'DSH (Cumulative)'!$AB$2,0)</f>
        <v>118737638.31727661</v>
      </c>
      <c r="V25" s="22">
        <f t="shared" si="7"/>
        <v>605322218.90599394</v>
      </c>
      <c r="W25" s="17">
        <f t="shared" si="8"/>
        <v>-2.98357352919566E-2</v>
      </c>
      <c r="X25" s="19">
        <f t="shared" si="12"/>
        <v>486584580.58871734</v>
      </c>
      <c r="Y25" s="15">
        <f t="shared" si="9"/>
        <v>13690.873066858769</v>
      </c>
      <c r="Z25" s="14">
        <f t="shared" si="13"/>
        <v>0.30888528512912017</v>
      </c>
      <c r="AA25" s="14">
        <f t="shared" si="10"/>
        <v>0.24639053663207444</v>
      </c>
      <c r="AB25" s="80">
        <v>1</v>
      </c>
      <c r="AC25" s="11">
        <f t="shared" si="14"/>
        <v>20391.354923730923</v>
      </c>
    </row>
    <row r="26" spans="1:29" ht="18.75" customHeight="1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19">
        <f>IFERROR(VLOOKUP(A26,'Variable Input'!$1:$1048576,6,FALSE),0)</f>
        <v>53234979.529182494</v>
      </c>
      <c r="E26" s="19">
        <f t="shared" si="0"/>
        <v>24473.330521606676</v>
      </c>
      <c r="F26" s="19">
        <f>IFERROR(VLOOKUP(A26,'Drug Overhead'!$1:$1048576,13,FALSE)*VLOOKUP(A26,Volume!A:K,11,FALSE),0)</f>
        <v>651882.57016616105</v>
      </c>
      <c r="G26" s="19">
        <f t="shared" si="1"/>
        <v>53886862.099348657</v>
      </c>
      <c r="H26" s="19">
        <f t="shared" si="11"/>
        <v>24773.015761312749</v>
      </c>
      <c r="I26" s="36">
        <f>VLOOKUP(A26,'Variable Input'!$1:$1048576,8,FALSE)</f>
        <v>1.1237498376689119</v>
      </c>
      <c r="J26" s="19">
        <f t="shared" si="2"/>
        <v>47952720.697277851</v>
      </c>
      <c r="K26" s="63">
        <f>IFERROR(J26*(1-VLOOKUP(A26,PROFIT!$A$1:$IT$65527,7,FALSE)),J26)</f>
        <v>35431861.70133616</v>
      </c>
      <c r="L26" s="19">
        <f>IFERROR(VLOOKUP(A26,'Variable Input'!$1:$1048576,26,FALSE)*VLOOKUP(A26,Volume!A:K,11,FALSE),0)</f>
        <v>208535.14400062207</v>
      </c>
      <c r="M26" s="22">
        <f t="shared" si="3"/>
        <v>35223326.557335541</v>
      </c>
      <c r="N26" s="36">
        <f>VLOOKUP(A26,'Variable Input'!$1:$1048576,23,FALSE)</f>
        <v>0.99671861092415948</v>
      </c>
      <c r="O26" s="22">
        <f t="shared" si="4"/>
        <v>35339288.512608789</v>
      </c>
      <c r="P26" s="27">
        <f>IFERROR(VLOOKUP(A26,'Variable Input'!$1:$1048576,7,FALSE),0)</f>
        <v>2175.2241478610003</v>
      </c>
      <c r="Q26" s="18">
        <f t="shared" si="5"/>
        <v>16246.274457443646</v>
      </c>
      <c r="R26" s="18">
        <f t="shared" si="6"/>
        <v>35339288.512608789</v>
      </c>
      <c r="S26" s="20">
        <f>IFERROR(VLOOKUP(A26,RESCMAD!$1:$1048576,8,FALSE),0)</f>
        <v>0</v>
      </c>
      <c r="T26" s="19">
        <f>IF(C26=5,(S26*P26)*IME!$M$7,(S26*P26)*IME!$M$8)</f>
        <v>0</v>
      </c>
      <c r="U26" s="19">
        <f>IFERROR(VLOOKUP(A26,'DSH (Cumulative)'!$1:$1048576,12,FALSE)*P26*'DSH (Cumulative)'!$AB$2,0)</f>
        <v>6672454.1247779513</v>
      </c>
      <c r="V26" s="22">
        <f t="shared" si="7"/>
        <v>35339288.512608789</v>
      </c>
      <c r="W26" s="17">
        <f t="shared" si="8"/>
        <v>0</v>
      </c>
      <c r="X26" s="19">
        <f t="shared" si="12"/>
        <v>28666834.387830839</v>
      </c>
      <c r="Y26" s="15">
        <f t="shared" si="9"/>
        <v>13178.795581145179</v>
      </c>
      <c r="Z26" s="14">
        <f t="shared" si="13"/>
        <v>0.2599292629219685</v>
      </c>
      <c r="AA26" s="14">
        <f t="shared" si="10"/>
        <v>0.19977199527982403</v>
      </c>
      <c r="AB26" s="80">
        <v>1</v>
      </c>
      <c r="AC26" s="11">
        <f t="shared" si="14"/>
        <v>18304.572829580491</v>
      </c>
    </row>
    <row r="27" spans="1:29" ht="18.75" customHeight="1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19">
        <f>IFERROR(VLOOKUP(A27,'Variable Input'!$1:$1048576,6,FALSE),0)</f>
        <v>181246617.1663484</v>
      </c>
      <c r="E27" s="19">
        <f t="shared" si="0"/>
        <v>16587.900225049387</v>
      </c>
      <c r="F27" s="19">
        <f>IFERROR(VLOOKUP(A27,'Drug Overhead'!$1:$1048576,13,FALSE)*VLOOKUP(A27,Volume!A:K,11,FALSE),0)</f>
        <v>7129566.6825071555</v>
      </c>
      <c r="G27" s="19">
        <f t="shared" si="1"/>
        <v>188376183.84885556</v>
      </c>
      <c r="H27" s="19">
        <f t="shared" si="11"/>
        <v>17240.406421447642</v>
      </c>
      <c r="I27" s="36">
        <f>VLOOKUP(A27,'Variable Input'!$1:$1048576,8,FALSE)</f>
        <v>1.1182795268578634</v>
      </c>
      <c r="J27" s="19">
        <f t="shared" si="2"/>
        <v>168451786.27042747</v>
      </c>
      <c r="K27" s="63">
        <f>IFERROR(J27*(1-VLOOKUP(A27,PROFIT!$A$1:$IT$65527,7,FALSE)),J27)</f>
        <v>179818623.82439294</v>
      </c>
      <c r="L27" s="19">
        <f>IFERROR(VLOOKUP(A27,'Variable Input'!$1:$1048576,26,FALSE)*VLOOKUP(A27,Volume!A:K,11,FALSE),0)</f>
        <v>0</v>
      </c>
      <c r="M27" s="22">
        <f t="shared" si="3"/>
        <v>179818623.82439294</v>
      </c>
      <c r="N27" s="36">
        <f>VLOOKUP(A27,'Variable Input'!$1:$1048576,23,FALSE)</f>
        <v>0.99671861092415948</v>
      </c>
      <c r="O27" s="22">
        <f t="shared" si="4"/>
        <v>180410621.26618138</v>
      </c>
      <c r="P27" s="27">
        <f>IFERROR(VLOOKUP(A27,'Variable Input'!$1:$1048576,7,FALSE),0)</f>
        <v>10926.435215269013</v>
      </c>
      <c r="Q27" s="18">
        <f t="shared" si="5"/>
        <v>16511.388912466966</v>
      </c>
      <c r="R27" s="18">
        <f t="shared" si="6"/>
        <v>180410621.26618141</v>
      </c>
      <c r="S27" s="20">
        <f>IFERROR(VLOOKUP(A27,RESCMAD!$1:$1048576,8,FALSE),0)</f>
        <v>0</v>
      </c>
      <c r="T27" s="19">
        <f>IF(C27=5,(S27*P27)*IME!$M$7,(S27*P27)*IME!$M$8)</f>
        <v>0</v>
      </c>
      <c r="U27" s="19">
        <f>IFERROR(VLOOKUP(A27,'DSH (Cumulative)'!$1:$1048576,12,FALSE)*P27*'DSH (Cumulative)'!$AB$2,0)</f>
        <v>31988354.928923748</v>
      </c>
      <c r="V27" s="22">
        <f t="shared" si="7"/>
        <v>180410621.26618141</v>
      </c>
      <c r="W27" s="17">
        <f t="shared" si="8"/>
        <v>0</v>
      </c>
      <c r="X27" s="19">
        <f t="shared" si="12"/>
        <v>148422266.33725765</v>
      </c>
      <c r="Y27" s="15">
        <f t="shared" si="9"/>
        <v>13583.777637728248</v>
      </c>
      <c r="Z27" s="14">
        <f t="shared" si="13"/>
        <v>0.29864666626171954</v>
      </c>
      <c r="AA27" s="14">
        <f t="shared" si="10"/>
        <v>0.23664077642810666</v>
      </c>
      <c r="AB27" s="80">
        <v>1</v>
      </c>
      <c r="AC27" s="11">
        <f t="shared" si="14"/>
        <v>18403.759470386736</v>
      </c>
    </row>
    <row r="28" spans="1:29" ht="18.75" customHeight="1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19">
        <f>IFERROR(VLOOKUP(A28,'Variable Input'!$1:$1048576,6,FALSE),0)</f>
        <v>270049679.90851074</v>
      </c>
      <c r="E28" s="19">
        <f t="shared" si="0"/>
        <v>16403.553344564752</v>
      </c>
      <c r="F28" s="19">
        <f>IFERROR(VLOOKUP(A28,'Drug Overhead'!$1:$1048576,13,FALSE)*VLOOKUP(A28,Volume!A:K,11,FALSE),0)</f>
        <v>78073.698709112286</v>
      </c>
      <c r="G28" s="19">
        <f t="shared" si="1"/>
        <v>270127753.60721987</v>
      </c>
      <c r="H28" s="19">
        <f t="shared" si="11"/>
        <v>16408.295753746712</v>
      </c>
      <c r="I28" s="36">
        <f>VLOOKUP(A28,'Variable Input'!$1:$1048576,8,FALSE)</f>
        <v>1.1165021686409196</v>
      </c>
      <c r="J28" s="19">
        <f t="shared" si="2"/>
        <v>241941091.73655909</v>
      </c>
      <c r="K28" s="63">
        <f>IFERROR(J28*(1-VLOOKUP(A28,PROFIT!$A$1:$IT$65527,7,FALSE)),J28)</f>
        <v>217399485.68625996</v>
      </c>
      <c r="L28" s="19">
        <f>IFERROR(VLOOKUP(A28,'Variable Input'!$1:$1048576,26,FALSE)*VLOOKUP(A28,Volume!A:K,11,FALSE),0)</f>
        <v>0</v>
      </c>
      <c r="M28" s="22">
        <f t="shared" si="3"/>
        <v>217399485.68625996</v>
      </c>
      <c r="N28" s="36">
        <f>VLOOKUP(A28,'Variable Input'!$1:$1048576,23,FALSE)</f>
        <v>0.99671861092415948</v>
      </c>
      <c r="O28" s="22">
        <f t="shared" si="4"/>
        <v>218115206.54228249</v>
      </c>
      <c r="P28" s="27">
        <f>IFERROR(VLOOKUP(A28,'Variable Input'!$1:$1048576,7,FALSE),0)</f>
        <v>16462.876928917998</v>
      </c>
      <c r="Q28" s="18">
        <f t="shared" si="5"/>
        <v>13248.911929794633</v>
      </c>
      <c r="R28" s="18">
        <f t="shared" si="6"/>
        <v>218115206.54228249</v>
      </c>
      <c r="S28" s="20">
        <f>IFERROR(VLOOKUP(A28,RESCMAD!$1:$1048576,8,FALSE),0)</f>
        <v>0</v>
      </c>
      <c r="T28" s="19">
        <f>IF(C28=5,(S28*P28)*IME!$M$7,(S28*P28)*IME!$M$8)</f>
        <v>0</v>
      </c>
      <c r="U28" s="19">
        <f>IFERROR(VLOOKUP(A28,'DSH (Cumulative)'!$1:$1048576,12,FALSE)*P28*'DSH (Cumulative)'!$AB$2,0)</f>
        <v>35972938.205037512</v>
      </c>
      <c r="V28" s="22">
        <f t="shared" si="7"/>
        <v>218115206.54228249</v>
      </c>
      <c r="W28" s="17">
        <f t="shared" si="8"/>
        <v>0</v>
      </c>
      <c r="X28" s="19">
        <f t="shared" si="12"/>
        <v>182142268.33724499</v>
      </c>
      <c r="Y28" s="15">
        <f t="shared" si="9"/>
        <v>11063.817650079223</v>
      </c>
      <c r="Z28" s="14">
        <f t="shared" si="13"/>
        <v>5.7731530255368702E-2</v>
      </c>
      <c r="AA28" s="14">
        <f t="shared" si="10"/>
        <v>7.2285054970271378E-3</v>
      </c>
      <c r="AB28" s="80">
        <v>1</v>
      </c>
      <c r="AC28" s="11">
        <f t="shared" si="14"/>
        <v>14743.899154331022</v>
      </c>
    </row>
    <row r="29" spans="1:29" ht="18.75" customHeight="1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19">
        <f>IFERROR(VLOOKUP(A29,'Variable Input'!$1:$1048576,6,FALSE),0)</f>
        <v>206716555.07597718</v>
      </c>
      <c r="E29" s="19">
        <f t="shared" si="0"/>
        <v>17763.582661553013</v>
      </c>
      <c r="F29" s="19">
        <f>IFERROR(VLOOKUP(A29,'Drug Overhead'!$1:$1048576,13,FALSE)*VLOOKUP(A29,Volume!A:K,11,FALSE),0)</f>
        <v>992166.17183211725</v>
      </c>
      <c r="G29" s="19">
        <f t="shared" si="1"/>
        <v>207708721.24780929</v>
      </c>
      <c r="H29" s="19">
        <f t="shared" si="11"/>
        <v>17848.841560149009</v>
      </c>
      <c r="I29" s="36">
        <f>VLOOKUP(A29,'Variable Input'!$1:$1048576,8,FALSE)</f>
        <v>1.1252449607173489</v>
      </c>
      <c r="J29" s="19">
        <f t="shared" si="2"/>
        <v>184589781.33560714</v>
      </c>
      <c r="K29" s="63">
        <f>IFERROR(J29*(1-VLOOKUP(A29,PROFIT!$A$1:$IT$65527,7,FALSE)),J29)</f>
        <v>171771761.9475241</v>
      </c>
      <c r="L29" s="19">
        <f>IFERROR(VLOOKUP(A29,'Variable Input'!$1:$1048576,26,FALSE)*VLOOKUP(A29,Volume!A:K,11,FALSE),0)</f>
        <v>2578337.9692581748</v>
      </c>
      <c r="M29" s="22">
        <f t="shared" si="3"/>
        <v>169193423.97826591</v>
      </c>
      <c r="N29" s="36">
        <f>VLOOKUP(A29,'Variable Input'!$1:$1048576,23,FALSE)</f>
        <v>0.99671861092415948</v>
      </c>
      <c r="O29" s="22">
        <f t="shared" si="4"/>
        <v>169750441.22170994</v>
      </c>
      <c r="P29" s="27">
        <f>IFERROR(VLOOKUP(A29,'Variable Input'!$1:$1048576,7,FALSE),0)</f>
        <v>11637.098158323013</v>
      </c>
      <c r="Q29" s="18">
        <f t="shared" si="5"/>
        <v>14587.007767078263</v>
      </c>
      <c r="R29" s="18">
        <f t="shared" si="6"/>
        <v>169750441.22170994</v>
      </c>
      <c r="S29" s="20">
        <f>IFERROR(VLOOKUP(A29,RESCMAD!$1:$1048576,8,FALSE),0)</f>
        <v>1.6630799529427725E-3</v>
      </c>
      <c r="T29" s="19">
        <f>IF(C29=5,(S29*P29)*IME!$M$7,(S29*P29)*IME!$M$8)</f>
        <v>2553120.5647585327</v>
      </c>
      <c r="U29" s="19">
        <f>IFERROR(VLOOKUP(A29,'DSH (Cumulative)'!$1:$1048576,12,FALSE)*P29*'DSH (Cumulative)'!$AB$2,0)</f>
        <v>57923018.661138967</v>
      </c>
      <c r="V29" s="22">
        <f t="shared" si="7"/>
        <v>167197320.6569514</v>
      </c>
      <c r="W29" s="17">
        <f t="shared" si="8"/>
        <v>-1.504043551453238E-2</v>
      </c>
      <c r="X29" s="19">
        <f t="shared" si="12"/>
        <v>109274301.99581243</v>
      </c>
      <c r="Y29" s="15">
        <f t="shared" si="9"/>
        <v>9390.1675923956991</v>
      </c>
      <c r="Z29" s="14">
        <f t="shared" si="13"/>
        <v>-0.10227403858306061</v>
      </c>
      <c r="AA29" s="14">
        <f t="shared" si="10"/>
        <v>-0.14513735045266107</v>
      </c>
      <c r="AB29" s="80">
        <v>1</v>
      </c>
      <c r="AC29" s="11">
        <f t="shared" si="14"/>
        <v>16609.40785196963</v>
      </c>
    </row>
    <row r="30" spans="1:29" ht="18.75" customHeight="1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19">
        <f>IFERROR(VLOOKUP(A30,'Variable Input'!$1:$1048576,6,FALSE),0)</f>
        <v>178231569.15377906</v>
      </c>
      <c r="E30" s="19">
        <f t="shared" si="0"/>
        <v>14688.478782692586</v>
      </c>
      <c r="F30" s="19">
        <f>IFERROR(VLOOKUP(A30,'Drug Overhead'!$1:$1048576,13,FALSE)*VLOOKUP(A30,Volume!A:K,11,FALSE),0)</f>
        <v>515241.87752241391</v>
      </c>
      <c r="G30" s="19">
        <f t="shared" si="1"/>
        <v>178746811.03130147</v>
      </c>
      <c r="H30" s="19">
        <f t="shared" si="11"/>
        <v>14730.941066012398</v>
      </c>
      <c r="I30" s="36">
        <f>VLOOKUP(A30,'Variable Input'!$1:$1048576,8,FALSE)</f>
        <v>1.1148847928711076</v>
      </c>
      <c r="J30" s="19">
        <f t="shared" si="2"/>
        <v>160327607.09829366</v>
      </c>
      <c r="K30" s="63">
        <f>IFERROR(J30*(1-VLOOKUP(A30,PROFIT!$A$1:$IT$65527,7,FALSE)),J30)</f>
        <v>149692071.88455075</v>
      </c>
      <c r="L30" s="19">
        <f>IFERROR(VLOOKUP(A30,'Variable Input'!$1:$1048576,26,FALSE)*VLOOKUP(A30,Volume!A:K,11,FALSE),0)</f>
        <v>0</v>
      </c>
      <c r="M30" s="22">
        <f t="shared" si="3"/>
        <v>149692071.88455075</v>
      </c>
      <c r="N30" s="36">
        <f>VLOOKUP(A30,'Variable Input'!$1:$1048576,23,FALSE)</f>
        <v>0.99671861092415948</v>
      </c>
      <c r="O30" s="22">
        <f t="shared" si="4"/>
        <v>150184886.93188539</v>
      </c>
      <c r="P30" s="27">
        <f>IFERROR(VLOOKUP(A30,'Variable Input'!$1:$1048576,7,FALSE),0)</f>
        <v>12134.106723412984</v>
      </c>
      <c r="Q30" s="18">
        <f t="shared" si="5"/>
        <v>12377.086369456507</v>
      </c>
      <c r="R30" s="18">
        <f t="shared" si="6"/>
        <v>150184886.93188539</v>
      </c>
      <c r="S30" s="20">
        <f>IFERROR(VLOOKUP(A30,RESCMAD!$1:$1048576,8,FALSE),0)</f>
        <v>0</v>
      </c>
      <c r="T30" s="19">
        <f>IF(C30=5,(S30*P30)*IME!$M$7,(S30*P30)*IME!$M$8)</f>
        <v>0</v>
      </c>
      <c r="U30" s="19">
        <f>IFERROR(VLOOKUP(A30,'DSH (Cumulative)'!$1:$1048576,12,FALSE)*P30*'DSH (Cumulative)'!$AB$2,0)</f>
        <v>33777531.155568004</v>
      </c>
      <c r="V30" s="22">
        <f t="shared" si="7"/>
        <v>150184886.93188539</v>
      </c>
      <c r="W30" s="17">
        <f t="shared" si="8"/>
        <v>0</v>
      </c>
      <c r="X30" s="19">
        <f t="shared" si="12"/>
        <v>116407355.77631739</v>
      </c>
      <c r="Y30" s="15">
        <f t="shared" si="9"/>
        <v>9593.4013462818184</v>
      </c>
      <c r="Z30" s="14">
        <f t="shared" si="13"/>
        <v>-8.2844330294622903E-2</v>
      </c>
      <c r="AA30" s="14">
        <f t="shared" si="10"/>
        <v>-0.1266353435805756</v>
      </c>
      <c r="AB30" s="80">
        <v>1</v>
      </c>
      <c r="AC30" s="11">
        <f t="shared" si="14"/>
        <v>13753.745402241939</v>
      </c>
    </row>
    <row r="31" spans="1:29" ht="18.75" customHeight="1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19">
        <f>IFERROR(VLOOKUP(A31,'Variable Input'!$1:$1048576,6,FALSE),0)</f>
        <v>252795365.55476636</v>
      </c>
      <c r="E31" s="19">
        <f t="shared" si="0"/>
        <v>17635.09109428155</v>
      </c>
      <c r="F31" s="19">
        <f>IFERROR(VLOOKUP(A31,'Drug Overhead'!$1:$1048576,13,FALSE)*VLOOKUP(A31,Volume!A:K,11,FALSE),0)</f>
        <v>11201194.43304294</v>
      </c>
      <c r="G31" s="19">
        <f t="shared" si="1"/>
        <v>263996559.9878093</v>
      </c>
      <c r="H31" s="19">
        <f t="shared" si="11"/>
        <v>18416.490245954992</v>
      </c>
      <c r="I31" s="36">
        <f>VLOOKUP(A31,'Variable Input'!$1:$1048576,8,FALSE)</f>
        <v>1.1240965147015685</v>
      </c>
      <c r="J31" s="19">
        <f t="shared" si="2"/>
        <v>234852218.23492318</v>
      </c>
      <c r="K31" s="63">
        <f>IFERROR(J31*(1-VLOOKUP(A31,PROFIT!$A$1:$IT$65527,7,FALSE)),J31)</f>
        <v>167649554.26365992</v>
      </c>
      <c r="L31" s="19">
        <f>IFERROR(VLOOKUP(A31,'Variable Input'!$1:$1048576,26,FALSE)*VLOOKUP(A31,Volume!A:K,11,FALSE),0)</f>
        <v>832816.30724702065</v>
      </c>
      <c r="M31" s="22">
        <f t="shared" si="3"/>
        <v>166816737.95641291</v>
      </c>
      <c r="N31" s="36">
        <f>VLOOKUP(A31,'Variable Input'!$1:$1048576,23,FALSE)</f>
        <v>0.99671861092415948</v>
      </c>
      <c r="O31" s="22">
        <f t="shared" si="4"/>
        <v>167365930.693057</v>
      </c>
      <c r="P31" s="27">
        <f>IFERROR(VLOOKUP(A31,'Variable Input'!$1:$1048576,7,FALSE),0)</f>
        <v>14334.792159748988</v>
      </c>
      <c r="Q31" s="18">
        <f t="shared" si="5"/>
        <v>11675.504522696037</v>
      </c>
      <c r="R31" s="18">
        <f t="shared" si="6"/>
        <v>167365930.693057</v>
      </c>
      <c r="S31" s="20">
        <f>IFERROR(VLOOKUP(A31,RESCMAD!$1:$1048576,8,FALSE),0)</f>
        <v>0</v>
      </c>
      <c r="T31" s="19">
        <f>IF(C31=5,(S31*P31)*IME!$M$7,(S31*P31)*IME!$M$8)</f>
        <v>0</v>
      </c>
      <c r="U31" s="19">
        <f>IFERROR(VLOOKUP(A31,'DSH (Cumulative)'!$1:$1048576,12,FALSE)*P31*'DSH (Cumulative)'!$AB$2,0)</f>
        <v>41461869.977021448</v>
      </c>
      <c r="V31" s="22">
        <f t="shared" si="7"/>
        <v>167365930.693057</v>
      </c>
      <c r="W31" s="17">
        <f t="shared" si="8"/>
        <v>0</v>
      </c>
      <c r="X31" s="19">
        <f t="shared" si="12"/>
        <v>125904060.71603554</v>
      </c>
      <c r="Y31" s="15">
        <f t="shared" si="9"/>
        <v>8783.1103034451116</v>
      </c>
      <c r="Z31" s="14">
        <f t="shared" si="13"/>
        <v>-0.16031039235374867</v>
      </c>
      <c r="AA31" s="14">
        <f t="shared" si="10"/>
        <v>-0.20040266892041425</v>
      </c>
      <c r="AB31" s="80">
        <v>1</v>
      </c>
      <c r="AC31" s="11">
        <f t="shared" si="14"/>
        <v>13146.634952142311</v>
      </c>
    </row>
    <row r="32" spans="1:29" ht="18.75" customHeight="1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19">
        <f>IFERROR(VLOOKUP(A32,'Variable Input'!$1:$1048576,6,FALSE),0)</f>
        <v>245002626.74528134</v>
      </c>
      <c r="E32" s="19">
        <f t="shared" si="0"/>
        <v>22986.814893275434</v>
      </c>
      <c r="F32" s="19">
        <f>IFERROR(VLOOKUP(A32,'Drug Overhead'!$1:$1048576,13,FALSE)*VLOOKUP(A32,Volume!A:K,11,FALSE),0)</f>
        <v>340161.64688431198</v>
      </c>
      <c r="G32" s="19">
        <f t="shared" si="1"/>
        <v>245342788.39216566</v>
      </c>
      <c r="H32" s="19">
        <f t="shared" si="11"/>
        <v>23018.729787064924</v>
      </c>
      <c r="I32" s="36">
        <f>VLOOKUP(A32,'Variable Input'!$1:$1048576,8,FALSE)</f>
        <v>1.1259331913445376</v>
      </c>
      <c r="J32" s="19">
        <f t="shared" si="2"/>
        <v>217901728.3425037</v>
      </c>
      <c r="K32" s="63">
        <f>IFERROR(J32*(1-VLOOKUP(A32,PROFIT!$A$1:$IT$65527,7,FALSE)),J32)</f>
        <v>220586820.39341617</v>
      </c>
      <c r="L32" s="19">
        <f>IFERROR(VLOOKUP(A32,'Variable Input'!$1:$1048576,26,FALSE)*VLOOKUP(A32,Volume!A:K,11,FALSE),0)</f>
        <v>2754406.3071728726</v>
      </c>
      <c r="M32" s="22">
        <f t="shared" si="3"/>
        <v>217832414.0862433</v>
      </c>
      <c r="N32" s="36">
        <f>VLOOKUP(A32,'Variable Input'!$1:$1048576,23,FALSE)</f>
        <v>0.99671861092415948</v>
      </c>
      <c r="O32" s="22">
        <f t="shared" si="4"/>
        <v>218549560.22569767</v>
      </c>
      <c r="P32" s="27">
        <f>IFERROR(VLOOKUP(A32,'Variable Input'!$1:$1048576,7,FALSE),0)</f>
        <v>10658.398211444006</v>
      </c>
      <c r="Q32" s="18">
        <f t="shared" si="5"/>
        <v>20504.916019279452</v>
      </c>
      <c r="R32" s="18">
        <f t="shared" si="6"/>
        <v>218549560.22569767</v>
      </c>
      <c r="S32" s="20">
        <f>IFERROR(VLOOKUP(A32,RESCMAD!$1:$1048576,8,FALSE),0)</f>
        <v>3.4768985729970833E-3</v>
      </c>
      <c r="T32" s="19">
        <f>IF(C32=5,(S32*P32)*IME!$M$7,(S32*P32)*IME!$M$8)</f>
        <v>4888745.8627186492</v>
      </c>
      <c r="U32" s="19">
        <f>IFERROR(VLOOKUP(A32,'DSH (Cumulative)'!$1:$1048576,12,FALSE)*P32*'DSH (Cumulative)'!$AB$2,0)</f>
        <v>59701263.288443767</v>
      </c>
      <c r="V32" s="22">
        <f t="shared" si="7"/>
        <v>213660814.36297902</v>
      </c>
      <c r="W32" s="17">
        <f t="shared" si="8"/>
        <v>-2.2369049188065149E-2</v>
      </c>
      <c r="X32" s="19">
        <f t="shared" si="12"/>
        <v>153959551.07453525</v>
      </c>
      <c r="Y32" s="15">
        <f t="shared" si="9"/>
        <v>14444.905136798856</v>
      </c>
      <c r="Z32" s="14">
        <f t="shared" si="13"/>
        <v>0.3809728339684344</v>
      </c>
      <c r="AA32" s="14">
        <f t="shared" si="10"/>
        <v>0.31503615416872499</v>
      </c>
      <c r="AB32" s="80">
        <v>1</v>
      </c>
      <c r="AC32" s="11">
        <f t="shared" si="14"/>
        <v>23302.37787395022</v>
      </c>
    </row>
    <row r="33" spans="1:29" ht="18.75" customHeight="1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19">
        <f>IFERROR(VLOOKUP(A33,'Variable Input'!$1:$1048576,6,FALSE),0)</f>
        <v>161738343.1905202</v>
      </c>
      <c r="E33" s="19">
        <f t="shared" si="0"/>
        <v>15532.953752586571</v>
      </c>
      <c r="F33" s="19">
        <f>IFERROR(VLOOKUP(A33,'Drug Overhead'!$1:$1048576,13,FALSE)*VLOOKUP(A33,Volume!A:K,11,FALSE),0)</f>
        <v>5550131.0739668515</v>
      </c>
      <c r="G33" s="19">
        <f t="shared" si="1"/>
        <v>167288474.26448706</v>
      </c>
      <c r="H33" s="19">
        <f t="shared" si="11"/>
        <v>16065.974727032744</v>
      </c>
      <c r="I33" s="36">
        <f>VLOOKUP(A33,'Variable Input'!$1:$1048576,8,FALSE)</f>
        <v>1.1205505604288228</v>
      </c>
      <c r="J33" s="19">
        <f t="shared" si="2"/>
        <v>149291321.75924978</v>
      </c>
      <c r="K33" s="63">
        <f>IFERROR(J33*(1-VLOOKUP(A33,PROFIT!$A$1:$IT$65527,7,FALSE)),J33)</f>
        <v>135006349.81539115</v>
      </c>
      <c r="L33" s="19">
        <f>IFERROR(VLOOKUP(A33,'Variable Input'!$1:$1048576,26,FALSE)*VLOOKUP(A33,Volume!A:K,11,FALSE),0)</f>
        <v>0</v>
      </c>
      <c r="M33" s="22">
        <f t="shared" si="3"/>
        <v>135006349.81539115</v>
      </c>
      <c r="N33" s="36">
        <f>VLOOKUP(A33,'Variable Input'!$1:$1048576,23,FALSE)</f>
        <v>0.99671861092415948</v>
      </c>
      <c r="O33" s="22">
        <f t="shared" si="4"/>
        <v>135450816.6454452</v>
      </c>
      <c r="P33" s="27">
        <f>IFERROR(VLOOKUP(A33,'Variable Input'!$1:$1048576,7,FALSE),0)</f>
        <v>10412.594138032973</v>
      </c>
      <c r="Q33" s="18">
        <f t="shared" si="5"/>
        <v>13008.364183781872</v>
      </c>
      <c r="R33" s="18">
        <f t="shared" si="6"/>
        <v>135450816.6454452</v>
      </c>
      <c r="S33" s="20">
        <f>IFERROR(VLOOKUP(A33,RESCMAD!$1:$1048576,8,FALSE),0)</f>
        <v>0</v>
      </c>
      <c r="T33" s="19">
        <f>IF(C33=5,(S33*P33)*IME!$M$7,(S33*P33)*IME!$M$8)</f>
        <v>0</v>
      </c>
      <c r="U33" s="19">
        <f>IFERROR(VLOOKUP(A33,'DSH (Cumulative)'!$1:$1048576,12,FALSE)*P33*'DSH (Cumulative)'!$AB$2,0)</f>
        <v>23378578.940719184</v>
      </c>
      <c r="V33" s="22">
        <f t="shared" si="7"/>
        <v>135450816.6454452</v>
      </c>
      <c r="W33" s="17">
        <f t="shared" si="8"/>
        <v>0</v>
      </c>
      <c r="X33" s="19">
        <f t="shared" si="12"/>
        <v>112072237.70472601</v>
      </c>
      <c r="Y33" s="15">
        <f t="shared" si="9"/>
        <v>10763.142807551836</v>
      </c>
      <c r="Z33" s="14">
        <f t="shared" si="13"/>
        <v>2.8986184719643093E-2</v>
      </c>
      <c r="AA33" s="14">
        <f t="shared" si="10"/>
        <v>-2.0144349141194895E-2</v>
      </c>
      <c r="AB33" s="80">
        <v>1</v>
      </c>
      <c r="AC33" s="11">
        <f t="shared" si="14"/>
        <v>14528.698510827064</v>
      </c>
    </row>
    <row r="34" spans="1:29" ht="18.75" customHeight="1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19">
        <f>IFERROR(VLOOKUP(A34,'Variable Input'!$1:$1048576,6,FALSE),0)</f>
        <v>283245031.37281293</v>
      </c>
      <c r="E34" s="19">
        <f t="shared" si="0"/>
        <v>17740.81768359938</v>
      </c>
      <c r="F34" s="19">
        <f>IFERROR(VLOOKUP(A34,'Drug Overhead'!$1:$1048576,13,FALSE)*VLOOKUP(A34,Volume!A:K,11,FALSE),0)</f>
        <v>9843700.3071424589</v>
      </c>
      <c r="G34" s="19">
        <f t="shared" si="1"/>
        <v>293088731.67995536</v>
      </c>
      <c r="H34" s="19">
        <f t="shared" si="11"/>
        <v>18357.369690300417</v>
      </c>
      <c r="I34" s="36">
        <f>VLOOKUP(A34,'Variable Input'!$1:$1048576,8,FALSE)</f>
        <v>1.120710322524318</v>
      </c>
      <c r="J34" s="19">
        <f t="shared" si="2"/>
        <v>261520506.94045043</v>
      </c>
      <c r="K34" s="63">
        <f>IFERROR(J34*(1-VLOOKUP(A34,PROFIT!$A$1:$IT$65527,7,FALSE)),J34)</f>
        <v>234208472.06374323</v>
      </c>
      <c r="L34" s="19">
        <f>IFERROR(VLOOKUP(A34,'Variable Input'!$1:$1048576,26,FALSE)*VLOOKUP(A34,Volume!A:K,11,FALSE),0)</f>
        <v>0</v>
      </c>
      <c r="M34" s="22">
        <f t="shared" si="3"/>
        <v>234208472.06374323</v>
      </c>
      <c r="N34" s="36">
        <f>VLOOKUP(A34,'Variable Input'!$1:$1048576,23,FALSE)</f>
        <v>0.99671861092415948</v>
      </c>
      <c r="O34" s="22">
        <f t="shared" si="4"/>
        <v>234979531.33089858</v>
      </c>
      <c r="P34" s="27">
        <f>IFERROR(VLOOKUP(A34,'Variable Input'!$1:$1048576,7,FALSE),0)</f>
        <v>15965.725843327995</v>
      </c>
      <c r="Q34" s="18">
        <f t="shared" si="5"/>
        <v>14717.748108464199</v>
      </c>
      <c r="R34" s="18">
        <f t="shared" si="6"/>
        <v>234979531.33089858</v>
      </c>
      <c r="S34" s="20">
        <f>IFERROR(VLOOKUP(A34,RESCMAD!$1:$1048576,8,FALSE),0)</f>
        <v>0</v>
      </c>
      <c r="T34" s="19">
        <f>IF(C34=5,(S34*P34)*IME!$M$7,(S34*P34)*IME!$M$8)</f>
        <v>0</v>
      </c>
      <c r="U34" s="19">
        <f>IFERROR(VLOOKUP(A34,'DSH (Cumulative)'!$1:$1048576,12,FALSE)*P34*'DSH (Cumulative)'!$AB$2,0)</f>
        <v>57199375.992005713</v>
      </c>
      <c r="V34" s="22">
        <f t="shared" si="7"/>
        <v>234979531.33089858</v>
      </c>
      <c r="W34" s="17">
        <f t="shared" si="8"/>
        <v>0</v>
      </c>
      <c r="X34" s="19">
        <f t="shared" si="12"/>
        <v>177780155.33889288</v>
      </c>
      <c r="Y34" s="15">
        <f t="shared" si="9"/>
        <v>11135.112620838745</v>
      </c>
      <c r="Z34" s="14">
        <f t="shared" si="13"/>
        <v>6.4547526406610434E-2</v>
      </c>
      <c r="AA34" s="14">
        <f t="shared" si="10"/>
        <v>1.3719061390006226E-2</v>
      </c>
      <c r="AB34" s="80">
        <v>1</v>
      </c>
      <c r="AC34" s="11">
        <f t="shared" si="14"/>
        <v>16440.20790787752</v>
      </c>
    </row>
    <row r="35" spans="1:29" ht="18.75" customHeight="1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19">
        <f>IFERROR(VLOOKUP(A35,'Variable Input'!$1:$1048576,6,FALSE),0)</f>
        <v>493183008.48548323</v>
      </c>
      <c r="E35" s="19">
        <f t="shared" ref="E35:E54" si="15">IFERROR(D35/P35,0)</f>
        <v>15938.169364639889</v>
      </c>
      <c r="F35" s="19">
        <f>IFERROR(VLOOKUP(A35,'Drug Overhead'!$1:$1048576,13,FALSE)*VLOOKUP(A35,Volume!A:K,11,FALSE),0)</f>
        <v>1405486.23721784</v>
      </c>
      <c r="G35" s="19">
        <f t="shared" ref="G35:G54" si="16">D35+F35</f>
        <v>494588494.72270107</v>
      </c>
      <c r="H35" s="19">
        <f t="shared" ref="H35:H54" si="17">IFERROR(G35/P35,0)</f>
        <v>15983.590389498875</v>
      </c>
      <c r="I35" s="36">
        <f>VLOOKUP(A35,'Variable Input'!$1:$1048576,8,FALSE)</f>
        <v>1.1174861425645124</v>
      </c>
      <c r="J35" s="19">
        <f t="shared" ref="J35:J54" si="18">G35/I35</f>
        <v>442590271.04145813</v>
      </c>
      <c r="K35" s="63">
        <f>IFERROR(J35*(1-VLOOKUP(A35,PROFIT!$A$1:$IT$65527,7,FALSE)),J35)</f>
        <v>394960153.70493156</v>
      </c>
      <c r="L35" s="19">
        <f>IFERROR(VLOOKUP(A35,'Variable Input'!$1:$1048576,26,FALSE)*VLOOKUP(A35,Volume!A:K,11,FALSE),0)</f>
        <v>751420.3248961916</v>
      </c>
      <c r="M35" s="22">
        <f t="shared" ref="M35:M54" si="19">K35-L35</f>
        <v>394208733.38003534</v>
      </c>
      <c r="N35" s="36">
        <f>VLOOKUP(A35,'Variable Input'!$1:$1048576,23,FALSE)</f>
        <v>0.99671861092415948</v>
      </c>
      <c r="O35" s="22">
        <f t="shared" ref="O35:O54" si="20">M35/N35</f>
        <v>395506544.23370725</v>
      </c>
      <c r="P35" s="27">
        <f>IFERROR(VLOOKUP(A35,'Variable Input'!$1:$1048576,7,FALSE),0)</f>
        <v>30943.516611114035</v>
      </c>
      <c r="Q35" s="18">
        <f t="shared" ref="Q35:Q54" si="21">IFERROR(+O35/P35,0)</f>
        <v>12781.564203069682</v>
      </c>
      <c r="R35" s="18">
        <f t="shared" ref="R35:R54" si="22">+Q35*P35</f>
        <v>395506544.23370725</v>
      </c>
      <c r="S35" s="20">
        <f>IFERROR(VLOOKUP(A35,RESCMAD!$1:$1048576,8,FALSE),0)</f>
        <v>1.6158473721128837E-4</v>
      </c>
      <c r="T35" s="19">
        <f>IF(C35=5,(S35*P35)*IME!$M$7,(S35*P35)*IME!$M$8)</f>
        <v>659604.33616708894</v>
      </c>
      <c r="U35" s="19">
        <f>IFERROR(VLOOKUP(A35,'DSH (Cumulative)'!$1:$1048576,12,FALSE)*P35*'DSH (Cumulative)'!$AB$2,0)</f>
        <v>86953655.298618421</v>
      </c>
      <c r="V35" s="22">
        <f t="shared" ref="V35:V54" si="23">R35-T35</f>
        <v>394846939.89754015</v>
      </c>
      <c r="W35" s="17">
        <f t="shared" ref="W35:W54" si="24">IFERROR((V35/R35)-1,0)</f>
        <v>-1.6677456941833757E-3</v>
      </c>
      <c r="X35" s="19">
        <f t="shared" si="12"/>
        <v>307893284.59892172</v>
      </c>
      <c r="Y35" s="15">
        <f t="shared" ref="Y35:Y54" si="25">IFERROR(X35/P35,0)</f>
        <v>9950.1710962074412</v>
      </c>
      <c r="Z35" s="14">
        <f t="shared" ref="Z35:Z54" si="26">IFERROR(Y35/VLOOKUP(C35,$61:$68,25,FALSE)-1," ")</f>
        <v>-4.8736156653949037E-2</v>
      </c>
      <c r="AA35" s="14">
        <f t="shared" ref="AA35:AA54" si="27">Y35/$Y$62-1</f>
        <v>-9.4155717344006185E-2</v>
      </c>
      <c r="AB35" s="80">
        <v>1</v>
      </c>
      <c r="AC35" s="11">
        <f t="shared" si="14"/>
        <v>14263.48867122252</v>
      </c>
    </row>
    <row r="36" spans="1:29" ht="18.75" customHeight="1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19">
        <f>IFERROR(VLOOKUP(A36,'Variable Input'!$1:$1048576,6,FALSE),0)</f>
        <v>487266143.18255103</v>
      </c>
      <c r="E36" s="19">
        <f t="shared" si="15"/>
        <v>15904.020553840699</v>
      </c>
      <c r="F36" s="19">
        <f>IFERROR(VLOOKUP(A36,'Drug Overhead'!$1:$1048576,13,FALSE)*VLOOKUP(A36,Volume!A:K,11,FALSE),0)</f>
        <v>213935.30300706389</v>
      </c>
      <c r="G36" s="19">
        <f t="shared" si="16"/>
        <v>487480078.48555809</v>
      </c>
      <c r="H36" s="19">
        <f t="shared" si="17"/>
        <v>15911.003250060867</v>
      </c>
      <c r="I36" s="36">
        <f>VLOOKUP(A36,'Variable Input'!$1:$1048576,8,FALSE)</f>
        <v>1.1074866213835981</v>
      </c>
      <c r="J36" s="19">
        <f t="shared" si="18"/>
        <v>440167916.3189733</v>
      </c>
      <c r="K36" s="63">
        <f>IFERROR(J36*(1-VLOOKUP(A36,PROFIT!$A$1:$IT$65527,7,FALSE)),J36)</f>
        <v>391393958.40810061</v>
      </c>
      <c r="L36" s="19">
        <f>IFERROR(VLOOKUP(A36,'Variable Input'!$1:$1048576,26,FALSE)*VLOOKUP(A36,Volume!A:K,11,FALSE),0)</f>
        <v>7270460.1939369692</v>
      </c>
      <c r="M36" s="22">
        <f t="shared" si="19"/>
        <v>384123498.21416366</v>
      </c>
      <c r="N36" s="36">
        <f>VLOOKUP(A36,'Variable Input'!$1:$1048576,23,FALSE)</f>
        <v>0.99671861092415948</v>
      </c>
      <c r="O36" s="22">
        <f t="shared" si="20"/>
        <v>385388106.53691274</v>
      </c>
      <c r="P36" s="27">
        <f>IFERROR(VLOOKUP(A36,'Variable Input'!$1:$1048576,7,FALSE),0)</f>
        <v>30637.922123716067</v>
      </c>
      <c r="Q36" s="18">
        <f t="shared" si="21"/>
        <v>12578.793854906799</v>
      </c>
      <c r="R36" s="18">
        <f t="shared" si="22"/>
        <v>385388106.53691274</v>
      </c>
      <c r="S36" s="20">
        <f>IFERROR(VLOOKUP(A36,RESCMAD!$1:$1048576,8,FALSE),0)</f>
        <v>1.893078772306939E-3</v>
      </c>
      <c r="T36" s="19">
        <f>IF(C36=5,(S36*P36)*IME!$M$7,(S36*P36)*IME!$M$8)</f>
        <v>7651410.299538237</v>
      </c>
      <c r="U36" s="19">
        <f>IFERROR(VLOOKUP(A36,'DSH (Cumulative)'!$1:$1048576,12,FALSE)*P36*'DSH (Cumulative)'!$AB$2,0)</f>
        <v>61695237.635977089</v>
      </c>
      <c r="V36" s="22">
        <f t="shared" si="23"/>
        <v>377736696.23737448</v>
      </c>
      <c r="W36" s="17">
        <f t="shared" si="24"/>
        <v>-1.9853779008111139E-2</v>
      </c>
      <c r="X36" s="19">
        <f t="shared" si="12"/>
        <v>316041458.6013974</v>
      </c>
      <c r="Y36" s="15">
        <f t="shared" si="25"/>
        <v>10315.368559434957</v>
      </c>
      <c r="Z36" s="14">
        <f t="shared" si="26"/>
        <v>-1.3822270340733023E-2</v>
      </c>
      <c r="AA36" s="14">
        <f t="shared" si="27"/>
        <v>-6.0908848430243578E-2</v>
      </c>
      <c r="AB36" s="80">
        <v>1</v>
      </c>
      <c r="AC36" s="11">
        <f t="shared" si="14"/>
        <v>14147.942894985243</v>
      </c>
    </row>
    <row r="37" spans="1:29" ht="18.75" customHeight="1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19">
        <f>IFERROR(VLOOKUP(A37,'Variable Input'!$1:$1048576,6,FALSE),0)</f>
        <v>6458231.4193228893</v>
      </c>
      <c r="E37" s="19">
        <f t="shared" si="15"/>
        <v>11399.653863300991</v>
      </c>
      <c r="F37" s="19">
        <f>IFERROR(VLOOKUP(A37,'Drug Overhead'!$1:$1048576,13,FALSE)*VLOOKUP(A37,Volume!A:K,11,FALSE),0)</f>
        <v>292431.73930685525</v>
      </c>
      <c r="G37" s="19">
        <f t="shared" si="16"/>
        <v>6750663.1586297443</v>
      </c>
      <c r="H37" s="19">
        <f t="shared" si="17"/>
        <v>11915.835522070154</v>
      </c>
      <c r="I37" s="36">
        <f>VLOOKUP(A37,'Variable Input'!$1:$1048576,8,FALSE)</f>
        <v>1.1235285459397526</v>
      </c>
      <c r="J37" s="19">
        <f t="shared" si="18"/>
        <v>6008448.2793299118</v>
      </c>
      <c r="K37" s="63">
        <f>IFERROR(J37*(1-VLOOKUP(A37,PROFIT!$A$1:$IT$65527,7,FALSE)),J37)</f>
        <v>6008448.2793299118</v>
      </c>
      <c r="L37" s="19">
        <f>IFERROR(VLOOKUP(A37,'Variable Input'!$1:$1048576,26,FALSE)*VLOOKUP(A37,Volume!A:K,11,FALSE),0)</f>
        <v>0</v>
      </c>
      <c r="M37" s="22">
        <f t="shared" si="19"/>
        <v>6008448.2793299118</v>
      </c>
      <c r="N37" s="36">
        <f>VLOOKUP(A37,'Variable Input'!$1:$1048576,23,FALSE)</f>
        <v>0.99671861092415948</v>
      </c>
      <c r="O37" s="22">
        <f t="shared" si="20"/>
        <v>6028229.2449208573</v>
      </c>
      <c r="P37" s="27">
        <f>IFERROR(VLOOKUP(A37,'Variable Input'!$1:$1048576,7,FALSE),0)</f>
        <v>566.52872944799947</v>
      </c>
      <c r="Q37" s="18">
        <f t="shared" si="21"/>
        <v>10640.641739024422</v>
      </c>
      <c r="R37" s="18">
        <f t="shared" si="22"/>
        <v>6028229.2449208573</v>
      </c>
      <c r="S37" s="20">
        <f>IFERROR(VLOOKUP(A37,RESCMAD!$1:$1048576,8,FALSE),0)</f>
        <v>0</v>
      </c>
      <c r="T37" s="19">
        <f>IF(C37=5,(S37*P37)*IME!$M$7,(S37*P37)*IME!$M$8)</f>
        <v>0</v>
      </c>
      <c r="U37" s="19">
        <f>IFERROR(VLOOKUP(A37,'DSH (Cumulative)'!$1:$1048576,12,FALSE)*P37*'DSH (Cumulative)'!$AB$2,0)</f>
        <v>2670061.7726552766</v>
      </c>
      <c r="V37" s="22">
        <f t="shared" si="23"/>
        <v>6028229.2449208573</v>
      </c>
      <c r="W37" s="17">
        <f t="shared" si="24"/>
        <v>0</v>
      </c>
      <c r="X37" s="19">
        <f t="shared" si="12"/>
        <v>3358167.4722655807</v>
      </c>
      <c r="Y37" s="15">
        <f t="shared" si="25"/>
        <v>5927.6207855118491</v>
      </c>
      <c r="Z37" s="14" t="str">
        <f t="shared" si="26"/>
        <v xml:space="preserve"> </v>
      </c>
      <c r="AA37" s="14">
        <f t="shared" si="27"/>
        <v>-0.4603608976778949</v>
      </c>
      <c r="AB37" s="80">
        <v>1</v>
      </c>
      <c r="AC37" s="11">
        <f t="shared" si="14"/>
        <v>11915.835522070154</v>
      </c>
    </row>
    <row r="38" spans="1:29" ht="18.75" customHeight="1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19">
        <f>IFERROR(VLOOKUP(A38,'Variable Input'!$1:$1048576,6,FALSE),0)</f>
        <v>346556209.08864111</v>
      </c>
      <c r="E38" s="19">
        <f t="shared" si="15"/>
        <v>14111.085465256892</v>
      </c>
      <c r="F38" s="19">
        <f>IFERROR(VLOOKUP(A38,'Drug Overhead'!$1:$1048576,13,FALSE)*VLOOKUP(A38,Volume!A:K,11,FALSE),0)</f>
        <v>808035.04537827137</v>
      </c>
      <c r="G38" s="19">
        <f t="shared" si="16"/>
        <v>347364244.13401937</v>
      </c>
      <c r="H38" s="19">
        <f t="shared" si="17"/>
        <v>14143.987058952876</v>
      </c>
      <c r="I38" s="36">
        <f>VLOOKUP(A38,'Variable Input'!$1:$1048576,8,FALSE)</f>
        <v>1.1035189993630976</v>
      </c>
      <c r="J38" s="19">
        <f t="shared" si="18"/>
        <v>314778671.08269334</v>
      </c>
      <c r="K38" s="63">
        <f>IFERROR(J38*(1-VLOOKUP(A38,PROFIT!$A$1:$IT$65527,7,FALSE)),J38)</f>
        <v>319221824.88188899</v>
      </c>
      <c r="L38" s="19">
        <f>IFERROR(VLOOKUP(A38,'Variable Input'!$1:$1048576,26,FALSE)*VLOOKUP(A38,Volume!A:K,11,FALSE),0)</f>
        <v>0</v>
      </c>
      <c r="M38" s="22">
        <f t="shared" si="19"/>
        <v>319221824.88188899</v>
      </c>
      <c r="N38" s="36">
        <f>VLOOKUP(A38,'Variable Input'!$1:$1048576,23,FALSE)</f>
        <v>0.99671861092415948</v>
      </c>
      <c r="O38" s="22">
        <f t="shared" si="20"/>
        <v>320272764.43238664</v>
      </c>
      <c r="P38" s="27">
        <f>IFERROR(VLOOKUP(A38,'Variable Input'!$1:$1048576,7,FALSE),0)</f>
        <v>24559.146065829038</v>
      </c>
      <c r="Q38" s="18">
        <f t="shared" si="21"/>
        <v>13040.875426772509</v>
      </c>
      <c r="R38" s="18">
        <f t="shared" si="22"/>
        <v>320272764.43238664</v>
      </c>
      <c r="S38" s="20">
        <f>IFERROR(VLOOKUP(A38,RESCMAD!$1:$1048576,8,FALSE),0)</f>
        <v>0</v>
      </c>
      <c r="T38" s="19">
        <f>IF(C38=5,(S38*P38)*IME!$M$7,(S38*P38)*IME!$M$8)</f>
        <v>0</v>
      </c>
      <c r="U38" s="19">
        <f>IFERROR(VLOOKUP(A38,'DSH (Cumulative)'!$1:$1048576,12,FALSE)*P38*'DSH (Cumulative)'!$AB$2,0)</f>
        <v>54065730.150755592</v>
      </c>
      <c r="V38" s="22">
        <f t="shared" si="23"/>
        <v>320272764.43238664</v>
      </c>
      <c r="W38" s="17">
        <f t="shared" si="24"/>
        <v>0</v>
      </c>
      <c r="X38" s="19">
        <f t="shared" si="12"/>
        <v>266207034.28163105</v>
      </c>
      <c r="Y38" s="15">
        <f t="shared" si="25"/>
        <v>10839.425506411424</v>
      </c>
      <c r="Z38" s="14">
        <f t="shared" si="26"/>
        <v>3.6279021455449589E-2</v>
      </c>
      <c r="AA38" s="14">
        <f t="shared" si="27"/>
        <v>-1.3199720153471817E-2</v>
      </c>
      <c r="AB38" s="80">
        <v>1</v>
      </c>
      <c r="AC38" s="11">
        <f t="shared" si="14"/>
        <v>14343.63181131366</v>
      </c>
    </row>
    <row r="39" spans="1:29" ht="18.75" customHeight="1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19">
        <f>IFERROR(VLOOKUP(A39,'Variable Input'!$1:$1048576,6,FALSE),0)</f>
        <v>360555499.02413774</v>
      </c>
      <c r="E39" s="19">
        <f t="shared" si="15"/>
        <v>14878.678787363348</v>
      </c>
      <c r="F39" s="19">
        <f>IFERROR(VLOOKUP(A39,'Drug Overhead'!$1:$1048576,13,FALSE)*VLOOKUP(A39,Volume!A:K,11,FALSE),0)</f>
        <v>199700.68284646832</v>
      </c>
      <c r="G39" s="19">
        <f t="shared" si="16"/>
        <v>360755199.70698422</v>
      </c>
      <c r="H39" s="19">
        <f t="shared" si="17"/>
        <v>14886.919633285075</v>
      </c>
      <c r="I39" s="36">
        <f>VLOOKUP(A39,'Variable Input'!$1:$1048576,8,FALSE)</f>
        <v>1.1147926720978587</v>
      </c>
      <c r="J39" s="19">
        <f t="shared" si="18"/>
        <v>323607437.27181268</v>
      </c>
      <c r="K39" s="63">
        <f>IFERROR(J39*(1-VLOOKUP(A39,PROFIT!$A$1:$IT$65527,7,FALSE)),J39)</f>
        <v>268813238.53798801</v>
      </c>
      <c r="L39" s="19">
        <f>IFERROR(VLOOKUP(A39,'Variable Input'!$1:$1048576,26,FALSE)*VLOOKUP(A39,Volume!A:K,11,FALSE),0)</f>
        <v>0</v>
      </c>
      <c r="M39" s="22">
        <f t="shared" si="19"/>
        <v>268813238.53798801</v>
      </c>
      <c r="N39" s="36">
        <f>VLOOKUP(A39,'Variable Input'!$1:$1048576,23,FALSE)</f>
        <v>0.99671861092415948</v>
      </c>
      <c r="O39" s="22">
        <f t="shared" si="20"/>
        <v>269698223.3418355</v>
      </c>
      <c r="P39" s="27">
        <f>IFERROR(VLOOKUP(A39,'Variable Input'!$1:$1048576,7,FALSE),0)</f>
        <v>24233.031990069048</v>
      </c>
      <c r="Q39" s="18">
        <f t="shared" si="21"/>
        <v>11129.363566736538</v>
      </c>
      <c r="R39" s="18">
        <f t="shared" si="22"/>
        <v>269698223.3418355</v>
      </c>
      <c r="S39" s="20">
        <f>IFERROR(VLOOKUP(A39,RESCMAD!$1:$1048576,8,FALSE),0)</f>
        <v>0</v>
      </c>
      <c r="T39" s="19">
        <f>IF(C39=5,(S39*P39)*IME!$M$7,(S39*P39)*IME!$M$8)</f>
        <v>0</v>
      </c>
      <c r="U39" s="19">
        <f>IFERROR(VLOOKUP(A39,'DSH (Cumulative)'!$1:$1048576,12,FALSE)*P39*'DSH (Cumulative)'!$AB$2,0)</f>
        <v>51592513.134954974</v>
      </c>
      <c r="V39" s="22">
        <f t="shared" si="23"/>
        <v>269698223.3418355</v>
      </c>
      <c r="W39" s="17">
        <f t="shared" si="24"/>
        <v>0</v>
      </c>
      <c r="X39" s="19">
        <f t="shared" si="12"/>
        <v>218105710.20688051</v>
      </c>
      <c r="Y39" s="15">
        <f t="shared" si="25"/>
        <v>9000.3475543738205</v>
      </c>
      <c r="Z39" s="14">
        <f t="shared" si="26"/>
        <v>-0.13954191106450331</v>
      </c>
      <c r="AA39" s="14">
        <f t="shared" si="27"/>
        <v>-0.18062581083114171</v>
      </c>
      <c r="AB39" s="80">
        <v>1</v>
      </c>
      <c r="AC39" s="11">
        <f t="shared" si="14"/>
        <v>12366.220975066228</v>
      </c>
    </row>
    <row r="40" spans="1:29" ht="18.75" customHeight="1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19">
        <f>IFERROR(VLOOKUP(A40,'Variable Input'!$1:$1048576,6,FALSE),0)</f>
        <v>285517283.37502766</v>
      </c>
      <c r="E40" s="19">
        <f t="shared" si="15"/>
        <v>17949.116567739551</v>
      </c>
      <c r="F40" s="19">
        <f>IFERROR(VLOOKUP(A40,'Drug Overhead'!$1:$1048576,13,FALSE)*VLOOKUP(A40,Volume!A:K,11,FALSE),0)</f>
        <v>467837.98050078697</v>
      </c>
      <c r="G40" s="19">
        <f t="shared" si="16"/>
        <v>285985121.35552841</v>
      </c>
      <c r="H40" s="19">
        <f t="shared" si="17"/>
        <v>17978.527321258782</v>
      </c>
      <c r="I40" s="36">
        <f>VLOOKUP(A40,'Variable Input'!$1:$1048576,8,FALSE)</f>
        <v>1.1175427593245362</v>
      </c>
      <c r="J40" s="19">
        <f t="shared" si="18"/>
        <v>255905305.60851488</v>
      </c>
      <c r="K40" s="63">
        <f>IFERROR(J40*(1-VLOOKUP(A40,PROFIT!$A$1:$IT$65527,7,FALSE)),J40)</f>
        <v>254128090.57979205</v>
      </c>
      <c r="L40" s="19">
        <f>IFERROR(VLOOKUP(A40,'Variable Input'!$1:$1048576,26,FALSE)*VLOOKUP(A40,Volume!A:K,11,FALSE),0)</f>
        <v>0</v>
      </c>
      <c r="M40" s="22">
        <f t="shared" si="19"/>
        <v>254128090.57979205</v>
      </c>
      <c r="N40" s="36">
        <f>VLOOKUP(A40,'Variable Input'!$1:$1048576,23,FALSE)</f>
        <v>1.0181752931904677</v>
      </c>
      <c r="O40" s="22">
        <f t="shared" si="20"/>
        <v>249591688.46405399</v>
      </c>
      <c r="P40" s="27">
        <f>IFERROR(VLOOKUP(A40,'Variable Input'!$1:$1048576,7,FALSE),0)</f>
        <v>15907.038226505023</v>
      </c>
      <c r="Q40" s="18">
        <f t="shared" si="21"/>
        <v>15690.644915165482</v>
      </c>
      <c r="R40" s="18">
        <f t="shared" si="22"/>
        <v>249591688.46405399</v>
      </c>
      <c r="S40" s="20">
        <f>IFERROR(VLOOKUP(A40,RESCMAD!$1:$1048576,8,FALSE),0)</f>
        <v>0</v>
      </c>
      <c r="T40" s="19">
        <f>IF(C40=5,(S40*P40)*IME!$M$7,(S40*P40)*IME!$M$8)</f>
        <v>0</v>
      </c>
      <c r="U40" s="19">
        <f>IFERROR(VLOOKUP(A40,'DSH (Cumulative)'!$1:$1048576,12,FALSE)*P40*'DSH (Cumulative)'!$AB$2,0)</f>
        <v>54566765.850166857</v>
      </c>
      <c r="V40" s="22">
        <f t="shared" si="23"/>
        <v>249591688.46405399</v>
      </c>
      <c r="W40" s="17">
        <f t="shared" si="24"/>
        <v>0</v>
      </c>
      <c r="X40" s="19">
        <f t="shared" si="12"/>
        <v>195024922.61388713</v>
      </c>
      <c r="Y40" s="15">
        <f t="shared" si="25"/>
        <v>12260.291314880216</v>
      </c>
      <c r="Z40" s="14">
        <f t="shared" si="26"/>
        <v>0.17211771777276152</v>
      </c>
      <c r="AA40" s="14">
        <f t="shared" si="27"/>
        <v>0.11615314791061815</v>
      </c>
      <c r="AB40" s="80">
        <v>1</v>
      </c>
      <c r="AC40" s="11">
        <f t="shared" si="14"/>
        <v>17853.669773371421</v>
      </c>
    </row>
    <row r="41" spans="1:29" ht="18.75" customHeight="1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19">
        <f>IFERROR(VLOOKUP(A41,'Variable Input'!$1:$1048576,6,FALSE),0)</f>
        <v>40214198.735883914</v>
      </c>
      <c r="E41" s="19">
        <f t="shared" si="15"/>
        <v>20264.30519802343</v>
      </c>
      <c r="F41" s="19">
        <f>IFERROR(VLOOKUP(A41,'Drug Overhead'!$1:$1048576,13,FALSE)*VLOOKUP(A41,Volume!A:K,11,FALSE),0)</f>
        <v>11127.300841270084</v>
      </c>
      <c r="G41" s="19">
        <f t="shared" si="16"/>
        <v>40225326.036725186</v>
      </c>
      <c r="H41" s="19">
        <f t="shared" si="17"/>
        <v>20269.912347422545</v>
      </c>
      <c r="I41" s="36">
        <f>VLOOKUP(A41,'Variable Input'!$1:$1048576,8,FALSE)</f>
        <v>1.2317684965243516</v>
      </c>
      <c r="J41" s="19">
        <f t="shared" si="18"/>
        <v>32656563.429108568</v>
      </c>
      <c r="K41" s="63">
        <f>IFERROR(J41*(1-VLOOKUP(A41,PROFIT!$A$1:$IT$65527,7,FALSE)),J41)</f>
        <v>32656563.429108568</v>
      </c>
      <c r="L41" s="19">
        <f>IFERROR(VLOOKUP(A41,'Variable Input'!$1:$1048576,26,FALSE)*VLOOKUP(A41,Volume!A:K,11,FALSE),0)</f>
        <v>141502.60406345228</v>
      </c>
      <c r="M41" s="22">
        <f t="shared" si="19"/>
        <v>32515060.825045116</v>
      </c>
      <c r="N41" s="36">
        <f>VLOOKUP(A41,'Variable Input'!$1:$1048576,23,FALSE)</f>
        <v>1.0181752931904677</v>
      </c>
      <c r="O41" s="22">
        <f t="shared" si="20"/>
        <v>31934639.391178586</v>
      </c>
      <c r="P41" s="27">
        <f>IFERROR(VLOOKUP(A41,'Variable Input'!$1:$1048576,7,FALSE),0)</f>
        <v>1984.4844588999965</v>
      </c>
      <c r="Q41" s="18">
        <f t="shared" si="21"/>
        <v>16092.158972552506</v>
      </c>
      <c r="R41" s="18">
        <f t="shared" si="22"/>
        <v>31934639.391178586</v>
      </c>
      <c r="S41" s="20">
        <f>IFERROR(VLOOKUP(A41,RESCMAD!$1:$1048576,8,FALSE),0)</f>
        <v>0</v>
      </c>
      <c r="T41" s="19">
        <f>IF(C41=5,(S41*P41)*IME!$M$7,(S41*P41)*IME!$M$8)</f>
        <v>0</v>
      </c>
      <c r="U41" s="19">
        <f>IFERROR(VLOOKUP(A41,'DSH (Cumulative)'!$1:$1048576,12,FALSE)*P41*'DSH (Cumulative)'!$AB$2,0)</f>
        <v>7270029.2575966893</v>
      </c>
      <c r="V41" s="22">
        <f t="shared" si="23"/>
        <v>31934639.391178586</v>
      </c>
      <c r="W41" s="17">
        <f t="shared" si="24"/>
        <v>0</v>
      </c>
      <c r="X41" s="19">
        <f t="shared" si="12"/>
        <v>24664610.133581895</v>
      </c>
      <c r="Y41" s="15">
        <f t="shared" si="25"/>
        <v>12428.724257812297</v>
      </c>
      <c r="Z41" s="14" t="str">
        <f t="shared" si="26"/>
        <v xml:space="preserve"> </v>
      </c>
      <c r="AA41" s="14">
        <f t="shared" si="27"/>
        <v>0.13148695643418229</v>
      </c>
      <c r="AB41" s="80">
        <v>1</v>
      </c>
      <c r="AC41" s="11">
        <f t="shared" si="14"/>
        <v>20269.912347422545</v>
      </c>
    </row>
    <row r="42" spans="1:29" ht="18.75" customHeight="1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19">
        <f>IFERROR(VLOOKUP(A42,'Variable Input'!$1:$1048576,6,FALSE),0)</f>
        <v>303044773.2382201</v>
      </c>
      <c r="E42" s="19">
        <f t="shared" si="15"/>
        <v>17951.238803485707</v>
      </c>
      <c r="F42" s="19">
        <f>IFERROR(VLOOKUP(A42,'Drug Overhead'!$1:$1048576,13,FALSE)*VLOOKUP(A42,Volume!A:K,11,FALSE),0)</f>
        <v>608706.1595868353</v>
      </c>
      <c r="G42" s="19">
        <f t="shared" si="16"/>
        <v>303653479.39780694</v>
      </c>
      <c r="H42" s="19">
        <f t="shared" si="17"/>
        <v>17987.296279465689</v>
      </c>
      <c r="I42" s="36">
        <f>VLOOKUP(A42,'Variable Input'!$1:$1048576,8,FALSE)</f>
        <v>1.1293262174048309</v>
      </c>
      <c r="J42" s="19">
        <f t="shared" si="18"/>
        <v>268880217.88389593</v>
      </c>
      <c r="K42" s="63">
        <f>IFERROR(J42*(1-VLOOKUP(A42,PROFIT!$A$1:$IT$65527,7,FALSE)),J42)</f>
        <v>250697212.59507027</v>
      </c>
      <c r="L42" s="19">
        <f>IFERROR(VLOOKUP(A42,'Variable Input'!$1:$1048576,26,FALSE)*VLOOKUP(A42,Volume!A:K,11,FALSE),0)</f>
        <v>1799367.1419683334</v>
      </c>
      <c r="M42" s="22">
        <f t="shared" si="19"/>
        <v>248897845.45310193</v>
      </c>
      <c r="N42" s="36">
        <f>VLOOKUP(A42,'Variable Input'!$1:$1048576,23,FALSE)</f>
        <v>0.99671861092415948</v>
      </c>
      <c r="O42" s="22">
        <f t="shared" si="20"/>
        <v>249717264.95838514</v>
      </c>
      <c r="P42" s="27">
        <f>IFERROR(VLOOKUP(A42,'Variable Input'!$1:$1048576,7,FALSE),0)</f>
        <v>16881.552106553001</v>
      </c>
      <c r="Q42" s="18">
        <f t="shared" si="21"/>
        <v>14792.316688786635</v>
      </c>
      <c r="R42" s="18">
        <f t="shared" si="22"/>
        <v>249717264.95838514</v>
      </c>
      <c r="S42" s="20">
        <f>IFERROR(VLOOKUP(A42,RESCMAD!$1:$1048576,8,FALSE),0)</f>
        <v>8.9597682467736116E-4</v>
      </c>
      <c r="T42" s="19">
        <f>IF(C42=5,(S42*P42)*IME!$M$7,(S42*P42)*IME!$M$8)</f>
        <v>1995366.3666363074</v>
      </c>
      <c r="U42" s="19">
        <f>IFERROR(VLOOKUP(A42,'DSH (Cumulative)'!$1:$1048576,12,FALSE)*P42*'DSH (Cumulative)'!$AB$2,0)</f>
        <v>72383257.227997169</v>
      </c>
      <c r="V42" s="22">
        <f t="shared" si="23"/>
        <v>247721898.59174883</v>
      </c>
      <c r="W42" s="17">
        <f t="shared" si="24"/>
        <v>-7.9905022464860087E-3</v>
      </c>
      <c r="X42" s="19">
        <f t="shared" si="12"/>
        <v>175338641.36375165</v>
      </c>
      <c r="Y42" s="15">
        <f t="shared" si="25"/>
        <v>10386.405246214863</v>
      </c>
      <c r="Z42" s="14">
        <f t="shared" si="26"/>
        <v>-7.0309668514313417E-3</v>
      </c>
      <c r="AA42" s="14">
        <f t="shared" si="27"/>
        <v>-5.4441806209941546E-2</v>
      </c>
      <c r="AB42" s="80">
        <v>1</v>
      </c>
      <c r="AC42" s="11">
        <f t="shared" si="14"/>
        <v>16770.906669418488</v>
      </c>
    </row>
    <row r="43" spans="1:29" ht="18.75" customHeight="1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19">
        <f>IFERROR(VLOOKUP(A43,'Variable Input'!$1:$1048576,6,FALSE),0)</f>
        <v>499103487.51798743</v>
      </c>
      <c r="E43" s="19">
        <f t="shared" si="15"/>
        <v>16880.171046630647</v>
      </c>
      <c r="F43" s="19">
        <f>IFERROR(VLOOKUP(A43,'Drug Overhead'!$1:$1048576,13,FALSE)*VLOOKUP(A43,Volume!A:K,11,FALSE),0)</f>
        <v>2631671.9105439242</v>
      </c>
      <c r="G43" s="19">
        <f t="shared" si="16"/>
        <v>501735159.42853135</v>
      </c>
      <c r="H43" s="19">
        <f t="shared" si="17"/>
        <v>16969.176780109905</v>
      </c>
      <c r="I43" s="36">
        <f>VLOOKUP(A43,'Variable Input'!$1:$1048576,8,FALSE)</f>
        <v>1.1115105879568932</v>
      </c>
      <c r="J43" s="19">
        <f t="shared" si="18"/>
        <v>451399352.25519395</v>
      </c>
      <c r="K43" s="63">
        <f>IFERROR(J43*(1-VLOOKUP(A43,PROFIT!$A$1:$IT$65527,7,FALSE)),J43)</f>
        <v>391754010.73351216</v>
      </c>
      <c r="L43" s="19">
        <f>IFERROR(VLOOKUP(A43,'Variable Input'!$1:$1048576,26,FALSE)*VLOOKUP(A43,Volume!A:K,11,FALSE),0)</f>
        <v>0</v>
      </c>
      <c r="M43" s="22">
        <f t="shared" si="19"/>
        <v>391754010.73351216</v>
      </c>
      <c r="N43" s="36">
        <f>VLOOKUP(A43,'Variable Input'!$1:$1048576,23,FALSE)</f>
        <v>1.0181752931904677</v>
      </c>
      <c r="O43" s="22">
        <f t="shared" si="20"/>
        <v>384760869.12887567</v>
      </c>
      <c r="P43" s="27">
        <f>IFERROR(VLOOKUP(A43,'Variable Input'!$1:$1048576,7,FALSE),0)</f>
        <v>29567.442541858047</v>
      </c>
      <c r="Q43" s="18">
        <f t="shared" si="21"/>
        <v>13012.991183940825</v>
      </c>
      <c r="R43" s="18">
        <f t="shared" si="22"/>
        <v>384760869.12887567</v>
      </c>
      <c r="S43" s="20">
        <f>IFERROR(VLOOKUP(A43,RESCMAD!$1:$1048576,8,FALSE),0)</f>
        <v>0</v>
      </c>
      <c r="T43" s="19">
        <f>IF(C43=5,(S43*P43)*IME!$M$7,(S43*P43)*IME!$M$8)</f>
        <v>0</v>
      </c>
      <c r="U43" s="19">
        <f>IFERROR(VLOOKUP(A43,'DSH (Cumulative)'!$1:$1048576,12,FALSE)*P43*'DSH (Cumulative)'!$AB$2,0)</f>
        <v>77233373.092230484</v>
      </c>
      <c r="V43" s="22">
        <f t="shared" si="23"/>
        <v>384760869.12887567</v>
      </c>
      <c r="W43" s="17">
        <f t="shared" si="24"/>
        <v>0</v>
      </c>
      <c r="X43" s="19">
        <f t="shared" si="12"/>
        <v>307527496.03664517</v>
      </c>
      <c r="Y43" s="15">
        <f t="shared" si="25"/>
        <v>10400.8825112718</v>
      </c>
      <c r="Z43" s="14">
        <f t="shared" si="26"/>
        <v>-5.6469003197059386E-3</v>
      </c>
      <c r="AA43" s="14">
        <f t="shared" si="27"/>
        <v>-5.3123824071391157E-2</v>
      </c>
      <c r="AB43" s="80">
        <v>1</v>
      </c>
      <c r="AC43" s="11">
        <f t="shared" si="14"/>
        <v>14726.966330903835</v>
      </c>
    </row>
    <row r="44" spans="1:29" ht="18.75" customHeight="1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19">
        <f>IFERROR(VLOOKUP(A44,'Variable Input'!$1:$1048576,6,FALSE),0)</f>
        <v>116884142.59409216</v>
      </c>
      <c r="E44" s="19">
        <f>IFERROR(D44/P44,0)</f>
        <v>22202.44906618509</v>
      </c>
      <c r="F44" s="19">
        <f>IFERROR(VLOOKUP(A44,'Drug Overhead'!$1:$1048576,13,FALSE)*VLOOKUP(A44,Volume!A:K,11,FALSE),0)</f>
        <v>812956.11219271156</v>
      </c>
      <c r="G44" s="19">
        <f t="shared" si="16"/>
        <v>117697098.70628487</v>
      </c>
      <c r="H44" s="19">
        <f t="shared" si="17"/>
        <v>22356.872209251502</v>
      </c>
      <c r="I44" s="36">
        <f>VLOOKUP(A44,'Variable Input'!$1:$1048576,8,FALSE)</f>
        <v>1.1120223070717381</v>
      </c>
      <c r="J44" s="19">
        <f t="shared" si="18"/>
        <v>105840591.46818182</v>
      </c>
      <c r="K44" s="63">
        <f>IFERROR(J44*(1-VLOOKUP(A44,PROFIT!$A$1:$IT$65527,7,FALSE)),J44)</f>
        <v>90279527.42070958</v>
      </c>
      <c r="L44" s="19">
        <f>IFERROR(VLOOKUP(A44,'Variable Input'!$1:$1048576,26,FALSE)*VLOOKUP(A44,Volume!A:K,11,FALSE),0)</f>
        <v>1538688.3210319907</v>
      </c>
      <c r="M44" s="22">
        <f t="shared" si="19"/>
        <v>88740839.099677593</v>
      </c>
      <c r="N44" s="36">
        <f>VLOOKUP(A44,'Variable Input'!$1:$1048576,23,FALSE)</f>
        <v>0.99671861092415948</v>
      </c>
      <c r="O44" s="22">
        <f t="shared" si="20"/>
        <v>89032990.983680844</v>
      </c>
      <c r="P44" s="27">
        <f>IFERROR(VLOOKUP(A44,'Variable Input'!$1:$1048576,7,FALSE),0)</f>
        <v>5264.4707007620054</v>
      </c>
      <c r="Q44" s="18">
        <f t="shared" si="21"/>
        <v>16912.049861117808</v>
      </c>
      <c r="R44" s="18">
        <f t="shared" si="22"/>
        <v>89032990.983680844</v>
      </c>
      <c r="S44" s="20">
        <f>IFERROR(VLOOKUP(A44,RESCMAD!$1:$1048576,8,FALSE),0)</f>
        <v>1.8078109788817528E-3</v>
      </c>
      <c r="T44" s="19">
        <f>IF(C44=5,(S44*P44)*IME!$M$7,(S44*P44)*IME!$M$8)</f>
        <v>1255513.0470423363</v>
      </c>
      <c r="U44" s="19">
        <f>IFERROR(VLOOKUP(A44,'DSH (Cumulative)'!$1:$1048576,12,FALSE)*P44*'DSH (Cumulative)'!$AB$2,0)</f>
        <v>18393968.772784505</v>
      </c>
      <c r="V44" s="22">
        <f t="shared" si="23"/>
        <v>87777477.936638504</v>
      </c>
      <c r="W44" s="17">
        <f t="shared" si="24"/>
        <v>-1.4101660891887469E-2</v>
      </c>
      <c r="X44" s="19">
        <f t="shared" si="12"/>
        <v>69383509.163854003</v>
      </c>
      <c r="Y44" s="15">
        <f t="shared" si="25"/>
        <v>13179.579317216276</v>
      </c>
      <c r="Z44" s="14">
        <f t="shared" si="26"/>
        <v>0.26000419025537314</v>
      </c>
      <c r="AA44" s="14">
        <f t="shared" si="27"/>
        <v>0.19984334509202828</v>
      </c>
      <c r="AB44" s="80">
        <v>1</v>
      </c>
      <c r="AC44" s="11">
        <f t="shared" si="14"/>
        <v>19069.884527839116</v>
      </c>
    </row>
    <row r="45" spans="1:29" ht="18.75" customHeight="1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19">
        <f>IFERROR(VLOOKUP(A45,'Variable Input'!$1:$1048576,6,FALSE),0)</f>
        <v>66025121.445559166</v>
      </c>
      <c r="E45" s="19">
        <f t="shared" si="15"/>
        <v>17753.409798893626</v>
      </c>
      <c r="F45" s="19">
        <f>IFERROR(VLOOKUP(A45,'Drug Overhead'!$1:$1048576,13,FALSE)*VLOOKUP(A45,Volume!A:K,11,FALSE),0)</f>
        <v>19937.503468893756</v>
      </c>
      <c r="G45" s="19">
        <f t="shared" si="16"/>
        <v>66045058.94902806</v>
      </c>
      <c r="H45" s="19">
        <f t="shared" si="17"/>
        <v>17758.770768501869</v>
      </c>
      <c r="I45" s="36">
        <f>VLOOKUP(A45,'Variable Input'!$1:$1048576,8,FALSE)</f>
        <v>1.1180896691644482</v>
      </c>
      <c r="J45" s="19">
        <f t="shared" si="18"/>
        <v>59069554.768700913</v>
      </c>
      <c r="K45" s="63">
        <f>IFERROR(J45*(1-VLOOKUP(A45,PROFIT!$A$1:$IT$65527,7,FALSE)),J45)</f>
        <v>53475907.039414257</v>
      </c>
      <c r="L45" s="19">
        <f>IFERROR(VLOOKUP(A45,'Variable Input'!$1:$1048576,26,FALSE)*VLOOKUP(A45,Volume!A:K,11,FALSE),0)</f>
        <v>0</v>
      </c>
      <c r="M45" s="22">
        <f t="shared" si="19"/>
        <v>53475907.039414257</v>
      </c>
      <c r="N45" s="36">
        <f>VLOOKUP(A45,'Variable Input'!$1:$1048576,23,FALSE)</f>
        <v>1.0181752931904677</v>
      </c>
      <c r="O45" s="22">
        <f t="shared" si="20"/>
        <v>52521316.70947022</v>
      </c>
      <c r="P45" s="27">
        <f>IFERROR(VLOOKUP(A45,'Variable Input'!$1:$1048576,7,FALSE),0)</f>
        <v>3719.0107248960016</v>
      </c>
      <c r="Q45" s="18">
        <f t="shared" si="21"/>
        <v>14122.389149856223</v>
      </c>
      <c r="R45" s="18">
        <f t="shared" si="22"/>
        <v>52521316.70947022</v>
      </c>
      <c r="S45" s="20">
        <f>IFERROR(VLOOKUP(A45,RESCMAD!$1:$1048576,8,FALSE),0)</f>
        <v>0</v>
      </c>
      <c r="T45" s="19">
        <f>IF(C45=5,(S45*P45)*IME!$M$7,(S45*P45)*IME!$M$8)</f>
        <v>0</v>
      </c>
      <c r="U45" s="19">
        <f>IFERROR(VLOOKUP(A45,'DSH (Cumulative)'!$1:$1048576,12,FALSE)*P45*'DSH (Cumulative)'!$AB$2,0)</f>
        <v>10773561.753169917</v>
      </c>
      <c r="V45" s="22">
        <f t="shared" si="23"/>
        <v>52521316.70947022</v>
      </c>
      <c r="W45" s="17">
        <f t="shared" si="24"/>
        <v>0</v>
      </c>
      <c r="X45" s="19">
        <f t="shared" si="12"/>
        <v>41747754.956300303</v>
      </c>
      <c r="Y45" s="15">
        <f t="shared" si="25"/>
        <v>11225.500017203563</v>
      </c>
      <c r="Z45" s="14">
        <f t="shared" si="26"/>
        <v>7.3188811187011149E-2</v>
      </c>
      <c r="AA45" s="14">
        <f t="shared" si="27"/>
        <v>2.1947754688801835E-2</v>
      </c>
      <c r="AB45" s="80">
        <v>1</v>
      </c>
      <c r="AC45" s="11">
        <f t="shared" si="14"/>
        <v>16077.087062350289</v>
      </c>
    </row>
    <row r="46" spans="1:29" ht="18.75" customHeight="1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19">
        <f>IFERROR(VLOOKUP(A46,'Variable Input'!$1:$1048576,6,FALSE),0)</f>
        <v>123504689.38214977</v>
      </c>
      <c r="E46" s="19">
        <f t="shared" si="15"/>
        <v>13704.704076803599</v>
      </c>
      <c r="F46" s="19">
        <f>IFERROR(VLOOKUP(A46,'Drug Overhead'!$1:$1048576,13,FALSE)*VLOOKUP(A46,Volume!A:K,11,FALSE),0)</f>
        <v>162866.28181904109</v>
      </c>
      <c r="G46" s="19">
        <f t="shared" si="16"/>
        <v>123667555.66396882</v>
      </c>
      <c r="H46" s="19">
        <f t="shared" si="17"/>
        <v>13722.776541967354</v>
      </c>
      <c r="I46" s="36">
        <f>VLOOKUP(A46,'Variable Input'!$1:$1048576,8,FALSE)</f>
        <v>1.1146605541082666</v>
      </c>
      <c r="J46" s="19">
        <f t="shared" si="18"/>
        <v>110946382.02470833</v>
      </c>
      <c r="K46" s="63">
        <f>IFERROR(J46*(1-VLOOKUP(A46,PROFIT!$A$1:$IT$65527,7,FALSE)),J46)</f>
        <v>90038150.647681341</v>
      </c>
      <c r="L46" s="19">
        <f>IFERROR(VLOOKUP(A46,'Variable Input'!$1:$1048576,26,FALSE)*VLOOKUP(A46,Volume!A:K,11,FALSE),0)</f>
        <v>0</v>
      </c>
      <c r="M46" s="22">
        <f t="shared" si="19"/>
        <v>90038150.647681341</v>
      </c>
      <c r="N46" s="36">
        <f>VLOOKUP(A46,'Variable Input'!$1:$1048576,23,FALSE)</f>
        <v>0.99671861092415948</v>
      </c>
      <c r="O46" s="22">
        <f t="shared" si="20"/>
        <v>90334573.530434817</v>
      </c>
      <c r="P46" s="27">
        <f>IFERROR(VLOOKUP(A46,'Variable Input'!$1:$1048576,7,FALSE),0)</f>
        <v>9011.8464937300014</v>
      </c>
      <c r="Q46" s="18">
        <f t="shared" si="21"/>
        <v>10023.980500920112</v>
      </c>
      <c r="R46" s="18">
        <f t="shared" si="22"/>
        <v>90334573.530434817</v>
      </c>
      <c r="S46" s="20">
        <f>IFERROR(VLOOKUP(A46,RESCMAD!$1:$1048576,8,FALSE),0)</f>
        <v>0</v>
      </c>
      <c r="T46" s="19">
        <f>IF(C46=5,(S46*P46)*IME!$M$7,(S46*P46)*IME!$M$8)</f>
        <v>0</v>
      </c>
      <c r="U46" s="19">
        <f>IFERROR(VLOOKUP(A46,'DSH (Cumulative)'!$1:$1048576,12,FALSE)*P46*'DSH (Cumulative)'!$AB$2,0)</f>
        <v>19313800.981826808</v>
      </c>
      <c r="V46" s="22">
        <f t="shared" si="23"/>
        <v>90334573.530434817</v>
      </c>
      <c r="W46" s="17">
        <f t="shared" si="24"/>
        <v>0</v>
      </c>
      <c r="X46" s="19">
        <f t="shared" si="12"/>
        <v>71020772.548608005</v>
      </c>
      <c r="Y46" s="15">
        <f t="shared" si="25"/>
        <v>7880.8236023572699</v>
      </c>
      <c r="Z46" s="14">
        <f t="shared" si="26"/>
        <v>-0.24657149347230134</v>
      </c>
      <c r="AA46" s="14">
        <f t="shared" si="27"/>
        <v>-0.28254510060266835</v>
      </c>
      <c r="AB46" s="80">
        <v>1</v>
      </c>
      <c r="AC46" s="11">
        <f t="shared" si="14"/>
        <v>11136.671597952205</v>
      </c>
    </row>
    <row r="47" spans="1:29" ht="18.75" customHeight="1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19">
        <f>IFERROR(VLOOKUP(A47,'Variable Input'!$1:$1048576,6,FALSE),0)</f>
        <v>312383262.27148259</v>
      </c>
      <c r="E47" s="19">
        <f t="shared" si="15"/>
        <v>17865.467549508132</v>
      </c>
      <c r="F47" s="19">
        <f>IFERROR(VLOOKUP(A47,'Drug Overhead'!$1:$1048576,13,FALSE)*VLOOKUP(A47,Volume!A:K,11,FALSE),0)</f>
        <v>89464.784530689489</v>
      </c>
      <c r="G47" s="19">
        <f t="shared" si="16"/>
        <v>312472727.05601329</v>
      </c>
      <c r="H47" s="19">
        <f t="shared" si="17"/>
        <v>17870.584117512561</v>
      </c>
      <c r="I47" s="36">
        <f>VLOOKUP(A47,'Variable Input'!$1:$1048576,8,FALSE)</f>
        <v>1.1171440000317876</v>
      </c>
      <c r="J47" s="19">
        <f t="shared" si="18"/>
        <v>279706758.52631539</v>
      </c>
      <c r="K47" s="63">
        <f>IFERROR(J47*(1-VLOOKUP(A47,PROFIT!$A$1:$IT$65527,7,FALSE)),J47)</f>
        <v>273575749.6115858</v>
      </c>
      <c r="L47" s="19">
        <f>IFERROR(VLOOKUP(A47,'Variable Input'!$1:$1048576,26,FALSE)*VLOOKUP(A47,Volume!A:K,11,FALSE),0)</f>
        <v>0</v>
      </c>
      <c r="M47" s="22">
        <f t="shared" si="19"/>
        <v>273575749.6115858</v>
      </c>
      <c r="N47" s="36">
        <f>VLOOKUP(A47,'Variable Input'!$1:$1048576,23,FALSE)</f>
        <v>1.0181752931904677</v>
      </c>
      <c r="O47" s="22">
        <f t="shared" si="20"/>
        <v>268692190.27534252</v>
      </c>
      <c r="P47" s="27">
        <f>IFERROR(VLOOKUP(A47,'Variable Input'!$1:$1048576,7,FALSE),0)</f>
        <v>17485.311336287028</v>
      </c>
      <c r="Q47" s="18">
        <f t="shared" si="21"/>
        <v>15366.737549461261</v>
      </c>
      <c r="R47" s="18">
        <f t="shared" si="22"/>
        <v>268692190.27534252</v>
      </c>
      <c r="S47" s="20">
        <f>IFERROR(VLOOKUP(A47,RESCMAD!$1:$1048576,8,FALSE),0)</f>
        <v>0</v>
      </c>
      <c r="T47" s="19">
        <f>IF(C47=5,(S47*P47)*IME!$M$7,(S47*P47)*IME!$M$8)</f>
        <v>0</v>
      </c>
      <c r="U47" s="19">
        <f>IFERROR(VLOOKUP(A47,'DSH (Cumulative)'!$1:$1048576,12,FALSE)*P47*'DSH (Cumulative)'!$AB$2,0)</f>
        <v>57666792.967253074</v>
      </c>
      <c r="V47" s="22">
        <f t="shared" si="23"/>
        <v>268692190.27534252</v>
      </c>
      <c r="W47" s="17">
        <f t="shared" si="24"/>
        <v>0</v>
      </c>
      <c r="X47" s="19">
        <f t="shared" si="12"/>
        <v>211025397.30808944</v>
      </c>
      <c r="Y47" s="15">
        <f t="shared" si="25"/>
        <v>12068.724042113639</v>
      </c>
      <c r="Z47" s="14">
        <f t="shared" si="26"/>
        <v>0.15380335730706918</v>
      </c>
      <c r="AA47" s="14">
        <f t="shared" si="27"/>
        <v>9.8713234857691123E-2</v>
      </c>
      <c r="AB47" s="80">
        <v>1</v>
      </c>
      <c r="AC47" s="11">
        <f t="shared" si="14"/>
        <v>17478.871342629478</v>
      </c>
    </row>
    <row r="48" spans="1:29" ht="18.75" customHeight="1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19">
        <f>IFERROR(VLOOKUP(A48,'Variable Input'!$1:$1048576,6,FALSE),0)</f>
        <v>440688737.8692503</v>
      </c>
      <c r="E48" s="19">
        <f t="shared" si="15"/>
        <v>14297.887951049015</v>
      </c>
      <c r="F48" s="19">
        <f>IFERROR(VLOOKUP(A48,'Drug Overhead'!$1:$1048576,13,FALSE)*VLOOKUP(A48,Volume!A:K,11,FALSE),0)</f>
        <v>167266.00793449368</v>
      </c>
      <c r="G48" s="19">
        <f t="shared" si="16"/>
        <v>440856003.87718481</v>
      </c>
      <c r="H48" s="19">
        <f t="shared" si="17"/>
        <v>14303.314798694431</v>
      </c>
      <c r="I48" s="36">
        <f>VLOOKUP(A48,'Variable Input'!$1:$1048576,8,FALSE)</f>
        <v>1.1140199775247721</v>
      </c>
      <c r="J48" s="19">
        <f t="shared" si="18"/>
        <v>395734378.89032978</v>
      </c>
      <c r="K48" s="63">
        <f>IFERROR(J48*(1-VLOOKUP(A48,PROFIT!$A$1:$IT$65527,7,FALSE)),J48)</f>
        <v>342668188.37490654</v>
      </c>
      <c r="L48" s="19">
        <f>IFERROR(VLOOKUP(A48,'Variable Input'!$1:$1048576,26,FALSE)*VLOOKUP(A48,Volume!A:K,11,FALSE),0)</f>
        <v>0</v>
      </c>
      <c r="M48" s="22">
        <f t="shared" si="19"/>
        <v>342668188.37490654</v>
      </c>
      <c r="N48" s="36">
        <f>VLOOKUP(A48,'Variable Input'!$1:$1048576,23,FALSE)</f>
        <v>0.99671861092415948</v>
      </c>
      <c r="O48" s="22">
        <f t="shared" si="20"/>
        <v>343796317.85663551</v>
      </c>
      <c r="P48" s="27">
        <f>IFERROR(VLOOKUP(A48,'Variable Input'!$1:$1048576,7,FALSE),0)</f>
        <v>30821.946526509015</v>
      </c>
      <c r="Q48" s="18">
        <f t="shared" si="21"/>
        <v>11154.27014192458</v>
      </c>
      <c r="R48" s="18">
        <f t="shared" si="22"/>
        <v>343796317.85663551</v>
      </c>
      <c r="S48" s="20">
        <f>IFERROR(VLOOKUP(A48,RESCMAD!$1:$1048576,8,FALSE),0)</f>
        <v>0</v>
      </c>
      <c r="T48" s="19">
        <f>IF(C48=5,(S48*P48)*IME!$M$7,(S48*P48)*IME!$M$8)</f>
        <v>0</v>
      </c>
      <c r="U48" s="19">
        <f>IFERROR(VLOOKUP(A48,'DSH (Cumulative)'!$1:$1048576,12,FALSE)*P48*'DSH (Cumulative)'!$AB$2,0)</f>
        <v>54758851.011572748</v>
      </c>
      <c r="V48" s="22">
        <f t="shared" si="23"/>
        <v>343796317.85663551</v>
      </c>
      <c r="W48" s="17">
        <f t="shared" si="24"/>
        <v>0</v>
      </c>
      <c r="X48" s="19">
        <f t="shared" si="12"/>
        <v>289037466.84506273</v>
      </c>
      <c r="Y48" s="15">
        <f t="shared" si="25"/>
        <v>9377.651297800754</v>
      </c>
      <c r="Z48" s="14">
        <f t="shared" si="26"/>
        <v>-0.10347063092159614</v>
      </c>
      <c r="AA48" s="14">
        <f t="shared" si="27"/>
        <v>-0.146276809642784</v>
      </c>
      <c r="AB48" s="80">
        <v>1</v>
      </c>
      <c r="AC48" s="11">
        <f t="shared" si="14"/>
        <v>12385.304970390027</v>
      </c>
    </row>
    <row r="49" spans="1:29" ht="18.75" customHeight="1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19">
        <f>IFERROR(VLOOKUP(A49,'Variable Input'!$1:$1048576,6,FALSE),0)</f>
        <v>145294510.05613631</v>
      </c>
      <c r="E49" s="19">
        <f t="shared" si="15"/>
        <v>14911.655443289068</v>
      </c>
      <c r="F49" s="19">
        <f>IFERROR(VLOOKUP(A49,'Drug Overhead'!$1:$1048576,13,FALSE)*VLOOKUP(A49,Volume!A:K,11,FALSE),0)</f>
        <v>8018.762740765379</v>
      </c>
      <c r="G49" s="19">
        <f t="shared" si="16"/>
        <v>145302528.81887707</v>
      </c>
      <c r="H49" s="19">
        <f t="shared" si="17"/>
        <v>14912.4784133175</v>
      </c>
      <c r="I49" s="36">
        <f>VLOOKUP(A49,'Variable Input'!$1:$1048576,8,FALSE)</f>
        <v>1.1083143930424924</v>
      </c>
      <c r="J49" s="19">
        <f t="shared" si="18"/>
        <v>131102266.40655585</v>
      </c>
      <c r="K49" s="63">
        <f>IFERROR(J49*(1-VLOOKUP(A49,PROFIT!$A$1:$IT$65527,7,FALSE)),J49)</f>
        <v>130637379.20251442</v>
      </c>
      <c r="L49" s="19">
        <f>IFERROR(VLOOKUP(A49,'Variable Input'!$1:$1048576,26,FALSE)*VLOOKUP(A49,Volume!A:K,11,FALSE),0)</f>
        <v>0</v>
      </c>
      <c r="M49" s="22">
        <f t="shared" si="19"/>
        <v>130637379.20251442</v>
      </c>
      <c r="N49" s="36">
        <f>VLOOKUP(A49,'Variable Input'!$1:$1048576,23,FALSE)</f>
        <v>1.0181752931904677</v>
      </c>
      <c r="O49" s="22">
        <f t="shared" si="20"/>
        <v>128305391.10133012</v>
      </c>
      <c r="P49" s="27">
        <f>IFERROR(VLOOKUP(A49,'Variable Input'!$1:$1048576,7,FALSE),0)</f>
        <v>9743.687453664008</v>
      </c>
      <c r="Q49" s="18">
        <f t="shared" si="21"/>
        <v>13168.05282512241</v>
      </c>
      <c r="R49" s="18">
        <f t="shared" si="22"/>
        <v>128305391.10133012</v>
      </c>
      <c r="S49" s="20">
        <f>IFERROR(VLOOKUP(A49,RESCMAD!$1:$1048576,8,FALSE),0)</f>
        <v>0</v>
      </c>
      <c r="T49" s="19">
        <f>IF(C49=5,(S49*P49)*IME!$M$7,(S49*P49)*IME!$M$8)</f>
        <v>0</v>
      </c>
      <c r="U49" s="19">
        <f>IFERROR(VLOOKUP(A49,'DSH (Cumulative)'!$1:$1048576,12,FALSE)*P49*'DSH (Cumulative)'!$AB$2,0)</f>
        <v>33946548.322272837</v>
      </c>
      <c r="V49" s="22">
        <f t="shared" si="23"/>
        <v>128305391.10133012</v>
      </c>
      <c r="W49" s="17">
        <f t="shared" si="24"/>
        <v>0</v>
      </c>
      <c r="X49" s="19">
        <f t="shared" si="12"/>
        <v>94358842.779057279</v>
      </c>
      <c r="Y49" s="15">
        <f t="shared" si="25"/>
        <v>9684.0999085592248</v>
      </c>
      <c r="Z49" s="14">
        <f t="shared" si="26"/>
        <v>-7.4173297193408039E-2</v>
      </c>
      <c r="AA49" s="14">
        <f t="shared" si="27"/>
        <v>-0.11837832234046619</v>
      </c>
      <c r="AB49" s="14"/>
      <c r="AC49" s="11">
        <f t="shared" si="14"/>
        <v>14859.598927821828</v>
      </c>
    </row>
    <row r="50" spans="1:29" ht="18.75" customHeight="1" x14ac:dyDescent="0.6">
      <c r="A50" s="37">
        <v>910003</v>
      </c>
      <c r="B50" s="26" t="str">
        <f>VLOOKUP(A50,'Variable Input'!$1:$1048576,2,FALSE)</f>
        <v>Prince Georges Hospital</v>
      </c>
      <c r="C50" s="33">
        <f>VLOOKUP(A50,'Variable Input'!$1:$1048576,4,FALSE)</f>
        <v>5</v>
      </c>
      <c r="D50" s="35">
        <f>SUMIF($A$1:$A$65535,210003,D$1:D$65535)</f>
        <v>379138438.61161411</v>
      </c>
      <c r="E50" s="19">
        <f t="shared" si="15"/>
        <v>22808.939516295475</v>
      </c>
      <c r="F50" s="35">
        <f>SUMIF($A$1:$A$65535,210003,F$1:F$65535)</f>
        <v>459671.4824954826</v>
      </c>
      <c r="G50" s="19">
        <f t="shared" si="16"/>
        <v>379598110.09410959</v>
      </c>
      <c r="H50" s="19">
        <f t="shared" si="17"/>
        <v>22836.59331758241</v>
      </c>
      <c r="I50" s="272">
        <f>SUMIF($A$1:$A$65535,210003,I$1:I$65535)</f>
        <v>1.1150592197193865</v>
      </c>
      <c r="J50" s="19">
        <f t="shared" si="18"/>
        <v>340428654.71274114</v>
      </c>
      <c r="K50" s="63">
        <f>IFERROR(J50*(1-VLOOKUP(A50,PROFIT!$A$1:$IT$65527,7,FALSE)),J50)</f>
        <v>319587725.13393217</v>
      </c>
      <c r="L50" s="35">
        <f>SUMIF($A$1:$A$65535,210003,L$1:L$65535)</f>
        <v>10600897.780621644</v>
      </c>
      <c r="M50" s="22">
        <f t="shared" si="19"/>
        <v>308986827.35331053</v>
      </c>
      <c r="N50" s="272">
        <f>SUMIF($A$1:$A$65535,210003,N$1:N$65535)</f>
        <v>1.0181752931904677</v>
      </c>
      <c r="O50" s="22">
        <f t="shared" si="20"/>
        <v>303471150.22315621</v>
      </c>
      <c r="P50" s="35">
        <f>SUMIF($A$1:$A$65535,210003,P$1:P$65535)</f>
        <v>16622.361523679996</v>
      </c>
      <c r="Q50" s="18">
        <f t="shared" si="21"/>
        <v>18256.801224713781</v>
      </c>
      <c r="R50" s="18">
        <f t="shared" si="22"/>
        <v>303471150.22315621</v>
      </c>
      <c r="S50" s="273">
        <f>SUMIF($A$1:$A$65535,210003,S$1:S$65535)</f>
        <v>2.8876763347746859E-3</v>
      </c>
      <c r="T50" s="19">
        <f>IF(C50=5,(S50*P50)*IME!$M$7,(S50*P50)*IME!$M$8)</f>
        <v>17413311.752313614</v>
      </c>
      <c r="U50" s="35">
        <f>SUMIF($A$1:$A$65535,210003,U$1:U$65535)</f>
        <v>70224081.820376605</v>
      </c>
      <c r="V50" s="22">
        <f>R50-T50</f>
        <v>286057838.4708426</v>
      </c>
      <c r="W50" s="17">
        <f t="shared" si="24"/>
        <v>-5.7380451945790556E-2</v>
      </c>
      <c r="X50" s="19">
        <f t="shared" si="12"/>
        <v>215833756.650466</v>
      </c>
      <c r="Y50" s="15">
        <f t="shared" si="25"/>
        <v>12984.54231927227</v>
      </c>
      <c r="Z50" s="14">
        <f t="shared" si="26"/>
        <v>2.7616574557499218E-2</v>
      </c>
      <c r="AA50" s="14">
        <f t="shared" si="27"/>
        <v>0.18208755498694096</v>
      </c>
      <c r="AB50" s="14"/>
      <c r="AC50" s="11">
        <f t="shared" si="14"/>
        <v>21438.544632305799</v>
      </c>
    </row>
    <row r="51" spans="1:29" ht="18.75" customHeight="1" x14ac:dyDescent="0.6">
      <c r="A51" s="37">
        <v>910008</v>
      </c>
      <c r="B51" s="26" t="str">
        <f>VLOOKUP(A51,'Variable Input'!$1:$1048576,2,FALSE)</f>
        <v>Mercy Medical Center</v>
      </c>
      <c r="C51" s="33">
        <f>VLOOKUP(A51,'Variable Input'!$1:$1048576,4,FALSE)</f>
        <v>5</v>
      </c>
      <c r="D51" s="35">
        <f>SUMIF($A$1:$A$65535,210008,D$1:D$65535)</f>
        <v>616154621.82218134</v>
      </c>
      <c r="E51" s="19">
        <f t="shared" si="15"/>
        <v>16568.781718879367</v>
      </c>
      <c r="F51" s="35">
        <f>SUMIF($A$1:$A$65535,210008,F$1:F$65535)</f>
        <v>14280591.48015156</v>
      </c>
      <c r="G51" s="19">
        <f t="shared" si="16"/>
        <v>630435213.30233288</v>
      </c>
      <c r="H51" s="19">
        <f t="shared" si="17"/>
        <v>16952.79572229847</v>
      </c>
      <c r="I51" s="272">
        <f>SUMIF($A$1:$A$65535,210008,I$1:I$65535)</f>
        <v>1.1102695565875482</v>
      </c>
      <c r="J51" s="19">
        <f t="shared" si="18"/>
        <v>567821759.64546597</v>
      </c>
      <c r="K51" s="63">
        <f>IFERROR(J51*(1-VLOOKUP(A51,PROFIT!$A$1:$IT$65527,7,FALSE)),J51)</f>
        <v>512198074.17627144</v>
      </c>
      <c r="L51" s="35">
        <f>SUMIF($A$1:$A$65535,210008,L$1:L$65535)</f>
        <v>5003207.6874727393</v>
      </c>
      <c r="M51" s="22">
        <f t="shared" si="19"/>
        <v>507194866.48879868</v>
      </c>
      <c r="N51" s="272">
        <f>SUMIF($A$1:$A$65535,210008,N$1:N$65535)</f>
        <v>0.99671861092415948</v>
      </c>
      <c r="O51" s="22">
        <f t="shared" si="20"/>
        <v>508864649.39038974</v>
      </c>
      <c r="P51" s="35">
        <f>SUMIF($A$1:$A$65535,210008,P$1:P$65535)</f>
        <v>37187.68418079293</v>
      </c>
      <c r="Q51" s="18">
        <f t="shared" si="21"/>
        <v>13683.687505693439</v>
      </c>
      <c r="R51" s="18">
        <f t="shared" si="22"/>
        <v>508864649.39038974</v>
      </c>
      <c r="S51" s="273">
        <f>SUMIF($A$1:$A$65535,210008,S$1:S$65535)</f>
        <v>1.3017891569452743E-3</v>
      </c>
      <c r="T51" s="19">
        <f>IF(C51=5,(S51*P51)*IME!$M$7,(S51*P51)*IME!$M$8)</f>
        <v>17562240.56613756</v>
      </c>
      <c r="U51" s="35">
        <f>SUMIF($A$1:$A$65535,210008,U$1:U$65535)</f>
        <v>107891180.4676746</v>
      </c>
      <c r="V51" s="22">
        <f t="shared" si="23"/>
        <v>491302408.82425219</v>
      </c>
      <c r="W51" s="17">
        <f t="shared" si="24"/>
        <v>-3.4512596988564237E-2</v>
      </c>
      <c r="X51" s="19">
        <f t="shared" si="12"/>
        <v>383411228.35657758</v>
      </c>
      <c r="Y51" s="15">
        <f t="shared" si="25"/>
        <v>10310.166841596596</v>
      </c>
      <c r="Z51" s="14">
        <f t="shared" si="26"/>
        <v>-0.18403759852572099</v>
      </c>
      <c r="AA51" s="14">
        <f t="shared" si="27"/>
        <v>-6.1382402735823849E-2</v>
      </c>
      <c r="AB51" s="14"/>
      <c r="AC51" s="11">
        <f t="shared" si="14"/>
        <v>15292.103857179725</v>
      </c>
    </row>
    <row r="52" spans="1:29" ht="18.75" customHeight="1" x14ac:dyDescent="0.6">
      <c r="A52" s="37">
        <v>910012</v>
      </c>
      <c r="B52" s="26" t="str">
        <f>VLOOKUP(A52,'Variable Input'!$1:$1048576,2,FALSE)</f>
        <v>Sinai Hospital</v>
      </c>
      <c r="C52" s="33">
        <f>VLOOKUP(A52,'Variable Input'!$1:$1048576,4,FALSE)</f>
        <v>5</v>
      </c>
      <c r="D52" s="35">
        <f>SUMIF($A$1:$A$65535,210012,D$1:D$65535)</f>
        <v>820426817.23668432</v>
      </c>
      <c r="E52" s="19">
        <f t="shared" si="15"/>
        <v>20911.421335996161</v>
      </c>
      <c r="F52" s="35">
        <f>SUMIF($A$1:$A$65535,210012,F$1:F$65535)</f>
        <v>33441958.098435093</v>
      </c>
      <c r="G52" s="19">
        <f t="shared" si="16"/>
        <v>853868775.33511937</v>
      </c>
      <c r="H52" s="19">
        <f t="shared" si="17"/>
        <v>21763.805560164397</v>
      </c>
      <c r="I52" s="272">
        <f>SUMIF($A$1:$A$65535,210012,I$1:I$65535)</f>
        <v>1.1214469245143464</v>
      </c>
      <c r="J52" s="19">
        <f t="shared" si="18"/>
        <v>761399185.88202083</v>
      </c>
      <c r="K52" s="63">
        <f>IFERROR(J52*(1-VLOOKUP(A52,PROFIT!$A$1:$IT$65527,7,FALSE)),J52)</f>
        <v>653192721.82398355</v>
      </c>
      <c r="L52" s="35">
        <f>SUMIF($A$1:$A$65535,210012,L$1:L$65535)</f>
        <v>20760568.355981968</v>
      </c>
      <c r="M52" s="22">
        <f t="shared" si="19"/>
        <v>632432153.4680016</v>
      </c>
      <c r="N52" s="272">
        <f>SUMIF($A$1:$A$65535,210012,N$1:N$65535)</f>
        <v>0.99671861092415948</v>
      </c>
      <c r="O52" s="22">
        <f t="shared" si="20"/>
        <v>634514241.5687505</v>
      </c>
      <c r="P52" s="35">
        <f>SUMIF($A$1:$A$65535,210012,P$1:P$65535)</f>
        <v>39233.431532673072</v>
      </c>
      <c r="Q52" s="18">
        <f t="shared" si="21"/>
        <v>16172.794904272791</v>
      </c>
      <c r="R52" s="18">
        <f t="shared" si="22"/>
        <v>634514241.5687505</v>
      </c>
      <c r="S52" s="273">
        <f>SUMIF($A$1:$A$65535,210012,S$1:S$65535)</f>
        <v>3.2115467619769343E-3</v>
      </c>
      <c r="T52" s="19">
        <f>IF(C52=5,(S52*P52)*IME!$M$7,(S52*P52)*IME!$M$8)</f>
        <v>45709943.349823207</v>
      </c>
      <c r="U52" s="35">
        <f>SUMIF($A$1:$A$65535,210012,U$1:U$65535)</f>
        <v>148981363.33180904</v>
      </c>
      <c r="V52" s="22">
        <f t="shared" si="23"/>
        <v>588804298.21892726</v>
      </c>
      <c r="W52" s="17">
        <f t="shared" si="24"/>
        <v>-7.2039270918193399E-2</v>
      </c>
      <c r="X52" s="19">
        <f t="shared" si="12"/>
        <v>439822934.88711822</v>
      </c>
      <c r="Y52" s="15">
        <f t="shared" si="25"/>
        <v>11210.412082380293</v>
      </c>
      <c r="Z52" s="14">
        <f t="shared" si="26"/>
        <v>-0.11279081078005315</v>
      </c>
      <c r="AA52" s="14">
        <f t="shared" si="27"/>
        <v>2.0574178358847561E-2</v>
      </c>
      <c r="AB52" s="14"/>
      <c r="AC52" s="11">
        <f t="shared" si="14"/>
        <v>18670.836080056564</v>
      </c>
    </row>
    <row r="53" spans="1:29" ht="18.75" customHeight="1" x14ac:dyDescent="0.6">
      <c r="A53" s="37">
        <v>910024</v>
      </c>
      <c r="B53" s="26" t="str">
        <f>VLOOKUP(A53,'Variable Input'!$1:$1048576,2,FALSE)</f>
        <v>Union Memorial Hospital</v>
      </c>
      <c r="C53" s="33">
        <f>VLOOKUP(A53,'Variable Input'!$1:$1048576,4,FALSE)</f>
        <v>5</v>
      </c>
      <c r="D53" s="35">
        <f>SUMIF($A$1:$A$65535,210024,D$1:D$65535)</f>
        <v>481457430.39623797</v>
      </c>
      <c r="E53" s="19">
        <f t="shared" si="15"/>
        <v>17832.24417168623</v>
      </c>
      <c r="F53" s="35">
        <f>SUMIF($A$1:$A$65535,210024,F$1:F$65535)</f>
        <v>139248.72459896962</v>
      </c>
      <c r="G53" s="19">
        <f t="shared" si="16"/>
        <v>481596679.12083691</v>
      </c>
      <c r="H53" s="19">
        <f t="shared" si="17"/>
        <v>17837.401672850145</v>
      </c>
      <c r="I53" s="272">
        <f>SUMIF($A$1:$A$65535,210024,I$1:I$65535)</f>
        <v>1.1223202362274129</v>
      </c>
      <c r="J53" s="19">
        <f t="shared" si="18"/>
        <v>429108077.69062823</v>
      </c>
      <c r="K53" s="63">
        <f>IFERROR(J53*(1-VLOOKUP(A53,PROFIT!$A$1:$IT$65527,7,FALSE)),J53)</f>
        <v>410123688.55888373</v>
      </c>
      <c r="L53" s="35">
        <f>SUMIF($A$1:$A$65535,210024,L$1:L$65535)</f>
        <v>12196844.09297953</v>
      </c>
      <c r="M53" s="22">
        <f t="shared" si="19"/>
        <v>397926844.46590418</v>
      </c>
      <c r="N53" s="272">
        <f>SUMIF($A$1:$A$65535,210024,N$1:N$65535)</f>
        <v>0.99671861092415948</v>
      </c>
      <c r="O53" s="22">
        <f t="shared" si="20"/>
        <v>399236896.05529249</v>
      </c>
      <c r="P53" s="35">
        <f>SUMIF($A$1:$A$65535,210024,P$1:P$65535)</f>
        <v>26999.26188542712</v>
      </c>
      <c r="Q53" s="18">
        <f t="shared" si="21"/>
        <v>14786.955945294972</v>
      </c>
      <c r="R53" s="18">
        <f t="shared" si="22"/>
        <v>399236896.05529249</v>
      </c>
      <c r="S53" s="273">
        <f>SUMIF($A$1:$A$65535,210024,S$1:S$65535)</f>
        <v>3.2593483619453344E-3</v>
      </c>
      <c r="T53" s="19">
        <f>IF(C53=5,(S53*P53)*IME!$M$7,(S53*P53)*IME!$M$8)</f>
        <v>31924404.879241612</v>
      </c>
      <c r="U53" s="35">
        <f>SUMIF($A$1:$A$65535,210024,U$1:U$65535)</f>
        <v>88523347.724761173</v>
      </c>
      <c r="V53" s="22">
        <f t="shared" si="23"/>
        <v>367312491.1760509</v>
      </c>
      <c r="W53" s="17">
        <f t="shared" si="24"/>
        <v>-7.9963563474905408E-2</v>
      </c>
      <c r="X53" s="19">
        <f t="shared" si="12"/>
        <v>278789143.45128971</v>
      </c>
      <c r="Y53" s="15">
        <f t="shared" si="25"/>
        <v>10325.806114046638</v>
      </c>
      <c r="Z53" s="14">
        <f t="shared" si="26"/>
        <v>-0.18279988254093582</v>
      </c>
      <c r="AA53" s="14">
        <f t="shared" si="27"/>
        <v>-5.9958633697402952E-2</v>
      </c>
      <c r="AB53" s="14"/>
      <c r="AC53" s="11">
        <f t="shared" si="14"/>
        <v>17048.248095786144</v>
      </c>
    </row>
    <row r="54" spans="1:29" ht="18.75" customHeight="1" x14ac:dyDescent="0.6">
      <c r="A54" s="37">
        <v>910029</v>
      </c>
      <c r="B54" s="26" t="str">
        <f>VLOOKUP(A54,'Variable Input'!$1:$1048576,2,FALSE)</f>
        <v>Johns Hopkins Bayview Medical Center</v>
      </c>
      <c r="C54" s="33">
        <f>VLOOKUP(A54,'Variable Input'!$1:$1048576,4,FALSE)</f>
        <v>5</v>
      </c>
      <c r="D54" s="35">
        <f>SUMIF($A$1:$A$65535,210029,D$1:D$65535)</f>
        <v>685641223.73208022</v>
      </c>
      <c r="E54" s="19">
        <f t="shared" si="15"/>
        <v>19291.665494546265</v>
      </c>
      <c r="F54" s="35">
        <f>SUMIF($A$1:$A$65535,210029,F$1:F$65535)</f>
        <v>28922398.799876198</v>
      </c>
      <c r="G54" s="19">
        <f t="shared" si="16"/>
        <v>714563622.53195643</v>
      </c>
      <c r="H54" s="19">
        <f t="shared" si="17"/>
        <v>20105.44568108462</v>
      </c>
      <c r="I54" s="272">
        <f>SUMIF($A$1:$A$65535,210029,I$1:I$65535)</f>
        <v>1.1160480491569686</v>
      </c>
      <c r="J54" s="19">
        <f t="shared" si="18"/>
        <v>640262417.97718096</v>
      </c>
      <c r="K54" s="63">
        <f>IFERROR(J54*(1-VLOOKUP(A54,PROFIT!$A$1:$IT$65527,7,FALSE)),J54)</f>
        <v>649367261.8051877</v>
      </c>
      <c r="L54" s="35">
        <f>SUMIF($A$1:$A$65535,210029,L$1:L$65535)</f>
        <v>27476780.845164478</v>
      </c>
      <c r="M54" s="22">
        <f t="shared" si="19"/>
        <v>621890480.96002316</v>
      </c>
      <c r="N54" s="272">
        <f>SUMIF($A$1:$A$65535,210029,N$1:N$65535)</f>
        <v>0.99671861092415948</v>
      </c>
      <c r="O54" s="22">
        <f t="shared" si="20"/>
        <v>623937863.8504653</v>
      </c>
      <c r="P54" s="35">
        <f>SUMIF($A$1:$A$65535,210029,P$1:P$65535)</f>
        <v>35540.799933832066</v>
      </c>
      <c r="Q54" s="18">
        <f t="shared" si="21"/>
        <v>17555.53800173544</v>
      </c>
      <c r="R54" s="18">
        <f t="shared" si="22"/>
        <v>623937863.8504653</v>
      </c>
      <c r="S54" s="273">
        <f>SUMIF($A$1:$A$65535,210029,S$1:S$65535)</f>
        <v>3.9704286039970822E-3</v>
      </c>
      <c r="T54" s="19">
        <f>IF(C54=5,(S54*P54)*IME!$M$7,(S54*P54)*IME!$M$8)</f>
        <v>51192310.032552004</v>
      </c>
      <c r="U54" s="35">
        <f>SUMIF($A$1:$A$65535,210029,U$1:U$65535)</f>
        <v>118737638.31727661</v>
      </c>
      <c r="V54" s="22">
        <f t="shared" si="23"/>
        <v>572745553.81791329</v>
      </c>
      <c r="W54" s="17">
        <f t="shared" si="24"/>
        <v>-8.2047128405755676E-2</v>
      </c>
      <c r="X54" s="19">
        <f t="shared" si="12"/>
        <v>454007915.5006367</v>
      </c>
      <c r="Y54" s="15">
        <f t="shared" si="25"/>
        <v>12774.273970925922</v>
      </c>
      <c r="Z54" s="14">
        <f t="shared" si="26"/>
        <v>1.097561528819746E-2</v>
      </c>
      <c r="AA54" s="14">
        <f t="shared" si="27"/>
        <v>0.16294513227567142</v>
      </c>
      <c r="AB54" s="14"/>
      <c r="AC54" s="11">
        <f t="shared" si="14"/>
        <v>20391.354923730923</v>
      </c>
    </row>
    <row r="55" spans="1:29" ht="17.7" x14ac:dyDescent="0.6">
      <c r="A55" s="26"/>
      <c r="B55" s="26"/>
      <c r="C55" s="31"/>
      <c r="D55" s="19"/>
      <c r="E55" s="19"/>
      <c r="F55" s="19"/>
      <c r="G55" s="19"/>
      <c r="H55" s="19"/>
      <c r="I55" s="21"/>
      <c r="J55" s="19"/>
      <c r="K55" s="63"/>
      <c r="L55" s="19"/>
      <c r="M55" s="22"/>
      <c r="N55" s="21"/>
      <c r="O55" s="22"/>
      <c r="Q55" s="22"/>
      <c r="R55" s="22"/>
      <c r="S55" s="20"/>
      <c r="T55" s="19"/>
      <c r="U55" s="19"/>
      <c r="V55" s="19"/>
      <c r="W55" s="17"/>
      <c r="X55" s="19"/>
      <c r="Y55" s="15"/>
      <c r="Z55" s="16"/>
      <c r="AA55" s="14"/>
      <c r="AB55" s="14"/>
    </row>
    <row r="56" spans="1:29" ht="17.7" x14ac:dyDescent="0.6">
      <c r="A56" s="26"/>
      <c r="B56" s="26"/>
      <c r="C56" s="31"/>
      <c r="D56" s="19"/>
      <c r="E56" s="64"/>
      <c r="F56" s="65"/>
      <c r="G56" s="65"/>
      <c r="H56" s="65"/>
      <c r="I56" s="65"/>
      <c r="J56" s="65"/>
      <c r="K56" s="65"/>
      <c r="L56" s="65"/>
      <c r="M56" s="65"/>
      <c r="N56" s="67"/>
      <c r="O56" s="65"/>
      <c r="P56" s="67"/>
      <c r="Q56" s="67"/>
      <c r="R56" s="65"/>
      <c r="S56" s="275"/>
      <c r="T56" s="65"/>
      <c r="U56" s="66"/>
      <c r="V56" s="65"/>
      <c r="W56" s="17"/>
      <c r="X56" s="65"/>
      <c r="Y56" s="67"/>
      <c r="Z56" s="16"/>
      <c r="AA56" s="14"/>
      <c r="AB56" s="14"/>
    </row>
    <row r="57" spans="1:29" ht="17.7" x14ac:dyDescent="0.6">
      <c r="A57" s="26"/>
      <c r="B57" s="26"/>
      <c r="C57" s="31"/>
      <c r="D57" s="19"/>
      <c r="E57" s="19"/>
      <c r="F57" s="65"/>
      <c r="G57" s="65"/>
      <c r="H57" s="65"/>
      <c r="I57" s="65"/>
      <c r="J57" s="65"/>
      <c r="K57" s="65"/>
      <c r="L57" s="65"/>
      <c r="M57" s="65"/>
      <c r="N57" s="21"/>
      <c r="O57" s="65"/>
      <c r="Q57" s="22"/>
      <c r="R57" s="65"/>
      <c r="S57" s="20"/>
      <c r="T57" s="65"/>
      <c r="U57" s="66"/>
      <c r="V57" s="65"/>
      <c r="W57" s="17"/>
      <c r="X57" s="65"/>
      <c r="Y57" s="15"/>
      <c r="Z57" s="424"/>
      <c r="AA57" s="14"/>
      <c r="AB57" s="14"/>
    </row>
    <row r="58" spans="1:29" ht="17.7" x14ac:dyDescent="0.6">
      <c r="A58" s="26"/>
      <c r="B58" s="26"/>
      <c r="C58" s="31"/>
      <c r="D58" s="19"/>
      <c r="E58" s="19"/>
      <c r="F58" s="64"/>
      <c r="G58" s="64"/>
      <c r="H58" s="19"/>
      <c r="I58" s="21"/>
      <c r="J58" s="64"/>
      <c r="K58" s="64"/>
      <c r="L58" s="64"/>
      <c r="M58" s="64"/>
      <c r="N58" s="21"/>
      <c r="O58" s="64"/>
      <c r="Q58" s="22"/>
      <c r="R58" s="65"/>
      <c r="S58" s="20"/>
      <c r="T58" s="64"/>
      <c r="U58" s="19"/>
      <c r="V58" s="64"/>
      <c r="W58" s="17"/>
      <c r="X58" s="64"/>
      <c r="Y58" s="15"/>
      <c r="Z58" s="16"/>
      <c r="AA58" s="14"/>
      <c r="AB58" s="14"/>
    </row>
    <row r="59" spans="1:29" ht="17.7" x14ac:dyDescent="0.6">
      <c r="A59" s="26"/>
      <c r="B59" s="26"/>
      <c r="C59" s="31"/>
      <c r="D59" s="19"/>
      <c r="E59" s="19"/>
      <c r="F59" s="19"/>
      <c r="G59" s="19"/>
      <c r="H59" s="19"/>
      <c r="I59" s="21"/>
      <c r="J59" s="19"/>
      <c r="K59" s="63"/>
      <c r="L59" s="19"/>
      <c r="M59" s="22"/>
      <c r="N59" s="21"/>
      <c r="O59" s="22"/>
      <c r="Q59" s="22"/>
      <c r="R59" s="22"/>
      <c r="S59" s="20"/>
      <c r="T59" s="19"/>
      <c r="U59" s="19"/>
      <c r="V59" s="19"/>
      <c r="W59" s="17"/>
      <c r="X59" s="19"/>
      <c r="Y59" s="15"/>
      <c r="Z59" s="16"/>
      <c r="AA59" s="14"/>
      <c r="AB59" s="14"/>
    </row>
    <row r="60" spans="1:29" ht="17.7" x14ac:dyDescent="0.6">
      <c r="A60" s="26"/>
      <c r="B60" s="26"/>
      <c r="C60" s="31"/>
      <c r="D60" s="19"/>
      <c r="E60" s="19"/>
      <c r="F60" s="19"/>
      <c r="G60" s="19"/>
      <c r="H60" s="19"/>
      <c r="I60" s="21"/>
      <c r="J60" s="19"/>
      <c r="K60" s="63"/>
      <c r="L60" s="19"/>
      <c r="M60" s="22"/>
      <c r="N60" s="21"/>
      <c r="O60" s="22"/>
      <c r="Q60" s="22"/>
      <c r="R60" s="22"/>
      <c r="S60" s="20"/>
      <c r="T60" s="19"/>
      <c r="U60" s="19"/>
      <c r="V60" s="19"/>
      <c r="W60" s="17"/>
      <c r="X60" s="19"/>
      <c r="Y60" s="15"/>
      <c r="Z60" s="16"/>
      <c r="AA60" s="14"/>
      <c r="AB60" s="14"/>
    </row>
    <row r="61" spans="1:29" ht="17.7" x14ac:dyDescent="0.6">
      <c r="A61" s="32" t="s">
        <v>78</v>
      </c>
      <c r="B61" s="26" t="s">
        <v>77</v>
      </c>
      <c r="C61" s="31"/>
      <c r="D61" s="19">
        <f>SUBTOTAL(9,D2:D59)</f>
        <v>20693365768.602127</v>
      </c>
      <c r="E61" s="19">
        <f>D61/P61</f>
        <v>17732.364353846948</v>
      </c>
      <c r="F61" s="19">
        <f>SUBTOTAL(9,F2:F59)</f>
        <v>484389338.39749277</v>
      </c>
      <c r="G61" s="19">
        <f>SUBTOTAL(9,G2:G59)</f>
        <v>21177755106.99963</v>
      </c>
      <c r="H61" s="19">
        <f>G61/P61</f>
        <v>18147.442709568859</v>
      </c>
      <c r="I61" s="21">
        <f>D61/J61</f>
        <v>1.0900365956927256</v>
      </c>
      <c r="J61" s="19">
        <f>SUBTOTAL(9,J2:J59)</f>
        <v>18984101864.443691</v>
      </c>
      <c r="K61" s="63">
        <f>SUBTOTAL(9,K2:K59)</f>
        <v>17534235415.857346</v>
      </c>
      <c r="L61" s="19">
        <f>SUBTOTAL(9,L2:L59)</f>
        <v>393431841.98609471</v>
      </c>
      <c r="M61" s="22">
        <f>SUBTOTAL(9,M2:M59)</f>
        <v>17140803573.871252</v>
      </c>
      <c r="N61" s="21">
        <f>M61/O61</f>
        <v>1.0003990850221076</v>
      </c>
      <c r="O61" s="22">
        <f>SUBTOTAL(9,O2:O59)</f>
        <v>17133965664.80512</v>
      </c>
      <c r="P61" s="27">
        <f>SUBTOTAL(9,P2:P59)</f>
        <v>1166982.8882188969</v>
      </c>
      <c r="Q61" s="18">
        <f>+O61/P61</f>
        <v>14682.276696409635</v>
      </c>
      <c r="R61" s="22">
        <f>SUBTOTAL(9,R2:R59)</f>
        <v>17133965664.80512</v>
      </c>
      <c r="S61" s="20"/>
      <c r="T61" s="22">
        <f>SUBTOTAL(9,T2:T59)</f>
        <v>713380140.25957179</v>
      </c>
      <c r="U61" s="19">
        <f>T61/P61</f>
        <v>611.30299977951302</v>
      </c>
      <c r="V61" s="22">
        <f>SUBTOTAL(9,V2:V59)</f>
        <v>16420585524.545549</v>
      </c>
      <c r="W61" s="17">
        <f>(V61/R61)-1</f>
        <v>-4.1635436548406624E-2</v>
      </c>
      <c r="X61" s="22">
        <f>SUBTOTAL(9,X2:X59)</f>
        <v>12881496913.876389</v>
      </c>
      <c r="Y61" s="38">
        <f>X61/P61</f>
        <v>11038.29117283521</v>
      </c>
      <c r="Z61" s="14"/>
      <c r="AA61" s="14">
        <f>Y61/$Y$62-1</f>
        <v>4.9046245060107019E-3</v>
      </c>
      <c r="AB61" s="14"/>
    </row>
    <row r="62" spans="1:29" ht="17.7" x14ac:dyDescent="0.6">
      <c r="A62" s="29">
        <v>99</v>
      </c>
      <c r="B62" s="25" t="s">
        <v>76</v>
      </c>
      <c r="C62" s="31"/>
      <c r="D62" s="19">
        <f>SUM(D3:D54)-SUMPRODUCT((LEFT($A$3:$A$54,1)+0=9)*D3:D54)</f>
        <v>17710547236.803329</v>
      </c>
      <c r="E62" s="19">
        <f>D62/P62</f>
        <v>17510.933986134045</v>
      </c>
      <c r="F62" s="19">
        <f>SUM(F3:F54)-SUMPRODUCT((LEFT($A$3:$A$54,1)+0=9)*F3:F54)</f>
        <v>407145469.81193542</v>
      </c>
      <c r="G62" s="19">
        <f>SUM(G3:G54)-SUMPRODUCT((LEFT($A$3:$A$54,1)+0=9)*G3:G54)</f>
        <v>18117692706.615276</v>
      </c>
      <c r="H62" s="19">
        <f>G62/P62</f>
        <v>17913.490572856284</v>
      </c>
      <c r="I62" s="21">
        <f>D62/J62</f>
        <v>1.090209793286856</v>
      </c>
      <c r="J62" s="19">
        <f>SUM(J3:J54)-SUMPRODUCT((LEFT($A$3:$A$54,1)+0=9)*J3:J54)</f>
        <v>16245081768.535654</v>
      </c>
      <c r="K62" s="63">
        <f>SUM(K3:K54)-SUMPRODUCT((LEFT($A$3:$A$54,1)+0=9)*K3:K54)</f>
        <v>14989765944.359087</v>
      </c>
      <c r="L62" s="19">
        <f>SUM(L3:L54)-SUMPRODUCT((LEFT($A$3:$A$54,1)+0=9)*L3:L54)</f>
        <v>317393543.22387433</v>
      </c>
      <c r="M62" s="22">
        <f>SUM(M3:M54)-SUMPRODUCT((LEFT($A$3:$A$54,1)+0=9)*M3:M54)</f>
        <v>14672372401.135214</v>
      </c>
      <c r="N62" s="21">
        <f>M62/O62</f>
        <v>1.000574984412206</v>
      </c>
      <c r="O62" s="22">
        <f>SUM(O3:O54)-SUMPRODUCT((LEFT($A$3:$A$54,1)+0=9)*O3:O54)</f>
        <v>14663940863.717066</v>
      </c>
      <c r="P62" s="27">
        <f>SUM(P3:P54)-SUMPRODUCT((LEFT($A$3:$A$54,1)+0=9)*P3:P54)</f>
        <v>1011399.3491624917</v>
      </c>
      <c r="Q62" s="18">
        <f>+O62/P62</f>
        <v>14498.665513142576</v>
      </c>
      <c r="R62" s="22">
        <f>SUM(R3:R54)-SUMPRODUCT((LEFT($A$3:$A$54,1)+0=9)*R3:R54)</f>
        <v>14663940863.717066</v>
      </c>
      <c r="S62" s="20">
        <f>VLOOKUP(B62,RESCMAD!$1:$1048576,8,FALSE)</f>
        <v>2.0291140123764734E-3</v>
      </c>
      <c r="T62" s="22">
        <f>SUM(T3:T54)-SUMPRODUCT((LEFT($A$3:$A$54,1)+0=9)*T3:T54)</f>
        <v>549577929.6795038</v>
      </c>
      <c r="U62" s="19">
        <f>T62/P62</f>
        <v>543.38370905082365</v>
      </c>
      <c r="V62" s="22">
        <f>SUM(V3:V54)-SUMPRODUCT((LEFT($A$3:$A$54,1)+0=9)*V3:V54)</f>
        <v>14114362934.037563</v>
      </c>
      <c r="W62" s="17">
        <f>(V62/R62)-1</f>
        <v>-3.7478187806889052E-2</v>
      </c>
      <c r="X62" s="19">
        <f>SUM(X3:X54)-SUMPRODUCT((LEFT($A$3:$A$54,1)+0=9)*X3:X54)</f>
        <v>11109631935.0303</v>
      </c>
      <c r="Y62" s="15">
        <f>X62/P62</f>
        <v>10984.416733340633</v>
      </c>
      <c r="Z62" s="14"/>
      <c r="AA62" s="14">
        <f>Y62/$Y$62-1</f>
        <v>0</v>
      </c>
      <c r="AB62" s="14"/>
      <c r="AC62" s="11">
        <f>IFERROR(K62/J62*G62/P62,0)</f>
        <v>16529.250807076929</v>
      </c>
    </row>
    <row r="63" spans="1:29" x14ac:dyDescent="0.5">
      <c r="T63" s="12"/>
      <c r="V63" s="12"/>
    </row>
    <row r="64" spans="1:29" x14ac:dyDescent="0.5">
      <c r="T64" s="12"/>
      <c r="V64" s="12"/>
    </row>
    <row r="65" spans="1:29" ht="17.7" x14ac:dyDescent="0.6">
      <c r="A65" s="31">
        <v>1</v>
      </c>
      <c r="B65" s="25" t="s">
        <v>75</v>
      </c>
      <c r="C65" s="31"/>
      <c r="D65" s="15">
        <f>SUMIF($C$1:$C$65535,1,D$1:D$65535)</f>
        <v>14054579503.392643</v>
      </c>
      <c r="E65" s="19">
        <f>D65/P65</f>
        <v>16563.319811929276</v>
      </c>
      <c r="F65" s="15">
        <f>SUMIF($C$1:$C$65535,1,F$1:F$65535)</f>
        <v>219413119.60816106</v>
      </c>
      <c r="G65" s="15">
        <f>SUMIF($C$1:$C$65535,1,G$1:G$65535)</f>
        <v>14273992623.000803</v>
      </c>
      <c r="H65" s="19">
        <f>G65/P65</f>
        <v>16821.89814009098</v>
      </c>
      <c r="I65" s="21">
        <f>D65/J65</f>
        <v>1.0993762674816792</v>
      </c>
      <c r="J65" s="15">
        <f>SUMIF($C$1:$C$65535,1,J$1:J$65535)</f>
        <v>12784139442.619776</v>
      </c>
      <c r="K65" s="62">
        <f>SUMIF($C$1:$C$65535,1,K$1:K$65535)</f>
        <v>11643557421.231026</v>
      </c>
      <c r="L65" s="15">
        <f>SUMIF($C$1:$C$65535,1,L$1:L$65535)</f>
        <v>135726645.33431077</v>
      </c>
      <c r="M65" s="18">
        <f>SUMIF($C$1:$C$65535,1,M$1:M$65535)</f>
        <v>11507830775.896715</v>
      </c>
      <c r="N65" s="21">
        <f>M65/O65</f>
        <v>1.0015807548338291</v>
      </c>
      <c r="O65" s="18">
        <f>SUMIF($C$1:$C$65535,1,O$1:O$65535)</f>
        <v>11489668426.991655</v>
      </c>
      <c r="P65" s="16">
        <f>SUMIF($C$1:$C$65535,1,P$1:P$65535)</f>
        <v>848536.38418973342</v>
      </c>
      <c r="Q65" s="18">
        <f>+O65/P65</f>
        <v>13540.572497622632</v>
      </c>
      <c r="R65" s="18">
        <f>SUMIF($C$1:$C$65535,1,R$1:R$65535)</f>
        <v>11489668426.991655</v>
      </c>
      <c r="S65" s="20">
        <f>VLOOKUP(B65,RESCMAD!$1:$1048576,8,FALSE)</f>
        <v>9.9509813604894862E-4</v>
      </c>
      <c r="T65" s="18">
        <f>SUMIF($C$1:$C$65535,1,T$1:T$65535)</f>
        <v>111390942.7185404</v>
      </c>
      <c r="U65" s="19">
        <f>T65/P65</f>
        <v>131.27420908993491</v>
      </c>
      <c r="V65" s="18">
        <f>SUMIF($C$1:$C$65535,1,V$1:V$65535)</f>
        <v>11378277484.273115</v>
      </c>
      <c r="W65" s="17">
        <f>(V65/R65)-1</f>
        <v>-9.6948787883955889E-3</v>
      </c>
      <c r="X65" s="15">
        <f>SUMIF($C$1:$C$65535,1,X$1:X$65535)</f>
        <v>8875647133.1304798</v>
      </c>
      <c r="Y65" s="15">
        <f>X65/P65</f>
        <v>10459.948799491758</v>
      </c>
      <c r="Z65" s="14"/>
      <c r="AA65" s="14">
        <f>Y65/$Y$62-1</f>
        <v>-4.7746543724709101E-2</v>
      </c>
      <c r="AB65" s="14"/>
      <c r="AC65" s="11">
        <f>IFERROR(K65/J65*G65/P65,0)</f>
        <v>15321.073257013144</v>
      </c>
    </row>
    <row r="66" spans="1:29" ht="17.7" hidden="1" x14ac:dyDescent="0.6">
      <c r="A66" s="31">
        <v>3</v>
      </c>
      <c r="B66" s="25" t="s">
        <v>74</v>
      </c>
      <c r="C66" s="31"/>
      <c r="D66" s="15">
        <f>SUMIF($C$1:$C$65535,3,D$1:D$65535)</f>
        <v>0</v>
      </c>
      <c r="E66" s="19" t="e">
        <f>D66/P66</f>
        <v>#DIV/0!</v>
      </c>
      <c r="F66" s="15">
        <f>SUMIF($C$1:$C$65535,3,F$1:F$65535)</f>
        <v>0</v>
      </c>
      <c r="G66" s="15">
        <f>SUMIF($C$1:$C$65535,3,G$1:G$65535)</f>
        <v>0</v>
      </c>
      <c r="H66" s="19" t="e">
        <f>G66/P66</f>
        <v>#DIV/0!</v>
      </c>
      <c r="I66" s="21" t="e">
        <f>D66/J66</f>
        <v>#DIV/0!</v>
      </c>
      <c r="J66" s="15">
        <f>SUMIF($C$1:$C$65535,3,J$1:J$65535)</f>
        <v>0</v>
      </c>
      <c r="K66" s="62">
        <f>SUMIF($C$1:$C$65535,3,K$1:K$65535)</f>
        <v>0</v>
      </c>
      <c r="L66" s="15">
        <f>SUMIF($C$1:$C$65535,3,L$1:L$65535)</f>
        <v>0</v>
      </c>
      <c r="M66" s="18">
        <f>SUMIF($C$1:$C$65535,3,M$1:M$65535)</f>
        <v>0</v>
      </c>
      <c r="N66" s="21" t="e">
        <f>M66/O66</f>
        <v>#DIV/0!</v>
      </c>
      <c r="O66" s="18">
        <f>SUMIF($C$1:$C$65535,3,O$1:O$65535)</f>
        <v>0</v>
      </c>
      <c r="P66" s="16">
        <f>SUMIF($C$1:$C$65535,3,P$1:P$65535)</f>
        <v>0</v>
      </c>
      <c r="Q66" s="18" t="e">
        <f>+O66/P66</f>
        <v>#DIV/0!</v>
      </c>
      <c r="R66" s="18">
        <f>SUMIF($C$1:$C$65535,3,R$1:R$65535)</f>
        <v>0</v>
      </c>
      <c r="S66" s="20" t="e">
        <f>VLOOKUP(B66,RESCMAD!$1:$1048576,8,FALSE)</f>
        <v>#DIV/0!</v>
      </c>
      <c r="T66" s="18">
        <f>SUMIF($C$1:$C$65535,3,T$1:T$65535)</f>
        <v>0</v>
      </c>
      <c r="U66" s="19" t="e">
        <f>T66/P66</f>
        <v>#DIV/0!</v>
      </c>
      <c r="V66" s="18">
        <f>SUMIF($C$1:$C$65535,3,V$1:V$65535)</f>
        <v>0</v>
      </c>
      <c r="W66" s="17" t="e">
        <f>(V66/R66)-1</f>
        <v>#DIV/0!</v>
      </c>
      <c r="X66" s="15">
        <f>SUMIF($C$1:$C$65535,3,X$1:X$65535)</f>
        <v>0</v>
      </c>
      <c r="Y66" s="15" t="e">
        <f>X66/P66</f>
        <v>#DIV/0!</v>
      </c>
      <c r="Z66" s="14"/>
      <c r="AA66" s="14" t="e">
        <f>Y66/$Y$62-1</f>
        <v>#DIV/0!</v>
      </c>
      <c r="AB66" s="14"/>
      <c r="AC66" s="11">
        <f>IFERROR(K66/J66*G66/P66,0)</f>
        <v>0</v>
      </c>
    </row>
    <row r="67" spans="1:29" ht="17.7" hidden="1" x14ac:dyDescent="0.6">
      <c r="A67" s="31">
        <v>4</v>
      </c>
      <c r="B67" s="25" t="s">
        <v>73</v>
      </c>
      <c r="C67" s="31"/>
      <c r="D67" s="15">
        <f>SUMIF($C$1:$C$65535,4,D$1:D$65535)</f>
        <v>0</v>
      </c>
      <c r="E67" s="19" t="e">
        <f>D67/P67</f>
        <v>#DIV/0!</v>
      </c>
      <c r="F67" s="15">
        <f>SUMIF($C$1:$C$65535,4,F$1:F$65535)</f>
        <v>0</v>
      </c>
      <c r="G67" s="15">
        <f>SUMIF($C$1:$C$65535,4,G$1:G$65535)</f>
        <v>0</v>
      </c>
      <c r="H67" s="19" t="e">
        <f>G67/P67</f>
        <v>#DIV/0!</v>
      </c>
      <c r="I67" s="21" t="e">
        <f>D67/J67</f>
        <v>#DIV/0!</v>
      </c>
      <c r="J67" s="15">
        <f>SUMIF($C$1:$C$65535,4,J$1:J$65535)</f>
        <v>0</v>
      </c>
      <c r="K67" s="62">
        <f>SUMIF($C$1:$C$65535,4,K$1:K$65535)</f>
        <v>0</v>
      </c>
      <c r="L67" s="15">
        <f>SUMIF($C$1:$C$65535,4,L$1:L$65535)</f>
        <v>0</v>
      </c>
      <c r="M67" s="18">
        <f>SUMIF($C$1:$C$65535,4,M$1:M$65535)</f>
        <v>0</v>
      </c>
      <c r="N67" s="21" t="e">
        <f>M67/O67</f>
        <v>#DIV/0!</v>
      </c>
      <c r="O67" s="18">
        <f>SUMIF($C$1:$C$65535,4,O$1:O$65535)</f>
        <v>0</v>
      </c>
      <c r="P67" s="16">
        <f>SUMIF($C$1:$C$65535,4,P$1:P$65535)</f>
        <v>0</v>
      </c>
      <c r="Q67" s="18" t="e">
        <f>+O67/P67</f>
        <v>#DIV/0!</v>
      </c>
      <c r="R67" s="18">
        <f>SUMIF($C$1:$C$65535,4,R$1:R$65535)</f>
        <v>0</v>
      </c>
      <c r="S67" s="20" t="e">
        <f>VLOOKUP(B67,RESCMAD!$1:$1048576,8,FALSE)</f>
        <v>#DIV/0!</v>
      </c>
      <c r="T67" s="18">
        <f>SUMIF($C$1:$C$65535,4,T$1:T$65535)</f>
        <v>0</v>
      </c>
      <c r="U67" s="19" t="e">
        <f>T67/P67</f>
        <v>#DIV/0!</v>
      </c>
      <c r="V67" s="18">
        <f>SUMIF($C$1:$C$65535,4,V$1:V$65535)</f>
        <v>0</v>
      </c>
      <c r="W67" s="17" t="e">
        <f>(V67/R67)-1</f>
        <v>#DIV/0!</v>
      </c>
      <c r="X67" s="15">
        <f>SUMIF($C$1:$C$65535,4,X$1:X$65535)</f>
        <v>0</v>
      </c>
      <c r="Y67" s="15" t="e">
        <f>X67/P67</f>
        <v>#DIV/0!</v>
      </c>
      <c r="Z67" s="14"/>
      <c r="AA67" s="14" t="e">
        <f>Y67/$Y$62-1</f>
        <v>#DIV/0!</v>
      </c>
      <c r="AB67" s="14"/>
      <c r="AC67" s="11">
        <f>IFERROR(K67/J67*G67/P67,0)</f>
        <v>0</v>
      </c>
    </row>
    <row r="68" spans="1:29" ht="17.7" x14ac:dyDescent="0.6">
      <c r="A68" s="29">
        <v>5</v>
      </c>
      <c r="B68" s="25" t="s">
        <v>72</v>
      </c>
      <c r="C68" s="31"/>
      <c r="D68" s="15">
        <f>SUMIF($C$1:$C$65535,5,D$1:D$65535)</f>
        <v>6553470695.56777</v>
      </c>
      <c r="E68" s="19">
        <f>D68/P68</f>
        <v>20930.820299664054</v>
      </c>
      <c r="F68" s="15">
        <f>SUMIF($C$1:$C$65535,5,F$1:F$65535)</f>
        <v>264608224.11176425</v>
      </c>
      <c r="G68" s="15">
        <f>SUMIF($C$1:$C$65535,5,G$1:G$65535)</f>
        <v>6818078919.679533</v>
      </c>
      <c r="H68" s="19">
        <f>G68/P68</f>
        <v>21775.939999740276</v>
      </c>
      <c r="I68" s="21">
        <f>D68/J68</f>
        <v>1.0695902147917553</v>
      </c>
      <c r="J68" s="15">
        <f>SUMIF($C$1:$C$65535,5,J$1:J$65535)</f>
        <v>6127085499.602951</v>
      </c>
      <c r="K68" s="62">
        <f>SUMIF($C$1:$C$65535,5,K$1:K$65535)</f>
        <v>5817801072.4053555</v>
      </c>
      <c r="L68" s="15">
        <f>SUMIF($C$1:$C$65535,5,L$1:L$65535)</f>
        <v>257501081.74744377</v>
      </c>
      <c r="M68" s="18">
        <f>SUMIF($C$1:$C$65535,5,M$1:M$65535)</f>
        <v>5560299990.6579123</v>
      </c>
      <c r="N68" s="21">
        <f>M68/O68</f>
        <v>0.99788720373733242</v>
      </c>
      <c r="O68" s="18">
        <f>SUMIF($C$1:$C$65535,5,O$1:O$65535)</f>
        <v>5572072644.9174061</v>
      </c>
      <c r="P68" s="16">
        <f>SUMIF($C$1:$C$65535,5,P$1:P$65535)</f>
        <v>313101.47436853946</v>
      </c>
      <c r="Q68" s="18">
        <f>+O68/P68</f>
        <v>17796.379452237066</v>
      </c>
      <c r="R68" s="18">
        <f>SUMIF($C$1:$C$65535,5,R$1:R$65535)</f>
        <v>5572072644.9174061</v>
      </c>
      <c r="S68" s="20">
        <f>VLOOKUP(B68,RESCMAD!$1:$1048576,8,FALSE)</f>
        <v>3.8577512918237028E-3</v>
      </c>
      <c r="T68" s="18">
        <f>SUMIF($C$1:$C$65535,5,T$1:T$65535)</f>
        <v>601989197.54103136</v>
      </c>
      <c r="U68" s="19">
        <f>T68/P68</f>
        <v>1922.6648445368019</v>
      </c>
      <c r="V68" s="18">
        <f>SUMIF($C$1:$C$65535,5,V$1:V$65535)</f>
        <v>4970083447.3763733</v>
      </c>
      <c r="W68" s="17">
        <f>(V68/R68)-1</f>
        <v>-0.10803685377112593</v>
      </c>
      <c r="X68" s="15">
        <f>SUMIF($C$1:$C$65535,5,X$1:X$65535)</f>
        <v>3956222043.1443253</v>
      </c>
      <c r="Y68" s="15">
        <f>X68/P68</f>
        <v>12635.590589674488</v>
      </c>
      <c r="Z68" s="14"/>
      <c r="AA68" s="14">
        <f>Y68/$Y$62-1</f>
        <v>0.15031966616143588</v>
      </c>
      <c r="AB68" s="14"/>
      <c r="AC68" s="11">
        <f>IFERROR(K68/J68*G68/P68,0)</f>
        <v>20676.729105760533</v>
      </c>
    </row>
    <row r="70" spans="1:29" x14ac:dyDescent="0.5">
      <c r="E70" s="421"/>
      <c r="K70" s="61"/>
      <c r="L70" s="59"/>
    </row>
    <row r="71" spans="1:29" x14ac:dyDescent="0.5">
      <c r="K71" s="60"/>
      <c r="L71" s="59"/>
    </row>
    <row r="72" spans="1:29" x14ac:dyDescent="0.5">
      <c r="L72" s="59"/>
    </row>
    <row r="73" spans="1:29" x14ac:dyDescent="0.5">
      <c r="L73" s="59"/>
    </row>
  </sheetData>
  <sheetCalcPr fullCalcOnLoad="1"/>
  <autoFilter ref="A2:AG54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76"/>
  <sheetViews>
    <sheetView zoomScale="90" zoomScaleNormal="90" workbookViewId="0">
      <pane xSplit="2" ySplit="2" topLeftCell="AB3" activePane="bottomRight" state="frozen"/>
      <selection pane="topRight" activeCell="C1" sqref="C1"/>
      <selection pane="bottomLeft" activeCell="A3" sqref="A3"/>
      <selection pane="bottomRight" activeCell="B22" sqref="B22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12.41796875" style="10" customWidth="1"/>
    <col min="4" max="4" width="23.68359375" style="11" bestFit="1" customWidth="1"/>
    <col min="5" max="7" width="17.68359375" style="11" hidden="1" customWidth="1"/>
    <col min="8" max="8" width="17.68359375" style="11" customWidth="1"/>
    <col min="9" max="9" width="18.15625" style="10" bestFit="1" customWidth="1"/>
    <col min="10" max="10" width="17.15625" style="11" customWidth="1"/>
    <col min="11" max="11" width="22.578125" style="11" customWidth="1"/>
    <col min="12" max="12" width="28.578125" style="11" bestFit="1" customWidth="1"/>
    <col min="13" max="13" width="12.41796875" style="10" customWidth="1"/>
    <col min="14" max="14" width="20.15625" style="12" customWidth="1"/>
    <col min="15" max="15" width="16.26171875" style="11" customWidth="1"/>
    <col min="16" max="16" width="20.578125" style="12" customWidth="1"/>
    <col min="17" max="17" width="21.41796875" style="12" customWidth="1"/>
    <col min="18" max="18" width="15.26171875" style="11" customWidth="1"/>
    <col min="19" max="19" width="18.41796875" style="12" customWidth="1"/>
    <col min="20" max="20" width="26" style="11" customWidth="1"/>
    <col min="21" max="21" width="21" style="12" customWidth="1"/>
    <col min="22" max="22" width="20" style="10" hidden="1" customWidth="1"/>
    <col min="23" max="23" width="20.15625" style="10" customWidth="1"/>
    <col min="24" max="24" width="25" style="11" customWidth="1"/>
    <col min="25" max="25" width="22.41796875" style="11" bestFit="1" customWidth="1"/>
    <col min="26" max="26" width="25" style="72" customWidth="1"/>
    <col min="27" max="27" width="22.83984375" style="71" bestFit="1" customWidth="1"/>
    <col min="28" max="28" width="17" style="10" customWidth="1"/>
    <col min="29" max="29" width="17.68359375" style="10" bestFit="1" customWidth="1"/>
    <col min="30" max="30" width="18" style="10" customWidth="1"/>
    <col min="31" max="31" width="0" style="10" hidden="1" customWidth="1"/>
    <col min="32" max="32" width="0" style="341" hidden="1" customWidth="1"/>
    <col min="33" max="33" width="0" style="342" hidden="1" customWidth="1"/>
    <col min="34" max="34" width="0" style="341" hidden="1" customWidth="1"/>
    <col min="35" max="35" width="0" style="342" hidden="1" customWidth="1"/>
    <col min="36" max="16384" width="12.41796875" style="10"/>
  </cols>
  <sheetData>
    <row r="1" spans="1:35" ht="46.5" x14ac:dyDescent="1.5">
      <c r="A1" s="56" t="s">
        <v>499</v>
      </c>
      <c r="B1" s="55"/>
      <c r="C1" s="55"/>
      <c r="D1" s="50"/>
      <c r="E1" s="50"/>
      <c r="F1" s="50"/>
      <c r="G1" s="50"/>
      <c r="H1" s="50"/>
      <c r="I1" s="55"/>
      <c r="J1" s="50"/>
      <c r="K1" s="50"/>
      <c r="L1" s="50"/>
      <c r="M1" s="49"/>
      <c r="N1" s="53"/>
      <c r="O1" s="50"/>
      <c r="P1" s="53"/>
      <c r="Q1" s="53"/>
      <c r="S1" s="53"/>
      <c r="T1" s="50"/>
      <c r="U1" s="53"/>
      <c r="V1" s="49"/>
      <c r="W1" s="49"/>
      <c r="X1" s="50"/>
      <c r="Z1" s="91"/>
      <c r="AF1" s="339"/>
      <c r="AG1" s="340"/>
      <c r="AH1" s="339"/>
      <c r="AI1" s="340"/>
    </row>
    <row r="2" spans="1:35" ht="104.4" x14ac:dyDescent="0.55000000000000004">
      <c r="A2" s="48" t="s">
        <v>106</v>
      </c>
      <c r="B2" s="47" t="s">
        <v>105</v>
      </c>
      <c r="C2" s="47" t="s">
        <v>104</v>
      </c>
      <c r="D2" s="40" t="s">
        <v>175</v>
      </c>
      <c r="E2" s="287" t="s">
        <v>174</v>
      </c>
      <c r="F2" s="40" t="s">
        <v>173</v>
      </c>
      <c r="G2" s="40" t="s">
        <v>172</v>
      </c>
      <c r="H2" s="40" t="s">
        <v>171</v>
      </c>
      <c r="I2" s="41" t="s">
        <v>92</v>
      </c>
      <c r="J2" s="40" t="s">
        <v>170</v>
      </c>
      <c r="K2" s="40" t="s">
        <v>169</v>
      </c>
      <c r="L2" s="40" t="s">
        <v>168</v>
      </c>
      <c r="M2" s="44" t="s">
        <v>94</v>
      </c>
      <c r="N2" s="42" t="s">
        <v>167</v>
      </c>
      <c r="O2" s="40" t="s">
        <v>166</v>
      </c>
      <c r="P2" s="42" t="s">
        <v>96</v>
      </c>
      <c r="Q2" s="42" t="s">
        <v>165</v>
      </c>
      <c r="R2" s="40" t="s">
        <v>164</v>
      </c>
      <c r="S2" s="42" t="s">
        <v>163</v>
      </c>
      <c r="T2" s="42" t="s">
        <v>162</v>
      </c>
      <c r="U2" s="40" t="s">
        <v>161</v>
      </c>
      <c r="V2" s="39" t="s">
        <v>160</v>
      </c>
      <c r="W2" s="39" t="s">
        <v>159</v>
      </c>
      <c r="X2" s="42" t="s">
        <v>158</v>
      </c>
      <c r="Y2" s="46" t="s">
        <v>157</v>
      </c>
      <c r="Z2" s="90" t="s">
        <v>156</v>
      </c>
      <c r="AA2" s="89" t="s">
        <v>155</v>
      </c>
      <c r="AB2" s="89" t="s">
        <v>154</v>
      </c>
      <c r="AC2" s="46" t="s">
        <v>153</v>
      </c>
      <c r="AD2" s="46" t="s">
        <v>152</v>
      </c>
      <c r="AE2" s="316" t="s">
        <v>471</v>
      </c>
    </row>
    <row r="3" spans="1:35" ht="17.7" x14ac:dyDescent="0.6">
      <c r="A3" s="37">
        <v>210001</v>
      </c>
      <c r="B3" s="26" t="str">
        <f>VLOOKUP(A3,'Variable Input'!$1:$1048576,2,FALSE)</f>
        <v>MERITUS MEDICAL CENTER</v>
      </c>
      <c r="C3" s="31">
        <f>VLOOKUP(A3,'Variable Input'!$1:$1048576,3,FALSE)</f>
        <v>1</v>
      </c>
      <c r="D3" s="87">
        <f>IF(C3=1,'Rate Application - ICC Cycle I'!$Y$65,IF(C3=3,'Rate Application - ICC Cycle I'!$Y$66,IF(C3=4,'Rate Application - ICC Cycle I'!$Y$67,IF(C3=5,'Rate Application - ICC Cycle I'!$Y$68,0))))</f>
        <v>10459.948799491758</v>
      </c>
      <c r="E3" s="87">
        <v>0</v>
      </c>
      <c r="F3" s="87">
        <f>IF(C3=1,E3*(I3/$I$65),IF(C3=3,E3*(I3/$I$66),IF(C3=4,E3*(I3/$I$67),E3*(I3/$I$68))))</f>
        <v>0</v>
      </c>
      <c r="G3" s="87">
        <v>0</v>
      </c>
      <c r="H3" s="87">
        <f>D3*(1-PROFIT!$H$58)</f>
        <v>10424.16020405957</v>
      </c>
      <c r="I3" s="65">
        <f>VLOOKUP(A3,'Rate Application - REM Cycle I'!$1:$65535,15,FALSE)</f>
        <v>29234.020255178955</v>
      </c>
      <c r="J3" s="19">
        <f>VLOOKUP(A3,'Rate Application - ICC Cycle I'!$1:$65535,20,FALSE)/I3</f>
        <v>81.226447456567413</v>
      </c>
      <c r="K3" s="11">
        <f t="shared" ref="K3:K34" si="0">+H3+J3</f>
        <v>10505.386651516137</v>
      </c>
      <c r="L3" s="11">
        <f>(K3*I3)+VLOOKUP(A3,'Rate Application - ICC Cycle I'!$1:$1048576,21,FALSE)</f>
        <v>395148787.56731808</v>
      </c>
      <c r="M3" s="36">
        <f>VLOOKUP(A3,'Variable Input'!$1:$1048576,23,FALSE)</f>
        <v>0.99671861092415948</v>
      </c>
      <c r="N3" s="22">
        <f t="shared" ref="N3:N34" si="1">L3*M3</f>
        <v>393852150.65246308</v>
      </c>
      <c r="O3" s="19">
        <f t="shared" ref="O3:O34" si="2">IFERROR(N3/I3,0)</f>
        <v>13472.390975123928</v>
      </c>
      <c r="P3" s="18">
        <f>VLOOKUP(A3,'Rate Application - REM Cycle I'!$1:$65535,11,FALSE)</f>
        <v>6625379.0220225165</v>
      </c>
      <c r="Q3" s="18">
        <f t="shared" ref="Q3:Q34" si="3">N3+P3</f>
        <v>400477529.67448562</v>
      </c>
      <c r="R3" s="19">
        <f t="shared" ref="R3:R34" si="4">IFERROR(Q3/I3,0)</f>
        <v>13699.023472611127</v>
      </c>
      <c r="S3" s="81">
        <f>VLOOKUP(A3,'Rate Application - REM Cycle I'!$1:$65535,9,FALSE)</f>
        <v>1.1196537153887776</v>
      </c>
      <c r="T3" s="19">
        <f t="shared" ref="T3:T34" si="5">Q3*S3</f>
        <v>448396154.02975726</v>
      </c>
      <c r="U3" s="22">
        <f t="shared" ref="U3:U34" si="6">IFERROR(T3/I3,0)</f>
        <v>15338.162528307123</v>
      </c>
      <c r="V3" s="88">
        <f>IFERROR(VLOOKUP(A4,'PAU Volume'!AX:AZ,3,FALSE)-VLOOKUP(A4,'PAU Volume'!#REF!,4,FALSE)+VLOOKUP(A4,'PAU Volume'!#REF!,2,FALSE),0)*0</f>
        <v>0</v>
      </c>
      <c r="W3" s="79">
        <f t="shared" ref="W3:W34" si="7">I3+V3</f>
        <v>29234.020255178955</v>
      </c>
      <c r="X3" s="15">
        <f t="shared" ref="X3:X34" si="8">W3*U3</f>
        <v>448396154.02975726</v>
      </c>
      <c r="Y3" s="11">
        <f>VLOOKUP(A3,'Rate Application - REM Cycle I'!$1:$65535,7,FALSE)</f>
        <v>409229772.57070911</v>
      </c>
      <c r="Z3" s="78">
        <f t="shared" ref="Z3:Z34" si="9">IFERROR(X3/Y3-1," ")</f>
        <v>9.5707556204945421E-2</v>
      </c>
      <c r="AA3" s="82">
        <f>IFERROR(VLOOKUP(A3,'GBR Revenue for ICC'!#REF!,17,FALSE),0)</f>
        <v>0</v>
      </c>
      <c r="AB3" s="82">
        <f t="shared" ref="AB3:AB34" si="10">IFERROR(AA3*(1+Z3),0)</f>
        <v>0</v>
      </c>
      <c r="AC3" s="11">
        <f t="shared" ref="AC3:AC34" si="11">Y3+AA3</f>
        <v>409229772.57070911</v>
      </c>
      <c r="AD3" s="11">
        <f t="shared" ref="AD3:AD34" si="12">X3+AB3</f>
        <v>448396154.02975726</v>
      </c>
      <c r="AE3" s="10">
        <v>1</v>
      </c>
      <c r="AF3" s="343">
        <f>VLOOKUP(A3,[1]icc_by_hosp_year!$A:$IV,9,FALSE)</f>
        <v>-2.01151472760598E-2</v>
      </c>
      <c r="AG3" s="344">
        <f t="shared" ref="AG3:AG34" si="13">AF3-Z3</f>
        <v>-0.11582270348100522</v>
      </c>
      <c r="AH3" s="343">
        <f>VLOOKUP(A3,'[2]Rate Application - ICC Cycle II'!$A:$IV,26,FALSE)</f>
        <v>-6.9814479414345709E-2</v>
      </c>
      <c r="AI3" s="344">
        <f t="shared" ref="AI3:AI34" si="14">AH3-Z3</f>
        <v>-0.16552203561929113</v>
      </c>
    </row>
    <row r="4" spans="1:35" ht="17.7" x14ac:dyDescent="0.6">
      <c r="A4" s="37">
        <v>210002</v>
      </c>
      <c r="B4" s="26" t="str">
        <f>VLOOKUP(A4,'Variable Input'!$1:$1048576,2,FALSE)</f>
        <v>UNIVERSITY OF MARYLAND MEDICAL CENTER</v>
      </c>
      <c r="C4" s="31">
        <f>VLOOKUP(A4,'Variable Input'!$1:$1048576,3,FALSE)</f>
        <v>5</v>
      </c>
      <c r="D4" s="87">
        <f>IF(C4=1,'Rate Application - ICC Cycle I'!$Y$65,IF(C4=3,'Rate Application - ICC Cycle I'!$Y$66,IF(C4=4,'Rate Application - ICC Cycle I'!$Y$67,IF(C4=5,'Rate Application - ICC Cycle I'!$Y$68,0))))</f>
        <v>12635.590589674488</v>
      </c>
      <c r="E4" s="87">
        <v>0</v>
      </c>
      <c r="F4" s="87">
        <v>0</v>
      </c>
      <c r="G4" s="87">
        <v>0</v>
      </c>
      <c r="H4" s="87">
        <f>D4*(1-PROFIT!$H$58)</f>
        <v>12592.358060689012</v>
      </c>
      <c r="I4" s="65">
        <f>VLOOKUP(A4,'Rate Application - REM Cycle I'!$1:$65535,15,FALSE)</f>
        <v>53406.112545307114</v>
      </c>
      <c r="J4" s="19">
        <f>VLOOKUP(A4,'Rate Application - ICC Cycle I'!$1:$65535,20,FALSE)/I4</f>
        <v>2904.7925350190649</v>
      </c>
      <c r="K4" s="11">
        <f t="shared" si="0"/>
        <v>15497.150595708077</v>
      </c>
      <c r="L4" s="11">
        <f>(K4*I4)+VLOOKUP(A4,'Rate Application - ICC Cycle I'!$1:$1048576,21,FALSE)</f>
        <v>1018149381.1515849</v>
      </c>
      <c r="M4" s="36">
        <f>VLOOKUP(A4,'Variable Input'!$1:$1048576,23,FALSE)</f>
        <v>0.99671861092415948</v>
      </c>
      <c r="N4" s="22">
        <f t="shared" si="1"/>
        <v>1014808436.8947003</v>
      </c>
      <c r="O4" s="19">
        <f t="shared" si="2"/>
        <v>19001.728239137174</v>
      </c>
      <c r="P4" s="18">
        <f>VLOOKUP(A4,'Rate Application - REM Cycle I'!$1:$65535,11,FALSE)</f>
        <v>59584704.514455065</v>
      </c>
      <c r="Q4" s="18">
        <f t="shared" si="3"/>
        <v>1074393141.4091554</v>
      </c>
      <c r="R4" s="19">
        <f t="shared" si="4"/>
        <v>20117.4189658102</v>
      </c>
      <c r="S4" s="81">
        <f>VLOOKUP(A4,'Rate Application - REM Cycle I'!$1:$65535,9,FALSE)</f>
        <v>1.1149630516096494</v>
      </c>
      <c r="T4" s="19">
        <f t="shared" si="5"/>
        <v>1197908655.5740294</v>
      </c>
      <c r="U4" s="22">
        <f t="shared" si="6"/>
        <v>22430.178840629578</v>
      </c>
      <c r="V4" s="88">
        <f>IFERROR(VLOOKUP(A5,'PAU Volume'!AX:AZ,3,FALSE)-VLOOKUP(A5,'PAU Volume'!#REF!,4,FALSE)+VLOOKUP(A5,'PAU Volume'!#REF!,2,FALSE),0)*0</f>
        <v>0</v>
      </c>
      <c r="W4" s="79">
        <f t="shared" si="7"/>
        <v>53406.112545307114</v>
      </c>
      <c r="X4" s="15">
        <f t="shared" si="8"/>
        <v>1197908655.5740294</v>
      </c>
      <c r="Y4" s="11">
        <f>VLOOKUP(A4,'Rate Application - REM Cycle I'!$1:$65535,7,FALSE)</f>
        <v>1331249266.2329757</v>
      </c>
      <c r="Z4" s="78">
        <f t="shared" si="9"/>
        <v>-0.10016201626631427</v>
      </c>
      <c r="AA4" s="82">
        <f>IFERROR(VLOOKUP(A4,'GBR Revenue for ICC'!#REF!,17,FALSE),0)</f>
        <v>0</v>
      </c>
      <c r="AB4" s="82">
        <f t="shared" si="10"/>
        <v>0</v>
      </c>
      <c r="AC4" s="11">
        <f t="shared" si="11"/>
        <v>1331249266.2329757</v>
      </c>
      <c r="AD4" s="11">
        <f t="shared" si="12"/>
        <v>1197908655.5740294</v>
      </c>
      <c r="AE4" s="10">
        <v>1</v>
      </c>
      <c r="AF4" s="343" t="e">
        <f>VLOOKUP(A4,[1]icc_by_hosp_year!$A:$IV,9,FALSE)</f>
        <v>#N/A</v>
      </c>
      <c r="AG4" s="344" t="e">
        <f t="shared" si="13"/>
        <v>#N/A</v>
      </c>
      <c r="AH4" s="343">
        <f>VLOOKUP(A4,'[2]Rate Application - ICC Cycle II'!$A:$IV,26,FALSE)</f>
        <v>-0.10382550635255627</v>
      </c>
      <c r="AI4" s="344">
        <f t="shared" si="14"/>
        <v>-3.663490086242005E-3</v>
      </c>
    </row>
    <row r="5" spans="1:35" ht="17.7" x14ac:dyDescent="0.6">
      <c r="A5" s="37">
        <v>210003</v>
      </c>
      <c r="B5" s="26" t="str">
        <f>VLOOKUP(A5,'Variable Input'!$1:$1048576,2,FALSE)</f>
        <v>PRINCE GEORGES HOSPITAL CENTER</v>
      </c>
      <c r="C5" s="31">
        <f>VLOOKUP(A5,'Variable Input'!$1:$1048576,3,FALSE)</f>
        <v>1</v>
      </c>
      <c r="D5" s="87">
        <f>IF(C5=1,'Rate Application - ICC Cycle I'!$Y$65,IF(C5=3,'Rate Application - ICC Cycle I'!$Y$66,IF(C5=4,'Rate Application - ICC Cycle I'!$Y$67,IF(C5=5,'Rate Application - ICC Cycle I'!$Y$68,0))))</f>
        <v>10459.948799491758</v>
      </c>
      <c r="E5" s="87">
        <v>0</v>
      </c>
      <c r="F5" s="87">
        <f>IF(C5=1,E5*(I5/$I$65),IF(C5=3,E5*(I5/$I$66),IF(C5=4,E5*(I5/$I$67),E5*(I5/$I$68))))</f>
        <v>0</v>
      </c>
      <c r="G5" s="87">
        <v>0</v>
      </c>
      <c r="H5" s="87">
        <f>D5*(1-PROFIT!$H$58)</f>
        <v>10424.16020405957</v>
      </c>
      <c r="I5" s="65">
        <f>VLOOKUP(A5,'Rate Application - REM Cycle I'!$1:$65535,15,FALSE)</f>
        <v>16622.361523679996</v>
      </c>
      <c r="J5" s="19">
        <f>VLOOKUP(A5,'Rate Application - ICC Cycle I'!$1:$65535,20,FALSE)/I5</f>
        <v>380.94476637289404</v>
      </c>
      <c r="K5" s="11">
        <f t="shared" si="0"/>
        <v>10805.104970432463</v>
      </c>
      <c r="L5" s="11">
        <f>(K5*I5)+VLOOKUP(A5,'Rate Application - ICC Cycle I'!$1:$1048576,21,FALSE)</f>
        <v>249830442.94021666</v>
      </c>
      <c r="M5" s="36">
        <f>VLOOKUP(A5,'Variable Input'!$1:$1048576,23,FALSE)</f>
        <v>1.0181752931904677</v>
      </c>
      <c r="N5" s="22">
        <f t="shared" si="1"/>
        <v>254371184.48855951</v>
      </c>
      <c r="O5" s="19">
        <f t="shared" si="2"/>
        <v>15302.95103533789</v>
      </c>
      <c r="P5" s="18">
        <f>VLOOKUP(A5,'Rate Application - REM Cycle I'!$1:$65535,11,FALSE)</f>
        <v>10600897.780621644</v>
      </c>
      <c r="Q5" s="18">
        <f t="shared" si="3"/>
        <v>264972082.26918116</v>
      </c>
      <c r="R5" s="19">
        <f t="shared" si="4"/>
        <v>15940.700236347611</v>
      </c>
      <c r="S5" s="81">
        <f>VLOOKUP(A5,'Rate Application - REM Cycle I'!$1:$65535,9,FALSE)</f>
        <v>1.1150592197193865</v>
      </c>
      <c r="T5" s="19">
        <f t="shared" si="5"/>
        <v>295459563.30249423</v>
      </c>
      <c r="U5" s="22">
        <f t="shared" si="6"/>
        <v>17774.824767322407</v>
      </c>
      <c r="V5" s="88">
        <f>IFERROR(VLOOKUP(A6,'PAU Volume'!AX:AZ,3,FALSE)-VLOOKUP(A6,'PAU Volume'!#REF!,4,FALSE)+VLOOKUP(A6,'PAU Volume'!#REF!,2,FALSE),0)*0</f>
        <v>0</v>
      </c>
      <c r="W5" s="79">
        <f t="shared" si="7"/>
        <v>16622.361523679996</v>
      </c>
      <c r="X5" s="15">
        <f t="shared" si="8"/>
        <v>295459563.30249423</v>
      </c>
      <c r="Y5" s="11">
        <f>VLOOKUP(A5,'Rate Application - REM Cycle I'!$1:$65535,7,FALSE)</f>
        <v>379598110.09410959</v>
      </c>
      <c r="Z5" s="78">
        <f t="shared" si="9"/>
        <v>-0.22165164829391748</v>
      </c>
      <c r="AA5" s="82">
        <f>IFERROR(VLOOKUP(A5,'GBR Revenue for ICC'!#REF!,17,FALSE),0)</f>
        <v>0</v>
      </c>
      <c r="AB5" s="82">
        <f t="shared" si="10"/>
        <v>0</v>
      </c>
      <c r="AC5" s="11">
        <f t="shared" si="11"/>
        <v>379598110.09410959</v>
      </c>
      <c r="AD5" s="11">
        <f t="shared" si="12"/>
        <v>295459563.30249423</v>
      </c>
      <c r="AE5" s="10">
        <v>1</v>
      </c>
      <c r="AF5" s="343">
        <f>VLOOKUP(A5,[1]icc_by_hosp_year!$A:$IV,9,FALSE)</f>
        <v>-0.16148016603100099</v>
      </c>
      <c r="AG5" s="345">
        <f t="shared" si="13"/>
        <v>6.0171482262916492E-2</v>
      </c>
      <c r="AH5" s="343">
        <f>VLOOKUP(A5,'[2]Rate Application - ICC Cycle II'!$A:$IV,26,FALSE)</f>
        <v>-0.13547416498421527</v>
      </c>
      <c r="AI5" s="344">
        <f t="shared" si="14"/>
        <v>8.6177483309702207E-2</v>
      </c>
    </row>
    <row r="6" spans="1:35" ht="17.7" x14ac:dyDescent="0.6">
      <c r="A6" s="37">
        <v>210004</v>
      </c>
      <c r="B6" s="26" t="str">
        <f>VLOOKUP(A6,'Variable Input'!$1:$1048576,2,FALSE)</f>
        <v>HOLY CROSS HOSPITAL</v>
      </c>
      <c r="C6" s="31">
        <f>VLOOKUP(A6,'Variable Input'!$1:$1048576,3,FALSE)</f>
        <v>1</v>
      </c>
      <c r="D6" s="87">
        <f>IF(C6=1,'Rate Application - ICC Cycle I'!$Y$65,IF(C6=3,'Rate Application - ICC Cycle I'!$Y$66,IF(C6=4,'Rate Application - ICC Cycle I'!$Y$67,IF(C6=5,'Rate Application - ICC Cycle I'!$Y$68,0))))</f>
        <v>10459.948799491758</v>
      </c>
      <c r="E6" s="87">
        <v>0</v>
      </c>
      <c r="F6" s="87">
        <v>0</v>
      </c>
      <c r="G6" s="87">
        <v>0</v>
      </c>
      <c r="H6" s="87">
        <f>D6*(1-PROFIT!$H$58)</f>
        <v>10424.16020405957</v>
      </c>
      <c r="I6" s="65">
        <f>VLOOKUP(A6,'Rate Application - REM Cycle I'!$1:$65535,15,FALSE)</f>
        <v>35389.172988776867</v>
      </c>
      <c r="J6" s="19">
        <f>VLOOKUP(A6,'Rate Application - ICC Cycle I'!$1:$65535,20,FALSE)/I6</f>
        <v>70.826647410772608</v>
      </c>
      <c r="K6" s="11">
        <f t="shared" si="0"/>
        <v>10494.986851470343</v>
      </c>
      <c r="L6" s="11">
        <f>(K6*I6)+VLOOKUP(A6,'Rate Application - ICC Cycle I'!$1:$1048576,21,FALSE)</f>
        <v>498975274.11881495</v>
      </c>
      <c r="M6" s="36">
        <f>VLOOKUP(A6,'Variable Input'!$1:$1048576,23,FALSE)</f>
        <v>1.0181752931904677</v>
      </c>
      <c r="N6" s="22">
        <f t="shared" si="1"/>
        <v>508044296.0207184</v>
      </c>
      <c r="O6" s="19">
        <f t="shared" si="2"/>
        <v>14355.924513461698</v>
      </c>
      <c r="P6" s="18">
        <f>VLOOKUP(A6,'Rate Application - REM Cycle I'!$1:$65535,11,FALSE)</f>
        <v>1942313.1270902995</v>
      </c>
      <c r="Q6" s="18">
        <f t="shared" si="3"/>
        <v>509986609.14780867</v>
      </c>
      <c r="R6" s="19">
        <f t="shared" si="4"/>
        <v>14410.80890219003</v>
      </c>
      <c r="S6" s="81">
        <f>VLOOKUP(A6,'Rate Application - REM Cycle I'!$1:$65535,9,FALSE)</f>
        <v>1.1099846191041804</v>
      </c>
      <c r="T6" s="19">
        <f t="shared" si="5"/>
        <v>566077292.103163</v>
      </c>
      <c r="U6" s="22">
        <f t="shared" si="6"/>
        <v>15995.776230280537</v>
      </c>
      <c r="V6" s="88">
        <f>IFERROR(VLOOKUP(A7,'PAU Volume'!AX:AZ,3,FALSE)-VLOOKUP(A7,'PAU Volume'!#REF!,4,FALSE)+VLOOKUP(A7,'PAU Volume'!#REF!,2,FALSE),0)*0</f>
        <v>0</v>
      </c>
      <c r="W6" s="79">
        <f t="shared" si="7"/>
        <v>35389.172988776867</v>
      </c>
      <c r="X6" s="15">
        <f t="shared" si="8"/>
        <v>566077292.103163</v>
      </c>
      <c r="Y6" s="11">
        <f>VLOOKUP(A6,'Rate Application - REM Cycle I'!$1:$65535,7,FALSE)</f>
        <v>562162526.23688054</v>
      </c>
      <c r="Z6" s="78">
        <f t="shared" si="9"/>
        <v>6.963761694483539E-3</v>
      </c>
      <c r="AA6" s="82">
        <f>IFERROR(VLOOKUP(A6,'GBR Revenue for ICC'!#REF!,17,FALSE),0)</f>
        <v>0</v>
      </c>
      <c r="AB6" s="82">
        <f t="shared" si="10"/>
        <v>0</v>
      </c>
      <c r="AC6" s="11">
        <f t="shared" si="11"/>
        <v>562162526.23688054</v>
      </c>
      <c r="AD6" s="11">
        <f t="shared" si="12"/>
        <v>566077292.103163</v>
      </c>
      <c r="AF6" s="343">
        <f>VLOOKUP(A6,[1]icc_by_hosp_year!$A:$IV,9,FALSE)</f>
        <v>2.1162219068259699E-2</v>
      </c>
      <c r="AG6" s="344">
        <f t="shared" si="13"/>
        <v>1.419845737377616E-2</v>
      </c>
      <c r="AH6" s="343">
        <f>VLOOKUP(A6,'[2]Rate Application - ICC Cycle II'!$A:$IV,26,FALSE)</f>
        <v>-0.99206349713943087</v>
      </c>
      <c r="AI6" s="344">
        <f t="shared" si="14"/>
        <v>-0.99902725883391441</v>
      </c>
    </row>
    <row r="7" spans="1:35" ht="17.7" x14ac:dyDescent="0.6">
      <c r="A7" s="37">
        <v>210005</v>
      </c>
      <c r="B7" s="26" t="str">
        <f>VLOOKUP(A7,'Variable Input'!$1:$1048576,2,FALSE)</f>
        <v>FREDERICK MEMORIAL HOSPITAL</v>
      </c>
      <c r="C7" s="31">
        <f>VLOOKUP(A7,'Variable Input'!$1:$1048576,3,FALSE)</f>
        <v>1</v>
      </c>
      <c r="D7" s="87">
        <f>IF(C7=1,'Rate Application - ICC Cycle I'!$Y$65,IF(C7=3,'Rate Application - ICC Cycle I'!$Y$66,IF(C7=4,'Rate Application - ICC Cycle I'!$Y$67,IF(C7=5,'Rate Application - ICC Cycle I'!$Y$68,0))))</f>
        <v>10459.948799491758</v>
      </c>
      <c r="E7" s="87">
        <v>0</v>
      </c>
      <c r="F7" s="87">
        <f>IF(C7=1,E7*(I7/$I$65),IF(C7=3,E7*(I7/$I$66),IF(C7=4,E7*(I7/$I$67),E7*(I7/$I$68))))</f>
        <v>0</v>
      </c>
      <c r="G7" s="87">
        <v>0</v>
      </c>
      <c r="H7" s="87">
        <f>D7*(1-PROFIT!$H$58)</f>
        <v>10424.16020405957</v>
      </c>
      <c r="I7" s="65">
        <f>VLOOKUP(A7,'Rate Application - REM Cycle I'!$1:$65535,15,FALSE)</f>
        <v>24661.79924888902</v>
      </c>
      <c r="J7" s="19">
        <f>VLOOKUP(A7,'Rate Application - ICC Cycle I'!$1:$65535,20,FALSE)/I7</f>
        <v>0</v>
      </c>
      <c r="K7" s="11">
        <f t="shared" si="0"/>
        <v>10424.16020405957</v>
      </c>
      <c r="L7" s="11">
        <f>(K7*I7)+VLOOKUP(A7,'Rate Application - ICC Cycle I'!$1:$1048576,21,FALSE)</f>
        <v>313543827.42345536</v>
      </c>
      <c r="M7" s="36">
        <f>VLOOKUP(A7,'Variable Input'!$1:$1048576,23,FALSE)</f>
        <v>0.99671861092415948</v>
      </c>
      <c r="N7" s="22">
        <f t="shared" si="1"/>
        <v>312514968.13335079</v>
      </c>
      <c r="O7" s="19">
        <f t="shared" si="2"/>
        <v>12672.026277540523</v>
      </c>
      <c r="P7" s="18">
        <f>VLOOKUP(A7,'Rate Application - REM Cycle I'!$1:$65535,11,FALSE)</f>
        <v>424862.32800000021</v>
      </c>
      <c r="Q7" s="18">
        <f t="shared" si="3"/>
        <v>312939830.4613508</v>
      </c>
      <c r="R7" s="19">
        <f t="shared" si="4"/>
        <v>12689.253825446183</v>
      </c>
      <c r="S7" s="81">
        <f>VLOOKUP(A7,'Rate Application - REM Cycle I'!$1:$65535,9,FALSE)</f>
        <v>1.1133096880777904</v>
      </c>
      <c r="T7" s="19">
        <f t="shared" si="5"/>
        <v>348398945.03804308</v>
      </c>
      <c r="U7" s="22">
        <f t="shared" si="6"/>
        <v>14127.0692183474</v>
      </c>
      <c r="V7" s="88">
        <f>IFERROR(VLOOKUP(A8,'PAU Volume'!AX:AZ,3,FALSE)-VLOOKUP(A8,'PAU Volume'!#REF!,4,FALSE)+VLOOKUP(A8,'PAU Volume'!#REF!,2,FALSE),0)*0</f>
        <v>0</v>
      </c>
      <c r="W7" s="79">
        <f t="shared" si="7"/>
        <v>24661.79924888902</v>
      </c>
      <c r="X7" s="15">
        <f t="shared" si="8"/>
        <v>348398945.03804308</v>
      </c>
      <c r="Y7" s="11">
        <f>VLOOKUP(A7,'Rate Application - REM Cycle I'!$1:$65535,7,FALSE)</f>
        <v>403201661.03720772</v>
      </c>
      <c r="Z7" s="78">
        <f t="shared" si="9"/>
        <v>-0.13591887458545815</v>
      </c>
      <c r="AA7" s="82">
        <f>IFERROR(VLOOKUP(A7,'GBR Revenue for ICC'!#REF!,17,FALSE),0)</f>
        <v>0</v>
      </c>
      <c r="AB7" s="82">
        <f t="shared" si="10"/>
        <v>0</v>
      </c>
      <c r="AC7" s="11">
        <f t="shared" si="11"/>
        <v>403201661.03720772</v>
      </c>
      <c r="AD7" s="11">
        <f t="shared" si="12"/>
        <v>348398945.03804308</v>
      </c>
      <c r="AE7" s="10">
        <v>1</v>
      </c>
      <c r="AF7" s="343">
        <f>VLOOKUP(A7,[1]icc_by_hosp_year!$A:$IV,9,FALSE)</f>
        <v>-0.120872183450958</v>
      </c>
      <c r="AG7" s="344">
        <f t="shared" si="13"/>
        <v>1.5046691134500148E-2</v>
      </c>
      <c r="AH7" s="343">
        <f>VLOOKUP(A7,'[2]Rate Application - ICC Cycle II'!$A:$IV,26,FALSE)</f>
        <v>-9.5554970999838451E-2</v>
      </c>
      <c r="AI7" s="344">
        <f t="shared" si="14"/>
        <v>4.0363903585619698E-2</v>
      </c>
    </row>
    <row r="8" spans="1:35" ht="17.7" x14ac:dyDescent="0.6">
      <c r="A8" s="37">
        <v>210006</v>
      </c>
      <c r="B8" s="26" t="str">
        <f>VLOOKUP(A8,'Variable Input'!$1:$1048576,2,FALSE)</f>
        <v>UM-HARFORD MEMORIAL HOSPITAL</v>
      </c>
      <c r="C8" s="31">
        <f>VLOOKUP(A8,'Variable Input'!$1:$1048576,3,FALSE)</f>
        <v>1</v>
      </c>
      <c r="D8" s="87">
        <f>IF(C8=1,'Rate Application - ICC Cycle I'!$Y$65,IF(C8=3,'Rate Application - ICC Cycle I'!$Y$66,IF(C8=4,'Rate Application - ICC Cycle I'!$Y$67,IF(C8=5,'Rate Application - ICC Cycle I'!$Y$68,0))))</f>
        <v>10459.948799491758</v>
      </c>
      <c r="E8" s="87">
        <v>0</v>
      </c>
      <c r="F8" s="87">
        <v>0</v>
      </c>
      <c r="G8" s="87">
        <v>0</v>
      </c>
      <c r="H8" s="87">
        <f>D8*(1-PROFIT!$H$58)</f>
        <v>10424.16020405957</v>
      </c>
      <c r="I8" s="65">
        <f>VLOOKUP(A8,'Rate Application - REM Cycle I'!$1:$65535,15,FALSE)</f>
        <v>6404.5558703010038</v>
      </c>
      <c r="J8" s="19">
        <f>VLOOKUP(A8,'Rate Application - ICC Cycle I'!$1:$65535,20,FALSE)/I8</f>
        <v>0</v>
      </c>
      <c r="K8" s="11">
        <f t="shared" si="0"/>
        <v>10424.16020405957</v>
      </c>
      <c r="L8" s="11">
        <f>(K8*I8)+VLOOKUP(A8,'Rate Application - ICC Cycle I'!$1:$1048576,21,FALSE)</f>
        <v>89309509.991457298</v>
      </c>
      <c r="M8" s="36">
        <f>VLOOKUP(A8,'Variable Input'!$1:$1048576,23,FALSE)</f>
        <v>0.99671861092415948</v>
      </c>
      <c r="N8" s="22">
        <f t="shared" si="1"/>
        <v>89016450.741002664</v>
      </c>
      <c r="O8" s="19">
        <f t="shared" si="2"/>
        <v>13898.926411710581</v>
      </c>
      <c r="P8" s="18">
        <f>VLOOKUP(A8,'Rate Application - REM Cycle I'!$1:$65535,11,FALSE)</f>
        <v>0</v>
      </c>
      <c r="Q8" s="18">
        <f t="shared" si="3"/>
        <v>89016450.741002664</v>
      </c>
      <c r="R8" s="19">
        <f t="shared" si="4"/>
        <v>13898.926411710581</v>
      </c>
      <c r="S8" s="81">
        <f>VLOOKUP(A8,'Rate Application - REM Cycle I'!$1:$65535,9,FALSE)</f>
        <v>1.1180012832443968</v>
      </c>
      <c r="T8" s="19">
        <f t="shared" si="5"/>
        <v>99520506.15830262</v>
      </c>
      <c r="U8" s="22">
        <f t="shared" si="6"/>
        <v>15539.017564011869</v>
      </c>
      <c r="V8" s="88">
        <f>IFERROR(VLOOKUP(A9,'PAU Volume'!AX:AZ,3,FALSE)-VLOOKUP(A9,'PAU Volume'!#REF!,4,FALSE)+VLOOKUP(A9,'PAU Volume'!#REF!,2,FALSE),0)*0</f>
        <v>0</v>
      </c>
      <c r="W8" s="79">
        <f t="shared" si="7"/>
        <v>6404.5558703010038</v>
      </c>
      <c r="X8" s="15">
        <f t="shared" si="8"/>
        <v>99520506.15830262</v>
      </c>
      <c r="Y8" s="11">
        <f>VLOOKUP(A8,'Rate Application - REM Cycle I'!$1:$65535,7,FALSE)</f>
        <v>115237915.49091636</v>
      </c>
      <c r="Z8" s="78">
        <f t="shared" si="9"/>
        <v>-0.13639095488370456</v>
      </c>
      <c r="AA8" s="82">
        <f>IFERROR(VLOOKUP(A8,'GBR Revenue for ICC'!#REF!,17,FALSE),0)</f>
        <v>0</v>
      </c>
      <c r="AB8" s="82">
        <f t="shared" si="10"/>
        <v>0</v>
      </c>
      <c r="AC8" s="11">
        <f t="shared" si="11"/>
        <v>115237915.49091636</v>
      </c>
      <c r="AD8" s="11">
        <f t="shared" si="12"/>
        <v>99520506.15830262</v>
      </c>
      <c r="AE8" s="10">
        <v>1</v>
      </c>
      <c r="AF8" s="343">
        <f>VLOOKUP(A8,[1]icc_by_hosp_year!$A:$IV,9,FALSE)</f>
        <v>-0.12422177694521</v>
      </c>
      <c r="AG8" s="344">
        <f t="shared" si="13"/>
        <v>1.2169177938494563E-2</v>
      </c>
      <c r="AH8" s="343">
        <f>VLOOKUP(A8,'[2]Rate Application - ICC Cycle II'!$A:$IV,26,FALSE)</f>
        <v>-0.17686321135698713</v>
      </c>
      <c r="AI8" s="344">
        <f t="shared" si="14"/>
        <v>-4.0472256473282564E-2</v>
      </c>
    </row>
    <row r="9" spans="1:35" ht="17.7" x14ac:dyDescent="0.6">
      <c r="A9" s="37">
        <v>210008</v>
      </c>
      <c r="B9" s="26" t="str">
        <f>VLOOKUP(A9,'Variable Input'!$1:$1048576,2,FALSE)</f>
        <v>MERCY MEDICAL CENTER</v>
      </c>
      <c r="C9" s="31">
        <f>VLOOKUP(A9,'Variable Input'!$1:$1048576,3,FALSE)</f>
        <v>1</v>
      </c>
      <c r="D9" s="87">
        <f>IF(C9=1,'Rate Application - ICC Cycle I'!$Y$65,IF(C9=3,'Rate Application - ICC Cycle I'!$Y$66,IF(C9=4,'Rate Application - ICC Cycle I'!$Y$67,IF(C9=5,'Rate Application - ICC Cycle I'!$Y$68,0))))</f>
        <v>10459.948799491758</v>
      </c>
      <c r="E9" s="87">
        <v>0</v>
      </c>
      <c r="F9" s="87">
        <f>IF(C9=1,E9*(I9/$I$65),IF(C9=3,E9*(I9/$I$66),IF(C9=4,E9*(I9/$I$67),E9*(I9/$I$68))))</f>
        <v>0</v>
      </c>
      <c r="G9" s="87">
        <v>0</v>
      </c>
      <c r="H9" s="87">
        <f>D9*(1-PROFIT!$H$58)</f>
        <v>10424.16020405957</v>
      </c>
      <c r="I9" s="65">
        <f>VLOOKUP(A9,'Rate Application - REM Cycle I'!$1:$65535,15,FALSE)</f>
        <v>37187.68418079293</v>
      </c>
      <c r="J9" s="19">
        <f>VLOOKUP(A9,'Rate Application - ICC Cycle I'!$1:$65535,20,FALSE)/I9</f>
        <v>171.73315453928049</v>
      </c>
      <c r="K9" s="11">
        <f t="shared" si="0"/>
        <v>10595.893358598851</v>
      </c>
      <c r="L9" s="11">
        <f>(K9*I9)+VLOOKUP(A9,'Rate Application - ICC Cycle I'!$1:$1048576,21,FALSE)</f>
        <v>501927916.30060995</v>
      </c>
      <c r="M9" s="36">
        <f>VLOOKUP(A9,'Variable Input'!$1:$1048576,23,FALSE)</f>
        <v>0.99671861092415948</v>
      </c>
      <c r="N9" s="22">
        <f t="shared" si="1"/>
        <v>500280895.51920176</v>
      </c>
      <c r="O9" s="19">
        <f t="shared" si="2"/>
        <v>13452.865015391086</v>
      </c>
      <c r="P9" s="18">
        <f>VLOOKUP(A9,'Rate Application - REM Cycle I'!$1:$65535,11,FALSE)</f>
        <v>5003207.6874727393</v>
      </c>
      <c r="Q9" s="18">
        <f t="shared" si="3"/>
        <v>505284103.20667452</v>
      </c>
      <c r="R9" s="19">
        <f t="shared" si="4"/>
        <v>13587.404387704484</v>
      </c>
      <c r="S9" s="81">
        <f>VLOOKUP(A9,'Rate Application - REM Cycle I'!$1:$65535,9,FALSE)</f>
        <v>1.1102695565875482</v>
      </c>
      <c r="T9" s="19">
        <f t="shared" si="5"/>
        <v>561001557.2180115</v>
      </c>
      <c r="U9" s="22">
        <f t="shared" si="6"/>
        <v>15085.681444712367</v>
      </c>
      <c r="V9" s="88">
        <f>IFERROR(VLOOKUP(A10,'PAU Volume'!AX:AZ,3,FALSE)-VLOOKUP(A10,'PAU Volume'!#REF!,4,FALSE)+VLOOKUP(A10,'PAU Volume'!#REF!,2,FALSE),0)*0</f>
        <v>0</v>
      </c>
      <c r="W9" s="79">
        <f t="shared" si="7"/>
        <v>37187.68418079293</v>
      </c>
      <c r="X9" s="15">
        <f t="shared" si="8"/>
        <v>561001557.2180115</v>
      </c>
      <c r="Y9" s="11">
        <f>VLOOKUP(A9,'Rate Application - REM Cycle I'!$1:$65535,7,FALSE)</f>
        <v>630435213.30233288</v>
      </c>
      <c r="Z9" s="78">
        <f t="shared" si="9"/>
        <v>-0.11013606889217908</v>
      </c>
      <c r="AA9" s="82">
        <f>IFERROR(VLOOKUP(A9,'GBR Revenue for ICC'!#REF!,17,FALSE),0)</f>
        <v>0</v>
      </c>
      <c r="AB9" s="82">
        <f t="shared" si="10"/>
        <v>0</v>
      </c>
      <c r="AC9" s="11">
        <f t="shared" si="11"/>
        <v>630435213.30233288</v>
      </c>
      <c r="AD9" s="11">
        <f t="shared" si="12"/>
        <v>561001557.2180115</v>
      </c>
      <c r="AE9" s="10">
        <v>1</v>
      </c>
      <c r="AF9" s="343">
        <f>VLOOKUP(A9,[1]icc_by_hosp_year!$A:$IV,9,FALSE)</f>
        <v>-8.6383544097598006E-2</v>
      </c>
      <c r="AG9" s="344">
        <f t="shared" si="13"/>
        <v>2.3752524794581079E-2</v>
      </c>
      <c r="AH9" s="343">
        <f>VLOOKUP(A9,'[2]Rate Application - ICC Cycle II'!$A:$IV,26,FALSE)</f>
        <v>4.8554235909497478E-2</v>
      </c>
      <c r="AI9" s="344">
        <f t="shared" si="14"/>
        <v>0.15869030480167656</v>
      </c>
    </row>
    <row r="10" spans="1:35" ht="17.7" x14ac:dyDescent="0.6">
      <c r="A10" s="37">
        <v>210009</v>
      </c>
      <c r="B10" s="26" t="str">
        <f>VLOOKUP(A10,'Variable Input'!$1:$1048576,2,FALSE)</f>
        <v>JOHNS HOPKINS HOSPITAL</v>
      </c>
      <c r="C10" s="31">
        <f>VLOOKUP(A10,'Variable Input'!$1:$1048576,3,FALSE)</f>
        <v>5</v>
      </c>
      <c r="D10" s="87">
        <f>IF(C10=1,'Rate Application - ICC Cycle I'!$Y$65,IF(C10=3,'Rate Application - ICC Cycle I'!$Y$66,IF(C10=4,'Rate Application - ICC Cycle I'!$Y$67,IF(C10=5,'Rate Application - ICC Cycle I'!$Y$68,0))))</f>
        <v>12635.590589674488</v>
      </c>
      <c r="E10" s="87">
        <v>0</v>
      </c>
      <c r="F10" s="87">
        <v>0</v>
      </c>
      <c r="G10" s="87">
        <v>0</v>
      </c>
      <c r="H10" s="87">
        <f>D10*(1-PROFIT!$H$58)</f>
        <v>12592.358060689012</v>
      </c>
      <c r="I10" s="65">
        <f>VLOOKUP(A10,'Rate Application - REM Cycle I'!$1:$65535,15,FALSE)</f>
        <v>104111.82276682714</v>
      </c>
      <c r="J10" s="19">
        <f>VLOOKUP(A10,'Rate Application - ICC Cycle I'!$1:$65535,20,FALSE)/I10</f>
        <v>2718.743197387912</v>
      </c>
      <c r="K10" s="11">
        <f t="shared" si="0"/>
        <v>15311.101258076924</v>
      </c>
      <c r="L10" s="11">
        <f>(K10*I10)+VLOOKUP(A10,'Rate Application - ICC Cycle I'!$1:$1048576,21,FALSE)</f>
        <v>1883063640.8103728</v>
      </c>
      <c r="M10" s="36">
        <f>VLOOKUP(A10,'Variable Input'!$1:$1048576,23,FALSE)</f>
        <v>0.99671861092415948</v>
      </c>
      <c r="N10" s="22">
        <f t="shared" si="1"/>
        <v>1876884576.3503051</v>
      </c>
      <c r="O10" s="19">
        <f t="shared" si="2"/>
        <v>18027.583481597936</v>
      </c>
      <c r="P10" s="18">
        <f>VLOOKUP(A10,'Rate Application - REM Cycle I'!$1:$65535,11,FALSE)</f>
        <v>121878078.47076836</v>
      </c>
      <c r="Q10" s="18">
        <f t="shared" si="3"/>
        <v>1998762654.8210735</v>
      </c>
      <c r="R10" s="19">
        <f t="shared" si="4"/>
        <v>19198.229381667628</v>
      </c>
      <c r="S10" s="81">
        <f>VLOOKUP(A10,'Rate Application - REM Cycle I'!$1:$65535,9,FALSE)</f>
        <v>1.106052155233989</v>
      </c>
      <c r="T10" s="19">
        <f t="shared" si="5"/>
        <v>2210735742.1660581</v>
      </c>
      <c r="U10" s="22">
        <f t="shared" si="6"/>
        <v>21234.242984269971</v>
      </c>
      <c r="V10" s="88">
        <f>IFERROR(VLOOKUP(A11,'PAU Volume'!AX:AZ,3,FALSE)-VLOOKUP(A11,'PAU Volume'!#REF!,4,FALSE)+VLOOKUP(A11,'PAU Volume'!#REF!,2,FALSE),0)*0</f>
        <v>0</v>
      </c>
      <c r="W10" s="79">
        <f t="shared" si="7"/>
        <v>104111.82276682714</v>
      </c>
      <c r="X10" s="15">
        <f t="shared" si="8"/>
        <v>2210735742.1660581</v>
      </c>
      <c r="Y10" s="11">
        <f>VLOOKUP(A10,'Rate Application - REM Cycle I'!$1:$65535,7,FALSE)</f>
        <v>2426767253.0622015</v>
      </c>
      <c r="Z10" s="78">
        <f t="shared" si="9"/>
        <v>-8.9020284340636913E-2</v>
      </c>
      <c r="AA10" s="82">
        <f>IFERROR(VLOOKUP(A10,'GBR Revenue for ICC'!#REF!,17,FALSE),0)</f>
        <v>0</v>
      </c>
      <c r="AB10" s="82">
        <f t="shared" si="10"/>
        <v>0</v>
      </c>
      <c r="AC10" s="11">
        <f t="shared" si="11"/>
        <v>2426767253.0622015</v>
      </c>
      <c r="AD10" s="11">
        <f t="shared" si="12"/>
        <v>2210735742.1660581</v>
      </c>
      <c r="AE10" s="10">
        <v>1</v>
      </c>
      <c r="AF10" s="343" t="e">
        <f>VLOOKUP(A10,[1]icc_by_hosp_year!$A:$IV,9,FALSE)</f>
        <v>#N/A</v>
      </c>
      <c r="AG10" s="344" t="e">
        <f t="shared" si="13"/>
        <v>#N/A</v>
      </c>
      <c r="AH10" s="343">
        <f>VLOOKUP(A10,'[2]Rate Application - ICC Cycle II'!$A:$IV,26,FALSE)</f>
        <v>-3.6987251623275985E-2</v>
      </c>
      <c r="AI10" s="344">
        <f t="shared" si="14"/>
        <v>5.2033032717360927E-2</v>
      </c>
    </row>
    <row r="11" spans="1:35" ht="17.7" x14ac:dyDescent="0.6">
      <c r="A11" s="37">
        <v>210010</v>
      </c>
      <c r="B11" s="26" t="str">
        <f>VLOOKUP(A11,'Variable Input'!$1:$1048576,2,FALSE)</f>
        <v>UM-SHORE REGIONAL HEALTH AT DORCHESTER</v>
      </c>
      <c r="C11" s="31" t="str">
        <f>VLOOKUP(A11,'Variable Input'!$1:$1048576,3,FALSE)</f>
        <v>NA</v>
      </c>
      <c r="D11" s="87">
        <f>IF(C11=1,'Rate Application - ICC Cycle I'!$Y$65,IF(C11=3,'Rate Application - ICC Cycle I'!$Y$66,IF(C11=4,'Rate Application - ICC Cycle I'!$Y$67,IF(C11=5,'Rate Application - ICC Cycle I'!$Y$68,0))))</f>
        <v>0</v>
      </c>
      <c r="E11" s="87">
        <v>0</v>
      </c>
      <c r="F11" s="87">
        <f>IF(C11=1,E11*(I11/$I$65),IF(C11=3,E11*(I11/$I$66),IF(C11=4,E11*(I11/$I$67),E11*(I11/$I$68))))</f>
        <v>0</v>
      </c>
      <c r="G11" s="87">
        <v>0</v>
      </c>
      <c r="H11" s="87">
        <f>D11*(1-PROFIT!$H$58)</f>
        <v>0</v>
      </c>
      <c r="I11" s="65">
        <f>VLOOKUP(A11,'Rate Application - REM Cycle I'!$1:$65535,15,FALSE)</f>
        <v>1185.4899110060007</v>
      </c>
      <c r="J11" s="19">
        <f>VLOOKUP(A11,'Rate Application - ICC Cycle I'!$1:$65535,20,FALSE)/I11</f>
        <v>0</v>
      </c>
      <c r="K11" s="11">
        <f t="shared" si="0"/>
        <v>0</v>
      </c>
      <c r="L11" s="11">
        <f>(K11*I11)+VLOOKUP(A11,'Rate Application - ICC Cycle I'!$1:$1048576,21,FALSE)</f>
        <v>0</v>
      </c>
      <c r="M11" s="36">
        <f>VLOOKUP(A11,'Variable Input'!$1:$1048576,23,FALSE)</f>
        <v>0.99671861092415948</v>
      </c>
      <c r="N11" s="22">
        <f t="shared" si="1"/>
        <v>0</v>
      </c>
      <c r="O11" s="19">
        <f t="shared" si="2"/>
        <v>0</v>
      </c>
      <c r="P11" s="18">
        <f>VLOOKUP(A11,'Rate Application - REM Cycle I'!$1:$65535,11,FALSE)</f>
        <v>62612.30027663122</v>
      </c>
      <c r="Q11" s="18">
        <f t="shared" si="3"/>
        <v>62612.30027663122</v>
      </c>
      <c r="R11" s="19">
        <f t="shared" si="4"/>
        <v>52.815548825294293</v>
      </c>
      <c r="S11" s="81">
        <f>VLOOKUP(A11,'Rate Application - REM Cycle I'!$1:$65535,9,FALSE)</f>
        <v>1.1237799950517624</v>
      </c>
      <c r="T11" s="19">
        <f t="shared" si="5"/>
        <v>70362.450495052093</v>
      </c>
      <c r="U11" s="22">
        <f t="shared" si="6"/>
        <v>59.35305719754534</v>
      </c>
      <c r="V11" s="88">
        <f>IFERROR(VLOOKUP(A12,'PAU Volume'!AX:AZ,3,FALSE)-VLOOKUP(A12,'PAU Volume'!#REF!,4,FALSE)+VLOOKUP(A12,'PAU Volume'!#REF!,2,FALSE),0)*0</f>
        <v>0</v>
      </c>
      <c r="W11" s="79">
        <f t="shared" si="7"/>
        <v>1185.4899110060007</v>
      </c>
      <c r="X11" s="15">
        <f t="shared" si="8"/>
        <v>70362.450495052093</v>
      </c>
      <c r="Y11" s="11">
        <f>VLOOKUP(A11,'Rate Application - REM Cycle I'!$1:$65535,7,FALSE)</f>
        <v>13980115.965862775</v>
      </c>
      <c r="Z11" s="78">
        <f t="shared" si="9"/>
        <v>-0.99496696231512916</v>
      </c>
      <c r="AA11" s="82">
        <f>IFERROR(VLOOKUP(A11,'GBR Revenue for ICC'!#REF!,17,FALSE),0)</f>
        <v>0</v>
      </c>
      <c r="AB11" s="82">
        <f t="shared" si="10"/>
        <v>0</v>
      </c>
      <c r="AC11" s="11">
        <f t="shared" si="11"/>
        <v>13980115.965862775</v>
      </c>
      <c r="AD11" s="11">
        <f t="shared" si="12"/>
        <v>70362.450495052093</v>
      </c>
      <c r="AE11" s="10">
        <v>1</v>
      </c>
      <c r="AF11" s="343">
        <f>VLOOKUP(A11,[1]icc_by_hosp_year!$A:$IV,9,FALSE)</f>
        <v>-4.1352631878794802E-2</v>
      </c>
      <c r="AG11" s="344">
        <f t="shared" si="13"/>
        <v>0.95361433043633437</v>
      </c>
      <c r="AH11" s="343">
        <f>VLOOKUP(A11,'[2]Rate Application - ICC Cycle II'!$A:$IV,26,FALSE)</f>
        <v>-0.20072122972868134</v>
      </c>
      <c r="AI11" s="344">
        <f t="shared" si="14"/>
        <v>0.79424573258644782</v>
      </c>
    </row>
    <row r="12" spans="1:35" ht="17.7" x14ac:dyDescent="0.6">
      <c r="A12" s="37">
        <v>210011</v>
      </c>
      <c r="B12" s="26" t="str">
        <f>VLOOKUP(A12,'Variable Input'!$1:$1048576,2,FALSE)</f>
        <v>ST. AGNES HOSPITAL</v>
      </c>
      <c r="C12" s="31">
        <f>VLOOKUP(A12,'Variable Input'!$1:$1048576,3,FALSE)</f>
        <v>1</v>
      </c>
      <c r="D12" s="87">
        <f>IF(C12=1,'Rate Application - ICC Cycle I'!$Y$65,IF(C12=3,'Rate Application - ICC Cycle I'!$Y$66,IF(C12=4,'Rate Application - ICC Cycle I'!$Y$67,IF(C12=5,'Rate Application - ICC Cycle I'!$Y$68,0))))</f>
        <v>10459.948799491758</v>
      </c>
      <c r="E12" s="87">
        <v>0</v>
      </c>
      <c r="F12" s="87">
        <v>0</v>
      </c>
      <c r="G12" s="87">
        <v>0</v>
      </c>
      <c r="H12" s="87">
        <f>D12*(1-PROFIT!$H$58)</f>
        <v>10424.16020405957</v>
      </c>
      <c r="I12" s="65">
        <f>VLOOKUP(A12,'Rate Application - REM Cycle I'!$1:$65535,15,FALSE)</f>
        <v>24239.679898120015</v>
      </c>
      <c r="J12" s="19">
        <f>VLOOKUP(A12,'Rate Application - ICC Cycle I'!$1:$65535,20,FALSE)/I12</f>
        <v>352.12016602018389</v>
      </c>
      <c r="K12" s="11">
        <f t="shared" si="0"/>
        <v>10776.280370079754</v>
      </c>
      <c r="L12" s="11">
        <f>(K12*I12)+VLOOKUP(A12,'Rate Application - ICC Cycle I'!$1:$1048576,21,FALSE)</f>
        <v>348693879.41637337</v>
      </c>
      <c r="M12" s="36">
        <f>VLOOKUP(A12,'Variable Input'!$1:$1048576,23,FALSE)</f>
        <v>0.99671861092415948</v>
      </c>
      <c r="N12" s="22">
        <f t="shared" si="1"/>
        <v>347549679.12964404</v>
      </c>
      <c r="O12" s="19">
        <f t="shared" si="2"/>
        <v>14338.047391318865</v>
      </c>
      <c r="P12" s="18">
        <f>VLOOKUP(A12,'Rate Application - REM Cycle I'!$1:$65535,11,FALSE)</f>
        <v>5944161.5154257026</v>
      </c>
      <c r="Q12" s="18">
        <f t="shared" si="3"/>
        <v>353493840.64506972</v>
      </c>
      <c r="R12" s="19">
        <f t="shared" si="4"/>
        <v>14583.271814265421</v>
      </c>
      <c r="S12" s="81">
        <f>VLOOKUP(A12,'Rate Application - REM Cycle I'!$1:$65535,9,FALSE)</f>
        <v>1.1208321340194023</v>
      </c>
      <c r="T12" s="19">
        <f t="shared" si="5"/>
        <v>396207255.772928</v>
      </c>
      <c r="U12" s="22">
        <f t="shared" si="6"/>
        <v>16345.39966856811</v>
      </c>
      <c r="V12" s="88">
        <f>IFERROR(VLOOKUP(A13,'PAU Volume'!AX:AZ,3,FALSE)-VLOOKUP(A13,'PAU Volume'!#REF!,4,FALSE)+VLOOKUP(A13,'PAU Volume'!#REF!,2,FALSE),0)*0</f>
        <v>0</v>
      </c>
      <c r="W12" s="79">
        <f t="shared" si="7"/>
        <v>24239.679898120015</v>
      </c>
      <c r="X12" s="15">
        <f t="shared" si="8"/>
        <v>396207255.772928</v>
      </c>
      <c r="Y12" s="11">
        <f>VLOOKUP(A12,'Rate Application - REM Cycle I'!$1:$65535,7,FALSE)</f>
        <v>463292938.08589423</v>
      </c>
      <c r="Z12" s="78">
        <f t="shared" si="9"/>
        <v>-0.14480186680619889</v>
      </c>
      <c r="AA12" s="82">
        <f>IFERROR(VLOOKUP(A12,'GBR Revenue for ICC'!#REF!,17,FALSE),0)</f>
        <v>0</v>
      </c>
      <c r="AB12" s="82">
        <f t="shared" si="10"/>
        <v>0</v>
      </c>
      <c r="AC12" s="11">
        <f t="shared" si="11"/>
        <v>463292938.08589423</v>
      </c>
      <c r="AD12" s="11">
        <f t="shared" si="12"/>
        <v>396207255.772928</v>
      </c>
      <c r="AE12" s="10">
        <v>1</v>
      </c>
      <c r="AF12" s="343">
        <f>VLOOKUP(A12,[1]icc_by_hosp_year!$A:$IV,9,FALSE)</f>
        <v>-0.10289119219473</v>
      </c>
      <c r="AG12" s="345">
        <f t="shared" si="13"/>
        <v>4.1910674611468884E-2</v>
      </c>
      <c r="AH12" s="343">
        <f>VLOOKUP(A12,'[2]Rate Application - ICC Cycle II'!$A:$IV,26,FALSE)</f>
        <v>-0.17154097399511115</v>
      </c>
      <c r="AI12" s="344">
        <f t="shared" si="14"/>
        <v>-2.6739107188912259E-2</v>
      </c>
    </row>
    <row r="13" spans="1:35" ht="17.7" x14ac:dyDescent="0.6">
      <c r="A13" s="37">
        <v>210012</v>
      </c>
      <c r="B13" s="26" t="str">
        <f>VLOOKUP(A13,'Variable Input'!$1:$1048576,2,FALSE)</f>
        <v>SINAI HOSPITAL</v>
      </c>
      <c r="C13" s="31">
        <f>VLOOKUP(A13,'Variable Input'!$1:$1048576,3,FALSE)</f>
        <v>1</v>
      </c>
      <c r="D13" s="87">
        <f>IF(C13=1,'Rate Application - ICC Cycle I'!$Y$65,IF(C13=3,'Rate Application - ICC Cycle I'!$Y$66,IF(C13=4,'Rate Application - ICC Cycle I'!$Y$67,IF(C13=5,'Rate Application - ICC Cycle I'!$Y$68,0))))</f>
        <v>10459.948799491758</v>
      </c>
      <c r="E13" s="87">
        <v>0</v>
      </c>
      <c r="F13" s="87">
        <f>IF(C13=1,E13*(I13/$I$65),IF(C13=3,E13*(I13/$I$66),IF(C13=4,E13*(I13/$I$67),E13*(I13/$I$68))))</f>
        <v>0</v>
      </c>
      <c r="G13" s="87">
        <v>0</v>
      </c>
      <c r="H13" s="87">
        <f>D13*(1-PROFIT!$H$58)</f>
        <v>10424.16020405957</v>
      </c>
      <c r="I13" s="65">
        <f>VLOOKUP(A13,'Rate Application - REM Cycle I'!$1:$65535,15,FALSE)</f>
        <v>39233.431532673072</v>
      </c>
      <c r="J13" s="19">
        <f>VLOOKUP(A13,'Rate Application - ICC Cycle I'!$1:$65535,20,FALSE)/I13</f>
        <v>423.6700340006721</v>
      </c>
      <c r="K13" s="11">
        <f t="shared" si="0"/>
        <v>10847.830238060242</v>
      </c>
      <c r="L13" s="11">
        <f>(K13*I13)+VLOOKUP(A13,'Rate Application - ICC Cycle I'!$1:$1048576,21,FALSE)</f>
        <v>574578968.25480616</v>
      </c>
      <c r="M13" s="36">
        <f>VLOOKUP(A13,'Variable Input'!$1:$1048576,23,FALSE)</f>
        <v>0.99671861092415948</v>
      </c>
      <c r="N13" s="22">
        <f t="shared" si="1"/>
        <v>572693551.10516715</v>
      </c>
      <c r="O13" s="19">
        <f t="shared" si="2"/>
        <v>14597.080314737081</v>
      </c>
      <c r="P13" s="18">
        <f>VLOOKUP(A13,'Rate Application - REM Cycle I'!$1:$65535,11,FALSE)</f>
        <v>20760568.355981968</v>
      </c>
      <c r="Q13" s="18">
        <f t="shared" si="3"/>
        <v>593454119.4611491</v>
      </c>
      <c r="R13" s="19">
        <f t="shared" si="4"/>
        <v>15126.235362994657</v>
      </c>
      <c r="S13" s="81">
        <f>VLOOKUP(A13,'Rate Application - REM Cycle I'!$1:$65535,9,FALSE)</f>
        <v>1.1214469245143464</v>
      </c>
      <c r="T13" s="19">
        <f t="shared" si="5"/>
        <v>665527297.11007512</v>
      </c>
      <c r="U13" s="22">
        <f t="shared" si="6"/>
        <v>16963.270127310505</v>
      </c>
      <c r="V13" s="88">
        <f>IFERROR(VLOOKUP(A14,'PAU Volume'!AX:AZ,3,FALSE)-VLOOKUP(A14,'PAU Volume'!#REF!,4,FALSE)+VLOOKUP(A14,'PAU Volume'!#REF!,2,FALSE),0)*0</f>
        <v>0</v>
      </c>
      <c r="W13" s="79">
        <f t="shared" si="7"/>
        <v>39233.431532673072</v>
      </c>
      <c r="X13" s="15">
        <f t="shared" si="8"/>
        <v>665527297.11007512</v>
      </c>
      <c r="Y13" s="11">
        <f>VLOOKUP(A13,'Rate Application - REM Cycle I'!$1:$65535,7,FALSE)</f>
        <v>853868775.33511937</v>
      </c>
      <c r="Z13" s="78">
        <f t="shared" si="9"/>
        <v>-0.22057426581868567</v>
      </c>
      <c r="AA13" s="82">
        <f>IFERROR(VLOOKUP(A13,'GBR Revenue for ICC'!#REF!,17,FALSE),0)</f>
        <v>0</v>
      </c>
      <c r="AB13" s="82">
        <f t="shared" si="10"/>
        <v>0</v>
      </c>
      <c r="AC13" s="11">
        <f t="shared" si="11"/>
        <v>853868775.33511937</v>
      </c>
      <c r="AD13" s="11">
        <f t="shared" si="12"/>
        <v>665527297.11007512</v>
      </c>
      <c r="AE13" s="10">
        <v>1</v>
      </c>
      <c r="AF13" s="343">
        <f>VLOOKUP(A13,[1]icc_by_hosp_year!$A:$IV,9,FALSE)</f>
        <v>-0.27876931786785097</v>
      </c>
      <c r="AG13" s="344">
        <f t="shared" si="13"/>
        <v>-5.8195052049165308E-2</v>
      </c>
      <c r="AH13" s="343">
        <f>VLOOKUP(A13,'[2]Rate Application - ICC Cycle II'!$A:$IV,26,FALSE)</f>
        <v>-0.1537576459807044</v>
      </c>
      <c r="AI13" s="344">
        <f t="shared" si="14"/>
        <v>6.6816619837981261E-2</v>
      </c>
    </row>
    <row r="14" spans="1:35" ht="17.7" x14ac:dyDescent="0.6">
      <c r="A14" s="37">
        <v>210013</v>
      </c>
      <c r="B14" s="26" t="str">
        <f>VLOOKUP(A14,'Variable Input'!$1:$1048576,2,FALSE)</f>
        <v>BON SECOURS HOSPITAL</v>
      </c>
      <c r="C14" s="31" t="str">
        <f>VLOOKUP(A14,'Variable Input'!$1:$1048576,3,FALSE)</f>
        <v>NA</v>
      </c>
      <c r="D14" s="87">
        <f>IF(C14=1,'Rate Application - ICC Cycle I'!$Y$65,IF(C14=3,'Rate Application - ICC Cycle I'!$Y$66,IF(C14=4,'Rate Application - ICC Cycle I'!$Y$67,IF(C14=5,'Rate Application - ICC Cycle I'!$Y$68,0))))</f>
        <v>0</v>
      </c>
      <c r="E14" s="87">
        <v>0</v>
      </c>
      <c r="F14" s="87">
        <v>0</v>
      </c>
      <c r="G14" s="87">
        <v>0</v>
      </c>
      <c r="H14" s="87">
        <f>D14*(1-PROFIT!$H$58)</f>
        <v>0</v>
      </c>
      <c r="I14" s="65">
        <f>VLOOKUP(A14,'Rate Application - REM Cycle I'!$1:$65535,15,FALSE)</f>
        <v>1608.5265612699982</v>
      </c>
      <c r="J14" s="19">
        <f>VLOOKUP(A14,'Rate Application - ICC Cycle I'!$1:$65535,20,FALSE)/I14</f>
        <v>0</v>
      </c>
      <c r="K14" s="11">
        <f t="shared" si="0"/>
        <v>0</v>
      </c>
      <c r="L14" s="11">
        <f>(K14*I14)+VLOOKUP(A14,'Rate Application - ICC Cycle I'!$1:$1048576,21,FALSE)</f>
        <v>12656764.264227461</v>
      </c>
      <c r="M14" s="36">
        <f>VLOOKUP(A14,'Variable Input'!$1:$1048576,23,FALSE)</f>
        <v>0.99671861092415948</v>
      </c>
      <c r="N14" s="22">
        <f t="shared" si="1"/>
        <v>12615232.496235337</v>
      </c>
      <c r="O14" s="19">
        <f t="shared" si="2"/>
        <v>7842.7256347418288</v>
      </c>
      <c r="P14" s="18">
        <f>VLOOKUP(A14,'Rate Application - REM Cycle I'!$1:$65535,11,FALSE)</f>
        <v>0</v>
      </c>
      <c r="Q14" s="18">
        <f t="shared" si="3"/>
        <v>12615232.496235337</v>
      </c>
      <c r="R14" s="19">
        <f t="shared" si="4"/>
        <v>7842.7256347418288</v>
      </c>
      <c r="S14" s="81">
        <f>VLOOKUP(A14,'Rate Application - REM Cycle I'!$1:$65535,9,FALSE)</f>
        <v>1.1357641348932981</v>
      </c>
      <c r="T14" s="19">
        <f t="shared" si="5"/>
        <v>14327928.622564549</v>
      </c>
      <c r="U14" s="22">
        <f t="shared" si="6"/>
        <v>8907.486495748044</v>
      </c>
      <c r="V14" s="88">
        <f>IFERROR(VLOOKUP(A15,'PAU Volume'!AX:AZ,3,FALSE)-VLOOKUP(A15,'PAU Volume'!#REF!,4,FALSE)+VLOOKUP(A15,'PAU Volume'!#REF!,2,FALSE),0)*0</f>
        <v>0</v>
      </c>
      <c r="W14" s="79">
        <f t="shared" si="7"/>
        <v>1608.5265612699982</v>
      </c>
      <c r="X14" s="15">
        <f t="shared" si="8"/>
        <v>14327928.622564547</v>
      </c>
      <c r="Y14" s="11">
        <f>VLOOKUP(A14,'Rate Application - REM Cycle I'!$1:$65535,7,FALSE)</f>
        <v>24727459.158067033</v>
      </c>
      <c r="Z14" s="78">
        <f t="shared" si="9"/>
        <v>-0.42056607874771335</v>
      </c>
      <c r="AA14" s="82">
        <f>IFERROR(VLOOKUP(A14,'GBR Revenue for ICC'!#REF!,17,FALSE),0)</f>
        <v>0</v>
      </c>
      <c r="AB14" s="82">
        <f t="shared" si="10"/>
        <v>0</v>
      </c>
      <c r="AC14" s="11">
        <f t="shared" si="11"/>
        <v>24727459.158067033</v>
      </c>
      <c r="AD14" s="11">
        <f t="shared" si="12"/>
        <v>14327928.622564547</v>
      </c>
      <c r="AE14" s="10">
        <v>1</v>
      </c>
      <c r="AF14" s="343" t="e">
        <f>VLOOKUP(A14,[1]icc_by_hosp_year!$A:$IV,9,FALSE)</f>
        <v>#N/A</v>
      </c>
      <c r="AG14" s="344" t="e">
        <f t="shared" si="13"/>
        <v>#N/A</v>
      </c>
      <c r="AH14" s="343">
        <f>VLOOKUP(A14,'[2]Rate Application - ICC Cycle II'!$A:$IV,26,FALSE)</f>
        <v>-1</v>
      </c>
      <c r="AI14" s="344">
        <f t="shared" si="14"/>
        <v>-0.57943392125228665</v>
      </c>
    </row>
    <row r="15" spans="1:35" ht="17.7" x14ac:dyDescent="0.6">
      <c r="A15" s="37">
        <v>210015</v>
      </c>
      <c r="B15" s="26" t="str">
        <f>VLOOKUP(A15,'Variable Input'!$1:$1048576,2,FALSE)</f>
        <v>MEDSTAR FRANKLIN SQUARE</v>
      </c>
      <c r="C15" s="31">
        <f>VLOOKUP(A15,'Variable Input'!$1:$1048576,3,FALSE)</f>
        <v>1</v>
      </c>
      <c r="D15" s="87">
        <f>IF(C15=1,'Rate Application - ICC Cycle I'!$Y$65,IF(C15=3,'Rate Application - ICC Cycle I'!$Y$66,IF(C15=4,'Rate Application - ICC Cycle I'!$Y$67,IF(C15=5,'Rate Application - ICC Cycle I'!$Y$68,0))))</f>
        <v>10459.948799491758</v>
      </c>
      <c r="E15" s="87">
        <v>0</v>
      </c>
      <c r="F15" s="87">
        <f>IF(C15=1,E15*(I15/$I$65),IF(C15=3,E15*(I15/$I$66),IF(C15=4,E15*(I15/$I$67),E15*(I15/$I$68))))</f>
        <v>0</v>
      </c>
      <c r="G15" s="87">
        <v>0</v>
      </c>
      <c r="H15" s="87">
        <f>D15*(1-PROFIT!$H$58)</f>
        <v>10424.16020405957</v>
      </c>
      <c r="I15" s="65">
        <f>VLOOKUP(A15,'Rate Application - REM Cycle I'!$1:$65535,15,FALSE)</f>
        <v>36896.780287905021</v>
      </c>
      <c r="J15" s="19">
        <f>VLOOKUP(A15,'Rate Application - ICC Cycle I'!$1:$65535,20,FALSE)/I15</f>
        <v>278.88145154984312</v>
      </c>
      <c r="K15" s="11">
        <f t="shared" si="0"/>
        <v>10703.041655609413</v>
      </c>
      <c r="L15" s="11">
        <f>(K15*I15)+VLOOKUP(A15,'Rate Application - ICC Cycle I'!$1:$1048576,21,FALSE)</f>
        <v>532543546.44230783</v>
      </c>
      <c r="M15" s="36">
        <f>VLOOKUP(A15,'Variable Input'!$1:$1048576,23,FALSE)</f>
        <v>0.99671861092415948</v>
      </c>
      <c r="N15" s="22">
        <f t="shared" si="1"/>
        <v>530796063.86660266</v>
      </c>
      <c r="O15" s="19">
        <f t="shared" si="2"/>
        <v>14385.972426992517</v>
      </c>
      <c r="P15" s="18">
        <f>VLOOKUP(A15,'Rate Application - REM Cycle I'!$1:$65535,11,FALSE)</f>
        <v>10719878.177063769</v>
      </c>
      <c r="Q15" s="18">
        <f t="shared" si="3"/>
        <v>541515942.04366648</v>
      </c>
      <c r="R15" s="19">
        <f t="shared" si="4"/>
        <v>14676.509381529384</v>
      </c>
      <c r="S15" s="81">
        <f>VLOOKUP(A15,'Rate Application - REM Cycle I'!$1:$65535,9,FALSE)</f>
        <v>1.1215228084765592</v>
      </c>
      <c r="T15" s="19">
        <f t="shared" si="5"/>
        <v>607322480.15564251</v>
      </c>
      <c r="U15" s="22">
        <f t="shared" si="6"/>
        <v>16460.040020205404</v>
      </c>
      <c r="V15" s="88">
        <f>IFERROR(VLOOKUP(A16,'PAU Volume'!AX:AZ,3,FALSE)-VLOOKUP(A16,'PAU Volume'!#REF!,4,FALSE)+VLOOKUP(A16,'PAU Volume'!#REF!,2,FALSE),0)*0</f>
        <v>0</v>
      </c>
      <c r="W15" s="79">
        <f t="shared" si="7"/>
        <v>36896.780287905021</v>
      </c>
      <c r="X15" s="15">
        <f t="shared" si="8"/>
        <v>607322480.15564251</v>
      </c>
      <c r="Y15" s="11">
        <f>VLOOKUP(A15,'Rate Application - REM Cycle I'!$1:$65535,7,FALSE)</f>
        <v>604791227.6741339</v>
      </c>
      <c r="Z15" s="78">
        <f t="shared" si="9"/>
        <v>4.1853326663534585E-3</v>
      </c>
      <c r="AA15" s="82">
        <f>IFERROR(VLOOKUP(A15,'GBR Revenue for ICC'!#REF!,17,FALSE),0)</f>
        <v>0</v>
      </c>
      <c r="AB15" s="82">
        <f t="shared" si="10"/>
        <v>0</v>
      </c>
      <c r="AC15" s="11">
        <f t="shared" si="11"/>
        <v>604791227.6741339</v>
      </c>
      <c r="AD15" s="11">
        <f t="shared" si="12"/>
        <v>607322480.15564251</v>
      </c>
      <c r="AE15" s="10">
        <v>1</v>
      </c>
      <c r="AF15" s="343">
        <f>VLOOKUP(A15,[1]icc_by_hosp_year!$A:$IV,9,FALSE)</f>
        <v>-9.1086549735309899E-2</v>
      </c>
      <c r="AG15" s="344">
        <f t="shared" si="13"/>
        <v>-9.5271882401663358E-2</v>
      </c>
      <c r="AH15" s="343">
        <f>VLOOKUP(A15,'[2]Rate Application - ICC Cycle II'!$A:$IV,26,FALSE)</f>
        <v>-0.15188614388524868</v>
      </c>
      <c r="AI15" s="344">
        <f t="shared" si="14"/>
        <v>-0.15607147655160214</v>
      </c>
    </row>
    <row r="16" spans="1:35" ht="17.7" x14ac:dyDescent="0.6">
      <c r="A16" s="37">
        <v>210016</v>
      </c>
      <c r="B16" s="26" t="str">
        <f>VLOOKUP(A16,'Variable Input'!$1:$1048576,2,FALSE)</f>
        <v>WASHINGTON ADVENTIST HOSPITAL</v>
      </c>
      <c r="C16" s="31">
        <f>VLOOKUP(A16,'Variable Input'!$1:$1048576,3,FALSE)</f>
        <v>1</v>
      </c>
      <c r="D16" s="87">
        <f>IF(C16=1,'Rate Application - ICC Cycle I'!$Y$65,IF(C16=3,'Rate Application - ICC Cycle I'!$Y$66,IF(C16=4,'Rate Application - ICC Cycle I'!$Y$67,IF(C16=5,'Rate Application - ICC Cycle I'!$Y$68,0))))</f>
        <v>10459.948799491758</v>
      </c>
      <c r="E16" s="87">
        <v>0</v>
      </c>
      <c r="F16" s="87">
        <v>0</v>
      </c>
      <c r="G16" s="87">
        <v>0</v>
      </c>
      <c r="H16" s="87">
        <f>D16*(1-PROFIT!$H$58)</f>
        <v>10424.16020405957</v>
      </c>
      <c r="I16" s="65">
        <f>VLOOKUP(A16,'Rate Application - REM Cycle I'!$1:$65535,15,FALSE)</f>
        <v>19503.503490301038</v>
      </c>
      <c r="J16" s="19">
        <f>VLOOKUP(A16,'Rate Application - ICC Cycle I'!$1:$65535,20,FALSE)/I16</f>
        <v>0</v>
      </c>
      <c r="K16" s="11">
        <f t="shared" si="0"/>
        <v>10424.16020405957</v>
      </c>
      <c r="L16" s="11">
        <f>(K16*I16)+VLOOKUP(A16,'Rate Application - ICC Cycle I'!$1:$1048576,21,FALSE)</f>
        <v>271952745.03999031</v>
      </c>
      <c r="M16" s="36">
        <f>VLOOKUP(A16,'Variable Input'!$1:$1048576,23,FALSE)</f>
        <v>1.0181752931904677</v>
      </c>
      <c r="N16" s="22">
        <f t="shared" si="1"/>
        <v>276895565.91504467</v>
      </c>
      <c r="O16" s="19">
        <f t="shared" si="2"/>
        <v>14197.221850563565</v>
      </c>
      <c r="P16" s="18">
        <f>VLOOKUP(A16,'Rate Application - REM Cycle I'!$1:$65535,11,FALSE)</f>
        <v>0</v>
      </c>
      <c r="Q16" s="18">
        <f t="shared" si="3"/>
        <v>276895565.91504467</v>
      </c>
      <c r="R16" s="19">
        <f t="shared" si="4"/>
        <v>14197.221850563565</v>
      </c>
      <c r="S16" s="81">
        <f>VLOOKUP(A16,'Rate Application - REM Cycle I'!$1:$65535,9,FALSE)</f>
        <v>1.1206186736274211</v>
      </c>
      <c r="T16" s="19">
        <f t="shared" si="5"/>
        <v>310294341.80903149</v>
      </c>
      <c r="U16" s="22">
        <f t="shared" si="6"/>
        <v>15909.671919372782</v>
      </c>
      <c r="V16" s="88">
        <f>IFERROR(VLOOKUP(A17,'PAU Volume'!AX:AZ,3,FALSE)-VLOOKUP(A17,'PAU Volume'!#REF!,4,FALSE)+VLOOKUP(A17,'PAU Volume'!#REF!,2,FALSE),0)*0</f>
        <v>0</v>
      </c>
      <c r="W16" s="79">
        <f t="shared" si="7"/>
        <v>19503.503490301038</v>
      </c>
      <c r="X16" s="15">
        <f t="shared" si="8"/>
        <v>310294341.80903149</v>
      </c>
      <c r="Y16" s="11">
        <f>VLOOKUP(A16,'Rate Application - REM Cycle I'!$1:$65535,7,FALSE)</f>
        <v>348939116.84586889</v>
      </c>
      <c r="Z16" s="78">
        <f t="shared" si="9"/>
        <v>-0.11074933468667925</v>
      </c>
      <c r="AA16" s="82">
        <f>IFERROR(VLOOKUP(A16,'GBR Revenue for ICC'!#REF!,17,FALSE),0)</f>
        <v>0</v>
      </c>
      <c r="AB16" s="82">
        <f t="shared" si="10"/>
        <v>0</v>
      </c>
      <c r="AC16" s="11">
        <f t="shared" si="11"/>
        <v>348939116.84586889</v>
      </c>
      <c r="AD16" s="11">
        <f t="shared" si="12"/>
        <v>310294341.80903149</v>
      </c>
      <c r="AE16" s="10">
        <v>1</v>
      </c>
      <c r="AF16" s="343">
        <f>VLOOKUP(A16,[1]icc_by_hosp_year!$A:$IV,9,FALSE)</f>
        <v>-7.28769927352102E-2</v>
      </c>
      <c r="AG16" s="344">
        <f t="shared" si="13"/>
        <v>3.7872341951469046E-2</v>
      </c>
      <c r="AH16" s="343">
        <f>VLOOKUP(A16,'[2]Rate Application - ICC Cycle II'!$A:$IV,26,FALSE)</f>
        <v>-0.18056388951403857</v>
      </c>
      <c r="AI16" s="344">
        <f t="shared" si="14"/>
        <v>-6.9814554827359321E-2</v>
      </c>
    </row>
    <row r="17" spans="1:35" ht="17.7" x14ac:dyDescent="0.6">
      <c r="A17" s="37">
        <v>210017</v>
      </c>
      <c r="B17" s="26" t="str">
        <f>VLOOKUP(A17,'Variable Input'!$1:$1048576,2,FALSE)</f>
        <v>GARRETT COUNTY MEMORIAL HOSPITAL</v>
      </c>
      <c r="C17" s="31">
        <f>VLOOKUP(A17,'Variable Input'!$1:$1048576,3,FALSE)</f>
        <v>1</v>
      </c>
      <c r="D17" s="87">
        <f>IF(C17=1,'Rate Application - ICC Cycle I'!$Y$65,IF(C17=3,'Rate Application - ICC Cycle I'!$Y$66,IF(C17=4,'Rate Application - ICC Cycle I'!$Y$67,IF(C17=5,'Rate Application - ICC Cycle I'!$Y$68,0))))</f>
        <v>10459.948799491758</v>
      </c>
      <c r="E17" s="87">
        <v>0</v>
      </c>
      <c r="F17" s="87">
        <f>IF(C17=1,E17*(I17/$I$65),IF(C17=3,E17*(I17/$I$66),IF(C17=4,E17*(I17/$I$67),E17*(I17/$I$68))))</f>
        <v>0</v>
      </c>
      <c r="G17" s="87">
        <v>0</v>
      </c>
      <c r="H17" s="87">
        <f>D17*(1-PROFIT!$H$58)</f>
        <v>10424.16020405957</v>
      </c>
      <c r="I17" s="65">
        <f>VLOOKUP(A17,'Rate Application - REM Cycle I'!$1:$65535,15,FALSE)</f>
        <v>5661.7590092090077</v>
      </c>
      <c r="J17" s="19">
        <f>VLOOKUP(A17,'Rate Application - ICC Cycle I'!$1:$65535,20,FALSE)/I17</f>
        <v>0</v>
      </c>
      <c r="K17" s="11">
        <f t="shared" si="0"/>
        <v>10424.16020405957</v>
      </c>
      <c r="L17" s="11">
        <f>(K17*I17)+VLOOKUP(A17,'Rate Application - ICC Cycle I'!$1:$1048576,21,FALSE)</f>
        <v>74506668.672009334</v>
      </c>
      <c r="M17" s="36">
        <f>VLOOKUP(A17,'Variable Input'!$1:$1048576,23,FALSE)</f>
        <v>0.99671861092415948</v>
      </c>
      <c r="N17" s="22">
        <f t="shared" si="1"/>
        <v>74262183.30335173</v>
      </c>
      <c r="O17" s="19">
        <f t="shared" si="2"/>
        <v>13116.450767784752</v>
      </c>
      <c r="P17" s="18">
        <f>VLOOKUP(A17,'Rate Application - REM Cycle I'!$1:$65535,11,FALSE)</f>
        <v>0</v>
      </c>
      <c r="Q17" s="18">
        <f t="shared" si="3"/>
        <v>74262183.30335173</v>
      </c>
      <c r="R17" s="19">
        <f t="shared" si="4"/>
        <v>13116.450767784752</v>
      </c>
      <c r="S17" s="81">
        <f>VLOOKUP(A17,'Rate Application - REM Cycle I'!$1:$65535,9,FALSE)</f>
        <v>1.1207568789217148</v>
      </c>
      <c r="T17" s="19">
        <f t="shared" si="5"/>
        <v>83229852.780976772</v>
      </c>
      <c r="U17" s="22">
        <f t="shared" si="6"/>
        <v>14700.35242503277</v>
      </c>
      <c r="V17" s="88">
        <f>IFERROR(VLOOKUP(A18,'PAU Volume'!AX:AZ,3,FALSE)-VLOOKUP(A18,'PAU Volume'!#REF!,4,FALSE)+VLOOKUP(A18,'PAU Volume'!#REF!,2,FALSE),0)*0</f>
        <v>0</v>
      </c>
      <c r="W17" s="79">
        <f t="shared" si="7"/>
        <v>5661.7590092090077</v>
      </c>
      <c r="X17" s="15">
        <f t="shared" si="8"/>
        <v>83229852.780976772</v>
      </c>
      <c r="Y17" s="11">
        <f>VLOOKUP(A17,'Rate Application - REM Cycle I'!$1:$65535,7,FALSE)</f>
        <v>73641018.606041223</v>
      </c>
      <c r="Z17" s="78">
        <f t="shared" si="9"/>
        <v>0.13021050436894588</v>
      </c>
      <c r="AA17" s="82">
        <f>IFERROR(VLOOKUP(A17,'GBR Revenue for ICC'!#REF!,17,FALSE),0)</f>
        <v>0</v>
      </c>
      <c r="AB17" s="82">
        <f t="shared" si="10"/>
        <v>0</v>
      </c>
      <c r="AC17" s="11">
        <f t="shared" si="11"/>
        <v>73641018.606041223</v>
      </c>
      <c r="AD17" s="11">
        <f t="shared" si="12"/>
        <v>83229852.780976772</v>
      </c>
      <c r="AE17" s="10">
        <v>1</v>
      </c>
      <c r="AF17" s="343">
        <f>VLOOKUP(A17,[1]icc_by_hosp_year!$A:$IV,9,FALSE)</f>
        <v>0.120519342801177</v>
      </c>
      <c r="AG17" s="344">
        <f t="shared" si="13"/>
        <v>-9.6911615677688773E-3</v>
      </c>
      <c r="AH17" s="343">
        <f>VLOOKUP(A17,'[2]Rate Application - ICC Cycle II'!$A:$IV,26,FALSE)</f>
        <v>9.6537371986713305E-2</v>
      </c>
      <c r="AI17" s="344">
        <f t="shared" si="14"/>
        <v>-3.3673132382232573E-2</v>
      </c>
    </row>
    <row r="18" spans="1:35" ht="17.7" x14ac:dyDescent="0.6">
      <c r="A18" s="37">
        <v>210018</v>
      </c>
      <c r="B18" s="26" t="str">
        <f>VLOOKUP(A18,'Variable Input'!$1:$1048576,2,FALSE)</f>
        <v>MEDSTAR MONTGOMERY MEDICAL CENTER</v>
      </c>
      <c r="C18" s="31">
        <f>VLOOKUP(A18,'Variable Input'!$1:$1048576,3,FALSE)</f>
        <v>1</v>
      </c>
      <c r="D18" s="87">
        <f>IF(C18=1,'Rate Application - ICC Cycle I'!$Y$65,IF(C18=3,'Rate Application - ICC Cycle I'!$Y$66,IF(C18=4,'Rate Application - ICC Cycle I'!$Y$67,IF(C18=5,'Rate Application - ICC Cycle I'!$Y$68,0))))</f>
        <v>10459.948799491758</v>
      </c>
      <c r="E18" s="87">
        <v>0</v>
      </c>
      <c r="F18" s="87">
        <v>0</v>
      </c>
      <c r="G18" s="87">
        <v>0</v>
      </c>
      <c r="H18" s="87">
        <f>D18*(1-PROFIT!$H$58)</f>
        <v>10424.16020405957</v>
      </c>
      <c r="I18" s="65">
        <f>VLOOKUP(A18,'Rate Application - REM Cycle I'!$1:$65535,15,FALSE)</f>
        <v>11828.629976083985</v>
      </c>
      <c r="J18" s="19">
        <f>VLOOKUP(A18,'Rate Application - ICC Cycle I'!$1:$65535,20,FALSE)/I18</f>
        <v>0</v>
      </c>
      <c r="K18" s="11">
        <f t="shared" si="0"/>
        <v>10424.16020405957</v>
      </c>
      <c r="L18" s="11">
        <f>(K18*I18)+VLOOKUP(A18,'Rate Application - ICC Cycle I'!$1:$1048576,21,FALSE)</f>
        <v>153743950.35847399</v>
      </c>
      <c r="M18" s="36">
        <f>VLOOKUP(A18,'Variable Input'!$1:$1048576,23,FALSE)</f>
        <v>1.0181752931904677</v>
      </c>
      <c r="N18" s="22">
        <f t="shared" si="1"/>
        <v>156538291.73249996</v>
      </c>
      <c r="O18" s="19">
        <f t="shared" si="2"/>
        <v>13233.848049097898</v>
      </c>
      <c r="P18" s="18">
        <f>VLOOKUP(A18,'Rate Application - REM Cycle I'!$1:$65535,11,FALSE)</f>
        <v>0</v>
      </c>
      <c r="Q18" s="18">
        <f t="shared" si="3"/>
        <v>156538291.73249996</v>
      </c>
      <c r="R18" s="19">
        <f t="shared" si="4"/>
        <v>13233.848049097898</v>
      </c>
      <c r="S18" s="81">
        <f>VLOOKUP(A18,'Rate Application - REM Cycle I'!$1:$65535,9,FALSE)</f>
        <v>1.1159266108518389</v>
      </c>
      <c r="T18" s="19">
        <f t="shared" si="5"/>
        <v>174685245.36158511</v>
      </c>
      <c r="U18" s="22">
        <f t="shared" si="6"/>
        <v>14768.003201958038</v>
      </c>
      <c r="V18" s="88">
        <f>IFERROR(VLOOKUP(A19,'PAU Volume'!AX:AZ,3,FALSE)-VLOOKUP(A19,'PAU Volume'!#REF!,4,FALSE)+VLOOKUP(A19,'PAU Volume'!#REF!,2,FALSE),0)*0</f>
        <v>0</v>
      </c>
      <c r="W18" s="79">
        <f t="shared" si="7"/>
        <v>11828.629976083985</v>
      </c>
      <c r="X18" s="15">
        <f t="shared" si="8"/>
        <v>174685245.36158511</v>
      </c>
      <c r="Y18" s="11">
        <f>VLOOKUP(A18,'Rate Application - REM Cycle I'!$1:$65535,7,FALSE)</f>
        <v>196654013.68149054</v>
      </c>
      <c r="Z18" s="78">
        <f t="shared" si="9"/>
        <v>-0.11171278891610625</v>
      </c>
      <c r="AA18" s="82">
        <f>IFERROR(VLOOKUP(A18,'GBR Revenue for ICC'!#REF!,17,FALSE),0)</f>
        <v>0</v>
      </c>
      <c r="AB18" s="82">
        <f t="shared" si="10"/>
        <v>0</v>
      </c>
      <c r="AC18" s="11">
        <f t="shared" si="11"/>
        <v>196654013.68149054</v>
      </c>
      <c r="AD18" s="11">
        <f t="shared" si="12"/>
        <v>174685245.36158511</v>
      </c>
      <c r="AE18" s="10">
        <v>1</v>
      </c>
      <c r="AF18" s="343">
        <f>VLOOKUP(A18,[1]icc_by_hosp_year!$A:$IV,9,FALSE)</f>
        <v>-0.210377050673768</v>
      </c>
      <c r="AG18" s="344">
        <f t="shared" si="13"/>
        <v>-9.8664261757661742E-2</v>
      </c>
      <c r="AH18" s="343">
        <f>VLOOKUP(A18,'[2]Rate Application - ICC Cycle II'!$A:$IV,26,FALSE)</f>
        <v>-0.22511290122081185</v>
      </c>
      <c r="AI18" s="344">
        <f t="shared" si="14"/>
        <v>-0.11340011230470559</v>
      </c>
    </row>
    <row r="19" spans="1:35" ht="17.7" x14ac:dyDescent="0.6">
      <c r="A19" s="37">
        <v>210019</v>
      </c>
      <c r="B19" s="26" t="str">
        <f>VLOOKUP(A19,'Variable Input'!$1:$1048576,2,FALSE)</f>
        <v>PENINSULA REGIONAL MEDICAL CENTER</v>
      </c>
      <c r="C19" s="31">
        <f>VLOOKUP(A19,'Variable Input'!$1:$1048576,3,FALSE)</f>
        <v>1</v>
      </c>
      <c r="D19" s="87">
        <f>IF(C19=1,'Rate Application - ICC Cycle I'!$Y$65,IF(C19=3,'Rate Application - ICC Cycle I'!$Y$66,IF(C19=4,'Rate Application - ICC Cycle I'!$Y$67,IF(C19=5,'Rate Application - ICC Cycle I'!$Y$68,0))))</f>
        <v>10459.948799491758</v>
      </c>
      <c r="E19" s="87">
        <v>0</v>
      </c>
      <c r="F19" s="87">
        <f>IF(C19=1,E19*(I19/$I$65),IF(C19=3,E19*(I19/$I$66),IF(C19=4,E19*(I19/$I$67),E19*(I19/$I$68))))</f>
        <v>0</v>
      </c>
      <c r="G19" s="87">
        <v>0</v>
      </c>
      <c r="H19" s="87">
        <f>D19*(1-PROFIT!$H$58)</f>
        <v>10424.16020405957</v>
      </c>
      <c r="I19" s="65">
        <f>VLOOKUP(A19,'Rate Application - REM Cycle I'!$1:$65535,15,FALSE)</f>
        <v>35575.296562612995</v>
      </c>
      <c r="J19" s="19">
        <f>VLOOKUP(A19,'Rate Application - ICC Cycle I'!$1:$65535,20,FALSE)/I19</f>
        <v>37.082155310001518</v>
      </c>
      <c r="K19" s="11">
        <f t="shared" si="0"/>
        <v>10461.242359369571</v>
      </c>
      <c r="L19" s="11">
        <f>(K19*I19)+VLOOKUP(A19,'Rate Application - ICC Cycle I'!$1:$1048576,21,FALSE)</f>
        <v>482060239.84676892</v>
      </c>
      <c r="M19" s="36">
        <f>VLOOKUP(A19,'Variable Input'!$1:$1048576,23,FALSE)</f>
        <v>0.99671861092415948</v>
      </c>
      <c r="N19" s="22">
        <f t="shared" si="1"/>
        <v>480478412.64183867</v>
      </c>
      <c r="O19" s="19">
        <f t="shared" si="2"/>
        <v>13505.956634716742</v>
      </c>
      <c r="P19" s="18">
        <f>VLOOKUP(A19,'Rate Application - REM Cycle I'!$1:$65535,11,FALSE)</f>
        <v>3385733.4707238162</v>
      </c>
      <c r="Q19" s="18">
        <f t="shared" si="3"/>
        <v>483864146.11256248</v>
      </c>
      <c r="R19" s="19">
        <f t="shared" si="4"/>
        <v>13601.127548183755</v>
      </c>
      <c r="S19" s="81">
        <f>VLOOKUP(A19,'Rate Application - REM Cycle I'!$1:$65535,9,FALSE)</f>
        <v>1.1235285459397526</v>
      </c>
      <c r="T19" s="19">
        <f t="shared" si="5"/>
        <v>543635180.51422727</v>
      </c>
      <c r="U19" s="22">
        <f t="shared" si="6"/>
        <v>15281.255057352006</v>
      </c>
      <c r="V19" s="88">
        <f>IFERROR(VLOOKUP(A20,'PAU Volume'!AX:AZ,3,FALSE)-VLOOKUP(A20,'PAU Volume'!#REF!,4,FALSE)+VLOOKUP(A20,'PAU Volume'!#REF!,2,FALSE),0)*0</f>
        <v>0</v>
      </c>
      <c r="W19" s="79">
        <f t="shared" si="7"/>
        <v>35575.296562612995</v>
      </c>
      <c r="X19" s="15">
        <f t="shared" si="8"/>
        <v>543635180.51422727</v>
      </c>
      <c r="Y19" s="11">
        <f>VLOOKUP(A19,'Rate Application - REM Cycle I'!$1:$65535,7,FALSE)</f>
        <v>514736173.59971368</v>
      </c>
      <c r="Z19" s="78">
        <f t="shared" si="9"/>
        <v>5.6143337882033073E-2</v>
      </c>
      <c r="AA19" s="82">
        <f>IFERROR(VLOOKUP(A19,'GBR Revenue for ICC'!#REF!,17,FALSE),0)</f>
        <v>0</v>
      </c>
      <c r="AB19" s="82">
        <f t="shared" si="10"/>
        <v>0</v>
      </c>
      <c r="AC19" s="11">
        <f t="shared" si="11"/>
        <v>514736173.59971368</v>
      </c>
      <c r="AD19" s="11">
        <f t="shared" si="12"/>
        <v>543635180.51422727</v>
      </c>
      <c r="AE19" s="10">
        <v>1</v>
      </c>
      <c r="AF19" s="343">
        <f>VLOOKUP(A19,[1]icc_by_hosp_year!$A:$IV,9,FALSE)</f>
        <v>-2.3305925260897399E-2</v>
      </c>
      <c r="AG19" s="345">
        <f t="shared" si="13"/>
        <v>-7.9449263142930465E-2</v>
      </c>
      <c r="AH19" s="343">
        <f>VLOOKUP(A19,'[2]Rate Application - ICC Cycle II'!$A:$IV,26,FALSE)</f>
        <v>-6.0746899021115852E-2</v>
      </c>
      <c r="AI19" s="344">
        <f t="shared" si="14"/>
        <v>-0.11689023690314893</v>
      </c>
    </row>
    <row r="20" spans="1:35" ht="17.7" x14ac:dyDescent="0.6">
      <c r="A20" s="37">
        <v>210022</v>
      </c>
      <c r="B20" s="26" t="str">
        <f>VLOOKUP(A20,'Variable Input'!$1:$1048576,2,FALSE)</f>
        <v>SUBURBAN HOSPITAL</v>
      </c>
      <c r="C20" s="31">
        <f>VLOOKUP(A20,'Variable Input'!$1:$1048576,3,FALSE)</f>
        <v>1</v>
      </c>
      <c r="D20" s="87">
        <f>IF(C20=1,'Rate Application - ICC Cycle I'!$Y$65,IF(C20=3,'Rate Application - ICC Cycle I'!$Y$66,IF(C20=4,'Rate Application - ICC Cycle I'!$Y$67,IF(C20=5,'Rate Application - ICC Cycle I'!$Y$68,0))))</f>
        <v>10459.948799491758</v>
      </c>
      <c r="E20" s="87">
        <v>0</v>
      </c>
      <c r="F20" s="87">
        <v>0</v>
      </c>
      <c r="G20" s="87">
        <v>0</v>
      </c>
      <c r="H20" s="87">
        <f>D20*(1-PROFIT!$H$58)</f>
        <v>10424.16020405957</v>
      </c>
      <c r="I20" s="65">
        <f>VLOOKUP(A20,'Rate Application - REM Cycle I'!$1:$65535,15,FALSE)</f>
        <v>24909.085237375984</v>
      </c>
      <c r="J20" s="19">
        <f>VLOOKUP(A20,'Rate Application - ICC Cycle I'!$1:$65535,20,FALSE)/I20</f>
        <v>21.184377664013301</v>
      </c>
      <c r="K20" s="11">
        <f t="shared" si="0"/>
        <v>10445.344581723582</v>
      </c>
      <c r="L20" s="11">
        <f>(K20*I20)+VLOOKUP(A20,'Rate Application - ICC Cycle I'!$1:$1048576,21,FALSE)</f>
        <v>300813180.38315123</v>
      </c>
      <c r="M20" s="36">
        <f>VLOOKUP(A20,'Variable Input'!$1:$1048576,23,FALSE)</f>
        <v>1.0181752931904677</v>
      </c>
      <c r="N20" s="22">
        <f t="shared" si="1"/>
        <v>306280548.13217205</v>
      </c>
      <c r="O20" s="19">
        <f t="shared" si="2"/>
        <v>12295.937213808209</v>
      </c>
      <c r="P20" s="18">
        <f>VLOOKUP(A20,'Rate Application - REM Cycle I'!$1:$65535,11,FALSE)</f>
        <v>4332162.9357895656</v>
      </c>
      <c r="Q20" s="18">
        <f t="shared" si="3"/>
        <v>310612711.06796163</v>
      </c>
      <c r="R20" s="19">
        <f t="shared" si="4"/>
        <v>12469.856203385923</v>
      </c>
      <c r="S20" s="81">
        <f>VLOOKUP(A20,'Rate Application - REM Cycle I'!$1:$65535,9,FALSE)</f>
        <v>1.106961162419857</v>
      </c>
      <c r="T20" s="19">
        <f t="shared" si="5"/>
        <v>343836207.70617396</v>
      </c>
      <c r="U20" s="22">
        <f t="shared" si="6"/>
        <v>13803.646518108544</v>
      </c>
      <c r="V20" s="88">
        <f>IFERROR(VLOOKUP(A21,'PAU Volume'!AX:AZ,3,FALSE)-VLOOKUP(A21,'PAU Volume'!#REF!,4,FALSE)+VLOOKUP(A21,'PAU Volume'!#REF!,2,FALSE),0)*0</f>
        <v>0</v>
      </c>
      <c r="W20" s="79">
        <f t="shared" si="7"/>
        <v>24909.085237375984</v>
      </c>
      <c r="X20" s="15">
        <f t="shared" si="8"/>
        <v>343836207.70617396</v>
      </c>
      <c r="Y20" s="11">
        <f>VLOOKUP(A20,'Rate Application - REM Cycle I'!$1:$65535,7,FALSE)</f>
        <v>398364615.39914006</v>
      </c>
      <c r="Z20" s="78">
        <f t="shared" si="9"/>
        <v>-0.13688065050238352</v>
      </c>
      <c r="AA20" s="82">
        <f>IFERROR(VLOOKUP(A20,'GBR Revenue for ICC'!#REF!,17,FALSE),0)</f>
        <v>0</v>
      </c>
      <c r="AB20" s="82">
        <f t="shared" si="10"/>
        <v>0</v>
      </c>
      <c r="AC20" s="11">
        <f t="shared" si="11"/>
        <v>398364615.39914006</v>
      </c>
      <c r="AD20" s="11">
        <f t="shared" si="12"/>
        <v>343836207.70617396</v>
      </c>
      <c r="AE20" s="10">
        <v>1</v>
      </c>
      <c r="AF20" s="343">
        <f>VLOOKUP(A20,[1]icc_by_hosp_year!$A:$IV,9,FALSE)</f>
        <v>-7.3115410572539202E-2</v>
      </c>
      <c r="AG20" s="344">
        <f t="shared" si="13"/>
        <v>6.3765239929844314E-2</v>
      </c>
      <c r="AH20" s="343">
        <f>VLOOKUP(A20,'[2]Rate Application - ICC Cycle II'!$A:$IV,26,FALSE)</f>
        <v>-2.9045354375847321E-2</v>
      </c>
      <c r="AI20" s="344">
        <f t="shared" si="14"/>
        <v>0.1078352961265362</v>
      </c>
    </row>
    <row r="21" spans="1:35" ht="17.7" x14ac:dyDescent="0.6">
      <c r="A21" s="37">
        <v>210023</v>
      </c>
      <c r="B21" s="26" t="str">
        <f>VLOOKUP(A21,'Variable Input'!$1:$1048576,2,FALSE)</f>
        <v>ANNE ARUNDEL MEDICAL CENTER</v>
      </c>
      <c r="C21" s="31">
        <f>VLOOKUP(A21,'Variable Input'!$1:$1048576,3,FALSE)</f>
        <v>1</v>
      </c>
      <c r="D21" s="87">
        <f>IF(C21=1,'Rate Application - ICC Cycle I'!$Y$65,IF(C21=3,'Rate Application - ICC Cycle I'!$Y$66,IF(C21=4,'Rate Application - ICC Cycle I'!$Y$67,IF(C21=5,'Rate Application - ICC Cycle I'!$Y$68,0))))</f>
        <v>10459.948799491758</v>
      </c>
      <c r="E21" s="87">
        <v>0</v>
      </c>
      <c r="F21" s="87">
        <f>IF(C21=1,E21*(I21/$I$65),IF(C21=3,E21*(I21/$I$66),IF(C21=4,E21*(I21/$I$67),E21*(I21/$I$68))))</f>
        <v>0</v>
      </c>
      <c r="G21" s="87">
        <v>0</v>
      </c>
      <c r="H21" s="87">
        <f>D21*(1-PROFIT!$H$58)</f>
        <v>10424.16020405957</v>
      </c>
      <c r="I21" s="65">
        <f>VLOOKUP(A21,'Rate Application - REM Cycle I'!$1:$65535,15,FALSE)</f>
        <v>47800.030712699874</v>
      </c>
      <c r="J21" s="19">
        <f>VLOOKUP(A21,'Rate Application - ICC Cycle I'!$1:$65535,20,FALSE)/I21</f>
        <v>152.06768021239117</v>
      </c>
      <c r="K21" s="11">
        <f t="shared" si="0"/>
        <v>10576.227884271961</v>
      </c>
      <c r="L21" s="11">
        <f>(K21*I21)+VLOOKUP(A21,'Rate Application - ICC Cycle I'!$1:$1048576,21,FALSE)</f>
        <v>589364685.41003072</v>
      </c>
      <c r="M21" s="36">
        <f>VLOOKUP(A21,'Variable Input'!$1:$1048576,23,FALSE)</f>
        <v>0.99671861092415948</v>
      </c>
      <c r="N21" s="22">
        <f t="shared" si="1"/>
        <v>587430750.56964004</v>
      </c>
      <c r="O21" s="19">
        <f t="shared" si="2"/>
        <v>12289.338350018403</v>
      </c>
      <c r="P21" s="18">
        <f>VLOOKUP(A21,'Rate Application - REM Cycle I'!$1:$65535,11,FALSE)</f>
        <v>6692185.3853537869</v>
      </c>
      <c r="Q21" s="18">
        <f t="shared" si="3"/>
        <v>594122935.95499384</v>
      </c>
      <c r="R21" s="19">
        <f t="shared" si="4"/>
        <v>12429.342138417136</v>
      </c>
      <c r="S21" s="81">
        <f>VLOOKUP(A21,'Rate Application - REM Cycle I'!$1:$65535,9,FALSE)</f>
        <v>1.1086069567461017</v>
      </c>
      <c r="T21" s="19">
        <f t="shared" si="5"/>
        <v>658648819.96212482</v>
      </c>
      <c r="U21" s="22">
        <f t="shared" si="6"/>
        <v>13779.255162426705</v>
      </c>
      <c r="V21" s="88">
        <f>IFERROR(VLOOKUP(A22,'PAU Volume'!AX:AZ,3,FALSE)-VLOOKUP(A22,'PAU Volume'!#REF!,4,FALSE)+VLOOKUP(A22,'PAU Volume'!#REF!,2,FALSE),0)*0</f>
        <v>0</v>
      </c>
      <c r="W21" s="79">
        <f t="shared" si="7"/>
        <v>47800.030712699874</v>
      </c>
      <c r="X21" s="15">
        <f t="shared" si="8"/>
        <v>658648819.96212482</v>
      </c>
      <c r="Y21" s="11">
        <f>VLOOKUP(A21,'Rate Application - REM Cycle I'!$1:$65535,7,FALSE)</f>
        <v>712352222.34826219</v>
      </c>
      <c r="Z21" s="78">
        <f t="shared" si="9"/>
        <v>-7.5388832520385196E-2</v>
      </c>
      <c r="AA21" s="82">
        <f>IFERROR(VLOOKUP(A21,'GBR Revenue for ICC'!#REF!,17,FALSE),0)</f>
        <v>0</v>
      </c>
      <c r="AB21" s="82">
        <f t="shared" si="10"/>
        <v>0</v>
      </c>
      <c r="AC21" s="11">
        <f t="shared" si="11"/>
        <v>712352222.34826219</v>
      </c>
      <c r="AD21" s="11">
        <f t="shared" si="12"/>
        <v>658648819.96212482</v>
      </c>
      <c r="AE21" s="10">
        <v>1</v>
      </c>
      <c r="AF21" s="343">
        <f>VLOOKUP(A21,[1]icc_by_hosp_year!$A:$IV,9,FALSE)</f>
        <v>-2.04203907014016E-2</v>
      </c>
      <c r="AG21" s="345">
        <f t="shared" si="13"/>
        <v>5.4968441818983596E-2</v>
      </c>
      <c r="AH21" s="343">
        <f>VLOOKUP(A21,'[2]Rate Application - ICC Cycle II'!$A:$IV,26,FALSE)</f>
        <v>-5.7548572877931248E-3</v>
      </c>
      <c r="AI21" s="344">
        <f t="shared" si="14"/>
        <v>6.9633975232592071E-2</v>
      </c>
    </row>
    <row r="22" spans="1:35" ht="17.7" x14ac:dyDescent="0.6">
      <c r="A22" s="37">
        <v>210024</v>
      </c>
      <c r="B22" s="26" t="str">
        <f>VLOOKUP(A22,'Variable Input'!$1:$1048576,2,FALSE)</f>
        <v>MEDSTAR UNION MEMORIAL HOSPITAL</v>
      </c>
      <c r="C22" s="31">
        <f>VLOOKUP(A22,'Variable Input'!$1:$1048576,3,FALSE)</f>
        <v>1</v>
      </c>
      <c r="D22" s="87">
        <f>IF(C22=1,'Rate Application - ICC Cycle I'!$Y$65,IF(C22=3,'Rate Application - ICC Cycle I'!$Y$66,IF(C22=4,'Rate Application - ICC Cycle I'!$Y$67,IF(C22=5,'Rate Application - ICC Cycle I'!$Y$68,0))))</f>
        <v>10459.948799491758</v>
      </c>
      <c r="E22" s="87">
        <v>0</v>
      </c>
      <c r="F22" s="87">
        <v>0</v>
      </c>
      <c r="G22" s="87">
        <v>0</v>
      </c>
      <c r="H22" s="87">
        <f>D22*(1-PROFIT!$H$58)</f>
        <v>10424.16020405957</v>
      </c>
      <c r="I22" s="65">
        <f>VLOOKUP(A22,'Rate Application - REM Cycle I'!$1:$65535,15,FALSE)</f>
        <v>26999.26188542712</v>
      </c>
      <c r="J22" s="19">
        <f>VLOOKUP(A22,'Rate Application - ICC Cycle I'!$1:$65535,20,FALSE)/I22</f>
        <v>429.97606252364841</v>
      </c>
      <c r="K22" s="11">
        <f t="shared" si="0"/>
        <v>10854.136266583218</v>
      </c>
      <c r="L22" s="11">
        <f>(K22*I22)+VLOOKUP(A22,'Rate Application - ICC Cycle I'!$1:$1048576,21,FALSE)</f>
        <v>381577015.32635373</v>
      </c>
      <c r="M22" s="36">
        <f>VLOOKUP(A22,'Variable Input'!$1:$1048576,23,FALSE)</f>
        <v>0.99671861092415948</v>
      </c>
      <c r="N22" s="22">
        <f t="shared" si="1"/>
        <v>380324912.67667001</v>
      </c>
      <c r="O22" s="19">
        <f t="shared" si="2"/>
        <v>14086.49296749667</v>
      </c>
      <c r="P22" s="18">
        <f>VLOOKUP(A22,'Rate Application - REM Cycle I'!$1:$65535,11,FALSE)</f>
        <v>12196844.09297953</v>
      </c>
      <c r="Q22" s="18">
        <f t="shared" si="3"/>
        <v>392521756.76964957</v>
      </c>
      <c r="R22" s="19">
        <f t="shared" si="4"/>
        <v>14538.240283580255</v>
      </c>
      <c r="S22" s="81">
        <f>VLOOKUP(A22,'Rate Application - REM Cycle I'!$1:$65535,9,FALSE)</f>
        <v>1.1223202362274129</v>
      </c>
      <c r="T22" s="19">
        <f t="shared" si="5"/>
        <v>440535110.78211224</v>
      </c>
      <c r="U22" s="22">
        <f t="shared" si="6"/>
        <v>16316.561269398684</v>
      </c>
      <c r="V22" s="88">
        <f>IFERROR(VLOOKUP(A23,'PAU Volume'!AX:AZ,3,FALSE)-VLOOKUP(A23,'PAU Volume'!#REF!,4,FALSE)+VLOOKUP(A23,'PAU Volume'!#REF!,2,FALSE),0)*0</f>
        <v>0</v>
      </c>
      <c r="W22" s="79">
        <f t="shared" si="7"/>
        <v>26999.26188542712</v>
      </c>
      <c r="X22" s="15">
        <f t="shared" si="8"/>
        <v>440535110.78211224</v>
      </c>
      <c r="Y22" s="11">
        <f>VLOOKUP(A22,'Rate Application - REM Cycle I'!$1:$65535,7,FALSE)</f>
        <v>481596679.12083691</v>
      </c>
      <c r="Z22" s="78">
        <f t="shared" si="9"/>
        <v>-8.5261319520897216E-2</v>
      </c>
      <c r="AA22" s="82">
        <f>IFERROR(VLOOKUP(A22,'GBR Revenue for ICC'!#REF!,17,FALSE),0)</f>
        <v>0</v>
      </c>
      <c r="AB22" s="82">
        <f t="shared" si="10"/>
        <v>0</v>
      </c>
      <c r="AC22" s="11">
        <f t="shared" si="11"/>
        <v>481596679.12083691</v>
      </c>
      <c r="AD22" s="11">
        <f t="shared" si="12"/>
        <v>440535110.78211224</v>
      </c>
      <c r="AE22" s="10">
        <v>1</v>
      </c>
      <c r="AF22" s="343">
        <f>VLOOKUP(A22,[1]icc_by_hosp_year!$A:$IV,9,FALSE)</f>
        <v>-0.14305228691390101</v>
      </c>
      <c r="AG22" s="344">
        <f t="shared" si="13"/>
        <v>-5.7790967393003795E-2</v>
      </c>
      <c r="AH22" s="343">
        <f>VLOOKUP(A22,'[2]Rate Application - ICC Cycle II'!$A:$IV,26,FALSE)</f>
        <v>-3.455247904038905E-2</v>
      </c>
      <c r="AI22" s="344">
        <f t="shared" si="14"/>
        <v>5.0708840480508166E-2</v>
      </c>
    </row>
    <row r="23" spans="1:35" ht="17.7" x14ac:dyDescent="0.6">
      <c r="A23" s="37">
        <v>210027</v>
      </c>
      <c r="B23" s="26" t="str">
        <f>VLOOKUP(A23,'Variable Input'!$1:$1048576,2,FALSE)</f>
        <v>WESTERN MARYLAND REGIONAL MEDICAL CENTER</v>
      </c>
      <c r="C23" s="31">
        <f>VLOOKUP(A23,'Variable Input'!$1:$1048576,3,FALSE)</f>
        <v>1</v>
      </c>
      <c r="D23" s="87">
        <f>IF(C23=1,'Rate Application - ICC Cycle I'!$Y$65,IF(C23=3,'Rate Application - ICC Cycle I'!$Y$66,IF(C23=4,'Rate Application - ICC Cycle I'!$Y$67,IF(C23=5,'Rate Application - ICC Cycle I'!$Y$68,0))))</f>
        <v>10459.948799491758</v>
      </c>
      <c r="E23" s="87">
        <v>0</v>
      </c>
      <c r="F23" s="87">
        <f>IF(C23=1,E23*(I23/$I$65),IF(C23=3,E23*(I23/$I$66),IF(C23=4,E23*(I23/$I$67),E23*(I23/$I$68))))</f>
        <v>0</v>
      </c>
      <c r="G23" s="87">
        <v>0</v>
      </c>
      <c r="H23" s="87">
        <f>D23*(1-PROFIT!$H$58)</f>
        <v>10424.16020405957</v>
      </c>
      <c r="I23" s="65">
        <f>VLOOKUP(A23,'Rate Application - REM Cycle I'!$1:$65535,15,FALSE)</f>
        <v>22692.781590576982</v>
      </c>
      <c r="J23" s="19">
        <f>VLOOKUP(A23,'Rate Application - ICC Cycle I'!$1:$65535,20,FALSE)/I23</f>
        <v>0</v>
      </c>
      <c r="K23" s="11">
        <f t="shared" si="0"/>
        <v>10424.16020405957</v>
      </c>
      <c r="L23" s="11">
        <f>(K23*I23)+VLOOKUP(A23,'Rate Application - ICC Cycle I'!$1:$1048576,21,FALSE)</f>
        <v>294475846.67093086</v>
      </c>
      <c r="M23" s="36">
        <f>VLOOKUP(A23,'Variable Input'!$1:$1048576,23,FALSE)</f>
        <v>0.99671861092415948</v>
      </c>
      <c r="N23" s="22">
        <f t="shared" si="1"/>
        <v>293509556.84456599</v>
      </c>
      <c r="O23" s="19">
        <f t="shared" si="2"/>
        <v>12934.049343974815</v>
      </c>
      <c r="P23" s="18">
        <f>VLOOKUP(A23,'Rate Application - REM Cycle I'!$1:$65535,11,FALSE)</f>
        <v>1887638.9011087576</v>
      </c>
      <c r="Q23" s="18">
        <f t="shared" si="3"/>
        <v>295397195.74567473</v>
      </c>
      <c r="R23" s="19">
        <f t="shared" si="4"/>
        <v>13017.231693991023</v>
      </c>
      <c r="S23" s="81">
        <f>VLOOKUP(A23,'Rate Application - REM Cycle I'!$1:$65535,9,FALSE)</f>
        <v>1.1268001645719641</v>
      </c>
      <c r="T23" s="19">
        <f t="shared" si="5"/>
        <v>332853608.78032297</v>
      </c>
      <c r="U23" s="22">
        <f t="shared" si="6"/>
        <v>14667.818815060473</v>
      </c>
      <c r="V23" s="88">
        <f>IFERROR(VLOOKUP(A24,'PAU Volume'!AX:AZ,3,FALSE)-VLOOKUP(A24,'PAU Volume'!#REF!,4,FALSE)+VLOOKUP(A24,'PAU Volume'!#REF!,2,FALSE),0)*0</f>
        <v>0</v>
      </c>
      <c r="W23" s="79">
        <f t="shared" si="7"/>
        <v>22692.781590576982</v>
      </c>
      <c r="X23" s="15">
        <f t="shared" si="8"/>
        <v>332853608.78032297</v>
      </c>
      <c r="Y23" s="11">
        <f>VLOOKUP(A23,'Rate Application - REM Cycle I'!$1:$65535,7,FALSE)</f>
        <v>346927138.42145127</v>
      </c>
      <c r="Z23" s="78">
        <f t="shared" si="9"/>
        <v>-4.0566240234661599E-2</v>
      </c>
      <c r="AA23" s="82">
        <f>IFERROR(VLOOKUP(A23,'GBR Revenue for ICC'!#REF!,17,FALSE),0)</f>
        <v>0</v>
      </c>
      <c r="AB23" s="82">
        <f t="shared" si="10"/>
        <v>0</v>
      </c>
      <c r="AC23" s="11">
        <f t="shared" si="11"/>
        <v>346927138.42145127</v>
      </c>
      <c r="AD23" s="11">
        <f t="shared" si="12"/>
        <v>332853608.78032297</v>
      </c>
      <c r="AE23" s="10">
        <v>1</v>
      </c>
      <c r="AF23" s="343">
        <f>VLOOKUP(A23,[1]icc_by_hosp_year!$A:$IV,9,FALSE)</f>
        <v>-9.83545761131496E-2</v>
      </c>
      <c r="AG23" s="344">
        <f t="shared" si="13"/>
        <v>-5.7788335878488001E-2</v>
      </c>
      <c r="AH23" s="343">
        <f>VLOOKUP(A23,'[2]Rate Application - ICC Cycle II'!$A:$IV,26,FALSE)</f>
        <v>-0.11131027631716495</v>
      </c>
      <c r="AI23" s="344">
        <f t="shared" si="14"/>
        <v>-7.0744036082503348E-2</v>
      </c>
    </row>
    <row r="24" spans="1:35" ht="17.7" x14ac:dyDescent="0.6">
      <c r="A24" s="37">
        <v>210028</v>
      </c>
      <c r="B24" s="26" t="str">
        <f>VLOOKUP(A24,'Variable Input'!$1:$1048576,2,FALSE)</f>
        <v xml:space="preserve">MEDSTAR ST. MARY'S HOSPITAL </v>
      </c>
      <c r="C24" s="31">
        <f>VLOOKUP(A24,'Variable Input'!$1:$1048576,3,FALSE)</f>
        <v>1</v>
      </c>
      <c r="D24" s="87">
        <f>IF(C24=1,'Rate Application - ICC Cycle I'!$Y$65,IF(C24=3,'Rate Application - ICC Cycle I'!$Y$66,IF(C24=4,'Rate Application - ICC Cycle I'!$Y$67,IF(C24=5,'Rate Application - ICC Cycle I'!$Y$68,0))))</f>
        <v>10459.948799491758</v>
      </c>
      <c r="E24" s="87">
        <v>0</v>
      </c>
      <c r="F24" s="87">
        <v>0</v>
      </c>
      <c r="G24" s="87">
        <v>0</v>
      </c>
      <c r="H24" s="87">
        <f>D24*(1-PROFIT!$H$58)</f>
        <v>10424.16020405957</v>
      </c>
      <c r="I24" s="65">
        <f>VLOOKUP(A24,'Rate Application - REM Cycle I'!$1:$65535,15,FALSE)</f>
        <v>14672.575577466996</v>
      </c>
      <c r="J24" s="19">
        <f>VLOOKUP(A24,'Rate Application - ICC Cycle I'!$1:$65535,20,FALSE)/I24</f>
        <v>0</v>
      </c>
      <c r="K24" s="11">
        <f t="shared" si="0"/>
        <v>10424.16020405957</v>
      </c>
      <c r="L24" s="11">
        <f>(K24*I24)+VLOOKUP(A24,'Rate Application - ICC Cycle I'!$1:$1048576,21,FALSE)</f>
        <v>193229300.28756899</v>
      </c>
      <c r="M24" s="36">
        <f>VLOOKUP(A24,'Variable Input'!$1:$1048576,23,FALSE)</f>
        <v>0.99671861092415948</v>
      </c>
      <c r="N24" s="22">
        <f t="shared" si="1"/>
        <v>192595239.77247304</v>
      </c>
      <c r="O24" s="19">
        <f t="shared" si="2"/>
        <v>13126.205331546962</v>
      </c>
      <c r="P24" s="18">
        <f>VLOOKUP(A24,'Rate Application - REM Cycle I'!$1:$65535,11,FALSE)</f>
        <v>0</v>
      </c>
      <c r="Q24" s="18">
        <f t="shared" si="3"/>
        <v>192595239.77247304</v>
      </c>
      <c r="R24" s="19">
        <f t="shared" si="4"/>
        <v>13126.205331546962</v>
      </c>
      <c r="S24" s="81">
        <f>VLOOKUP(A24,'Rate Application - REM Cycle I'!$1:$65535,9,FALSE)</f>
        <v>1.1136722213908725</v>
      </c>
      <c r="T24" s="19">
        <f t="shared" si="5"/>
        <v>214487968.50671777</v>
      </c>
      <c r="U24" s="22">
        <f t="shared" si="6"/>
        <v>14618.29025001662</v>
      </c>
      <c r="V24" s="88">
        <f>IFERROR(VLOOKUP(A25,'PAU Volume'!AX:AZ,3,FALSE)-VLOOKUP(A25,'PAU Volume'!#REF!,4,FALSE)+VLOOKUP(A25,'PAU Volume'!#REF!,2,FALSE),0)*0</f>
        <v>0</v>
      </c>
      <c r="W24" s="79">
        <f t="shared" si="7"/>
        <v>14672.575577466996</v>
      </c>
      <c r="X24" s="15">
        <f t="shared" si="8"/>
        <v>214487968.50671777</v>
      </c>
      <c r="Y24" s="11">
        <f>VLOOKUP(A24,'Rate Application - REM Cycle I'!$1:$65535,7,FALSE)</f>
        <v>208234246.15730399</v>
      </c>
      <c r="Z24" s="78">
        <f t="shared" si="9"/>
        <v>3.0032151122201034E-2</v>
      </c>
      <c r="AA24" s="82">
        <f>IFERROR(VLOOKUP(A24,'GBR Revenue for ICC'!#REF!,17,FALSE),0)</f>
        <v>0</v>
      </c>
      <c r="AB24" s="82">
        <f t="shared" si="10"/>
        <v>0</v>
      </c>
      <c r="AC24" s="11">
        <f t="shared" si="11"/>
        <v>208234246.15730399</v>
      </c>
      <c r="AD24" s="11">
        <f t="shared" si="12"/>
        <v>214487968.50671777</v>
      </c>
      <c r="AE24" s="10">
        <v>1</v>
      </c>
      <c r="AF24" s="343">
        <f>VLOOKUP(A24,[1]icc_by_hosp_year!$A:$IV,9,FALSE)</f>
        <v>-3.85784483599457E-2</v>
      </c>
      <c r="AG24" s="344">
        <f t="shared" si="13"/>
        <v>-6.8610599482146734E-2</v>
      </c>
      <c r="AH24" s="343">
        <f>VLOOKUP(A24,'[2]Rate Application - ICC Cycle II'!$A:$IV,26,FALSE)</f>
        <v>-8.1052743219462431E-2</v>
      </c>
      <c r="AI24" s="344">
        <f t="shared" si="14"/>
        <v>-0.11108489434166346</v>
      </c>
    </row>
    <row r="25" spans="1:35" ht="17.7" x14ac:dyDescent="0.6">
      <c r="A25" s="37">
        <v>210029</v>
      </c>
      <c r="B25" s="26" t="str">
        <f>VLOOKUP(A25,'Variable Input'!$1:$1048576,2,FALSE)</f>
        <v>JOHNS HOPKINS BAYVIEW MEDICAL CENTER</v>
      </c>
      <c r="C25" s="31">
        <f>VLOOKUP(A25,'Variable Input'!$1:$1048576,3,FALSE)</f>
        <v>1</v>
      </c>
      <c r="D25" s="87">
        <f>IF(C25=1,'Rate Application - ICC Cycle I'!$Y$65,IF(C25=3,'Rate Application - ICC Cycle I'!$Y$66,IF(C25=4,'Rate Application - ICC Cycle I'!$Y$67,IF(C25=5,'Rate Application - ICC Cycle I'!$Y$68,0))))</f>
        <v>10459.948799491758</v>
      </c>
      <c r="E25" s="87">
        <v>0</v>
      </c>
      <c r="F25" s="87">
        <f>IF(C25=1,E25*(I25/$I$65),IF(C25=3,E25*(I25/$I$66),IF(C25=4,E25*(I25/$I$67),E25*(I25/$I$68))))</f>
        <v>0</v>
      </c>
      <c r="G25" s="87">
        <v>0</v>
      </c>
      <c r="H25" s="87">
        <f>D25*(1-PROFIT!$H$58)</f>
        <v>10424.16020405957</v>
      </c>
      <c r="I25" s="65">
        <f>VLOOKUP(A25,'Rate Application - REM Cycle I'!$1:$65535,15,FALSE)</f>
        <v>35540.799933832066</v>
      </c>
      <c r="J25" s="19">
        <f>VLOOKUP(A25,'Rate Application - ICC Cycle I'!$1:$65535,20,FALSE)/I25</f>
        <v>523.78238472766361</v>
      </c>
      <c r="K25" s="11">
        <f t="shared" si="0"/>
        <v>10947.942588787233</v>
      </c>
      <c r="L25" s="11">
        <f>(K25*I25)+VLOOKUP(A25,'Rate Application - ICC Cycle I'!$1:$1048576,21,FALSE)</f>
        <v>507836275.55244315</v>
      </c>
      <c r="M25" s="36">
        <f>VLOOKUP(A25,'Variable Input'!$1:$1048576,23,FALSE)</f>
        <v>0.99671861092415948</v>
      </c>
      <c r="N25" s="22">
        <f t="shared" si="1"/>
        <v>506169867.14552981</v>
      </c>
      <c r="O25" s="19">
        <f t="shared" si="2"/>
        <v>14241.93794421874</v>
      </c>
      <c r="P25" s="18">
        <f>VLOOKUP(A25,'Rate Application - REM Cycle I'!$1:$65535,11,FALSE)</f>
        <v>27476780.845164478</v>
      </c>
      <c r="Q25" s="18">
        <f t="shared" si="3"/>
        <v>533646647.99069428</v>
      </c>
      <c r="R25" s="19">
        <f t="shared" si="4"/>
        <v>15015.043245627805</v>
      </c>
      <c r="S25" s="81">
        <f>VLOOKUP(A25,'Rate Application - REM Cycle I'!$1:$65535,9,FALSE)</f>
        <v>1.1160480491569686</v>
      </c>
      <c r="T25" s="19">
        <f t="shared" si="5"/>
        <v>595575300.42916989</v>
      </c>
      <c r="U25" s="22">
        <f t="shared" si="6"/>
        <v>16757.50972229043</v>
      </c>
      <c r="V25" s="88">
        <f>IFERROR(VLOOKUP(A26,'PAU Volume'!AX:AZ,3,FALSE)-VLOOKUP(A26,'PAU Volume'!#REF!,4,FALSE)+VLOOKUP(A26,'PAU Volume'!#REF!,2,FALSE),0)*0</f>
        <v>0</v>
      </c>
      <c r="W25" s="79">
        <f t="shared" si="7"/>
        <v>35540.799933832066</v>
      </c>
      <c r="X25" s="15">
        <f t="shared" si="8"/>
        <v>595575300.42916989</v>
      </c>
      <c r="Y25" s="11">
        <f>VLOOKUP(A25,'Rate Application - REM Cycle I'!$1:$65535,7,FALSE)</f>
        <v>714563622.53195643</v>
      </c>
      <c r="Z25" s="78">
        <f t="shared" si="9"/>
        <v>-0.16651886319257059</v>
      </c>
      <c r="AA25" s="82">
        <f>IFERROR(VLOOKUP(A25,'GBR Revenue for ICC'!#REF!,17,FALSE),0)</f>
        <v>0</v>
      </c>
      <c r="AB25" s="82">
        <f t="shared" si="10"/>
        <v>0</v>
      </c>
      <c r="AC25" s="11">
        <f t="shared" si="11"/>
        <v>714563622.53195643</v>
      </c>
      <c r="AD25" s="11">
        <f t="shared" si="12"/>
        <v>595575300.42916989</v>
      </c>
      <c r="AE25" s="10">
        <v>1</v>
      </c>
      <c r="AF25" s="343">
        <f>VLOOKUP(A25,[1]icc_by_hosp_year!$A:$IV,9,FALSE)</f>
        <v>-0.12616918478747599</v>
      </c>
      <c r="AG25" s="344">
        <f t="shared" si="13"/>
        <v>4.0349678405094597E-2</v>
      </c>
      <c r="AH25" s="343">
        <f>VLOOKUP(A25,'[2]Rate Application - ICC Cycle II'!$A:$IV,26,FALSE)</f>
        <v>-4.2721684564173024E-2</v>
      </c>
      <c r="AI25" s="344">
        <f t="shared" si="14"/>
        <v>0.12379717862839756</v>
      </c>
    </row>
    <row r="26" spans="1:35" ht="17.7" x14ac:dyDescent="0.6">
      <c r="A26" s="37">
        <v>210030</v>
      </c>
      <c r="B26" s="26" t="str">
        <f>VLOOKUP(A26,'Variable Input'!$1:$1048576,2,FALSE)</f>
        <v>UM-SHORE REGIONAL HEALTH AT CHESTERTOWN</v>
      </c>
      <c r="C26" s="31">
        <f>VLOOKUP(A26,'Variable Input'!$1:$1048576,3,FALSE)</f>
        <v>1</v>
      </c>
      <c r="D26" s="87">
        <f>IF(C26=1,'Rate Application - ICC Cycle I'!$Y$65,IF(C26=3,'Rate Application - ICC Cycle I'!$Y$66,IF(C26=4,'Rate Application - ICC Cycle I'!$Y$67,IF(C26=5,'Rate Application - ICC Cycle I'!$Y$68,0))))</f>
        <v>10459.948799491758</v>
      </c>
      <c r="E26" s="87">
        <v>0</v>
      </c>
      <c r="F26" s="87">
        <v>0</v>
      </c>
      <c r="G26" s="87">
        <v>0</v>
      </c>
      <c r="H26" s="87">
        <f>D26*(1-PROFIT!$H$58)</f>
        <v>10424.16020405957</v>
      </c>
      <c r="I26" s="65">
        <f>VLOOKUP(A26,'Rate Application - REM Cycle I'!$1:$65535,15,FALSE)</f>
        <v>2175.2241478610003</v>
      </c>
      <c r="J26" s="19">
        <f>VLOOKUP(A26,'Rate Application - ICC Cycle I'!$1:$65535,20,FALSE)/I26</f>
        <v>0</v>
      </c>
      <c r="K26" s="11">
        <f t="shared" si="0"/>
        <v>10424.16020405957</v>
      </c>
      <c r="L26" s="11">
        <f>(K26*I26)+VLOOKUP(A26,'Rate Application - ICC Cycle I'!$1:$1048576,21,FALSE)</f>
        <v>29347339.12181998</v>
      </c>
      <c r="M26" s="36">
        <f>VLOOKUP(A26,'Variable Input'!$1:$1048576,23,FALSE)</f>
        <v>0.99671861092415948</v>
      </c>
      <c r="N26" s="22">
        <f t="shared" si="1"/>
        <v>29251039.083820652</v>
      </c>
      <c r="O26" s="19">
        <f t="shared" si="2"/>
        <v>13447.367763264567</v>
      </c>
      <c r="P26" s="18">
        <f>VLOOKUP(A26,'Rate Application - REM Cycle I'!$1:$65535,11,FALSE)</f>
        <v>208535.14400062207</v>
      </c>
      <c r="Q26" s="18">
        <f t="shared" si="3"/>
        <v>29459574.227821276</v>
      </c>
      <c r="R26" s="19">
        <f t="shared" si="4"/>
        <v>13543.236110536127</v>
      </c>
      <c r="S26" s="81">
        <f>VLOOKUP(A26,'Rate Application - REM Cycle I'!$1:$65535,9,FALSE)</f>
        <v>1.1237498376689119</v>
      </c>
      <c r="T26" s="19">
        <f t="shared" si="5"/>
        <v>33105191.75630942</v>
      </c>
      <c r="U26" s="22">
        <f t="shared" si="6"/>
        <v>15219.209380726719</v>
      </c>
      <c r="V26" s="88">
        <f>IFERROR(VLOOKUP(A27,'PAU Volume'!AX:AZ,3,FALSE)-VLOOKUP(A27,'PAU Volume'!#REF!,4,FALSE)+VLOOKUP(A27,'PAU Volume'!#REF!,2,FALSE),0)*0</f>
        <v>0</v>
      </c>
      <c r="W26" s="79">
        <f t="shared" si="7"/>
        <v>2175.2241478610003</v>
      </c>
      <c r="X26" s="15">
        <f t="shared" si="8"/>
        <v>33105191.75630942</v>
      </c>
      <c r="Y26" s="11">
        <f>VLOOKUP(A26,'Rate Application - REM Cycle I'!$1:$65535,7,FALSE)</f>
        <v>53886862.099348657</v>
      </c>
      <c r="Z26" s="78">
        <f t="shared" si="9"/>
        <v>-0.38565374811999731</v>
      </c>
      <c r="AA26" s="82">
        <f>IFERROR(VLOOKUP(A26,'GBR Revenue for ICC'!#REF!,17,FALSE),0)</f>
        <v>0</v>
      </c>
      <c r="AB26" s="82">
        <f t="shared" si="10"/>
        <v>0</v>
      </c>
      <c r="AC26" s="11">
        <f t="shared" si="11"/>
        <v>53886862.099348657</v>
      </c>
      <c r="AD26" s="11">
        <f t="shared" si="12"/>
        <v>33105191.75630942</v>
      </c>
      <c r="AE26" s="10">
        <v>1</v>
      </c>
      <c r="AF26" s="343">
        <f>VLOOKUP(A26,[1]icc_by_hosp_year!$A:$IV,9,FALSE)</f>
        <v>-0.26824643938849402</v>
      </c>
      <c r="AG26" s="344">
        <f t="shared" si="13"/>
        <v>0.11740730873150329</v>
      </c>
      <c r="AH26" s="343">
        <f>VLOOKUP(A26,'[2]Rate Application - ICC Cycle II'!$A:$IV,26,FALSE)</f>
        <v>-0.33110155758988102</v>
      </c>
      <c r="AI26" s="344">
        <f t="shared" si="14"/>
        <v>5.4552190530116285E-2</v>
      </c>
    </row>
    <row r="27" spans="1:35" ht="17.7" x14ac:dyDescent="0.6">
      <c r="A27" s="37">
        <v>210032</v>
      </c>
      <c r="B27" s="26" t="str">
        <f>VLOOKUP(A27,'Variable Input'!$1:$1048576,2,FALSE)</f>
        <v>UNION HOSPITAL OF CECIL COUNTY</v>
      </c>
      <c r="C27" s="31">
        <f>VLOOKUP(A27,'Variable Input'!$1:$1048576,3,FALSE)</f>
        <v>1</v>
      </c>
      <c r="D27" s="87">
        <f>IF(C27=1,'Rate Application - ICC Cycle I'!$Y$65,IF(C27=3,'Rate Application - ICC Cycle I'!$Y$66,IF(C27=4,'Rate Application - ICC Cycle I'!$Y$67,IF(C27=5,'Rate Application - ICC Cycle I'!$Y$68,0))))</f>
        <v>10459.948799491758</v>
      </c>
      <c r="E27" s="87">
        <v>0</v>
      </c>
      <c r="F27" s="87">
        <f>IF(C27=1,E27*(I27/$I$65),IF(C27=3,E27*(I27/$I$66),IF(C27=4,E27*(I27/$I$67),E27*(I27/$I$68))))</f>
        <v>0</v>
      </c>
      <c r="G27" s="87">
        <v>0</v>
      </c>
      <c r="H27" s="87">
        <f>D27*(1-PROFIT!$H$58)</f>
        <v>10424.16020405957</v>
      </c>
      <c r="I27" s="65">
        <f>VLOOKUP(A27,'Rate Application - REM Cycle I'!$1:$65535,15,FALSE)</f>
        <v>10926.435215269013</v>
      </c>
      <c r="J27" s="19">
        <f>VLOOKUP(A27,'Rate Application - ICC Cycle I'!$1:$65535,20,FALSE)/I27</f>
        <v>0</v>
      </c>
      <c r="K27" s="11">
        <f t="shared" si="0"/>
        <v>10424.16020405957</v>
      </c>
      <c r="L27" s="11">
        <f>(K27*I27)+VLOOKUP(A27,'Rate Application - ICC Cycle I'!$1:$1048576,21,FALSE)</f>
        <v>145887266.07216606</v>
      </c>
      <c r="M27" s="36">
        <f>VLOOKUP(A27,'Variable Input'!$1:$1048576,23,FALSE)</f>
        <v>0.99671861092415948</v>
      </c>
      <c r="N27" s="22">
        <f t="shared" si="1"/>
        <v>145408553.1909726</v>
      </c>
      <c r="O27" s="19">
        <f t="shared" si="2"/>
        <v>13307.95912172464</v>
      </c>
      <c r="P27" s="18">
        <f>VLOOKUP(A27,'Rate Application - REM Cycle I'!$1:$65535,11,FALSE)</f>
        <v>0</v>
      </c>
      <c r="Q27" s="18">
        <f t="shared" si="3"/>
        <v>145408553.1909726</v>
      </c>
      <c r="R27" s="19">
        <f t="shared" si="4"/>
        <v>13307.95912172464</v>
      </c>
      <c r="S27" s="81">
        <f>VLOOKUP(A27,'Rate Application - REM Cycle I'!$1:$65535,9,FALSE)</f>
        <v>1.1182795268578634</v>
      </c>
      <c r="T27" s="19">
        <f t="shared" si="5"/>
        <v>162607408.06348729</v>
      </c>
      <c r="U27" s="22">
        <f t="shared" si="6"/>
        <v>14882.018230086016</v>
      </c>
      <c r="V27" s="88">
        <f>IFERROR(VLOOKUP(A28,'PAU Volume'!AX:AZ,3,FALSE)-VLOOKUP(A28,'PAU Volume'!#REF!,4,FALSE)+VLOOKUP(A28,'PAU Volume'!#REF!,2,FALSE),0)*0</f>
        <v>0</v>
      </c>
      <c r="W27" s="79">
        <f t="shared" si="7"/>
        <v>10926.435215269013</v>
      </c>
      <c r="X27" s="15">
        <f t="shared" si="8"/>
        <v>162607408.06348729</v>
      </c>
      <c r="Y27" s="11">
        <f>VLOOKUP(A27,'Rate Application - REM Cycle I'!$1:$65535,7,FALSE)</f>
        <v>188376183.84885556</v>
      </c>
      <c r="Z27" s="78">
        <f t="shared" si="9"/>
        <v>-0.13679423406328239</v>
      </c>
      <c r="AA27" s="82">
        <f>IFERROR(VLOOKUP(A27,'GBR Revenue for ICC'!#REF!,17,FALSE),0)</f>
        <v>0</v>
      </c>
      <c r="AB27" s="82">
        <f t="shared" si="10"/>
        <v>0</v>
      </c>
      <c r="AC27" s="11">
        <f t="shared" si="11"/>
        <v>188376183.84885556</v>
      </c>
      <c r="AD27" s="11">
        <f t="shared" si="12"/>
        <v>162607408.06348729</v>
      </c>
      <c r="AE27" s="10">
        <v>1</v>
      </c>
      <c r="AF27" s="343">
        <f>VLOOKUP(A27,[1]icc_by_hosp_year!$A:$IV,9,FALSE)</f>
        <v>-0.147408261482669</v>
      </c>
      <c r="AG27" s="344">
        <f t="shared" si="13"/>
        <v>-1.0614027419386607E-2</v>
      </c>
      <c r="AH27" s="343">
        <f>VLOOKUP(A27,'[2]Rate Application - ICC Cycle II'!$A:$IV,26,FALSE)</f>
        <v>-0.22364762561036999</v>
      </c>
      <c r="AI27" s="344">
        <f t="shared" si="14"/>
        <v>-8.6853391547087599E-2</v>
      </c>
    </row>
    <row r="28" spans="1:35" ht="17.7" x14ac:dyDescent="0.6">
      <c r="A28" s="37">
        <v>210033</v>
      </c>
      <c r="B28" s="26" t="str">
        <f>VLOOKUP(A28,'Variable Input'!$1:$1048576,2,FALSE)</f>
        <v>CARROLL HOSPITAL CENTER</v>
      </c>
      <c r="C28" s="31">
        <f>VLOOKUP(A28,'Variable Input'!$1:$1048576,3,FALSE)</f>
        <v>1</v>
      </c>
      <c r="D28" s="87">
        <f>IF(C28=1,'Rate Application - ICC Cycle I'!$Y$65,IF(C28=3,'Rate Application - ICC Cycle I'!$Y$66,IF(C28=4,'Rate Application - ICC Cycle I'!$Y$67,IF(C28=5,'Rate Application - ICC Cycle I'!$Y$68,0))))</f>
        <v>10459.948799491758</v>
      </c>
      <c r="E28" s="87">
        <v>0</v>
      </c>
      <c r="F28" s="87">
        <v>0</v>
      </c>
      <c r="G28" s="87">
        <v>0</v>
      </c>
      <c r="H28" s="87">
        <f>D28*(1-PROFIT!$H$58)</f>
        <v>10424.16020405957</v>
      </c>
      <c r="I28" s="65">
        <f>VLOOKUP(A28,'Rate Application - REM Cycle I'!$1:$65535,15,FALSE)</f>
        <v>16462.876928917998</v>
      </c>
      <c r="J28" s="19">
        <f>VLOOKUP(A28,'Rate Application - ICC Cycle I'!$1:$65535,20,FALSE)/I28</f>
        <v>0</v>
      </c>
      <c r="K28" s="11">
        <f t="shared" si="0"/>
        <v>10424.16020405957</v>
      </c>
      <c r="L28" s="11">
        <f>(K28*I28)+VLOOKUP(A28,'Rate Application - ICC Cycle I'!$1:$1048576,21,FALSE)</f>
        <v>207584604.73179492</v>
      </c>
      <c r="M28" s="36">
        <f>VLOOKUP(A28,'Variable Input'!$1:$1048576,23,FALSE)</f>
        <v>0.99671861092415948</v>
      </c>
      <c r="N28" s="22">
        <f t="shared" si="1"/>
        <v>206903438.87751535</v>
      </c>
      <c r="O28" s="19">
        <f t="shared" si="2"/>
        <v>12567.878613857427</v>
      </c>
      <c r="P28" s="18">
        <f>VLOOKUP(A28,'Rate Application - REM Cycle I'!$1:$65535,11,FALSE)</f>
        <v>0</v>
      </c>
      <c r="Q28" s="18">
        <f t="shared" si="3"/>
        <v>206903438.87751535</v>
      </c>
      <c r="R28" s="19">
        <f t="shared" si="4"/>
        <v>12567.878613857427</v>
      </c>
      <c r="S28" s="81">
        <f>VLOOKUP(A28,'Rate Application - REM Cycle I'!$1:$65535,9,FALSE)</f>
        <v>1.1165021686409196</v>
      </c>
      <c r="T28" s="19">
        <f t="shared" si="5"/>
        <v>231008138.20600984</v>
      </c>
      <c r="U28" s="22">
        <f t="shared" si="6"/>
        <v>14032.063727587652</v>
      </c>
      <c r="V28" s="88">
        <f>IFERROR(VLOOKUP(A29,'PAU Volume'!AX:AZ,3,FALSE)-VLOOKUP(A29,'PAU Volume'!#REF!,4,FALSE)+VLOOKUP(A29,'PAU Volume'!#REF!,2,FALSE),0)*0</f>
        <v>0</v>
      </c>
      <c r="W28" s="79">
        <f t="shared" si="7"/>
        <v>16462.876928917998</v>
      </c>
      <c r="X28" s="15">
        <f t="shared" si="8"/>
        <v>231008138.20600984</v>
      </c>
      <c r="Y28" s="11">
        <f>VLOOKUP(A28,'Rate Application - REM Cycle I'!$1:$65535,7,FALSE)</f>
        <v>270127753.60721987</v>
      </c>
      <c r="Z28" s="78">
        <f t="shared" si="9"/>
        <v>-0.14481894170005216</v>
      </c>
      <c r="AA28" s="82">
        <f>IFERROR(VLOOKUP(A28,'GBR Revenue for ICC'!#REF!,17,FALSE),0)</f>
        <v>0</v>
      </c>
      <c r="AB28" s="82">
        <f t="shared" si="10"/>
        <v>0</v>
      </c>
      <c r="AC28" s="11">
        <f t="shared" si="11"/>
        <v>270127753.60721987</v>
      </c>
      <c r="AD28" s="11">
        <f t="shared" si="12"/>
        <v>231008138.20600984</v>
      </c>
      <c r="AE28" s="10">
        <v>1</v>
      </c>
      <c r="AF28" s="343">
        <f>VLOOKUP(A28,[1]icc_by_hosp_year!$A:$IV,9,FALSE)</f>
        <v>-0.15090431531885801</v>
      </c>
      <c r="AG28" s="344">
        <f t="shared" si="13"/>
        <v>-6.0853736188058449E-3</v>
      </c>
      <c r="AH28" s="343">
        <f>VLOOKUP(A28,'[2]Rate Application - ICC Cycle II'!$A:$IV,26,FALSE)</f>
        <v>-0.16219870271962122</v>
      </c>
      <c r="AI28" s="344">
        <f t="shared" si="14"/>
        <v>-1.7379761019569062E-2</v>
      </c>
    </row>
    <row r="29" spans="1:35" ht="17.7" x14ac:dyDescent="0.6">
      <c r="A29" s="37">
        <v>210034</v>
      </c>
      <c r="B29" s="26" t="str">
        <f>VLOOKUP(A29,'Variable Input'!$1:$1048576,2,FALSE)</f>
        <v>MEDSTAR HARBOR HOSPITAL CENTER</v>
      </c>
      <c r="C29" s="31">
        <f>VLOOKUP(A29,'Variable Input'!$1:$1048576,3,FALSE)</f>
        <v>1</v>
      </c>
      <c r="D29" s="87">
        <f>IF(C29=1,'Rate Application - ICC Cycle I'!$Y$65,IF(C29=3,'Rate Application - ICC Cycle I'!$Y$66,IF(C29=4,'Rate Application - ICC Cycle I'!$Y$67,IF(C29=5,'Rate Application - ICC Cycle I'!$Y$68,0))))</f>
        <v>10459.948799491758</v>
      </c>
      <c r="E29" s="87">
        <v>0</v>
      </c>
      <c r="F29" s="87">
        <f>IF(C29=1,E29*(I29/$I$65),IF(C29=3,E29*(I29/$I$66),IF(C29=4,E29*(I29/$I$67),E29*(I29/$I$68))))</f>
        <v>0</v>
      </c>
      <c r="G29" s="87">
        <v>0</v>
      </c>
      <c r="H29" s="87">
        <f>D29*(1-PROFIT!$H$58)</f>
        <v>10424.16020405957</v>
      </c>
      <c r="I29" s="65">
        <f>VLOOKUP(A29,'Rate Application - REM Cycle I'!$1:$65535,15,FALSE)</f>
        <v>11637.098158323013</v>
      </c>
      <c r="J29" s="19">
        <f>VLOOKUP(A29,'Rate Application - ICC Cycle I'!$1:$65535,20,FALSE)/I29</f>
        <v>219.3949496707223</v>
      </c>
      <c r="K29" s="11">
        <f t="shared" si="0"/>
        <v>10643.555153730293</v>
      </c>
      <c r="L29" s="11">
        <f>(K29*I29)+VLOOKUP(A29,'Rate Application - ICC Cycle I'!$1:$1048576,21,FALSE)</f>
        <v>181783114.73862317</v>
      </c>
      <c r="M29" s="36">
        <f>VLOOKUP(A29,'Variable Input'!$1:$1048576,23,FALSE)</f>
        <v>0.99671861092415948</v>
      </c>
      <c r="N29" s="22">
        <f t="shared" si="1"/>
        <v>181186613.61174759</v>
      </c>
      <c r="O29" s="19">
        <f t="shared" si="2"/>
        <v>15569.741798745628</v>
      </c>
      <c r="P29" s="18">
        <f>VLOOKUP(A29,'Rate Application - REM Cycle I'!$1:$65535,11,FALSE)</f>
        <v>2578337.9692581748</v>
      </c>
      <c r="Q29" s="18">
        <f t="shared" si="3"/>
        <v>183764951.58100578</v>
      </c>
      <c r="R29" s="19">
        <f t="shared" si="4"/>
        <v>15791.303732329055</v>
      </c>
      <c r="S29" s="81">
        <f>VLOOKUP(A29,'Rate Application - REM Cycle I'!$1:$65535,9,FALSE)</f>
        <v>1.1252449607173489</v>
      </c>
      <c r="T29" s="19">
        <f t="shared" si="5"/>
        <v>206780585.72299439</v>
      </c>
      <c r="U29" s="22">
        <f t="shared" si="6"/>
        <v>17769.084947960335</v>
      </c>
      <c r="V29" s="88">
        <f>IFERROR(VLOOKUP(A30,'PAU Volume'!AX:AZ,3,FALSE)-VLOOKUP(A30,'PAU Volume'!#REF!,4,FALSE)+VLOOKUP(A30,'PAU Volume'!#REF!,2,FALSE),0)*0</f>
        <v>0</v>
      </c>
      <c r="W29" s="79">
        <f t="shared" si="7"/>
        <v>11637.098158323013</v>
      </c>
      <c r="X29" s="15">
        <f t="shared" si="8"/>
        <v>206780585.72299439</v>
      </c>
      <c r="Y29" s="11">
        <f>VLOOKUP(A29,'Rate Application - REM Cycle I'!$1:$65535,7,FALSE)</f>
        <v>207708721.24780929</v>
      </c>
      <c r="Z29" s="78">
        <f t="shared" si="9"/>
        <v>-4.4684475415338598E-3</v>
      </c>
      <c r="AA29" s="82">
        <f>IFERROR(VLOOKUP(A29,'GBR Revenue for ICC'!#REF!,17,FALSE),0)</f>
        <v>0</v>
      </c>
      <c r="AB29" s="82">
        <f t="shared" si="10"/>
        <v>0</v>
      </c>
      <c r="AC29" s="11">
        <f t="shared" si="11"/>
        <v>207708721.24780929</v>
      </c>
      <c r="AD29" s="11">
        <f t="shared" si="12"/>
        <v>206780585.72299439</v>
      </c>
      <c r="AE29" s="10">
        <v>1</v>
      </c>
      <c r="AF29" s="343">
        <f>VLOOKUP(A29,[1]icc_by_hosp_year!$A:$IV,9,FALSE)</f>
        <v>-7.5196732312444697E-2</v>
      </c>
      <c r="AG29" s="344">
        <f t="shared" si="13"/>
        <v>-7.0728284770910838E-2</v>
      </c>
      <c r="AH29" s="343">
        <f>VLOOKUP(A29,'[2]Rate Application - ICC Cycle II'!$A:$IV,26,FALSE)</f>
        <v>-4.5652462707706398E-2</v>
      </c>
      <c r="AI29" s="344">
        <f t="shared" si="14"/>
        <v>-4.1184015166172538E-2</v>
      </c>
    </row>
    <row r="30" spans="1:35" ht="17.7" x14ac:dyDescent="0.6">
      <c r="A30" s="37">
        <v>210035</v>
      </c>
      <c r="B30" s="26" t="str">
        <f>VLOOKUP(A30,'Variable Input'!$1:$1048576,2,FALSE)</f>
        <v>UM-CHARLES REGIONAL MEDICAL CENTER</v>
      </c>
      <c r="C30" s="31">
        <f>VLOOKUP(A30,'Variable Input'!$1:$1048576,3,FALSE)</f>
        <v>1</v>
      </c>
      <c r="D30" s="87">
        <f>IF(C30=1,'Rate Application - ICC Cycle I'!$Y$65,IF(C30=3,'Rate Application - ICC Cycle I'!$Y$66,IF(C30=4,'Rate Application - ICC Cycle I'!$Y$67,IF(C30=5,'Rate Application - ICC Cycle I'!$Y$68,0))))</f>
        <v>10459.948799491758</v>
      </c>
      <c r="E30" s="87">
        <v>0</v>
      </c>
      <c r="F30" s="87">
        <v>0</v>
      </c>
      <c r="G30" s="87">
        <v>0</v>
      </c>
      <c r="H30" s="87">
        <f>D30*(1-PROFIT!$H$58)</f>
        <v>10424.16020405957</v>
      </c>
      <c r="I30" s="65">
        <f>VLOOKUP(A30,'Rate Application - REM Cycle I'!$1:$65535,15,FALSE)</f>
        <v>12134.106723412984</v>
      </c>
      <c r="J30" s="19">
        <f>VLOOKUP(A30,'Rate Application - ICC Cycle I'!$1:$65535,20,FALSE)/I30</f>
        <v>0</v>
      </c>
      <c r="K30" s="11">
        <f t="shared" si="0"/>
        <v>10424.16020405957</v>
      </c>
      <c r="L30" s="11">
        <f>(K30*I30)+VLOOKUP(A30,'Rate Application - ICC Cycle I'!$1:$1048576,21,FALSE)</f>
        <v>160265403.57358128</v>
      </c>
      <c r="M30" s="36">
        <f>VLOOKUP(A30,'Variable Input'!$1:$1048576,23,FALSE)</f>
        <v>0.99671861092415948</v>
      </c>
      <c r="N30" s="22">
        <f t="shared" si="1"/>
        <v>159739510.42905974</v>
      </c>
      <c r="O30" s="19">
        <f t="shared" si="2"/>
        <v>13164.505148190216</v>
      </c>
      <c r="P30" s="18">
        <f>VLOOKUP(A30,'Rate Application - REM Cycle I'!$1:$65535,11,FALSE)</f>
        <v>0</v>
      </c>
      <c r="Q30" s="18">
        <f t="shared" si="3"/>
        <v>159739510.42905974</v>
      </c>
      <c r="R30" s="19">
        <f t="shared" si="4"/>
        <v>13164.505148190216</v>
      </c>
      <c r="S30" s="81">
        <f>VLOOKUP(A30,'Rate Application - REM Cycle I'!$1:$65535,9,FALSE)</f>
        <v>1.1148847928711076</v>
      </c>
      <c r="T30" s="19">
        <f t="shared" si="5"/>
        <v>178091150.99803442</v>
      </c>
      <c r="U30" s="22">
        <f t="shared" si="6"/>
        <v>14676.906595390679</v>
      </c>
      <c r="V30" s="88">
        <f>IFERROR(VLOOKUP(A31,'PAU Volume'!AX:AZ,3,FALSE)-VLOOKUP(A31,'PAU Volume'!#REF!,4,FALSE)+VLOOKUP(A31,'PAU Volume'!#REF!,2,FALSE),0)*0</f>
        <v>0</v>
      </c>
      <c r="W30" s="79">
        <f t="shared" si="7"/>
        <v>12134.106723412984</v>
      </c>
      <c r="X30" s="15">
        <f t="shared" si="8"/>
        <v>178091150.99803442</v>
      </c>
      <c r="Y30" s="11">
        <f>VLOOKUP(A30,'Rate Application - REM Cycle I'!$1:$65535,7,FALSE)</f>
        <v>178746811.03130147</v>
      </c>
      <c r="Z30" s="78">
        <f t="shared" si="9"/>
        <v>-3.6680935983368634E-3</v>
      </c>
      <c r="AA30" s="82">
        <f>IFERROR(VLOOKUP(A30,'GBR Revenue for ICC'!#REF!,17,FALSE),0)</f>
        <v>0</v>
      </c>
      <c r="AB30" s="82">
        <f t="shared" si="10"/>
        <v>0</v>
      </c>
      <c r="AC30" s="11">
        <f t="shared" si="11"/>
        <v>178746811.03130147</v>
      </c>
      <c r="AD30" s="11">
        <f t="shared" si="12"/>
        <v>178091150.99803442</v>
      </c>
      <c r="AE30" s="10">
        <v>1</v>
      </c>
      <c r="AF30" s="343">
        <f>VLOOKUP(A30,[1]icc_by_hosp_year!$A:$IV,9,FALSE)</f>
        <v>-7.4006795896712801E-2</v>
      </c>
      <c r="AG30" s="344">
        <f t="shared" si="13"/>
        <v>-7.0338702298375938E-2</v>
      </c>
      <c r="AH30" s="343">
        <f>VLOOKUP(A30,'[2]Rate Application - ICC Cycle II'!$A:$IV,26,FALSE)</f>
        <v>-0.11246400780632992</v>
      </c>
      <c r="AI30" s="344">
        <f t="shared" si="14"/>
        <v>-0.10879591420799306</v>
      </c>
    </row>
    <row r="31" spans="1:35" ht="17.7" x14ac:dyDescent="0.6">
      <c r="A31" s="37">
        <v>210037</v>
      </c>
      <c r="B31" s="26" t="str">
        <f>VLOOKUP(A31,'Variable Input'!$1:$1048576,2,FALSE)</f>
        <v>UM-SHORE REGIONAL HEALTH AT EASTON</v>
      </c>
      <c r="C31" s="31">
        <f>VLOOKUP(A31,'Variable Input'!$1:$1048576,3,FALSE)</f>
        <v>1</v>
      </c>
      <c r="D31" s="87">
        <f>IF(C31=1,'Rate Application - ICC Cycle I'!$Y$65,IF(C31=3,'Rate Application - ICC Cycle I'!$Y$66,IF(C31=4,'Rate Application - ICC Cycle I'!$Y$67,IF(C31=5,'Rate Application - ICC Cycle I'!$Y$68,0))))</f>
        <v>10459.948799491758</v>
      </c>
      <c r="E31" s="87">
        <v>0</v>
      </c>
      <c r="F31" s="87">
        <f>IF(C31=1,E31*(I31/$I$65),IF(C31=3,E31*(I31/$I$66),IF(C31=4,E31*(I31/$I$67),E31*(I31/$I$68))))</f>
        <v>0</v>
      </c>
      <c r="G31" s="87">
        <v>0</v>
      </c>
      <c r="H31" s="87">
        <f>D31*(1-PROFIT!$H$58)</f>
        <v>10424.16020405957</v>
      </c>
      <c r="I31" s="65">
        <f>VLOOKUP(A31,'Rate Application - REM Cycle I'!$1:$65535,15,FALSE)</f>
        <v>14334.792159748988</v>
      </c>
      <c r="J31" s="19">
        <f>VLOOKUP(A31,'Rate Application - ICC Cycle I'!$1:$65535,20,FALSE)/I31</f>
        <v>0</v>
      </c>
      <c r="K31" s="11">
        <f t="shared" si="0"/>
        <v>10424.16020405957</v>
      </c>
      <c r="L31" s="11">
        <f>(K31*I31)+VLOOKUP(A31,'Rate Application - ICC Cycle I'!$1:$1048576,21,FALSE)</f>
        <v>190890039.94214198</v>
      </c>
      <c r="M31" s="36">
        <f>VLOOKUP(A31,'Variable Input'!$1:$1048576,23,FALSE)</f>
        <v>0.99671861092415948</v>
      </c>
      <c r="N31" s="22">
        <f t="shared" si="1"/>
        <v>190263655.45038909</v>
      </c>
      <c r="O31" s="19">
        <f t="shared" si="2"/>
        <v>13272.857627098008</v>
      </c>
      <c r="P31" s="18">
        <f>VLOOKUP(A31,'Rate Application - REM Cycle I'!$1:$65535,11,FALSE)</f>
        <v>832816.30724702065</v>
      </c>
      <c r="Q31" s="18">
        <f t="shared" si="3"/>
        <v>191096471.7576361</v>
      </c>
      <c r="R31" s="19">
        <f t="shared" si="4"/>
        <v>13330.955177307735</v>
      </c>
      <c r="S31" s="81">
        <f>VLOOKUP(A31,'Rate Application - REM Cycle I'!$1:$65535,9,FALSE)</f>
        <v>1.1240965147015685</v>
      </c>
      <c r="T31" s="19">
        <f t="shared" si="5"/>
        <v>214810877.87452546</v>
      </c>
      <c r="U31" s="22">
        <f t="shared" si="6"/>
        <v>14985.280252454455</v>
      </c>
      <c r="V31" s="88">
        <f>IFERROR(VLOOKUP(A32,'PAU Volume'!AX:AZ,3,FALSE)-VLOOKUP(A32,'PAU Volume'!#REF!,4,FALSE)+VLOOKUP(A32,'PAU Volume'!#REF!,2,FALSE),0)*0</f>
        <v>0</v>
      </c>
      <c r="W31" s="79">
        <f t="shared" si="7"/>
        <v>14334.792159748988</v>
      </c>
      <c r="X31" s="15">
        <f t="shared" si="8"/>
        <v>214810877.87452546</v>
      </c>
      <c r="Y31" s="11">
        <f>VLOOKUP(A31,'Rate Application - REM Cycle I'!$1:$65535,7,FALSE)</f>
        <v>263996559.9878093</v>
      </c>
      <c r="Z31" s="78">
        <f t="shared" si="9"/>
        <v>-0.18631182965245874</v>
      </c>
      <c r="AA31" s="82">
        <f>IFERROR(VLOOKUP(A31,'GBR Revenue for ICC'!#REF!,17,FALSE),0)</f>
        <v>0</v>
      </c>
      <c r="AB31" s="82">
        <f t="shared" si="10"/>
        <v>0</v>
      </c>
      <c r="AC31" s="11">
        <f t="shared" si="11"/>
        <v>263996559.9878093</v>
      </c>
      <c r="AD31" s="11">
        <f t="shared" si="12"/>
        <v>214810877.87452546</v>
      </c>
      <c r="AE31" s="10">
        <v>1</v>
      </c>
      <c r="AF31" s="343">
        <f>VLOOKUP(A31,[1]icc_by_hosp_year!$A:$IV,9,FALSE)</f>
        <v>-0.154935101200387</v>
      </c>
      <c r="AG31" s="344">
        <f t="shared" si="13"/>
        <v>3.1376728452071734E-2</v>
      </c>
      <c r="AH31" s="343">
        <f>VLOOKUP(A31,'[2]Rate Application - ICC Cycle II'!$A:$IV,26,FALSE)</f>
        <v>-0.20737631201178663</v>
      </c>
      <c r="AI31" s="344">
        <f t="shared" si="14"/>
        <v>-2.1064482359327896E-2</v>
      </c>
    </row>
    <row r="32" spans="1:35" ht="17.7" x14ac:dyDescent="0.6">
      <c r="A32" s="37">
        <v>210038</v>
      </c>
      <c r="B32" s="26" t="str">
        <f>VLOOKUP(A32,'Variable Input'!$1:$1048576,2,FALSE)</f>
        <v>UMMC MIDTOWN CAMPUS</v>
      </c>
      <c r="C32" s="31">
        <f>VLOOKUP(A32,'Variable Input'!$1:$1048576,3,FALSE)</f>
        <v>1</v>
      </c>
      <c r="D32" s="87">
        <f>IF(C32=1,'Rate Application - ICC Cycle I'!$Y$65,IF(C32=3,'Rate Application - ICC Cycle I'!$Y$66,IF(C32=4,'Rate Application - ICC Cycle I'!$Y$67,IF(C32=5,'Rate Application - ICC Cycle I'!$Y$68,0))))</f>
        <v>10459.948799491758</v>
      </c>
      <c r="E32" s="87">
        <v>0</v>
      </c>
      <c r="F32" s="87">
        <v>0</v>
      </c>
      <c r="G32" s="87">
        <v>0</v>
      </c>
      <c r="H32" s="87">
        <f>D32*(1-PROFIT!$H$58)</f>
        <v>10424.16020405957</v>
      </c>
      <c r="I32" s="65">
        <f>VLOOKUP(A32,'Rate Application - REM Cycle I'!$1:$65535,15,FALSE)</f>
        <v>10658.398211444006</v>
      </c>
      <c r="J32" s="19">
        <f>VLOOKUP(A32,'Rate Application - ICC Cycle I'!$1:$65535,20,FALSE)/I32</f>
        <v>458.6754750324082</v>
      </c>
      <c r="K32" s="11">
        <f t="shared" si="0"/>
        <v>10882.835679091979</v>
      </c>
      <c r="L32" s="11">
        <f>(K32*I32)+VLOOKUP(A32,'Rate Application - ICC Cycle I'!$1:$1048576,21,FALSE)</f>
        <v>175694859.62591672</v>
      </c>
      <c r="M32" s="36">
        <f>VLOOKUP(A32,'Variable Input'!$1:$1048576,23,FALSE)</f>
        <v>0.99671861092415948</v>
      </c>
      <c r="N32" s="22">
        <f t="shared" si="1"/>
        <v>175118336.43285891</v>
      </c>
      <c r="O32" s="19">
        <f t="shared" si="2"/>
        <v>16430.08010761251</v>
      </c>
      <c r="P32" s="18">
        <f>VLOOKUP(A32,'Rate Application - REM Cycle I'!$1:$65535,11,FALSE)</f>
        <v>2754406.3071728726</v>
      </c>
      <c r="Q32" s="18">
        <f t="shared" si="3"/>
        <v>177872742.74003178</v>
      </c>
      <c r="R32" s="19">
        <f t="shared" si="4"/>
        <v>16688.506022325982</v>
      </c>
      <c r="S32" s="81">
        <f>VLOOKUP(A32,'Rate Application - REM Cycle I'!$1:$65535,9,FALSE)</f>
        <v>1.1259331913445376</v>
      </c>
      <c r="T32" s="19">
        <f t="shared" si="5"/>
        <v>200272824.88648993</v>
      </c>
      <c r="U32" s="22">
        <f t="shared" si="6"/>
        <v>18790.14284449003</v>
      </c>
      <c r="V32" s="88">
        <f>IFERROR(VLOOKUP(A33,'PAU Volume'!AX:AZ,3,FALSE)-VLOOKUP(A33,'PAU Volume'!#REF!,4,FALSE)+VLOOKUP(A33,'PAU Volume'!#REF!,2,FALSE),0)*0</f>
        <v>0</v>
      </c>
      <c r="W32" s="79">
        <f t="shared" si="7"/>
        <v>10658.398211444006</v>
      </c>
      <c r="X32" s="15">
        <f t="shared" si="8"/>
        <v>200272824.88648993</v>
      </c>
      <c r="Y32" s="11">
        <f>VLOOKUP(A32,'Rate Application - REM Cycle I'!$1:$65535,7,FALSE)</f>
        <v>245342788.39216566</v>
      </c>
      <c r="Z32" s="78">
        <f t="shared" si="9"/>
        <v>-0.18370201056667745</v>
      </c>
      <c r="AA32" s="82">
        <f>IFERROR(VLOOKUP(A32,'GBR Revenue for ICC'!#REF!,17,FALSE),0)</f>
        <v>0</v>
      </c>
      <c r="AB32" s="82">
        <f t="shared" si="10"/>
        <v>0</v>
      </c>
      <c r="AC32" s="11">
        <f t="shared" si="11"/>
        <v>245342788.39216566</v>
      </c>
      <c r="AD32" s="11">
        <f t="shared" si="12"/>
        <v>200272824.88648993</v>
      </c>
      <c r="AE32" s="10">
        <v>1</v>
      </c>
      <c r="AF32" s="343">
        <f>VLOOKUP(A32,[1]icc_by_hosp_year!$A:$IV,9,FALSE)</f>
        <v>-0.215065587485329</v>
      </c>
      <c r="AG32" s="344">
        <f t="shared" si="13"/>
        <v>-3.1363576918651548E-2</v>
      </c>
      <c r="AH32" s="343">
        <f>VLOOKUP(A32,'[2]Rate Application - ICC Cycle II'!$A:$IV,26,FALSE)</f>
        <v>-0.23519685732744644</v>
      </c>
      <c r="AI32" s="344">
        <f t="shared" si="14"/>
        <v>-5.1494846760768986E-2</v>
      </c>
    </row>
    <row r="33" spans="1:35" ht="17.7" x14ac:dyDescent="0.6">
      <c r="A33" s="37">
        <v>210039</v>
      </c>
      <c r="B33" s="26" t="str">
        <f>VLOOKUP(A33,'Variable Input'!$1:$1048576,2,FALSE)</f>
        <v>CALVERT MEMORIAL HOSPITAL</v>
      </c>
      <c r="C33" s="31">
        <f>VLOOKUP(A33,'Variable Input'!$1:$1048576,3,FALSE)</f>
        <v>1</v>
      </c>
      <c r="D33" s="87">
        <f>IF(C33=1,'Rate Application - ICC Cycle I'!$Y$65,IF(C33=3,'Rate Application - ICC Cycle I'!$Y$66,IF(C33=4,'Rate Application - ICC Cycle I'!$Y$67,IF(C33=5,'Rate Application - ICC Cycle I'!$Y$68,0))))</f>
        <v>10459.948799491758</v>
      </c>
      <c r="E33" s="87">
        <v>0</v>
      </c>
      <c r="F33" s="87">
        <f>IF(C33=1,E33*(I33/$I$65),IF(C33=3,E33*(I33/$I$66),IF(C33=4,E33*(I33/$I$67),E33*(I33/$I$68))))</f>
        <v>0</v>
      </c>
      <c r="G33" s="87">
        <v>0</v>
      </c>
      <c r="H33" s="87">
        <f>D33*(1-PROFIT!$H$58)</f>
        <v>10424.16020405957</v>
      </c>
      <c r="I33" s="65">
        <f>VLOOKUP(A33,'Rate Application - REM Cycle I'!$1:$65535,15,FALSE)</f>
        <v>10412.594138032973</v>
      </c>
      <c r="J33" s="19">
        <f>VLOOKUP(A33,'Rate Application - ICC Cycle I'!$1:$65535,20,FALSE)/I33</f>
        <v>0</v>
      </c>
      <c r="K33" s="11">
        <f t="shared" si="0"/>
        <v>10424.16020405957</v>
      </c>
      <c r="L33" s="11">
        <f>(K33*I33)+VLOOKUP(A33,'Rate Application - ICC Cycle I'!$1:$1048576,21,FALSE)</f>
        <v>131921128.37542647</v>
      </c>
      <c r="M33" s="36">
        <f>VLOOKUP(A33,'Variable Input'!$1:$1048576,23,FALSE)</f>
        <v>0.99671861092415948</v>
      </c>
      <c r="N33" s="22">
        <f t="shared" si="1"/>
        <v>131488243.82590279</v>
      </c>
      <c r="O33" s="19">
        <f t="shared" si="2"/>
        <v>12627.808409974388</v>
      </c>
      <c r="P33" s="18">
        <f>VLOOKUP(A33,'Rate Application - REM Cycle I'!$1:$65535,11,FALSE)</f>
        <v>0</v>
      </c>
      <c r="Q33" s="18">
        <f t="shared" si="3"/>
        <v>131488243.82590279</v>
      </c>
      <c r="R33" s="19">
        <f t="shared" si="4"/>
        <v>12627.808409974388</v>
      </c>
      <c r="S33" s="81">
        <f>VLOOKUP(A33,'Rate Application - REM Cycle I'!$1:$65535,9,FALSE)</f>
        <v>1.1205505604288228</v>
      </c>
      <c r="T33" s="19">
        <f t="shared" si="5"/>
        <v>147339225.30891708</v>
      </c>
      <c r="U33" s="22">
        <f t="shared" si="6"/>
        <v>14150.097790784603</v>
      </c>
      <c r="V33" s="88">
        <f>IFERROR(VLOOKUP(A34,'PAU Volume'!AX:AZ,3,FALSE)-VLOOKUP(A34,'PAU Volume'!#REF!,4,FALSE)+VLOOKUP(A34,'PAU Volume'!#REF!,2,FALSE),0)*0</f>
        <v>0</v>
      </c>
      <c r="W33" s="79">
        <f t="shared" si="7"/>
        <v>10412.594138032973</v>
      </c>
      <c r="X33" s="15">
        <f t="shared" si="8"/>
        <v>147339225.30891708</v>
      </c>
      <c r="Y33" s="11">
        <f>VLOOKUP(A33,'Rate Application - REM Cycle I'!$1:$65535,7,FALSE)</f>
        <v>167288474.26448706</v>
      </c>
      <c r="Z33" s="78">
        <f t="shared" si="9"/>
        <v>-0.11925058820268597</v>
      </c>
      <c r="AA33" s="82">
        <f>IFERROR(VLOOKUP(A33,'GBR Revenue for ICC'!#REF!,17,FALSE),0)</f>
        <v>0</v>
      </c>
      <c r="AB33" s="82">
        <f t="shared" si="10"/>
        <v>0</v>
      </c>
      <c r="AC33" s="11">
        <f t="shared" si="11"/>
        <v>167288474.26448706</v>
      </c>
      <c r="AD33" s="11">
        <f t="shared" si="12"/>
        <v>147339225.30891708</v>
      </c>
      <c r="AE33" s="10">
        <v>1</v>
      </c>
      <c r="AF33" s="343">
        <f>VLOOKUP(A33,[1]icc_by_hosp_year!$A:$IV,9,FALSE)</f>
        <v>-0.153786322384623</v>
      </c>
      <c r="AG33" s="344">
        <f t="shared" si="13"/>
        <v>-3.4535734181937033E-2</v>
      </c>
      <c r="AH33" s="343">
        <f>VLOOKUP(A33,'[2]Rate Application - ICC Cycle II'!$A:$IV,26,FALSE)</f>
        <v>-0.17369366024988919</v>
      </c>
      <c r="AI33" s="344">
        <f t="shared" si="14"/>
        <v>-5.4443072047203223E-2</v>
      </c>
    </row>
    <row r="34" spans="1:35" ht="17.7" x14ac:dyDescent="0.6">
      <c r="A34" s="37">
        <v>210040</v>
      </c>
      <c r="B34" s="26" t="str">
        <f>VLOOKUP(A34,'Variable Input'!$1:$1048576,2,FALSE)</f>
        <v>NORTHWEST HOSPITAL CENTER</v>
      </c>
      <c r="C34" s="31">
        <f>VLOOKUP(A34,'Variable Input'!$1:$1048576,3,FALSE)</f>
        <v>1</v>
      </c>
      <c r="D34" s="87">
        <f>IF(C34=1,'Rate Application - ICC Cycle I'!$Y$65,IF(C34=3,'Rate Application - ICC Cycle I'!$Y$66,IF(C34=4,'Rate Application - ICC Cycle I'!$Y$67,IF(C34=5,'Rate Application - ICC Cycle I'!$Y$68,0))))</f>
        <v>10459.948799491758</v>
      </c>
      <c r="E34" s="87">
        <v>0</v>
      </c>
      <c r="F34" s="87">
        <v>0</v>
      </c>
      <c r="G34" s="87">
        <v>0</v>
      </c>
      <c r="H34" s="87">
        <f>D34*(1-PROFIT!$H$58)</f>
        <v>10424.16020405957</v>
      </c>
      <c r="I34" s="65">
        <f>VLOOKUP(A34,'Rate Application - REM Cycle I'!$1:$65535,15,FALSE)</f>
        <v>15965.725843327995</v>
      </c>
      <c r="J34" s="19">
        <f>VLOOKUP(A34,'Rate Application - ICC Cycle I'!$1:$65535,20,FALSE)/I34</f>
        <v>0</v>
      </c>
      <c r="K34" s="11">
        <f t="shared" si="0"/>
        <v>10424.16020405957</v>
      </c>
      <c r="L34" s="11">
        <f>(K34*I34)+VLOOKUP(A34,'Rate Application - ICC Cycle I'!$1:$1048576,21,FALSE)</f>
        <v>223628659.95695081</v>
      </c>
      <c r="M34" s="36">
        <f>VLOOKUP(A34,'Variable Input'!$1:$1048576,23,FALSE)</f>
        <v>0.99671861092415948</v>
      </c>
      <c r="N34" s="22">
        <f t="shared" si="1"/>
        <v>222894847.31512323</v>
      </c>
      <c r="O34" s="19">
        <f t="shared" si="2"/>
        <v>13960.8339453148</v>
      </c>
      <c r="P34" s="18">
        <f>VLOOKUP(A34,'Rate Application - REM Cycle I'!$1:$65535,11,FALSE)</f>
        <v>0</v>
      </c>
      <c r="Q34" s="18">
        <f t="shared" si="3"/>
        <v>222894847.31512323</v>
      </c>
      <c r="R34" s="19">
        <f t="shared" si="4"/>
        <v>13960.8339453148</v>
      </c>
      <c r="S34" s="81">
        <f>VLOOKUP(A34,'Rate Application - REM Cycle I'!$1:$65535,9,FALSE)</f>
        <v>1.120710322524318</v>
      </c>
      <c r="T34" s="19">
        <f t="shared" si="5"/>
        <v>249800556.22354037</v>
      </c>
      <c r="U34" s="22">
        <f t="shared" si="6"/>
        <v>15646.050713562196</v>
      </c>
      <c r="V34" s="88">
        <f>IFERROR(VLOOKUP(A35,'PAU Volume'!AX:AZ,3,FALSE)-VLOOKUP(A35,'PAU Volume'!#REF!,4,FALSE)+VLOOKUP(A35,'PAU Volume'!#REF!,2,FALSE),0)*0</f>
        <v>0</v>
      </c>
      <c r="W34" s="79">
        <f t="shared" si="7"/>
        <v>15965.725843327995</v>
      </c>
      <c r="X34" s="15">
        <f t="shared" si="8"/>
        <v>249800556.22354037</v>
      </c>
      <c r="Y34" s="11">
        <f>VLOOKUP(A34,'Rate Application - REM Cycle I'!$1:$65535,7,FALSE)</f>
        <v>293088731.67995536</v>
      </c>
      <c r="Z34" s="78">
        <f t="shared" si="9"/>
        <v>-0.14769648498013377</v>
      </c>
      <c r="AA34" s="82">
        <f>IFERROR(VLOOKUP(A34,'GBR Revenue for ICC'!#REF!,17,FALSE),0)</f>
        <v>0</v>
      </c>
      <c r="AB34" s="82">
        <f t="shared" si="10"/>
        <v>0</v>
      </c>
      <c r="AC34" s="11">
        <f t="shared" si="11"/>
        <v>293088731.67995536</v>
      </c>
      <c r="AD34" s="11">
        <f t="shared" si="12"/>
        <v>249800556.22354037</v>
      </c>
      <c r="AE34" s="10">
        <v>1</v>
      </c>
      <c r="AF34" s="343">
        <f>VLOOKUP(A34,[1]icc_by_hosp_year!$A:$IV,9,FALSE)</f>
        <v>-0.13841941233885799</v>
      </c>
      <c r="AG34" s="344">
        <f t="shared" si="13"/>
        <v>9.2770726412757798E-3</v>
      </c>
      <c r="AH34" s="343">
        <f>VLOOKUP(A34,'[2]Rate Application - ICC Cycle II'!$A:$IV,26,FALSE)</f>
        <v>-0.21719706159826779</v>
      </c>
      <c r="AI34" s="344">
        <f t="shared" si="14"/>
        <v>-6.9500576618134025E-2</v>
      </c>
    </row>
    <row r="35" spans="1:35" ht="17.7" x14ac:dyDescent="0.6">
      <c r="A35" s="37">
        <v>210043</v>
      </c>
      <c r="B35" s="26" t="str">
        <f>VLOOKUP(A35,'Variable Input'!$1:$1048576,2,FALSE)</f>
        <v>UM-BALTIMORE WASHINGTON MEDICAL CENTER</v>
      </c>
      <c r="C35" s="31">
        <f>VLOOKUP(A35,'Variable Input'!$1:$1048576,3,FALSE)</f>
        <v>1</v>
      </c>
      <c r="D35" s="87">
        <f>IF(C35=1,'Rate Application - ICC Cycle I'!$Y$65,IF(C35=3,'Rate Application - ICC Cycle I'!$Y$66,IF(C35=4,'Rate Application - ICC Cycle I'!$Y$67,IF(C35=5,'Rate Application - ICC Cycle I'!$Y$68,0))))</f>
        <v>10459.948799491758</v>
      </c>
      <c r="E35" s="87">
        <v>0</v>
      </c>
      <c r="F35" s="87">
        <f>IF(C35=1,E35*(I35/$I$65),IF(C35=3,E35*(I35/$I$66),IF(C35=4,E35*(I35/$I$67),E35*(I35/$I$68))))</f>
        <v>0</v>
      </c>
      <c r="G35" s="87">
        <v>0</v>
      </c>
      <c r="H35" s="87">
        <f>D35*(1-PROFIT!$H$58)</f>
        <v>10424.16020405957</v>
      </c>
      <c r="I35" s="65">
        <f>VLOOKUP(A35,'Rate Application - REM Cycle I'!$1:$65535,15,FALSE)</f>
        <v>30943.516611114035</v>
      </c>
      <c r="J35" s="19">
        <f>VLOOKUP(A35,'Rate Application - ICC Cycle I'!$1:$65535,20,FALSE)/I35</f>
        <v>21.316398664597084</v>
      </c>
      <c r="K35" s="11">
        <f t="shared" ref="K35:K53" si="15">+H35+J35</f>
        <v>10445.476602724168</v>
      </c>
      <c r="L35" s="11">
        <f>(K35*I35)+VLOOKUP(A35,'Rate Application - ICC Cycle I'!$1:$1048576,21,FALSE)</f>
        <v>410173434.06601673</v>
      </c>
      <c r="M35" s="36">
        <f>VLOOKUP(A35,'Variable Input'!$1:$1048576,23,FALSE)</f>
        <v>0.99671861092415948</v>
      </c>
      <c r="N35" s="22">
        <f t="shared" ref="N35:N54" si="16">L35*M35</f>
        <v>408827495.44027251</v>
      </c>
      <c r="O35" s="19">
        <f t="shared" ref="O35:O54" si="17">IFERROR(N35/I35,0)</f>
        <v>13212.056683093131</v>
      </c>
      <c r="P35" s="18">
        <f>VLOOKUP(A35,'Rate Application - REM Cycle I'!$1:$65535,11,FALSE)</f>
        <v>751420.3248961916</v>
      </c>
      <c r="Q35" s="18">
        <f t="shared" ref="Q35:Q54" si="18">N35+P35</f>
        <v>409578915.76516873</v>
      </c>
      <c r="R35" s="19">
        <f t="shared" ref="R35:R54" si="19">IFERROR(Q35/I35,0)</f>
        <v>13236.340294239846</v>
      </c>
      <c r="S35" s="81">
        <f>VLOOKUP(A35,'Rate Application - REM Cycle I'!$1:$65535,9,FALSE)</f>
        <v>1.1174861425645124</v>
      </c>
      <c r="T35" s="19">
        <f t="shared" ref="T35:T54" si="20">Q35*S35</f>
        <v>457698762.65417373</v>
      </c>
      <c r="U35" s="22">
        <f t="shared" ref="U35:U54" si="21">IFERROR(T35/I35,0)</f>
        <v>14791.426857081309</v>
      </c>
      <c r="V35" s="88">
        <f>IFERROR(VLOOKUP(A36,'PAU Volume'!AX:AZ,3,FALSE)-VLOOKUP(A36,'PAU Volume'!#REF!,4,FALSE)+VLOOKUP(A36,'PAU Volume'!#REF!,2,FALSE),0)*0</f>
        <v>0</v>
      </c>
      <c r="W35" s="79">
        <f t="shared" ref="W35:W54" si="22">I35+V35</f>
        <v>30943.516611114035</v>
      </c>
      <c r="X35" s="15">
        <f t="shared" ref="X35:X54" si="23">W35*U35</f>
        <v>457698762.65417373</v>
      </c>
      <c r="Y35" s="11">
        <f>VLOOKUP(A35,'Rate Application - REM Cycle I'!$1:$65535,7,FALSE)</f>
        <v>494588494.72270107</v>
      </c>
      <c r="Z35" s="78">
        <f t="shared" ref="Z35:Z54" si="24">IFERROR(X35/Y35-1," ")</f>
        <v>-7.4586716961966837E-2</v>
      </c>
      <c r="AA35" s="82">
        <f>IFERROR(VLOOKUP(A35,'GBR Revenue for ICC'!#REF!,17,FALSE),0)</f>
        <v>0</v>
      </c>
      <c r="AB35" s="82">
        <f t="shared" ref="AB35:AB54" si="25">IFERROR(AA35*(1+Z35),0)</f>
        <v>0</v>
      </c>
      <c r="AC35" s="11">
        <f t="shared" ref="AC35:AC54" si="26">Y35+AA35</f>
        <v>494588494.72270107</v>
      </c>
      <c r="AD35" s="11">
        <f t="shared" ref="AD35:AD54" si="27">X35+AB35</f>
        <v>457698762.65417373</v>
      </c>
      <c r="AE35" s="10">
        <v>1</v>
      </c>
      <c r="AF35" s="343">
        <f>VLOOKUP(A35,[1]icc_by_hosp_year!$A:$IV,9,FALSE)</f>
        <v>-3.4451788785008902E-2</v>
      </c>
      <c r="AG35" s="344">
        <f t="shared" ref="AG35:AG55" si="28">AF35-Z35</f>
        <v>4.0134928176957935E-2</v>
      </c>
      <c r="AH35" s="343">
        <f>VLOOKUP(A35,'[2]Rate Application - ICC Cycle II'!$A:$IV,26,FALSE)</f>
        <v>-5.8343570822353197E-2</v>
      </c>
      <c r="AI35" s="344">
        <f t="shared" ref="AI35:AI55" si="29">AH35-Z35</f>
        <v>1.624314613961364E-2</v>
      </c>
    </row>
    <row r="36" spans="1:35" ht="17.7" x14ac:dyDescent="0.6">
      <c r="A36" s="37">
        <v>210044</v>
      </c>
      <c r="B36" s="26" t="str">
        <f>VLOOKUP(A36,'Variable Input'!$1:$1048576,2,FALSE)</f>
        <v>GREATER BALTIMORE MEDICAL CENTER</v>
      </c>
      <c r="C36" s="31">
        <f>VLOOKUP(A36,'Variable Input'!$1:$1048576,3,FALSE)</f>
        <v>1</v>
      </c>
      <c r="D36" s="87">
        <f>IF(C36=1,'Rate Application - ICC Cycle I'!$Y$65,IF(C36=3,'Rate Application - ICC Cycle I'!$Y$66,IF(C36=4,'Rate Application - ICC Cycle I'!$Y$67,IF(C36=5,'Rate Application - ICC Cycle I'!$Y$68,0))))</f>
        <v>10459.948799491758</v>
      </c>
      <c r="E36" s="87">
        <v>0</v>
      </c>
      <c r="F36" s="87">
        <v>0</v>
      </c>
      <c r="G36" s="87">
        <v>0</v>
      </c>
      <c r="H36" s="87">
        <f>D36*(1-PROFIT!$H$58)</f>
        <v>10424.16020405957</v>
      </c>
      <c r="I36" s="65">
        <f>VLOOKUP(A36,'Rate Application - REM Cycle I'!$1:$65535,15,FALSE)</f>
        <v>30637.922123716067</v>
      </c>
      <c r="J36" s="19">
        <f>VLOOKUP(A36,'Rate Application - ICC Cycle I'!$1:$65535,20,FALSE)/I36</f>
        <v>249.73659338390533</v>
      </c>
      <c r="K36" s="11">
        <f t="shared" si="15"/>
        <v>10673.896797443474</v>
      </c>
      <c r="L36" s="11">
        <f>(K36*I36)+VLOOKUP(A36,'Rate Application - ICC Cycle I'!$1:$1048576,21,FALSE)</f>
        <v>388721256.47263259</v>
      </c>
      <c r="M36" s="36">
        <f>VLOOKUP(A36,'Variable Input'!$1:$1048576,23,FALSE)</f>
        <v>0.99671861092415948</v>
      </c>
      <c r="N36" s="22">
        <f t="shared" si="16"/>
        <v>387445710.78809631</v>
      </c>
      <c r="O36" s="19">
        <f t="shared" si="17"/>
        <v>12645.952595074457</v>
      </c>
      <c r="P36" s="18">
        <f>VLOOKUP(A36,'Rate Application - REM Cycle I'!$1:$65535,11,FALSE)</f>
        <v>7270460.1939369692</v>
      </c>
      <c r="Q36" s="18">
        <f t="shared" si="18"/>
        <v>394716170.98203325</v>
      </c>
      <c r="R36" s="19">
        <f t="shared" si="19"/>
        <v>12883.255247799363</v>
      </c>
      <c r="S36" s="81">
        <f>VLOOKUP(A36,'Rate Application - REM Cycle I'!$1:$65535,9,FALSE)</f>
        <v>1.1074866213835981</v>
      </c>
      <c r="T36" s="19">
        <f t="shared" si="20"/>
        <v>437142878.60636264</v>
      </c>
      <c r="U36" s="22">
        <f t="shared" si="21"/>
        <v>14268.032826807828</v>
      </c>
      <c r="V36" s="88">
        <f>IFERROR(VLOOKUP(A37,'PAU Volume'!AX:AZ,3,FALSE)-VLOOKUP(A37,'PAU Volume'!#REF!,4,FALSE)+VLOOKUP(A37,'PAU Volume'!#REF!,2,FALSE),0)*0</f>
        <v>0</v>
      </c>
      <c r="W36" s="79">
        <f t="shared" si="22"/>
        <v>30637.922123716067</v>
      </c>
      <c r="X36" s="15">
        <f t="shared" si="23"/>
        <v>437142878.60636264</v>
      </c>
      <c r="Y36" s="11">
        <f>VLOOKUP(A36,'Rate Application - REM Cycle I'!$1:$65535,7,FALSE)</f>
        <v>487480078.48555809</v>
      </c>
      <c r="Z36" s="78">
        <f t="shared" si="24"/>
        <v>-0.10326001430781895</v>
      </c>
      <c r="AA36" s="82">
        <f>IFERROR(VLOOKUP(A36,'GBR Revenue for ICC'!#REF!,17,FALSE),0)</f>
        <v>0</v>
      </c>
      <c r="AB36" s="82">
        <f t="shared" si="25"/>
        <v>0</v>
      </c>
      <c r="AC36" s="11">
        <f t="shared" si="26"/>
        <v>487480078.48555809</v>
      </c>
      <c r="AD36" s="11">
        <f t="shared" si="27"/>
        <v>437142878.60636264</v>
      </c>
      <c r="AE36" s="10">
        <v>1</v>
      </c>
      <c r="AF36" s="343">
        <f>VLOOKUP(A36,[1]icc_by_hosp_year!$A:$IV,9,FALSE)</f>
        <v>-8.3242845063463203E-2</v>
      </c>
      <c r="AG36" s="344">
        <f t="shared" si="28"/>
        <v>2.0017169244355745E-2</v>
      </c>
      <c r="AH36" s="343">
        <f>VLOOKUP(A36,'[2]Rate Application - ICC Cycle II'!$A:$IV,26,FALSE)</f>
        <v>-4.2909195405071987E-2</v>
      </c>
      <c r="AI36" s="344">
        <f t="shared" si="29"/>
        <v>6.0350818902746961E-2</v>
      </c>
    </row>
    <row r="37" spans="1:35" ht="17.7" x14ac:dyDescent="0.6">
      <c r="A37" s="37">
        <v>210045</v>
      </c>
      <c r="B37" s="26" t="str">
        <f>VLOOKUP(A37,'Variable Input'!$1:$1048576,2,FALSE)</f>
        <v>MCCREADY MEMORIAL HOSPITAL</v>
      </c>
      <c r="C37" s="31" t="str">
        <f>VLOOKUP(A37,'Variable Input'!$1:$1048576,3,FALSE)</f>
        <v>NA</v>
      </c>
      <c r="D37" s="87">
        <f>IF(C37=1,'Rate Application - ICC Cycle I'!$Y$65,IF(C37=3,'Rate Application - ICC Cycle I'!$Y$66,IF(C37=4,'Rate Application - ICC Cycle I'!$Y$67,IF(C37=5,'Rate Application - ICC Cycle I'!$Y$68,0))))</f>
        <v>0</v>
      </c>
      <c r="E37" s="87">
        <v>0</v>
      </c>
      <c r="F37" s="87">
        <f>IF(C37=1,E37*(I37/$I$65),IF(C37=3,E37*(I37/$I$66),IF(C37=4,E37*(I37/$I$67),E37*(I37/$I$68))))</f>
        <v>0</v>
      </c>
      <c r="G37" s="87">
        <v>0</v>
      </c>
      <c r="H37" s="87">
        <f>D37*(1-PROFIT!$H$58)</f>
        <v>0</v>
      </c>
      <c r="I37" s="65">
        <f>VLOOKUP(A37,'Rate Application - REM Cycle I'!$1:$65535,15,FALSE)</f>
        <v>566.52872944799947</v>
      </c>
      <c r="J37" s="19">
        <f>VLOOKUP(A37,'Rate Application - ICC Cycle I'!$1:$65535,20,FALSE)/I37</f>
        <v>0</v>
      </c>
      <c r="K37" s="11">
        <f t="shared" si="15"/>
        <v>0</v>
      </c>
      <c r="L37" s="11">
        <f>(K37*I37)+VLOOKUP(A37,'Rate Application - ICC Cycle I'!$1:$1048576,21,FALSE)</f>
        <v>2670061.7726552766</v>
      </c>
      <c r="M37" s="36">
        <f>VLOOKUP(A37,'Variable Input'!$1:$1048576,23,FALSE)</f>
        <v>0.99671861092415948</v>
      </c>
      <c r="N37" s="22">
        <f t="shared" si="16"/>
        <v>2661300.2611226663</v>
      </c>
      <c r="O37" s="19">
        <f t="shared" si="17"/>
        <v>4697.5556980415085</v>
      </c>
      <c r="P37" s="18">
        <f>VLOOKUP(A37,'Rate Application - REM Cycle I'!$1:$65535,11,FALSE)</f>
        <v>0</v>
      </c>
      <c r="Q37" s="18">
        <f t="shared" si="18"/>
        <v>2661300.2611226663</v>
      </c>
      <c r="R37" s="19">
        <f t="shared" si="19"/>
        <v>4697.5556980415085</v>
      </c>
      <c r="S37" s="81">
        <f>VLOOKUP(A37,'Rate Application - REM Cycle I'!$1:$65535,9,FALSE)</f>
        <v>1.1235285459397526</v>
      </c>
      <c r="T37" s="19">
        <f t="shared" si="20"/>
        <v>2990046.8126882333</v>
      </c>
      <c r="U37" s="22">
        <f t="shared" si="21"/>
        <v>5277.8379228915765</v>
      </c>
      <c r="V37" s="88">
        <f>IFERROR(VLOOKUP(A38,'PAU Volume'!AX:AZ,3,FALSE)-VLOOKUP(A38,'PAU Volume'!#REF!,4,FALSE)+VLOOKUP(A38,'PAU Volume'!#REF!,2,FALSE),0)*0</f>
        <v>0</v>
      </c>
      <c r="W37" s="79">
        <f t="shared" si="22"/>
        <v>566.52872944799947</v>
      </c>
      <c r="X37" s="15">
        <f t="shared" si="23"/>
        <v>2990046.8126882333</v>
      </c>
      <c r="Y37" s="11">
        <f>VLOOKUP(A37,'Rate Application - REM Cycle I'!$1:$65535,7,FALSE)</f>
        <v>6750663.1586297443</v>
      </c>
      <c r="Z37" s="78">
        <f t="shared" si="24"/>
        <v>-0.55707361744662198</v>
      </c>
      <c r="AA37" s="82">
        <f>IFERROR(VLOOKUP(A37,'GBR Revenue for ICC'!#REF!,17,FALSE),0)</f>
        <v>0</v>
      </c>
      <c r="AB37" s="82">
        <f t="shared" si="25"/>
        <v>0</v>
      </c>
      <c r="AC37" s="11">
        <f t="shared" si="26"/>
        <v>6750663.1586297443</v>
      </c>
      <c r="AD37" s="11">
        <f t="shared" si="27"/>
        <v>2990046.8126882333</v>
      </c>
      <c r="AE37" s="10">
        <v>1</v>
      </c>
      <c r="AF37" s="343" t="e">
        <f>VLOOKUP(A37,[1]icc_by_hosp_year!$A:$IV,9,FALSE)</f>
        <v>#N/A</v>
      </c>
      <c r="AG37" s="344" t="e">
        <f t="shared" si="28"/>
        <v>#N/A</v>
      </c>
      <c r="AH37" s="343">
        <f>VLOOKUP(A37,'[2]Rate Application - ICC Cycle II'!$A:$IV,26,FALSE)</f>
        <v>-1</v>
      </c>
      <c r="AI37" s="344">
        <f t="shared" si="29"/>
        <v>-0.44292638255337802</v>
      </c>
    </row>
    <row r="38" spans="1:35" ht="17.7" x14ac:dyDescent="0.6">
      <c r="A38" s="37">
        <v>210048</v>
      </c>
      <c r="B38" s="26" t="str">
        <f>VLOOKUP(A38,'Variable Input'!$1:$1048576,2,FALSE)</f>
        <v>HOWARD COUNTY GENERAL HOSPITAL</v>
      </c>
      <c r="C38" s="31">
        <f>VLOOKUP(A38,'Variable Input'!$1:$1048576,3,FALSE)</f>
        <v>1</v>
      </c>
      <c r="D38" s="87">
        <f>IF(C38=1,'Rate Application - ICC Cycle I'!$Y$65,IF(C38=3,'Rate Application - ICC Cycle I'!$Y$66,IF(C38=4,'Rate Application - ICC Cycle I'!$Y$67,IF(C38=5,'Rate Application - ICC Cycle I'!$Y$68,0))))</f>
        <v>10459.948799491758</v>
      </c>
      <c r="E38" s="87">
        <v>0</v>
      </c>
      <c r="F38" s="87">
        <v>0</v>
      </c>
      <c r="G38" s="87">
        <v>0</v>
      </c>
      <c r="H38" s="87">
        <f>D38*(1-PROFIT!$H$58)</f>
        <v>10424.16020405957</v>
      </c>
      <c r="I38" s="65">
        <f>VLOOKUP(A38,'Rate Application - REM Cycle I'!$1:$65535,15,FALSE)</f>
        <v>24559.146065829038</v>
      </c>
      <c r="J38" s="19">
        <f>VLOOKUP(A38,'Rate Application - ICC Cycle I'!$1:$65535,20,FALSE)/I38</f>
        <v>0</v>
      </c>
      <c r="K38" s="11">
        <f t="shared" si="15"/>
        <v>10424.16020405957</v>
      </c>
      <c r="L38" s="11">
        <f>(K38*I38)+VLOOKUP(A38,'Rate Application - ICC Cycle I'!$1:$1048576,21,FALSE)</f>
        <v>310074203.21585679</v>
      </c>
      <c r="M38" s="36">
        <f>VLOOKUP(A38,'Variable Input'!$1:$1048576,23,FALSE)</f>
        <v>0.99671861092415948</v>
      </c>
      <c r="N38" s="22">
        <f t="shared" si="16"/>
        <v>309056729.1127243</v>
      </c>
      <c r="O38" s="19">
        <f t="shared" si="17"/>
        <v>12584.180585282558</v>
      </c>
      <c r="P38" s="18">
        <f>VLOOKUP(A38,'Rate Application - REM Cycle I'!$1:$65535,11,FALSE)</f>
        <v>0</v>
      </c>
      <c r="Q38" s="18">
        <f t="shared" si="18"/>
        <v>309056729.1127243</v>
      </c>
      <c r="R38" s="19">
        <f t="shared" si="19"/>
        <v>12584.180585282558</v>
      </c>
      <c r="S38" s="81">
        <f>VLOOKUP(A38,'Rate Application - REM Cycle I'!$1:$65535,9,FALSE)</f>
        <v>1.1035189993630976</v>
      </c>
      <c r="T38" s="19">
        <f t="shared" si="20"/>
        <v>341049972.45690542</v>
      </c>
      <c r="U38" s="22">
        <f t="shared" si="21"/>
        <v>13886.882367275528</v>
      </c>
      <c r="V38" s="88">
        <f>IFERROR(VLOOKUP(A39,'PAU Volume'!AX:AZ,3,FALSE)-VLOOKUP(A39,'PAU Volume'!#REF!,4,FALSE)+VLOOKUP(A39,'PAU Volume'!#REF!,2,FALSE),0)*0</f>
        <v>0</v>
      </c>
      <c r="W38" s="79">
        <f t="shared" si="22"/>
        <v>24559.146065829038</v>
      </c>
      <c r="X38" s="15">
        <f t="shared" si="23"/>
        <v>341049972.45690542</v>
      </c>
      <c r="Y38" s="11">
        <f>VLOOKUP(A38,'Rate Application - REM Cycle I'!$1:$65535,7,FALSE)</f>
        <v>347364244.13401937</v>
      </c>
      <c r="Z38" s="78">
        <f t="shared" si="24"/>
        <v>-1.8177667344131732E-2</v>
      </c>
      <c r="AA38" s="82">
        <f>IFERROR(VLOOKUP(A38,'GBR Revenue for ICC'!#REF!,17,FALSE),0)</f>
        <v>0</v>
      </c>
      <c r="AB38" s="82">
        <f t="shared" si="25"/>
        <v>0</v>
      </c>
      <c r="AC38" s="11">
        <f t="shared" si="26"/>
        <v>347364244.13401937</v>
      </c>
      <c r="AD38" s="11">
        <f t="shared" si="27"/>
        <v>341049972.45690542</v>
      </c>
      <c r="AE38" s="10">
        <v>1</v>
      </c>
      <c r="AF38" s="343">
        <f>VLOOKUP(A38,[1]icc_by_hosp_year!$A:$IV,9,FALSE)</f>
        <v>-6.9996293275344E-3</v>
      </c>
      <c r="AG38" s="344">
        <f t="shared" si="28"/>
        <v>1.1178038016597332E-2</v>
      </c>
      <c r="AH38" s="343">
        <f>VLOOKUP(A38,'[2]Rate Application - ICC Cycle II'!$A:$IV,26,FALSE)</f>
        <v>-2.3066663382345309E-2</v>
      </c>
      <c r="AI38" s="344">
        <f t="shared" si="29"/>
        <v>-4.8889960382135778E-3</v>
      </c>
    </row>
    <row r="39" spans="1:35" ht="17.7" x14ac:dyDescent="0.6">
      <c r="A39" s="37">
        <v>210049</v>
      </c>
      <c r="B39" s="26" t="str">
        <f>VLOOKUP(A39,'Variable Input'!$1:$1048576,2,FALSE)</f>
        <v>UM-UPPER CHESAPEAKE MEDICAL CENTER</v>
      </c>
      <c r="C39" s="31">
        <f>VLOOKUP(A39,'Variable Input'!$1:$1048576,3,FALSE)</f>
        <v>1</v>
      </c>
      <c r="D39" s="87">
        <f>IF(C39=1,'Rate Application - ICC Cycle I'!$Y$65,IF(C39=3,'Rate Application - ICC Cycle I'!$Y$66,IF(C39=4,'Rate Application - ICC Cycle I'!$Y$67,IF(C39=5,'Rate Application - ICC Cycle I'!$Y$68,0))))</f>
        <v>10459.948799491758</v>
      </c>
      <c r="E39" s="87">
        <v>0</v>
      </c>
      <c r="F39" s="87">
        <f>IF(C39=1,E39*(I39/$I$65),IF(C39=3,E39*(I39/$I$66),IF(C39=4,E39*(I39/$I$67),E39*(I39/$I$68))))</f>
        <v>0</v>
      </c>
      <c r="G39" s="87">
        <v>0</v>
      </c>
      <c r="H39" s="87">
        <f>D39*(1-PROFIT!$H$58)</f>
        <v>10424.16020405957</v>
      </c>
      <c r="I39" s="65">
        <f>VLOOKUP(A39,'Rate Application - REM Cycle I'!$1:$65535,15,FALSE)</f>
        <v>24233.031990069048</v>
      </c>
      <c r="J39" s="19">
        <f>VLOOKUP(A39,'Rate Application - ICC Cycle I'!$1:$65535,20,FALSE)/I39</f>
        <v>0</v>
      </c>
      <c r="K39" s="11">
        <f t="shared" si="15"/>
        <v>10424.16020405957</v>
      </c>
      <c r="L39" s="11">
        <f>(K39*I39)+VLOOKUP(A39,'Rate Application - ICC Cycle I'!$1:$1048576,21,FALSE)</f>
        <v>304201520.82953525</v>
      </c>
      <c r="M39" s="36">
        <f>VLOOKUP(A39,'Variable Input'!$1:$1048576,23,FALSE)</f>
        <v>0.99671861092415948</v>
      </c>
      <c r="N39" s="22">
        <f t="shared" si="16"/>
        <v>303203317.28223115</v>
      </c>
      <c r="O39" s="19">
        <f t="shared" si="17"/>
        <v>12511.984361118619</v>
      </c>
      <c r="P39" s="18">
        <f>VLOOKUP(A39,'Rate Application - REM Cycle I'!$1:$65535,11,FALSE)</f>
        <v>0</v>
      </c>
      <c r="Q39" s="18">
        <f t="shared" si="18"/>
        <v>303203317.28223115</v>
      </c>
      <c r="R39" s="19">
        <f t="shared" si="19"/>
        <v>12511.984361118619</v>
      </c>
      <c r="S39" s="81">
        <f>VLOOKUP(A39,'Rate Application - REM Cycle I'!$1:$65535,9,FALSE)</f>
        <v>1.1147926720978587</v>
      </c>
      <c r="T39" s="19">
        <f t="shared" si="20"/>
        <v>338008836.26199335</v>
      </c>
      <c r="U39" s="22">
        <f t="shared" si="21"/>
        <v>13948.268479178047</v>
      </c>
      <c r="V39" s="88">
        <f>IFERROR(VLOOKUP(A40,'PAU Volume'!AX:AZ,3,FALSE)-VLOOKUP(A40,'PAU Volume'!#REF!,4,FALSE)+VLOOKUP(A40,'PAU Volume'!#REF!,2,FALSE),0)*0</f>
        <v>0</v>
      </c>
      <c r="W39" s="79">
        <f t="shared" si="22"/>
        <v>24233.031990069048</v>
      </c>
      <c r="X39" s="15">
        <f t="shared" si="23"/>
        <v>338008836.26199335</v>
      </c>
      <c r="Y39" s="11">
        <f>VLOOKUP(A39,'Rate Application - REM Cycle I'!$1:$65535,7,FALSE)</f>
        <v>360755199.70698422</v>
      </c>
      <c r="Z39" s="78">
        <f t="shared" si="24"/>
        <v>-6.3052073714990442E-2</v>
      </c>
      <c r="AA39" s="82">
        <f>IFERROR(VLOOKUP(A39,'GBR Revenue for ICC'!#REF!,17,FALSE),0)</f>
        <v>0</v>
      </c>
      <c r="AB39" s="82">
        <f t="shared" si="25"/>
        <v>0</v>
      </c>
      <c r="AC39" s="11">
        <f t="shared" si="26"/>
        <v>360755199.70698422</v>
      </c>
      <c r="AD39" s="11">
        <f t="shared" si="27"/>
        <v>338008836.26199335</v>
      </c>
      <c r="AE39" s="10">
        <v>1</v>
      </c>
      <c r="AF39" s="343">
        <f>VLOOKUP(A39,[1]icc_by_hosp_year!$A:$IV,9,FALSE)</f>
        <v>-8.5336044313662901E-2</v>
      </c>
      <c r="AG39" s="344">
        <f t="shared" si="28"/>
        <v>-2.2283970598672459E-2</v>
      </c>
      <c r="AH39" s="343">
        <f>VLOOKUP(A39,'[2]Rate Application - ICC Cycle II'!$A:$IV,26,FALSE)</f>
        <v>-7.7372193558096214E-2</v>
      </c>
      <c r="AI39" s="344">
        <f t="shared" si="29"/>
        <v>-1.4320119843105772E-2</v>
      </c>
    </row>
    <row r="40" spans="1:35" ht="17.7" x14ac:dyDescent="0.6">
      <c r="A40" s="37">
        <v>210051</v>
      </c>
      <c r="B40" s="26" t="str">
        <f>VLOOKUP(A40,'Variable Input'!$1:$1048576,2,FALSE)</f>
        <v>DOCTORS COMMUNITY HOSPITAL</v>
      </c>
      <c r="C40" s="31">
        <f>VLOOKUP(A40,'Variable Input'!$1:$1048576,3,FALSE)</f>
        <v>1</v>
      </c>
      <c r="D40" s="87">
        <f>IF(C40=1,'Rate Application - ICC Cycle I'!$Y$65,IF(C40=3,'Rate Application - ICC Cycle I'!$Y$66,IF(C40=4,'Rate Application - ICC Cycle I'!$Y$67,IF(C40=5,'Rate Application - ICC Cycle I'!$Y$68,0))))</f>
        <v>10459.948799491758</v>
      </c>
      <c r="E40" s="87">
        <v>0</v>
      </c>
      <c r="F40" s="87">
        <v>0</v>
      </c>
      <c r="G40" s="87">
        <v>0</v>
      </c>
      <c r="H40" s="87">
        <f>D40*(1-PROFIT!$H$58)</f>
        <v>10424.16020405957</v>
      </c>
      <c r="I40" s="65">
        <f>VLOOKUP(A40,'Rate Application - REM Cycle I'!$1:$65535,15,FALSE)</f>
        <v>15907.038226505023</v>
      </c>
      <c r="J40" s="19">
        <f>VLOOKUP(A40,'Rate Application - ICC Cycle I'!$1:$65535,20,FALSE)/I40</f>
        <v>0</v>
      </c>
      <c r="K40" s="11">
        <f t="shared" si="15"/>
        <v>10424.16020405957</v>
      </c>
      <c r="L40" s="11">
        <f>(K40*I40)+VLOOKUP(A40,'Rate Application - ICC Cycle I'!$1:$1048576,21,FALSE)</f>
        <v>220384280.69535485</v>
      </c>
      <c r="M40" s="36">
        <f>VLOOKUP(A40,'Variable Input'!$1:$1048576,23,FALSE)</f>
        <v>1.0181752931904677</v>
      </c>
      <c r="N40" s="22">
        <f t="shared" si="16"/>
        <v>224389829.61156327</v>
      </c>
      <c r="O40" s="19">
        <f t="shared" si="17"/>
        <v>14106.323654750187</v>
      </c>
      <c r="P40" s="18">
        <f>VLOOKUP(A40,'Rate Application - REM Cycle I'!$1:$65535,11,FALSE)</f>
        <v>0</v>
      </c>
      <c r="Q40" s="18">
        <f t="shared" si="18"/>
        <v>224389829.61156327</v>
      </c>
      <c r="R40" s="19">
        <f t="shared" si="19"/>
        <v>14106.323654750187</v>
      </c>
      <c r="S40" s="81">
        <f>VLOOKUP(A40,'Rate Application - REM Cycle I'!$1:$65535,9,FALSE)</f>
        <v>1.1175427593245362</v>
      </c>
      <c r="T40" s="19">
        <f t="shared" si="20"/>
        <v>250765229.34846893</v>
      </c>
      <c r="U40" s="22">
        <f t="shared" si="21"/>
        <v>15764.419861054499</v>
      </c>
      <c r="V40" s="88">
        <f>IFERROR(VLOOKUP(A41,'PAU Volume'!AX:AZ,3,FALSE)-VLOOKUP(A41,'PAU Volume'!#REF!,4,FALSE)+VLOOKUP(A41,'PAU Volume'!#REF!,2,FALSE),0)*0</f>
        <v>0</v>
      </c>
      <c r="W40" s="79">
        <f t="shared" si="22"/>
        <v>15907.038226505023</v>
      </c>
      <c r="X40" s="15">
        <f t="shared" si="23"/>
        <v>250765229.34846893</v>
      </c>
      <c r="Y40" s="11">
        <f>VLOOKUP(A40,'Rate Application - REM Cycle I'!$1:$65535,7,FALSE)</f>
        <v>285985121.35552841</v>
      </c>
      <c r="Z40" s="78">
        <f t="shared" si="24"/>
        <v>-0.12315288236018107</v>
      </c>
      <c r="AA40" s="82">
        <f>IFERROR(VLOOKUP(A40,'GBR Revenue for ICC'!#REF!,17,FALSE),0)</f>
        <v>0</v>
      </c>
      <c r="AB40" s="82">
        <f t="shared" si="25"/>
        <v>0</v>
      </c>
      <c r="AC40" s="11">
        <f t="shared" si="26"/>
        <v>285985121.35552841</v>
      </c>
      <c r="AD40" s="11">
        <f t="shared" si="27"/>
        <v>250765229.34846893</v>
      </c>
      <c r="AE40" s="10">
        <v>1</v>
      </c>
      <c r="AF40" s="343">
        <f>VLOOKUP(A40,[1]icc_by_hosp_year!$A:$IV,9,FALSE)</f>
        <v>-6.5155656185196906E-2</v>
      </c>
      <c r="AG40" s="344">
        <f t="shared" si="28"/>
        <v>5.7997226174984165E-2</v>
      </c>
      <c r="AH40" s="343">
        <f>VLOOKUP(A40,'[2]Rate Application - ICC Cycle II'!$A:$IV,26,FALSE)</f>
        <v>-0.12119964076464884</v>
      </c>
      <c r="AI40" s="344">
        <f t="shared" si="29"/>
        <v>1.9532415955322291E-3</v>
      </c>
    </row>
    <row r="41" spans="1:35" ht="17.7" x14ac:dyDescent="0.6">
      <c r="A41" s="37">
        <v>210055</v>
      </c>
      <c r="B41" s="26" t="str">
        <f>VLOOKUP(A41,'Variable Input'!$1:$1048576,2,FALSE)</f>
        <v>LAUREL REGIONAL HOSPITAL</v>
      </c>
      <c r="C41" s="31" t="str">
        <f>VLOOKUP(A41,'Variable Input'!$1:$1048576,3,FALSE)</f>
        <v>NA</v>
      </c>
      <c r="D41" s="87">
        <f>IF(C41=1,'Rate Application - ICC Cycle I'!$Y$65,IF(C41=3,'Rate Application - ICC Cycle I'!$Y$66,IF(C41=4,'Rate Application - ICC Cycle I'!$Y$67,IF(C41=5,'Rate Application - ICC Cycle I'!$Y$68,0))))</f>
        <v>0</v>
      </c>
      <c r="E41" s="87">
        <v>0</v>
      </c>
      <c r="F41" s="87">
        <f>IF(C41=1,E41*(I41/$I$65),IF(C41=3,E41*(I41/$I$66),IF(C41=4,E41*(I41/$I$67),E41*(I41/$I$68))))</f>
        <v>0</v>
      </c>
      <c r="G41" s="87">
        <v>0</v>
      </c>
      <c r="H41" s="87">
        <f>D41*(1-PROFIT!$H$58)</f>
        <v>0</v>
      </c>
      <c r="I41" s="65">
        <f>VLOOKUP(A41,'Rate Application - REM Cycle I'!$1:$65535,15,FALSE)</f>
        <v>1984.4844588999965</v>
      </c>
      <c r="J41" s="19">
        <f>VLOOKUP(A41,'Rate Application - ICC Cycle I'!$1:$65535,20,FALSE)/I41</f>
        <v>0</v>
      </c>
      <c r="K41" s="11">
        <f t="shared" si="15"/>
        <v>0</v>
      </c>
      <c r="L41" s="11">
        <f>(K41*I41)+VLOOKUP(A41,'Rate Application - ICC Cycle I'!$1:$1048576,21,FALSE)</f>
        <v>7270029.2575966893</v>
      </c>
      <c r="M41" s="36">
        <f>VLOOKUP(A41,'Variable Input'!$1:$1048576,23,FALSE)</f>
        <v>1.0181752931904677</v>
      </c>
      <c r="N41" s="22">
        <f t="shared" si="16"/>
        <v>7402164.1708567878</v>
      </c>
      <c r="O41" s="19">
        <f t="shared" si="17"/>
        <v>3730.0187147647512</v>
      </c>
      <c r="P41" s="18">
        <f>VLOOKUP(A41,'Rate Application - REM Cycle I'!$1:$65535,11,FALSE)</f>
        <v>141502.60406345228</v>
      </c>
      <c r="Q41" s="18">
        <f t="shared" si="18"/>
        <v>7543666.77492024</v>
      </c>
      <c r="R41" s="19">
        <f t="shared" si="19"/>
        <v>3801.3231804806919</v>
      </c>
      <c r="S41" s="81">
        <f>VLOOKUP(A41,'Rate Application - REM Cycle I'!$1:$65535,9,FALSE)</f>
        <v>1.2317684965243516</v>
      </c>
      <c r="T41" s="19">
        <f t="shared" si="20"/>
        <v>9292051.081624208</v>
      </c>
      <c r="U41" s="22">
        <f t="shared" si="21"/>
        <v>4682.3501388238683</v>
      </c>
      <c r="V41" s="88">
        <f>IFERROR(VLOOKUP(A42,'PAU Volume'!AX:AZ,3,FALSE)-VLOOKUP(A42,'PAU Volume'!#REF!,4,FALSE)+VLOOKUP(A42,'PAU Volume'!#REF!,2,FALSE),0)*0</f>
        <v>0</v>
      </c>
      <c r="W41" s="79">
        <f t="shared" si="22"/>
        <v>1984.4844588999965</v>
      </c>
      <c r="X41" s="15">
        <f t="shared" si="23"/>
        <v>9292051.081624208</v>
      </c>
      <c r="Y41" s="11">
        <f>VLOOKUP(A41,'Rate Application - REM Cycle I'!$1:$65535,7,FALSE)</f>
        <v>40225326.036725186</v>
      </c>
      <c r="Z41" s="78">
        <f t="shared" si="24"/>
        <v>-0.76899998092891308</v>
      </c>
      <c r="AA41" s="82">
        <f>IFERROR(VLOOKUP(A41,'GBR Revenue for ICC'!#REF!,17,FALSE),0)</f>
        <v>0</v>
      </c>
      <c r="AB41" s="82">
        <f t="shared" si="25"/>
        <v>0</v>
      </c>
      <c r="AC41" s="11">
        <f t="shared" si="26"/>
        <v>40225326.036725186</v>
      </c>
      <c r="AD41" s="11">
        <f t="shared" si="27"/>
        <v>9292051.081624208</v>
      </c>
      <c r="AE41" s="10">
        <v>1</v>
      </c>
      <c r="AF41" s="343" t="e">
        <f>VLOOKUP(A41,[1]icc_by_hosp_year!$A:$IV,9,FALSE)</f>
        <v>#N/A</v>
      </c>
      <c r="AG41" s="344" t="e">
        <f t="shared" si="28"/>
        <v>#N/A</v>
      </c>
      <c r="AH41" s="343">
        <f>VLOOKUP(A41,'[2]Rate Application - ICC Cycle II'!$A:$IV,26,FALSE)</f>
        <v>-0.99998262604025034</v>
      </c>
      <c r="AI41" s="344">
        <f t="shared" si="29"/>
        <v>-0.23098264511133726</v>
      </c>
    </row>
    <row r="42" spans="1:35" ht="17.7" x14ac:dyDescent="0.6">
      <c r="A42" s="37">
        <v>210056</v>
      </c>
      <c r="B42" s="26" t="str">
        <f>VLOOKUP(A42,'Variable Input'!$1:$1048576,2,FALSE)</f>
        <v>MEDSTAR GOOD SAMARITAN</v>
      </c>
      <c r="C42" s="31">
        <f>VLOOKUP(A42,'Variable Input'!$1:$1048576,3,FALSE)</f>
        <v>1</v>
      </c>
      <c r="D42" s="87">
        <f>IF(C42=1,'Rate Application - ICC Cycle I'!$Y$65,IF(C42=3,'Rate Application - ICC Cycle I'!$Y$66,IF(C42=4,'Rate Application - ICC Cycle I'!$Y$67,IF(C42=5,'Rate Application - ICC Cycle I'!$Y$68,0))))</f>
        <v>10459.948799491758</v>
      </c>
      <c r="E42" s="87">
        <v>0</v>
      </c>
      <c r="F42" s="87">
        <v>0</v>
      </c>
      <c r="G42" s="87">
        <v>0</v>
      </c>
      <c r="H42" s="87">
        <f>D42*(1-PROFIT!$H$58)</f>
        <v>10424.16020405957</v>
      </c>
      <c r="I42" s="65">
        <f>VLOOKUP(A42,'Rate Application - REM Cycle I'!$1:$65535,15,FALSE)</f>
        <v>16881.552106553001</v>
      </c>
      <c r="J42" s="19">
        <f>VLOOKUP(A42,'Rate Application - ICC Cycle I'!$1:$65535,20,FALSE)/I42</f>
        <v>118.19803973248145</v>
      </c>
      <c r="K42" s="11">
        <f t="shared" si="15"/>
        <v>10542.358243792052</v>
      </c>
      <c r="L42" s="11">
        <f>(K42*I42)+VLOOKUP(A42,'Rate Application - ICC Cycle I'!$1:$1048576,21,FALSE)</f>
        <v>250354627.24652129</v>
      </c>
      <c r="M42" s="36">
        <f>VLOOKUP(A42,'Variable Input'!$1:$1048576,23,FALSE)</f>
        <v>0.99671861092415948</v>
      </c>
      <c r="N42" s="22">
        <f t="shared" si="16"/>
        <v>249533116.30758843</v>
      </c>
      <c r="O42" s="19">
        <f t="shared" si="17"/>
        <v>14781.408411536155</v>
      </c>
      <c r="P42" s="18">
        <f>VLOOKUP(A42,'Rate Application - REM Cycle I'!$1:$65535,11,FALSE)</f>
        <v>1799367.1419683334</v>
      </c>
      <c r="Q42" s="18">
        <f t="shared" si="18"/>
        <v>251332483.44955677</v>
      </c>
      <c r="R42" s="19">
        <f t="shared" si="19"/>
        <v>14887.996190350039</v>
      </c>
      <c r="S42" s="81">
        <f>VLOOKUP(A42,'Rate Application - REM Cycle I'!$1:$65535,9,FALSE)</f>
        <v>1.1293262174048309</v>
      </c>
      <c r="T42" s="19">
        <f t="shared" si="20"/>
        <v>283836362.84505022</v>
      </c>
      <c r="U42" s="22">
        <f t="shared" si="21"/>
        <v>16813.404422385542</v>
      </c>
      <c r="V42" s="88">
        <f>IFERROR(VLOOKUP(A43,'PAU Volume'!AX:AZ,3,FALSE)-VLOOKUP(A43,'PAU Volume'!#REF!,4,FALSE)+VLOOKUP(A43,'PAU Volume'!#REF!,2,FALSE),0)*0</f>
        <v>0</v>
      </c>
      <c r="W42" s="79">
        <f t="shared" si="22"/>
        <v>16881.552106553001</v>
      </c>
      <c r="X42" s="15">
        <f t="shared" si="23"/>
        <v>283836362.84505016</v>
      </c>
      <c r="Y42" s="11">
        <f>VLOOKUP(A42,'Rate Application - REM Cycle I'!$1:$65535,7,FALSE)</f>
        <v>303653479.39780694</v>
      </c>
      <c r="Z42" s="78">
        <f t="shared" si="24"/>
        <v>-6.5262273931644965E-2</v>
      </c>
      <c r="AA42" s="82">
        <f>IFERROR(VLOOKUP(A42,'GBR Revenue for ICC'!#REF!,17,FALSE),0)</f>
        <v>0</v>
      </c>
      <c r="AB42" s="82">
        <f t="shared" si="25"/>
        <v>0</v>
      </c>
      <c r="AC42" s="11">
        <f t="shared" si="26"/>
        <v>303653479.39780694</v>
      </c>
      <c r="AD42" s="11">
        <f t="shared" si="27"/>
        <v>283836362.84505016</v>
      </c>
      <c r="AE42" s="10">
        <v>1</v>
      </c>
      <c r="AF42" s="343">
        <f>VLOOKUP(A42,[1]icc_by_hosp_year!$A:$IV,9,FALSE)</f>
        <v>-0.117527741916664</v>
      </c>
      <c r="AG42" s="344">
        <f t="shared" si="28"/>
        <v>-5.2265467985019035E-2</v>
      </c>
      <c r="AH42" s="343">
        <f>VLOOKUP(A42,'[2]Rate Application - ICC Cycle II'!$A:$IV,26,FALSE)</f>
        <v>-0.20061610255157913</v>
      </c>
      <c r="AI42" s="344">
        <f t="shared" si="29"/>
        <v>-0.13535382861993417</v>
      </c>
    </row>
    <row r="43" spans="1:35" ht="17.7" x14ac:dyDescent="0.6">
      <c r="A43" s="37">
        <v>210057</v>
      </c>
      <c r="B43" s="26" t="str">
        <f>VLOOKUP(A43,'Variable Input'!$1:$1048576,2,FALSE)</f>
        <v>SHADY GROVE ADVENTIST HOSPITAL</v>
      </c>
      <c r="C43" s="31">
        <f>VLOOKUP(A43,'Variable Input'!$1:$1048576,3,FALSE)</f>
        <v>1</v>
      </c>
      <c r="D43" s="87">
        <f>IF(C43=1,'Rate Application - ICC Cycle I'!$Y$65,IF(C43=3,'Rate Application - ICC Cycle I'!$Y$66,IF(C43=4,'Rate Application - ICC Cycle I'!$Y$67,IF(C43=5,'Rate Application - ICC Cycle I'!$Y$68,0))))</f>
        <v>10459.948799491758</v>
      </c>
      <c r="E43" s="87">
        <v>0</v>
      </c>
      <c r="F43" s="87">
        <f>IF(C43=1,E43*(I43/$I$65),IF(C43=3,E43*(I43/$I$66),IF(C43=4,E43*(I43/$I$67),E43*(I43/$I$68))))</f>
        <v>0</v>
      </c>
      <c r="G43" s="87">
        <v>0</v>
      </c>
      <c r="H43" s="87">
        <f>D43*(1-PROFIT!$H$58)</f>
        <v>10424.16020405957</v>
      </c>
      <c r="I43" s="65">
        <f>VLOOKUP(A43,'Rate Application - REM Cycle I'!$1:$65535,15,FALSE)</f>
        <v>29567.442541858047</v>
      </c>
      <c r="J43" s="19">
        <f>VLOOKUP(A43,'Rate Application - ICC Cycle I'!$1:$65535,20,FALSE)/I43</f>
        <v>0</v>
      </c>
      <c r="K43" s="11">
        <f t="shared" si="15"/>
        <v>10424.16020405957</v>
      </c>
      <c r="L43" s="11">
        <f>(K43*I43)+VLOOKUP(A43,'Rate Application - ICC Cycle I'!$1:$1048576,21,FALSE)</f>
        <v>385449130.97288507</v>
      </c>
      <c r="M43" s="36">
        <f>VLOOKUP(A43,'Variable Input'!$1:$1048576,23,FALSE)</f>
        <v>1.0181752931904677</v>
      </c>
      <c r="N43" s="22">
        <f t="shared" si="16"/>
        <v>392454781.93832827</v>
      </c>
      <c r="O43" s="19">
        <f t="shared" si="17"/>
        <v>13273.206885672907</v>
      </c>
      <c r="P43" s="18">
        <f>VLOOKUP(A43,'Rate Application - REM Cycle I'!$1:$65535,11,FALSE)</f>
        <v>0</v>
      </c>
      <c r="Q43" s="18">
        <f t="shared" si="18"/>
        <v>392454781.93832827</v>
      </c>
      <c r="R43" s="19">
        <f t="shared" si="19"/>
        <v>13273.206885672907</v>
      </c>
      <c r="S43" s="81">
        <f>VLOOKUP(A43,'Rate Application - REM Cycle I'!$1:$65535,9,FALSE)</f>
        <v>1.1115105879568932</v>
      </c>
      <c r="T43" s="19">
        <f t="shared" si="20"/>
        <v>436217645.41876554</v>
      </c>
      <c r="U43" s="22">
        <f t="shared" si="21"/>
        <v>14753.309989567775</v>
      </c>
      <c r="V43" s="88">
        <f>IFERROR(VLOOKUP(A44,'PAU Volume'!AX:AZ,3,FALSE)-VLOOKUP(A44,'PAU Volume'!#REF!,4,FALSE)+VLOOKUP(A44,'PAU Volume'!#REF!,2,FALSE),0)*0</f>
        <v>0</v>
      </c>
      <c r="W43" s="79">
        <f t="shared" si="22"/>
        <v>29567.442541858047</v>
      </c>
      <c r="X43" s="15">
        <f t="shared" si="23"/>
        <v>436217645.41876554</v>
      </c>
      <c r="Y43" s="11">
        <f>VLOOKUP(A43,'Rate Application - REM Cycle I'!$1:$65535,7,FALSE)</f>
        <v>501735159.42853135</v>
      </c>
      <c r="Z43" s="78">
        <f t="shared" si="24"/>
        <v>-0.13058186730303945</v>
      </c>
      <c r="AA43" s="82">
        <f>IFERROR(VLOOKUP(A43,'GBR Revenue for ICC'!#REF!,17,FALSE),0)</f>
        <v>0</v>
      </c>
      <c r="AB43" s="82">
        <f t="shared" si="25"/>
        <v>0</v>
      </c>
      <c r="AC43" s="11">
        <f t="shared" si="26"/>
        <v>501735159.42853135</v>
      </c>
      <c r="AD43" s="11">
        <f t="shared" si="27"/>
        <v>436217645.41876554</v>
      </c>
      <c r="AE43" s="10">
        <v>1</v>
      </c>
      <c r="AF43" s="343">
        <f>VLOOKUP(A43,[1]icc_by_hosp_year!$A:$IV,9,FALSE)</f>
        <v>-0.11713344104797301</v>
      </c>
      <c r="AG43" s="344">
        <f t="shared" si="28"/>
        <v>1.344842625506644E-2</v>
      </c>
      <c r="AH43" s="343">
        <f>VLOOKUP(A43,'[2]Rate Application - ICC Cycle II'!$A:$IV,26,FALSE)</f>
        <v>-0.17121500512201782</v>
      </c>
      <c r="AI43" s="344">
        <f t="shared" si="29"/>
        <v>-4.0633137818978371E-2</v>
      </c>
    </row>
    <row r="44" spans="1:35" ht="17.7" x14ac:dyDescent="0.6">
      <c r="A44" s="37">
        <v>210058</v>
      </c>
      <c r="B44" s="26" t="str">
        <f>VLOOKUP(A44,'Variable Input'!$1:$1048576,2,FALSE)</f>
        <v>UM-REHABILITATION &amp; ORTHOPAEDIC INSTITUTE</v>
      </c>
      <c r="C44" s="31">
        <f>VLOOKUP(A44,'Variable Input'!$1:$1048576,3,FALSE)</f>
        <v>1</v>
      </c>
      <c r="D44" s="87">
        <f>IF(C44=1,'Rate Application - ICC Cycle I'!$Y$65,IF(C44=3,'Rate Application - ICC Cycle I'!$Y$66,IF(C44=4,'Rate Application - ICC Cycle I'!$Y$67,IF(C44=5,'Rate Application - ICC Cycle I'!$Y$68,0))))</f>
        <v>10459.948799491758</v>
      </c>
      <c r="E44" s="87">
        <v>0</v>
      </c>
      <c r="F44" s="87">
        <v>0</v>
      </c>
      <c r="G44" s="87">
        <v>0</v>
      </c>
      <c r="H44" s="87">
        <f>D44*(1-PROFIT!$H$58)</f>
        <v>10424.16020405957</v>
      </c>
      <c r="I44" s="65">
        <f>VLOOKUP(A44,'Rate Application - REM Cycle I'!$1:$65535,15,FALSE)</f>
        <v>5264.4707007620054</v>
      </c>
      <c r="J44" s="19">
        <f>VLOOKUP(A44,'Rate Application - ICC Cycle I'!$1:$65535,20,FALSE)/I44</f>
        <v>238.48799212817485</v>
      </c>
      <c r="K44" s="11">
        <f t="shared" si="15"/>
        <v>10662.648196187745</v>
      </c>
      <c r="L44" s="11">
        <f>(K44*I44)+VLOOKUP(A44,'Rate Application - ICC Cycle I'!$1:$1048576,21,FALSE)</f>
        <v>74527167.794147745</v>
      </c>
      <c r="M44" s="36">
        <f>VLOOKUP(A44,'Variable Input'!$1:$1048576,23,FALSE)</f>
        <v>0.99671861092415948</v>
      </c>
      <c r="N44" s="22">
        <f t="shared" si="16"/>
        <v>74282615.15989469</v>
      </c>
      <c r="O44" s="19">
        <f t="shared" si="17"/>
        <v>14110.177334474036</v>
      </c>
      <c r="P44" s="18">
        <f>VLOOKUP(A44,'Rate Application - REM Cycle I'!$1:$65535,11,FALSE)</f>
        <v>1538688.3210319907</v>
      </c>
      <c r="Q44" s="18">
        <f t="shared" si="18"/>
        <v>75821303.480926678</v>
      </c>
      <c r="R44" s="19">
        <f t="shared" si="19"/>
        <v>14402.455211680051</v>
      </c>
      <c r="S44" s="81">
        <f>VLOOKUP(A44,'Rate Application - REM Cycle I'!$1:$65535,9,FALSE)</f>
        <v>1.1120223070717381</v>
      </c>
      <c r="T44" s="19">
        <f t="shared" si="20"/>
        <v>84314980.822046489</v>
      </c>
      <c r="U44" s="22">
        <f t="shared" si="21"/>
        <v>16015.851471989828</v>
      </c>
      <c r="V44" s="88">
        <f>IFERROR(VLOOKUP(A45,'PAU Volume'!AX:AZ,3,FALSE)-VLOOKUP(A45,'PAU Volume'!#REF!,4,FALSE)+VLOOKUP(A45,'PAU Volume'!#REF!,2,FALSE),0)*0</f>
        <v>0</v>
      </c>
      <c r="W44" s="79">
        <f t="shared" si="22"/>
        <v>5264.4707007620054</v>
      </c>
      <c r="X44" s="15">
        <f t="shared" si="23"/>
        <v>84314980.822046489</v>
      </c>
      <c r="Y44" s="11">
        <f>VLOOKUP(A44,'Rate Application - REM Cycle I'!$1:$65535,7,FALSE)</f>
        <v>117697098.70628487</v>
      </c>
      <c r="Z44" s="78">
        <f t="shared" si="24"/>
        <v>-0.28362736423557922</v>
      </c>
      <c r="AA44" s="82">
        <f>IFERROR(VLOOKUP(A44,'GBR Revenue for ICC'!#REF!,17,FALSE),0)</f>
        <v>0</v>
      </c>
      <c r="AB44" s="82">
        <f t="shared" si="25"/>
        <v>0</v>
      </c>
      <c r="AC44" s="11">
        <f t="shared" si="26"/>
        <v>117697098.70628487</v>
      </c>
      <c r="AD44" s="11">
        <f t="shared" si="27"/>
        <v>84314980.822046489</v>
      </c>
      <c r="AE44" s="10">
        <v>1</v>
      </c>
      <c r="AF44" s="343">
        <f>VLOOKUP(A44,[1]icc_by_hosp_year!$A:$IV,9,FALSE)</f>
        <v>-0.19608837346937999</v>
      </c>
      <c r="AG44" s="345">
        <f t="shared" si="28"/>
        <v>8.7538990766199226E-2</v>
      </c>
      <c r="AH44" s="343">
        <f>VLOOKUP(A44,'[2]Rate Application - ICC Cycle II'!$A:$IV,26,FALSE)</f>
        <v>-0.23416036534814499</v>
      </c>
      <c r="AI44" s="344">
        <f t="shared" si="29"/>
        <v>4.9466998887434221E-2</v>
      </c>
    </row>
    <row r="45" spans="1:35" ht="17.7" x14ac:dyDescent="0.6">
      <c r="A45" s="37">
        <v>210060</v>
      </c>
      <c r="B45" s="26" t="str">
        <f>VLOOKUP(A45,'Variable Input'!$1:$1048576,2,FALSE)</f>
        <v>FORT WASHINGTON MEDICAL CENTER</v>
      </c>
      <c r="C45" s="31">
        <f>VLOOKUP(A45,'Variable Input'!$1:$1048576,3,FALSE)</f>
        <v>1</v>
      </c>
      <c r="D45" s="87">
        <f>IF(C45=1,'Rate Application - ICC Cycle I'!$Y$65,IF(C45=3,'Rate Application - ICC Cycle I'!$Y$66,IF(C45=4,'Rate Application - ICC Cycle I'!$Y$67,IF(C45=5,'Rate Application - ICC Cycle I'!$Y$68,0))))</f>
        <v>10459.948799491758</v>
      </c>
      <c r="E45" s="87">
        <v>0</v>
      </c>
      <c r="F45" s="87">
        <f>IF(C45=1,E45*(I45/$I$65),IF(C45=3,E45*(I45/$I$66),IF(C45=4,E45*(I45/$I$67),E45*(I45/$I$68))))</f>
        <v>0</v>
      </c>
      <c r="G45" s="87">
        <v>0</v>
      </c>
      <c r="H45" s="87">
        <f>D45*(1-PROFIT!$H$58)</f>
        <v>10424.16020405957</v>
      </c>
      <c r="I45" s="65">
        <f>VLOOKUP(A45,'Rate Application - REM Cycle I'!$1:$65535,15,FALSE)</f>
        <v>3719.0107248960016</v>
      </c>
      <c r="J45" s="19">
        <f>VLOOKUP(A45,'Rate Application - ICC Cycle I'!$1:$65535,20,FALSE)/I45</f>
        <v>0</v>
      </c>
      <c r="K45" s="11">
        <f t="shared" si="15"/>
        <v>10424.16020405957</v>
      </c>
      <c r="L45" s="11">
        <f>(K45*I45)+VLOOKUP(A45,'Rate Application - ICC Cycle I'!$1:$1048576,21,FALSE)</f>
        <v>49541125.350101553</v>
      </c>
      <c r="M45" s="36">
        <f>VLOOKUP(A45,'Variable Input'!$1:$1048576,23,FALSE)</f>
        <v>1.0181752931904677</v>
      </c>
      <c r="N45" s="22">
        <f t="shared" si="16"/>
        <v>50441549.828325361</v>
      </c>
      <c r="O45" s="19">
        <f t="shared" si="17"/>
        <v>13563.163314011661</v>
      </c>
      <c r="P45" s="18">
        <f>VLOOKUP(A45,'Rate Application - REM Cycle I'!$1:$65535,11,FALSE)</f>
        <v>0</v>
      </c>
      <c r="Q45" s="18">
        <f t="shared" si="18"/>
        <v>50441549.828325361</v>
      </c>
      <c r="R45" s="19">
        <f t="shared" si="19"/>
        <v>13563.163314011661</v>
      </c>
      <c r="S45" s="81">
        <f>VLOOKUP(A45,'Rate Application - REM Cycle I'!$1:$65535,9,FALSE)</f>
        <v>1.1180896691644482</v>
      </c>
      <c r="T45" s="19">
        <f t="shared" si="20"/>
        <v>56398175.75969433</v>
      </c>
      <c r="U45" s="22">
        <f t="shared" si="21"/>
        <v>15164.832782586678</v>
      </c>
      <c r="V45" s="88">
        <f>IFERROR(VLOOKUP(A46,'PAU Volume'!AX:AZ,3,FALSE)-VLOOKUP(A46,'PAU Volume'!#REF!,4,FALSE)+VLOOKUP(A46,'PAU Volume'!#REF!,2,FALSE),0)*0</f>
        <v>0</v>
      </c>
      <c r="W45" s="79">
        <f t="shared" si="22"/>
        <v>3719.0107248960016</v>
      </c>
      <c r="X45" s="15">
        <f t="shared" si="23"/>
        <v>56398175.75969433</v>
      </c>
      <c r="Y45" s="11">
        <f>VLOOKUP(A45,'Rate Application - REM Cycle I'!$1:$65535,7,FALSE)</f>
        <v>66045058.94902806</v>
      </c>
      <c r="Z45" s="78">
        <f t="shared" si="24"/>
        <v>-0.14606517645444084</v>
      </c>
      <c r="AA45" s="82">
        <f>IFERROR(VLOOKUP(A45,'GBR Revenue for ICC'!#REF!,17,FALSE),0)</f>
        <v>0</v>
      </c>
      <c r="AB45" s="82">
        <f t="shared" si="25"/>
        <v>0</v>
      </c>
      <c r="AC45" s="11">
        <f t="shared" si="26"/>
        <v>66045058.94902806</v>
      </c>
      <c r="AD45" s="11">
        <f t="shared" si="27"/>
        <v>56398175.75969433</v>
      </c>
      <c r="AE45" s="10">
        <v>1</v>
      </c>
      <c r="AF45" s="343">
        <f>VLOOKUP(A45,[1]icc_by_hosp_year!$A:$IV,9,FALSE)</f>
        <v>7.1465583235375899E-2</v>
      </c>
      <c r="AG45" s="344">
        <f t="shared" si="28"/>
        <v>0.21753075968981672</v>
      </c>
      <c r="AH45" s="343">
        <f>VLOOKUP(A45,'[2]Rate Application - ICC Cycle II'!$A:$IV,26,FALSE)</f>
        <v>-1.5291563170674927E-2</v>
      </c>
      <c r="AI45" s="344">
        <f t="shared" si="29"/>
        <v>0.13077361328376591</v>
      </c>
    </row>
    <row r="46" spans="1:35" ht="17.7" x14ac:dyDescent="0.6">
      <c r="A46" s="37">
        <v>210061</v>
      </c>
      <c r="B46" s="26" t="str">
        <f>VLOOKUP(A46,'Variable Input'!$1:$1048576,2,FALSE)</f>
        <v>ATLANTIC GENERAL HOSPITAL</v>
      </c>
      <c r="C46" s="31">
        <f>VLOOKUP(A46,'Variable Input'!$1:$1048576,3,FALSE)</f>
        <v>1</v>
      </c>
      <c r="D46" s="87">
        <f>IF(C46=1,'Rate Application - ICC Cycle I'!$Y$65,IF(C46=3,'Rate Application - ICC Cycle I'!$Y$66,IF(C46=4,'Rate Application - ICC Cycle I'!$Y$67,IF(C46=5,'Rate Application - ICC Cycle I'!$Y$68,0))))</f>
        <v>10459.948799491758</v>
      </c>
      <c r="E46" s="87">
        <v>0</v>
      </c>
      <c r="F46" s="87">
        <v>0</v>
      </c>
      <c r="G46" s="87">
        <v>0</v>
      </c>
      <c r="H46" s="87">
        <f>D46*(1-PROFIT!$H$58)</f>
        <v>10424.16020405957</v>
      </c>
      <c r="I46" s="65">
        <f>VLOOKUP(A46,'Rate Application - REM Cycle I'!$1:$65535,15,FALSE)</f>
        <v>9011.8464937300014</v>
      </c>
      <c r="J46" s="19">
        <f>VLOOKUP(A46,'Rate Application - ICC Cycle I'!$1:$65535,20,FALSE)/I46</f>
        <v>0</v>
      </c>
      <c r="K46" s="11">
        <f t="shared" si="15"/>
        <v>10424.16020405957</v>
      </c>
      <c r="L46" s="11">
        <f>(K46*I46)+VLOOKUP(A46,'Rate Application - ICC Cycle I'!$1:$1048576,21,FALSE)</f>
        <v>113254732.56686087</v>
      </c>
      <c r="M46" s="36">
        <f>VLOOKUP(A46,'Variable Input'!$1:$1048576,23,FALSE)</f>
        <v>0.99671861092415948</v>
      </c>
      <c r="N46" s="22">
        <f t="shared" si="16"/>
        <v>112883099.72462873</v>
      </c>
      <c r="O46" s="19">
        <f t="shared" si="17"/>
        <v>12526.078845569244</v>
      </c>
      <c r="P46" s="18">
        <f>VLOOKUP(A46,'Rate Application - REM Cycle I'!$1:$65535,11,FALSE)</f>
        <v>0</v>
      </c>
      <c r="Q46" s="18">
        <f t="shared" si="18"/>
        <v>112883099.72462873</v>
      </c>
      <c r="R46" s="19">
        <f t="shared" si="19"/>
        <v>12526.078845569244</v>
      </c>
      <c r="S46" s="81">
        <f>VLOOKUP(A46,'Rate Application - REM Cycle I'!$1:$65535,9,FALSE)</f>
        <v>1.1146605541082666</v>
      </c>
      <c r="T46" s="19">
        <f t="shared" si="20"/>
        <v>125826338.48851338</v>
      </c>
      <c r="U46" s="22">
        <f t="shared" si="21"/>
        <v>13962.32598680605</v>
      </c>
      <c r="V46" s="88">
        <f>IFERROR(VLOOKUP(A47,'PAU Volume'!AX:AZ,3,FALSE)-VLOOKUP(A47,'PAU Volume'!#REF!,4,FALSE)+VLOOKUP(A47,'PAU Volume'!#REF!,2,FALSE),0)*0</f>
        <v>0</v>
      </c>
      <c r="W46" s="79">
        <f t="shared" si="22"/>
        <v>9011.8464937300014</v>
      </c>
      <c r="X46" s="15">
        <f t="shared" si="23"/>
        <v>125826338.48851338</v>
      </c>
      <c r="Y46" s="11">
        <f>VLOOKUP(A46,'Rate Application - REM Cycle I'!$1:$65535,7,FALSE)</f>
        <v>123667555.66396882</v>
      </c>
      <c r="Z46" s="78">
        <f t="shared" si="24"/>
        <v>1.7456339400856669E-2</v>
      </c>
      <c r="AA46" s="82">
        <f>IFERROR(VLOOKUP(A46,'GBR Revenue for ICC'!#REF!,17,FALSE),0)</f>
        <v>0</v>
      </c>
      <c r="AB46" s="82">
        <f t="shared" si="25"/>
        <v>0</v>
      </c>
      <c r="AC46" s="11">
        <f t="shared" si="26"/>
        <v>123667555.66396882</v>
      </c>
      <c r="AD46" s="11">
        <f t="shared" si="27"/>
        <v>125826338.48851338</v>
      </c>
      <c r="AE46" s="10">
        <v>1</v>
      </c>
      <c r="AF46" s="343">
        <f>VLOOKUP(A46,[1]icc_by_hosp_year!$A:$IV,9,FALSE)</f>
        <v>2.3636505518021E-4</v>
      </c>
      <c r="AG46" s="344">
        <f t="shared" si="28"/>
        <v>-1.7219974345676459E-2</v>
      </c>
      <c r="AH46" s="343">
        <f>VLOOKUP(A46,'[2]Rate Application - ICC Cycle II'!$A:$IV,26,FALSE)</f>
        <v>-3.1454612281767158E-4</v>
      </c>
      <c r="AI46" s="344">
        <f t="shared" si="29"/>
        <v>-1.777088552367434E-2</v>
      </c>
    </row>
    <row r="47" spans="1:35" ht="17.7" x14ac:dyDescent="0.6">
      <c r="A47" s="37">
        <v>210062</v>
      </c>
      <c r="B47" s="26" t="str">
        <f>VLOOKUP(A47,'Variable Input'!$1:$1048576,2,FALSE)</f>
        <v>MEDSTAR SOUTHERN MARYLAND HOSPITAL CENTER</v>
      </c>
      <c r="C47" s="31">
        <f>VLOOKUP(A47,'Variable Input'!$1:$1048576,3,FALSE)</f>
        <v>1</v>
      </c>
      <c r="D47" s="87">
        <f>IF(C47=1,'Rate Application - ICC Cycle I'!$Y$65,IF(C47=3,'Rate Application - ICC Cycle I'!$Y$66,IF(C47=4,'Rate Application - ICC Cycle I'!$Y$67,IF(C47=5,'Rate Application - ICC Cycle I'!$Y$68,0))))</f>
        <v>10459.948799491758</v>
      </c>
      <c r="E47" s="87">
        <v>0</v>
      </c>
      <c r="F47" s="87">
        <f>IF(C47=1,E47*(I47/$I$65),IF(C47=3,E47*(I47/$I$66),IF(C47=4,E47*(I47/$I$67),E47*(I47/$I$68))))</f>
        <v>0</v>
      </c>
      <c r="G47" s="87">
        <v>0</v>
      </c>
      <c r="H47" s="87">
        <f>D47*(1-PROFIT!$H$58)</f>
        <v>10424.16020405957</v>
      </c>
      <c r="I47" s="65">
        <f>VLOOKUP(A47,'Rate Application - REM Cycle I'!$1:$65535,15,FALSE)</f>
        <v>17485.311336287028</v>
      </c>
      <c r="J47" s="19">
        <f>VLOOKUP(A47,'Rate Application - ICC Cycle I'!$1:$65535,20,FALSE)/I47</f>
        <v>0</v>
      </c>
      <c r="K47" s="11">
        <f t="shared" si="15"/>
        <v>10424.16020405957</v>
      </c>
      <c r="L47" s="11">
        <f>(K47*I47)+VLOOKUP(A47,'Rate Application - ICC Cycle I'!$1:$1048576,21,FALSE)</f>
        <v>239936479.55456799</v>
      </c>
      <c r="M47" s="36">
        <f>VLOOKUP(A47,'Variable Input'!$1:$1048576,23,FALSE)</f>
        <v>1.0181752931904677</v>
      </c>
      <c r="N47" s="22">
        <f t="shared" si="16"/>
        <v>244297395.41756094</v>
      </c>
      <c r="O47" s="19">
        <f t="shared" si="17"/>
        <v>13971.578241822544</v>
      </c>
      <c r="P47" s="18">
        <f>VLOOKUP(A47,'Rate Application - REM Cycle I'!$1:$65535,11,FALSE)</f>
        <v>0</v>
      </c>
      <c r="Q47" s="18">
        <f t="shared" si="18"/>
        <v>244297395.41756094</v>
      </c>
      <c r="R47" s="19">
        <f t="shared" si="19"/>
        <v>13971.578241822544</v>
      </c>
      <c r="S47" s="81">
        <f>VLOOKUP(A47,'Rate Application - REM Cycle I'!$1:$65535,9,FALSE)</f>
        <v>1.1171440000317876</v>
      </c>
      <c r="T47" s="19">
        <f t="shared" si="20"/>
        <v>272915369.51412129</v>
      </c>
      <c r="U47" s="22">
        <f t="shared" si="21"/>
        <v>15608.264803826727</v>
      </c>
      <c r="V47" s="88">
        <f>IFERROR(VLOOKUP(A48,'PAU Volume'!AX:AZ,3,FALSE)-VLOOKUP(A48,'PAU Volume'!#REF!,4,FALSE)+VLOOKUP(A48,'PAU Volume'!#REF!,2,FALSE),0)*0</f>
        <v>0</v>
      </c>
      <c r="W47" s="79">
        <f t="shared" si="22"/>
        <v>17485.311336287028</v>
      </c>
      <c r="X47" s="15">
        <f t="shared" si="23"/>
        <v>272915369.51412129</v>
      </c>
      <c r="Y47" s="11">
        <f>VLOOKUP(A47,'Rate Application - REM Cycle I'!$1:$65535,7,FALSE)</f>
        <v>312472727.05601329</v>
      </c>
      <c r="Z47" s="78">
        <f t="shared" si="24"/>
        <v>-0.12659459247718929</v>
      </c>
      <c r="AA47" s="82">
        <f>IFERROR(VLOOKUP(A47,'GBR Revenue for ICC'!#REF!,17,FALSE),0)</f>
        <v>0</v>
      </c>
      <c r="AB47" s="82">
        <f t="shared" si="25"/>
        <v>0</v>
      </c>
      <c r="AC47" s="11">
        <f t="shared" si="26"/>
        <v>312472727.05601329</v>
      </c>
      <c r="AD47" s="11">
        <f t="shared" si="27"/>
        <v>272915369.51412129</v>
      </c>
      <c r="AE47" s="10">
        <v>1</v>
      </c>
      <c r="AF47" s="343">
        <f>VLOOKUP(A47,[1]icc_by_hosp_year!$A:$IV,9,FALSE)</f>
        <v>-0.193938043479773</v>
      </c>
      <c r="AG47" s="344">
        <f t="shared" si="28"/>
        <v>-6.734345100258371E-2</v>
      </c>
      <c r="AH47" s="343">
        <f>VLOOKUP(A47,'[2]Rate Application - ICC Cycle II'!$A:$IV,26,FALSE)</f>
        <v>-0.25513291025383678</v>
      </c>
      <c r="AI47" s="344">
        <f t="shared" si="29"/>
        <v>-0.12853831777664748</v>
      </c>
    </row>
    <row r="48" spans="1:35" ht="17.7" x14ac:dyDescent="0.6">
      <c r="A48" s="37">
        <v>210063</v>
      </c>
      <c r="B48" s="26" t="str">
        <f>VLOOKUP(A48,'Variable Input'!$1:$1048576,2,FALSE)</f>
        <v>UM-ST. JOSEPH MEDICAL CENTER</v>
      </c>
      <c r="C48" s="31">
        <f>VLOOKUP(A48,'Variable Input'!$1:$1048576,3,FALSE)</f>
        <v>1</v>
      </c>
      <c r="D48" s="87">
        <f>IF(C48=1,'Rate Application - ICC Cycle I'!$Y$65,IF(C48=3,'Rate Application - ICC Cycle I'!$Y$66,IF(C48=4,'Rate Application - ICC Cycle I'!$Y$67,IF(C48=5,'Rate Application - ICC Cycle I'!$Y$68,0))))</f>
        <v>10459.948799491758</v>
      </c>
      <c r="E48" s="87">
        <v>0</v>
      </c>
      <c r="F48" s="87">
        <v>0</v>
      </c>
      <c r="G48" s="87">
        <v>0</v>
      </c>
      <c r="H48" s="87">
        <f>D48*(1-PROFIT!$H$58)</f>
        <v>10424.16020405957</v>
      </c>
      <c r="I48" s="65">
        <f>VLOOKUP(A48,'Rate Application - REM Cycle I'!$1:$65535,15,FALSE)</f>
        <v>30821.946526509015</v>
      </c>
      <c r="J48" s="19">
        <f>VLOOKUP(A48,'Rate Application - ICC Cycle I'!$1:$65535,20,FALSE)/I48</f>
        <v>0</v>
      </c>
      <c r="K48" s="11">
        <f t="shared" si="15"/>
        <v>10424.16020405957</v>
      </c>
      <c r="L48" s="11">
        <f>(K48*I48)+VLOOKUP(A48,'Rate Application - ICC Cycle I'!$1:$1048576,21,FALSE)</f>
        <v>376051759.40486014</v>
      </c>
      <c r="M48" s="36">
        <f>VLOOKUP(A48,'Variable Input'!$1:$1048576,23,FALSE)</f>
        <v>0.99671861092415948</v>
      </c>
      <c r="N48" s="22">
        <f t="shared" si="16"/>
        <v>374817787.26959842</v>
      </c>
      <c r="O48" s="19">
        <f t="shared" si="17"/>
        <v>12160.743545097941</v>
      </c>
      <c r="P48" s="18">
        <f>VLOOKUP(A48,'Rate Application - REM Cycle I'!$1:$65535,11,FALSE)</f>
        <v>0</v>
      </c>
      <c r="Q48" s="18">
        <f t="shared" si="18"/>
        <v>374817787.26959842</v>
      </c>
      <c r="R48" s="19">
        <f t="shared" si="19"/>
        <v>12160.743545097941</v>
      </c>
      <c r="S48" s="81">
        <f>VLOOKUP(A48,'Rate Application - REM Cycle I'!$1:$65535,9,FALSE)</f>
        <v>1.1140199775247721</v>
      </c>
      <c r="T48" s="19">
        <f t="shared" si="20"/>
        <v>417554502.94996285</v>
      </c>
      <c r="U48" s="22">
        <f t="shared" si="21"/>
        <v>13547.311250794526</v>
      </c>
      <c r="V48" s="88">
        <f>IFERROR(VLOOKUP(A49,'PAU Volume'!AX:AZ,3,FALSE)-VLOOKUP(A49,'PAU Volume'!#REF!,4,FALSE)+VLOOKUP(A49,'PAU Volume'!#REF!,2,FALSE),0)*0</f>
        <v>0</v>
      </c>
      <c r="W48" s="79">
        <f t="shared" si="22"/>
        <v>30821.946526509015</v>
      </c>
      <c r="X48" s="15">
        <f t="shared" si="23"/>
        <v>417554502.94996285</v>
      </c>
      <c r="Y48" s="11">
        <f>VLOOKUP(A48,'Rate Application - REM Cycle I'!$1:$65535,7,FALSE)</f>
        <v>440856003.87718481</v>
      </c>
      <c r="Z48" s="78">
        <f t="shared" si="24"/>
        <v>-5.285512893618971E-2</v>
      </c>
      <c r="AA48" s="82">
        <f>IFERROR(VLOOKUP(A48,'GBR Revenue for ICC'!#REF!,17,FALSE),0)</f>
        <v>0</v>
      </c>
      <c r="AB48" s="82">
        <f t="shared" si="25"/>
        <v>0</v>
      </c>
      <c r="AC48" s="11">
        <f t="shared" si="26"/>
        <v>440856003.87718481</v>
      </c>
      <c r="AD48" s="11">
        <f t="shared" si="27"/>
        <v>417554502.94996285</v>
      </c>
      <c r="AE48" s="10">
        <v>1</v>
      </c>
      <c r="AF48" s="343">
        <f>VLOOKUP(A48,[1]icc_by_hosp_year!$A:$IV,9,FALSE)</f>
        <v>-0.108102920543591</v>
      </c>
      <c r="AG48" s="344">
        <f t="shared" si="28"/>
        <v>-5.5247791607401286E-2</v>
      </c>
      <c r="AH48" s="343">
        <f>VLOOKUP(A48,'[2]Rate Application - ICC Cycle II'!$A:$IV,26,FALSE)</f>
        <v>-9.2243502131779009E-2</v>
      </c>
      <c r="AI48" s="344">
        <f t="shared" si="29"/>
        <v>-3.9388373195589299E-2</v>
      </c>
    </row>
    <row r="49" spans="1:36" ht="17.7" x14ac:dyDescent="0.6">
      <c r="A49" s="37">
        <v>210065</v>
      </c>
      <c r="B49" s="26" t="s">
        <v>81</v>
      </c>
      <c r="C49" s="31">
        <f>VLOOKUP(A49,'Variable Input'!$1:$1048576,3,FALSE)</f>
        <v>1</v>
      </c>
      <c r="D49" s="87">
        <f>IF(C49=1,'Rate Application - ICC Cycle I'!$Y$65,IF(C49=3,'Rate Application - ICC Cycle I'!$Y$66,IF(C49=4,'Rate Application - ICC Cycle I'!$Y$67,IF(C49=5,'Rate Application - ICC Cycle I'!$Y$68,0))))</f>
        <v>10459.948799491758</v>
      </c>
      <c r="E49" s="87">
        <v>0</v>
      </c>
      <c r="F49" s="87">
        <f>IF(C49=1,E49*(I49/$I$65),IF(C49=3,E49*(I49/$I$66),IF(C49=4,E49*(I49/$I$67),E49*(I49/$I$68))))</f>
        <v>0</v>
      </c>
      <c r="G49" s="87">
        <v>0</v>
      </c>
      <c r="H49" s="87">
        <f>D49*(1-PROFIT!$H$58)</f>
        <v>10424.16020405957</v>
      </c>
      <c r="I49" s="65">
        <f>VLOOKUP(A49,'Rate Application - REM Cycle I'!$1:$65535,15,FALSE)</f>
        <v>9743.687453664008</v>
      </c>
      <c r="J49" s="19">
        <f>VLOOKUP(A49,'Rate Application - ICC Cycle I'!$1:$65535,20,FALSE)/I49</f>
        <v>0</v>
      </c>
      <c r="K49" s="11">
        <f t="shared" si="15"/>
        <v>10424.16020405957</v>
      </c>
      <c r="L49" s="11">
        <f>(K49*I49)+VLOOKUP(A49,'Rate Application - ICC Cycle I'!$1:$1048576,21,FALSE)</f>
        <v>135516307.31755173</v>
      </c>
      <c r="M49" s="36">
        <f>VLOOKUP(A49,'Variable Input'!$1:$1048576,23,FALSE)</f>
        <v>1.0181752931904677</v>
      </c>
      <c r="N49" s="22">
        <f t="shared" si="16"/>
        <v>137979355.93513775</v>
      </c>
      <c r="O49" s="19">
        <f t="shared" si="17"/>
        <v>14160.897154316266</v>
      </c>
      <c r="P49" s="18">
        <f>VLOOKUP(A49,'Rate Application - REM Cycle I'!$1:$65535,11,FALSE)</f>
        <v>0</v>
      </c>
      <c r="Q49" s="18">
        <f t="shared" si="18"/>
        <v>137979355.93513775</v>
      </c>
      <c r="R49" s="19">
        <f t="shared" si="19"/>
        <v>14160.897154316266</v>
      </c>
      <c r="S49" s="81">
        <f>VLOOKUP(A49,'Rate Application - REM Cycle I'!$1:$65535,9,FALSE)</f>
        <v>1.1083143930424924</v>
      </c>
      <c r="T49" s="19">
        <f t="shared" si="20"/>
        <v>152924506.1256462</v>
      </c>
      <c r="U49" s="22">
        <f t="shared" si="21"/>
        <v>15694.726134523189</v>
      </c>
      <c r="V49" s="88">
        <f>IFERROR(VLOOKUP(A50,'PAU Volume'!AX:AZ,3,FALSE)-VLOOKUP(A50,'PAU Volume'!#REF!,4,FALSE)+VLOOKUP(A50,'PAU Volume'!#REF!,2,FALSE),0)*0</f>
        <v>0</v>
      </c>
      <c r="W49" s="79">
        <f t="shared" si="22"/>
        <v>9743.687453664008</v>
      </c>
      <c r="X49" s="15">
        <f t="shared" si="23"/>
        <v>152924506.1256462</v>
      </c>
      <c r="Y49" s="11">
        <f>VLOOKUP(A49,'Rate Application - REM Cycle I'!$1:$65535,7,FALSE)</f>
        <v>145302528.81887707</v>
      </c>
      <c r="Z49" s="78">
        <f t="shared" si="24"/>
        <v>5.2455916416087378E-2</v>
      </c>
      <c r="AA49" s="82">
        <f>IFERROR(VLOOKUP(A49,'GBR Revenue for ICC'!#REF!,17,FALSE),0)</f>
        <v>0</v>
      </c>
      <c r="AB49" s="82">
        <f t="shared" si="25"/>
        <v>0</v>
      </c>
      <c r="AC49" s="11">
        <f t="shared" si="26"/>
        <v>145302528.81887707</v>
      </c>
      <c r="AD49" s="11">
        <f t="shared" si="27"/>
        <v>152924506.1256462</v>
      </c>
      <c r="AF49" s="343" t="e">
        <f>VLOOKUP(A49,[1]icc_by_hosp_year!$A:$IV,9,FALSE)</f>
        <v>#N/A</v>
      </c>
      <c r="AG49" s="344" t="e">
        <f t="shared" si="28"/>
        <v>#N/A</v>
      </c>
      <c r="AH49" s="343">
        <f>VLOOKUP(A49,'[2]Rate Application - ICC Cycle II'!$A:$IV,26,FALSE)</f>
        <v>-1</v>
      </c>
      <c r="AI49" s="344">
        <f t="shared" si="29"/>
        <v>-1.0524559164160874</v>
      </c>
      <c r="AJ49" s="11"/>
    </row>
    <row r="50" spans="1:36" ht="17.7" x14ac:dyDescent="0.6">
      <c r="A50" s="37">
        <v>910003</v>
      </c>
      <c r="B50" s="26" t="str">
        <f>VLOOKUP(A50,'Variable Input'!$1:$1048576,2,FALSE)</f>
        <v>Prince Georges Hospital</v>
      </c>
      <c r="C50" s="31">
        <f>VLOOKUP(A50,'Variable Input'!$1:$1048576,3,FALSE)</f>
        <v>5</v>
      </c>
      <c r="D50" s="87">
        <f>IF(C50=1,'Rate Application - ICC Cycle I'!$Y$65,IF(C50=3,'Rate Application - ICC Cycle I'!$Y$66,IF(C50=4,'Rate Application - ICC Cycle I'!$Y$67,IF(C50=5,'Rate Application - ICC Cycle I'!$Y$68,0))))</f>
        <v>12635.590589674488</v>
      </c>
      <c r="E50" s="87">
        <v>0</v>
      </c>
      <c r="F50" s="87">
        <v>0</v>
      </c>
      <c r="G50" s="87">
        <v>0</v>
      </c>
      <c r="H50" s="87">
        <f>D50*(1-PROFIT!$H$58)</f>
        <v>12592.358060689012</v>
      </c>
      <c r="I50" s="65">
        <f>VLOOKUP(A50,'Rate Application - REM Cycle I'!$1:$65535,15,FALSE)</f>
        <v>16622.361523679996</v>
      </c>
      <c r="J50" s="19">
        <f>VLOOKUP(A50,'Rate Application - ICC Cycle I'!$1:$65535,20,FALSE)/I50</f>
        <v>1047.5835053585402</v>
      </c>
      <c r="K50" s="11">
        <f t="shared" si="15"/>
        <v>13639.941566047552</v>
      </c>
      <c r="L50" s="11">
        <f>(K50*I50)+VLOOKUP(A50,'Rate Application - ICC Cycle I'!$1:$1048576,21,FALSE)</f>
        <v>296952121.69308889</v>
      </c>
      <c r="M50" s="36">
        <f>VLOOKUP(A50,'Variable Input'!$1:$1048576,23,FALSE)</f>
        <v>1.0181752931904677</v>
      </c>
      <c r="N50" s="22">
        <f t="shared" si="16"/>
        <v>302349313.56839222</v>
      </c>
      <c r="O50" s="19">
        <f t="shared" si="17"/>
        <v>18189.31161722535</v>
      </c>
      <c r="P50" s="18">
        <f>VLOOKUP(A50,'Rate Application - REM Cycle I'!$1:$65535,11,FALSE)</f>
        <v>10600897.780621644</v>
      </c>
      <c r="Q50" s="18">
        <f t="shared" si="18"/>
        <v>312950211.34901386</v>
      </c>
      <c r="R50" s="19">
        <f t="shared" si="19"/>
        <v>18827.06081823507</v>
      </c>
      <c r="S50" s="81">
        <f>VLOOKUP(A50,'Rate Application - REM Cycle I'!$1:$65535,9,FALSE)</f>
        <v>1.1150592197193865</v>
      </c>
      <c r="T50" s="19">
        <f t="shared" si="20"/>
        <v>348958018.47784847</v>
      </c>
      <c r="U50" s="22">
        <f t="shared" si="21"/>
        <v>20993.287745590631</v>
      </c>
      <c r="V50" s="35">
        <f>SUMIF($A$1:$A$65535,210003,V$1:V$65535)</f>
        <v>0</v>
      </c>
      <c r="W50" s="79">
        <f t="shared" si="22"/>
        <v>16622.361523679996</v>
      </c>
      <c r="X50" s="15">
        <f t="shared" si="23"/>
        <v>348958018.47784847</v>
      </c>
      <c r="Y50" s="11">
        <f>VLOOKUP(A50,'Rate Application - REM Cycle I'!$1:$65535,7,FALSE)</f>
        <v>379598110.09410959</v>
      </c>
      <c r="Z50" s="78">
        <f t="shared" si="24"/>
        <v>-8.0717186944542108E-2</v>
      </c>
      <c r="AA50" s="82">
        <f>IFERROR(VLOOKUP(A50,'GBR Revenue for ICC'!#REF!,17,FALSE),0)</f>
        <v>0</v>
      </c>
      <c r="AB50" s="82">
        <f t="shared" si="25"/>
        <v>0</v>
      </c>
      <c r="AC50" s="11">
        <f t="shared" si="26"/>
        <v>379598110.09410959</v>
      </c>
      <c r="AD50" s="11">
        <f t="shared" si="27"/>
        <v>348958018.47784847</v>
      </c>
      <c r="AF50" s="343" t="e">
        <f>VLOOKUP(A50,[1]icc_by_hosp_year!$A:$IV,9,FALSE)</f>
        <v>#N/A</v>
      </c>
      <c r="AG50" s="344" t="e">
        <f t="shared" si="28"/>
        <v>#N/A</v>
      </c>
      <c r="AH50" s="343">
        <f>VLOOKUP(A50,'[2]Rate Application - ICC Cycle II'!$A:$IV,26,FALSE)</f>
        <v>-7.9167527065937549E-2</v>
      </c>
      <c r="AI50" s="344">
        <f t="shared" si="29"/>
        <v>1.549659878604559E-3</v>
      </c>
    </row>
    <row r="51" spans="1:36" ht="17.7" x14ac:dyDescent="0.6">
      <c r="A51" s="37">
        <v>910008</v>
      </c>
      <c r="B51" s="26" t="str">
        <f>VLOOKUP(A51,'Variable Input'!$1:$1048576,2,FALSE)</f>
        <v>Mercy Medical Center</v>
      </c>
      <c r="C51" s="31">
        <f>VLOOKUP(A51,'Variable Input'!$1:$1048576,3,FALSE)</f>
        <v>5</v>
      </c>
      <c r="D51" s="87">
        <f>IF(C51=1,'Rate Application - ICC Cycle I'!$Y$65,IF(C51=3,'Rate Application - ICC Cycle I'!$Y$66,IF(C51=4,'Rate Application - ICC Cycle I'!$Y$67,IF(C51=5,'Rate Application - ICC Cycle I'!$Y$68,0))))</f>
        <v>12635.590589674488</v>
      </c>
      <c r="E51" s="87">
        <v>0</v>
      </c>
      <c r="F51" s="87">
        <f>IF(C51=1,E51*(I51/$I$65),IF(C51=3,E51*(I51/$I$66),IF(C51=4,E51*(I51/$I$67),E51*(I51/$I$68))))</f>
        <v>0</v>
      </c>
      <c r="G51" s="87">
        <v>0</v>
      </c>
      <c r="H51" s="87">
        <f>D51*(1-PROFIT!$H$58)</f>
        <v>12592.358060689012</v>
      </c>
      <c r="I51" s="65">
        <f>VLOOKUP(A51,'Rate Application - REM Cycle I'!$1:$65535,15,FALSE)</f>
        <v>37187.68418079293</v>
      </c>
      <c r="J51" s="19">
        <f>VLOOKUP(A51,'Rate Application - ICC Cycle I'!$1:$65535,20,FALSE)/I51</f>
        <v>472.25959220144938</v>
      </c>
      <c r="K51" s="11">
        <f t="shared" si="15"/>
        <v>13064.617652890462</v>
      </c>
      <c r="L51" s="11">
        <f>(K51*I51)+VLOOKUP(A51,'Rate Application - ICC Cycle I'!$1:$1048576,21,FALSE)</f>
        <v>593734055.68617725</v>
      </c>
      <c r="M51" s="36">
        <f>VLOOKUP(A51,'Variable Input'!$1:$1048576,23,FALSE)</f>
        <v>0.99671861092415948</v>
      </c>
      <c r="N51" s="22">
        <f t="shared" si="16"/>
        <v>591785783.24189413</v>
      </c>
      <c r="O51" s="19">
        <f t="shared" si="17"/>
        <v>15913.488464752145</v>
      </c>
      <c r="P51" s="18">
        <f>VLOOKUP(A51,'Rate Application - REM Cycle I'!$1:$65535,11,FALSE)</f>
        <v>5003207.6874727393</v>
      </c>
      <c r="Q51" s="18">
        <f t="shared" si="18"/>
        <v>596788990.92936683</v>
      </c>
      <c r="R51" s="19">
        <f t="shared" si="19"/>
        <v>16048.027837065541</v>
      </c>
      <c r="S51" s="81">
        <f>VLOOKUP(A51,'Rate Application - REM Cycle I'!$1:$65535,9,FALSE)</f>
        <v>1.1102695565875482</v>
      </c>
      <c r="T51" s="19">
        <f t="shared" si="20"/>
        <v>662596648.33547843</v>
      </c>
      <c r="U51" s="22">
        <f t="shared" si="21"/>
        <v>17817.636750763388</v>
      </c>
      <c r="V51" s="35">
        <f>SUMIF($A$1:$A$65535,210008,V$1:V$65535)</f>
        <v>0</v>
      </c>
      <c r="W51" s="79">
        <f t="shared" si="22"/>
        <v>37187.68418079293</v>
      </c>
      <c r="X51" s="15">
        <f t="shared" si="23"/>
        <v>662596648.33547843</v>
      </c>
      <c r="Y51" s="11">
        <f>VLOOKUP(A51,'Rate Application - REM Cycle I'!$1:$65535,7,FALSE)</f>
        <v>630435213.30233288</v>
      </c>
      <c r="Z51" s="78">
        <f t="shared" si="24"/>
        <v>5.1014655200933623E-2</v>
      </c>
      <c r="AA51" s="82">
        <f>IFERROR(VLOOKUP(A51,'GBR Revenue for ICC'!#REF!,17,FALSE),0)</f>
        <v>0</v>
      </c>
      <c r="AB51" s="82">
        <f t="shared" si="25"/>
        <v>0</v>
      </c>
      <c r="AC51" s="11">
        <f t="shared" si="26"/>
        <v>630435213.30233288</v>
      </c>
      <c r="AD51" s="11">
        <f t="shared" si="27"/>
        <v>662596648.33547843</v>
      </c>
      <c r="AF51" s="343" t="e">
        <f>VLOOKUP(A51,[1]icc_by_hosp_year!$A:$IV,9,FALSE)</f>
        <v>#N/A</v>
      </c>
      <c r="AG51" s="344" t="e">
        <f t="shared" si="28"/>
        <v>#N/A</v>
      </c>
      <c r="AH51" s="343">
        <f>VLOOKUP(A51,'[2]Rate Application - ICC Cycle II'!$A:$IV,26,FALSE)</f>
        <v>0.11947269212207501</v>
      </c>
      <c r="AI51" s="344">
        <f t="shared" si="29"/>
        <v>6.8458036921141385E-2</v>
      </c>
    </row>
    <row r="52" spans="1:36" ht="17.7" x14ac:dyDescent="0.6">
      <c r="A52" s="37">
        <v>910012</v>
      </c>
      <c r="B52" s="26" t="str">
        <f>VLOOKUP(A52,'Variable Input'!$1:$1048576,2,FALSE)</f>
        <v>Sinai Hospital</v>
      </c>
      <c r="C52" s="31">
        <f>VLOOKUP(A52,'Variable Input'!$1:$1048576,3,FALSE)</f>
        <v>5</v>
      </c>
      <c r="D52" s="87">
        <f>IF(C52=1,'Rate Application - ICC Cycle I'!$Y$65,IF(C52=3,'Rate Application - ICC Cycle I'!$Y$66,IF(C52=4,'Rate Application - ICC Cycle I'!$Y$67,IF(C52=5,'Rate Application - ICC Cycle I'!$Y$68,0))))</f>
        <v>12635.590589674488</v>
      </c>
      <c r="E52" s="87">
        <v>0</v>
      </c>
      <c r="F52" s="87">
        <v>0</v>
      </c>
      <c r="G52" s="87">
        <v>0</v>
      </c>
      <c r="H52" s="87">
        <f>D52*(1-PROFIT!$H$58)</f>
        <v>12592.358060689012</v>
      </c>
      <c r="I52" s="65">
        <f>VLOOKUP(A52,'Rate Application - REM Cycle I'!$1:$65535,15,FALSE)</f>
        <v>39233.431532673072</v>
      </c>
      <c r="J52" s="19">
        <f>VLOOKUP(A52,'Rate Application - ICC Cycle I'!$1:$65535,20,FALSE)/I52</f>
        <v>1165.0763536132847</v>
      </c>
      <c r="K52" s="11">
        <f t="shared" si="15"/>
        <v>13757.434414302297</v>
      </c>
      <c r="L52" s="11">
        <f>(K52*I52)+VLOOKUP(A52,'Rate Application - ICC Cycle I'!$1:$1048576,21,FALSE)</f>
        <v>688732724.49057853</v>
      </c>
      <c r="M52" s="36">
        <f>VLOOKUP(A52,'Variable Input'!$1:$1048576,23,FALSE)</f>
        <v>0.99671861092415948</v>
      </c>
      <c r="N52" s="22">
        <f t="shared" si="16"/>
        <v>686472724.45226121</v>
      </c>
      <c r="O52" s="19">
        <f t="shared" si="17"/>
        <v>17497.136947620194</v>
      </c>
      <c r="P52" s="18">
        <f>VLOOKUP(A52,'Rate Application - REM Cycle I'!$1:$65535,11,FALSE)</f>
        <v>20760568.355981968</v>
      </c>
      <c r="Q52" s="18">
        <f t="shared" si="18"/>
        <v>707233292.80824316</v>
      </c>
      <c r="R52" s="19">
        <f t="shared" si="19"/>
        <v>18026.291995877771</v>
      </c>
      <c r="S52" s="81">
        <f>VLOOKUP(A52,'Rate Application - REM Cycle I'!$1:$65535,9,FALSE)</f>
        <v>1.1214469245143464</v>
      </c>
      <c r="T52" s="19">
        <f t="shared" si="20"/>
        <v>793124601.13395846</v>
      </c>
      <c r="U52" s="22">
        <f t="shared" si="21"/>
        <v>20215.529719174705</v>
      </c>
      <c r="V52" s="35">
        <f>SUMIF($A$1:$A$65535,210012,V$1:V$65535)</f>
        <v>0</v>
      </c>
      <c r="W52" s="79">
        <f t="shared" si="22"/>
        <v>39233.431532673072</v>
      </c>
      <c r="X52" s="15">
        <f t="shared" si="23"/>
        <v>793124601.13395846</v>
      </c>
      <c r="Y52" s="11">
        <f>VLOOKUP(A52,'Rate Application - REM Cycle I'!$1:$65535,7,FALSE)</f>
        <v>853868775.33511937</v>
      </c>
      <c r="Z52" s="78">
        <f t="shared" si="24"/>
        <v>-7.1139940885319941E-2</v>
      </c>
      <c r="AA52" s="82">
        <f>IFERROR(VLOOKUP(A52,'GBR Revenue for ICC'!#REF!,17,FALSE),0)</f>
        <v>0</v>
      </c>
      <c r="AB52" s="82">
        <f t="shared" si="25"/>
        <v>0</v>
      </c>
      <c r="AC52" s="11">
        <f t="shared" si="26"/>
        <v>853868775.33511937</v>
      </c>
      <c r="AD52" s="11">
        <f t="shared" si="27"/>
        <v>793124601.13395846</v>
      </c>
      <c r="AF52" s="343" t="e">
        <f>VLOOKUP(A52,[1]icc_by_hosp_year!$A:$IV,9,FALSE)</f>
        <v>#N/A</v>
      </c>
      <c r="AG52" s="344" t="e">
        <f t="shared" si="28"/>
        <v>#N/A</v>
      </c>
      <c r="AH52" s="343">
        <f>VLOOKUP(A52,'[2]Rate Application - ICC Cycle II'!$A:$IV,26,FALSE)</f>
        <v>-9.8683772977861572E-2</v>
      </c>
      <c r="AI52" s="344">
        <f t="shared" si="29"/>
        <v>-2.7543832092541631E-2</v>
      </c>
    </row>
    <row r="53" spans="1:36" ht="17.7" x14ac:dyDescent="0.6">
      <c r="A53" s="37">
        <v>910024</v>
      </c>
      <c r="B53" s="26" t="str">
        <f>VLOOKUP(A53,'Variable Input'!$1:$1048576,2,FALSE)</f>
        <v>Union Memorial Hospital</v>
      </c>
      <c r="C53" s="31">
        <f>VLOOKUP(A53,'Variable Input'!$1:$1048576,3,FALSE)</f>
        <v>5</v>
      </c>
      <c r="D53" s="87">
        <f>IF(C53=1,'Rate Application - ICC Cycle I'!$Y$65,IF(C53=3,'Rate Application - ICC Cycle I'!$Y$66,IF(C53=4,'Rate Application - ICC Cycle I'!$Y$67,IF(C53=5,'Rate Application - ICC Cycle I'!$Y$68,0))))</f>
        <v>12635.590589674488</v>
      </c>
      <c r="E53" s="87">
        <v>0</v>
      </c>
      <c r="F53" s="87">
        <f>IF(C53=1,E53*(I53/$I$65),IF(C53=3,E53*(I53/$I$66),IF(C53=4,E53*(I53/$I$67),E53*(I53/$I$68))))</f>
        <v>0</v>
      </c>
      <c r="G53" s="87">
        <v>0</v>
      </c>
      <c r="H53" s="87">
        <f>D53*(1-PROFIT!$H$58)</f>
        <v>12592.358060689012</v>
      </c>
      <c r="I53" s="65">
        <f>VLOOKUP(A53,'Rate Application - REM Cycle I'!$1:$65535,15,FALSE)</f>
        <v>26999.26188542712</v>
      </c>
      <c r="J53" s="19">
        <f>VLOOKUP(A53,'Rate Application - ICC Cycle I'!$1:$65535,20,FALSE)/I53</f>
        <v>1182.417690332225</v>
      </c>
      <c r="K53" s="11">
        <f t="shared" si="15"/>
        <v>13774.775751021236</v>
      </c>
      <c r="L53" s="11">
        <f>(K53*I53)+VLOOKUP(A53,'Rate Application - ICC Cycle I'!$1:$1048576,21,FALSE)</f>
        <v>460432125.63961458</v>
      </c>
      <c r="M53" s="36">
        <f>VLOOKUP(A53,'Variable Input'!$1:$1048576,23,FALSE)</f>
        <v>0.99671861092415948</v>
      </c>
      <c r="N53" s="22">
        <f t="shared" si="16"/>
        <v>458921268.69237471</v>
      </c>
      <c r="O53" s="19">
        <f t="shared" si="17"/>
        <v>16997.548697435981</v>
      </c>
      <c r="P53" s="18">
        <f>VLOOKUP(A53,'Rate Application - REM Cycle I'!$1:$65535,11,FALSE)</f>
        <v>12196844.09297953</v>
      </c>
      <c r="Q53" s="18">
        <f t="shared" si="18"/>
        <v>471118112.78535426</v>
      </c>
      <c r="R53" s="19">
        <f t="shared" si="19"/>
        <v>17449.296013519568</v>
      </c>
      <c r="S53" s="81">
        <f>VLOOKUP(A53,'Rate Application - REM Cycle I'!$1:$65535,9,FALSE)</f>
        <v>1.1223202362274129</v>
      </c>
      <c r="T53" s="19">
        <f t="shared" si="20"/>
        <v>528745391.63227177</v>
      </c>
      <c r="U53" s="22">
        <f t="shared" si="21"/>
        <v>19583.698023895337</v>
      </c>
      <c r="V53" s="35">
        <f>SUMIF($A$1:$A$65535,210024,V$1:V$65535)</f>
        <v>0</v>
      </c>
      <c r="W53" s="79">
        <f t="shared" si="22"/>
        <v>26999.26188542712</v>
      </c>
      <c r="X53" s="15">
        <f t="shared" si="23"/>
        <v>528745391.63227177</v>
      </c>
      <c r="Y53" s="11">
        <f>VLOOKUP(A53,'Rate Application - REM Cycle I'!$1:$65535,7,FALSE)</f>
        <v>481596679.12083691</v>
      </c>
      <c r="Z53" s="78">
        <f t="shared" si="24"/>
        <v>9.7900825640047318E-2</v>
      </c>
      <c r="AA53" s="82">
        <f>IFERROR(VLOOKUP(A53,'GBR Revenue for ICC'!#REF!,17,FALSE),0)</f>
        <v>0</v>
      </c>
      <c r="AB53" s="82">
        <f t="shared" si="25"/>
        <v>0</v>
      </c>
      <c r="AC53" s="11">
        <f t="shared" si="26"/>
        <v>481596679.12083691</v>
      </c>
      <c r="AD53" s="11">
        <f t="shared" si="27"/>
        <v>528745391.63227177</v>
      </c>
      <c r="AF53" s="343" t="e">
        <f>VLOOKUP(A53,[1]icc_by_hosp_year!$A:$IV,9,FALSE)</f>
        <v>#N/A</v>
      </c>
      <c r="AG53" s="344" t="e">
        <f t="shared" si="28"/>
        <v>#N/A</v>
      </c>
      <c r="AH53" s="343">
        <f>VLOOKUP(A53,'[2]Rate Application - ICC Cycle II'!$A:$IV,26,FALSE)</f>
        <v>2.9302308038512637E-2</v>
      </c>
      <c r="AI53" s="344">
        <f t="shared" si="29"/>
        <v>-6.8598517601534681E-2</v>
      </c>
    </row>
    <row r="54" spans="1:36" ht="17.7" x14ac:dyDescent="0.6">
      <c r="A54" s="37">
        <v>910029</v>
      </c>
      <c r="B54" s="26" t="str">
        <f>VLOOKUP(A54,'Variable Input'!$1:$1048576,2,FALSE)</f>
        <v>Johns Hopkins Bayview Medical Center</v>
      </c>
      <c r="C54" s="31">
        <f>VLOOKUP(A54,'Variable Input'!$1:$1048576,3,FALSE)</f>
        <v>5</v>
      </c>
      <c r="D54" s="87">
        <f>IF(C54=1,'Rate Application - ICC Cycle I'!$Y$65,IF(C54=3,'Rate Application - ICC Cycle I'!$Y$66,IF(C54=4,'Rate Application - ICC Cycle I'!$Y$67,IF(C54=5,'Rate Application - ICC Cycle I'!$Y$68,0))))</f>
        <v>12635.590589674488</v>
      </c>
      <c r="E54" s="87">
        <v>0</v>
      </c>
      <c r="F54" s="87">
        <v>0</v>
      </c>
      <c r="G54" s="87">
        <v>0</v>
      </c>
      <c r="H54" s="87">
        <f>D54*(1-PROFIT!$H$58)</f>
        <v>12592.358060689012</v>
      </c>
      <c r="I54" s="65">
        <f>VLOOKUP(A54,'Rate Application - REM Cycle I'!$1:$65535,15,FALSE)</f>
        <v>35540.799933832066</v>
      </c>
      <c r="J54" s="19">
        <f>VLOOKUP(A54,'Rate Application - ICC Cycle I'!$1:$65535,20,FALSE)/I54</f>
        <v>1440.3814806605105</v>
      </c>
      <c r="K54" s="11">
        <f>+H54+J54</f>
        <v>14032.739541349521</v>
      </c>
      <c r="L54" s="11">
        <f>(K54*I54)+VLOOKUP(A54,'Rate Application - ICC Cycle I'!$1:$1048576,21,FALSE)</f>
        <v>617472426.87995434</v>
      </c>
      <c r="M54" s="36">
        <f>VLOOKUP(A54,'Variable Input'!$1:$1048576,23,FALSE)</f>
        <v>0.99671861092415948</v>
      </c>
      <c r="N54" s="22">
        <f t="shared" si="16"/>
        <v>615446259.60375774</v>
      </c>
      <c r="O54" s="19">
        <f t="shared" si="17"/>
        <v>17316.612477759707</v>
      </c>
      <c r="P54" s="18">
        <f>VLOOKUP(A54,'Rate Application - REM Cycle I'!$1:$65535,11,FALSE)</f>
        <v>27476780.845164478</v>
      </c>
      <c r="Q54" s="18">
        <f t="shared" si="18"/>
        <v>642923040.44892216</v>
      </c>
      <c r="R54" s="19">
        <f t="shared" si="19"/>
        <v>18089.717779168768</v>
      </c>
      <c r="S54" s="81">
        <f>VLOOKUP(A54,'Rate Application - REM Cycle I'!$1:$65535,9,FALSE)</f>
        <v>1.1160480491569686</v>
      </c>
      <c r="T54" s="19">
        <f t="shared" si="20"/>
        <v>717533005.05108643</v>
      </c>
      <c r="U54" s="22">
        <f t="shared" si="21"/>
        <v>20188.994237241437</v>
      </c>
      <c r="V54" s="35">
        <f>SUMIF($A$1:$A$65535,210029,V$1:V$65535)</f>
        <v>0</v>
      </c>
      <c r="W54" s="79">
        <f t="shared" si="22"/>
        <v>35540.799933832066</v>
      </c>
      <c r="X54" s="15">
        <f t="shared" si="23"/>
        <v>717533005.05108643</v>
      </c>
      <c r="Y54" s="11">
        <f>VLOOKUP(A54,'Rate Application - REM Cycle I'!$1:$65535,7,FALSE)</f>
        <v>714563622.53195643</v>
      </c>
      <c r="Z54" s="78">
        <f t="shared" si="24"/>
        <v>4.1555187326893783E-3</v>
      </c>
      <c r="AA54" s="82">
        <f>IFERROR(VLOOKUP(A54,'GBR Revenue for ICC'!#REF!,17,FALSE),0)</f>
        <v>0</v>
      </c>
      <c r="AB54" s="82">
        <f t="shared" si="25"/>
        <v>0</v>
      </c>
      <c r="AC54" s="11">
        <f t="shared" si="26"/>
        <v>714563622.53195643</v>
      </c>
      <c r="AD54" s="11">
        <f t="shared" si="27"/>
        <v>717533005.05108643</v>
      </c>
      <c r="AF54" s="343" t="e">
        <f>VLOOKUP(A54,[1]icc_by_hosp_year!$A:$IV,9,FALSE)</f>
        <v>#N/A</v>
      </c>
      <c r="AG54" s="344" t="e">
        <f t="shared" si="28"/>
        <v>#N/A</v>
      </c>
      <c r="AH54" s="343">
        <f>VLOOKUP(A54,'[2]Rate Application - ICC Cycle II'!$A:$IV,26,FALSE)</f>
        <v>1.8865832466672616E-2</v>
      </c>
      <c r="AI54" s="344">
        <f t="shared" si="29"/>
        <v>1.4710313733983238E-2</v>
      </c>
    </row>
    <row r="55" spans="1:36" ht="17.7" x14ac:dyDescent="0.6">
      <c r="A55" s="26"/>
      <c r="B55" s="26"/>
      <c r="C55" s="31"/>
      <c r="D55" s="19"/>
      <c r="E55" s="19"/>
      <c r="F55" s="19"/>
      <c r="G55" s="19"/>
      <c r="H55" s="19"/>
      <c r="I55" s="31"/>
      <c r="J55" s="19"/>
      <c r="K55" s="19"/>
      <c r="L55" s="19"/>
      <c r="M55" s="21"/>
      <c r="N55" s="22"/>
      <c r="P55" s="22"/>
      <c r="Q55" s="22"/>
      <c r="S55" s="22"/>
      <c r="T55" s="19"/>
      <c r="U55" s="22"/>
      <c r="V55" s="16"/>
      <c r="W55" s="14"/>
      <c r="X55" s="15"/>
      <c r="Z55" s="78"/>
      <c r="AF55" s="343" t="e">
        <f>VLOOKUP(A55,[1]icc_by_hosp_year!$A:$IV,9,FALSE)</f>
        <v>#N/A</v>
      </c>
      <c r="AG55" s="344" t="e">
        <f t="shared" si="28"/>
        <v>#N/A</v>
      </c>
      <c r="AH55" s="343" t="e">
        <f>VLOOKUP(A55,'[2]Rate Application - ICC Cycle II'!$A:$IV,26,FALSE)</f>
        <v>#N/A</v>
      </c>
      <c r="AI55" s="344" t="e">
        <f t="shared" si="29"/>
        <v>#N/A</v>
      </c>
    </row>
    <row r="56" spans="1:36" ht="17.7" x14ac:dyDescent="0.6">
      <c r="A56" s="26"/>
      <c r="B56" s="26"/>
      <c r="C56" s="31"/>
      <c r="D56" s="19"/>
      <c r="E56" s="19"/>
      <c r="F56" s="85"/>
      <c r="G56" s="19"/>
      <c r="H56" s="419"/>
      <c r="I56" s="31"/>
      <c r="J56" s="19"/>
      <c r="K56" s="19"/>
      <c r="L56" s="19"/>
      <c r="M56" s="21"/>
      <c r="N56" s="22"/>
      <c r="P56" s="22"/>
      <c r="Q56" s="22"/>
      <c r="S56" s="22"/>
      <c r="T56" s="19"/>
      <c r="U56" s="22"/>
      <c r="V56" s="84"/>
      <c r="W56" s="14"/>
      <c r="X56" s="15"/>
      <c r="Z56" s="78"/>
    </row>
    <row r="57" spans="1:36" ht="17.7" x14ac:dyDescent="0.6">
      <c r="A57" s="26"/>
      <c r="B57" s="26"/>
      <c r="C57" s="31"/>
      <c r="D57" s="19"/>
      <c r="E57" s="19"/>
      <c r="F57" s="34"/>
      <c r="G57" s="19"/>
      <c r="H57" s="19"/>
      <c r="I57" s="31"/>
      <c r="J57" s="19"/>
      <c r="K57" s="19"/>
      <c r="L57" s="19"/>
      <c r="M57" s="21"/>
      <c r="N57" s="22"/>
      <c r="P57" s="22"/>
      <c r="Q57" s="22"/>
      <c r="S57" s="22"/>
      <c r="T57" s="19"/>
      <c r="U57" s="22"/>
      <c r="V57" s="16"/>
      <c r="W57" s="14"/>
      <c r="X57" s="15"/>
      <c r="Z57" s="78"/>
    </row>
    <row r="58" spans="1:36" ht="17.7" x14ac:dyDescent="0.6">
      <c r="A58" s="26"/>
      <c r="B58" s="26"/>
      <c r="C58" s="31"/>
      <c r="D58" s="19"/>
      <c r="E58" s="19"/>
      <c r="F58" s="19"/>
      <c r="G58" s="19"/>
      <c r="H58" s="19"/>
      <c r="I58" s="31"/>
      <c r="J58" s="19"/>
      <c r="K58" s="19"/>
      <c r="L58" s="19"/>
      <c r="M58" s="21"/>
      <c r="N58" s="22"/>
      <c r="P58" s="22"/>
      <c r="Q58" s="22"/>
      <c r="S58" s="22"/>
      <c r="T58" s="19"/>
      <c r="U58" s="22"/>
      <c r="V58" s="16"/>
      <c r="W58" s="14"/>
      <c r="X58" s="15"/>
      <c r="Z58" s="78"/>
    </row>
    <row r="59" spans="1:36" ht="17.7" x14ac:dyDescent="0.6">
      <c r="A59" s="26"/>
      <c r="B59" s="26"/>
      <c r="C59" s="31"/>
      <c r="D59" s="19"/>
      <c r="E59" s="19"/>
      <c r="F59" s="19"/>
      <c r="G59" s="19"/>
      <c r="H59" s="19"/>
      <c r="I59" s="31"/>
      <c r="J59" s="19"/>
      <c r="K59" s="19"/>
      <c r="L59" s="19"/>
      <c r="M59" s="21"/>
      <c r="N59" s="22"/>
      <c r="P59" s="22"/>
      <c r="Q59" s="22"/>
      <c r="S59" s="22"/>
      <c r="T59" s="19"/>
      <c r="U59" s="22"/>
      <c r="V59" s="16"/>
      <c r="W59" s="14"/>
      <c r="X59" s="15"/>
      <c r="Z59" s="78"/>
    </row>
    <row r="60" spans="1:36" ht="17.7" x14ac:dyDescent="0.6">
      <c r="A60" s="26"/>
      <c r="B60" s="26"/>
      <c r="C60" s="31"/>
      <c r="D60" s="19"/>
      <c r="E60" s="19"/>
      <c r="F60" s="19"/>
      <c r="G60" s="19"/>
      <c r="H60" s="19"/>
      <c r="I60" s="31"/>
      <c r="J60" s="19"/>
      <c r="K60" s="19"/>
      <c r="L60" s="19"/>
      <c r="M60" s="21"/>
      <c r="N60" s="22"/>
      <c r="P60" s="22"/>
      <c r="Q60" s="22"/>
      <c r="S60" s="22"/>
      <c r="T60" s="19"/>
      <c r="U60" s="22"/>
      <c r="V60" s="16"/>
      <c r="W60" s="14"/>
      <c r="X60" s="15"/>
      <c r="Z60" s="78"/>
    </row>
    <row r="61" spans="1:36" ht="21" customHeight="1" x14ac:dyDescent="0.6">
      <c r="A61" s="32" t="s">
        <v>78</v>
      </c>
      <c r="B61" s="26" t="s">
        <v>77</v>
      </c>
      <c r="C61" s="31"/>
      <c r="D61" s="65">
        <f>SUBTOTAL(1,D2:D59)</f>
        <v>9948.2122097477513</v>
      </c>
      <c r="E61" s="65">
        <f>SUBTOTAL(1,E2:E59)</f>
        <v>0</v>
      </c>
      <c r="F61" s="65">
        <f>SUBTOTAL(1,F2:F59)</f>
        <v>0</v>
      </c>
      <c r="G61" s="65">
        <f>SUBTOTAL(1,G2:G59)</f>
        <v>0</v>
      </c>
      <c r="H61" s="65">
        <f>SUBTOTAL(1,H2:H59)</f>
        <v>9914.1745152166386</v>
      </c>
      <c r="I61" s="65">
        <f>SUBTOTAL(9,I2:I59)</f>
        <v>1166982.8882188969</v>
      </c>
      <c r="J61" s="22"/>
      <c r="L61" s="22">
        <f>SUBTOTAL(9,L2:L59)</f>
        <v>17040433833.274246</v>
      </c>
      <c r="M61" s="36">
        <f>'Rate Application - REM Cycle I'!M61</f>
        <v>1.0003666335632411</v>
      </c>
      <c r="N61" s="22">
        <f>SUBTOTAL(9,N2:N59)</f>
        <v>17044818650.155733</v>
      </c>
      <c r="O61" s="19">
        <f>N61/I61</f>
        <v>14605.885675127869</v>
      </c>
      <c r="P61" s="22">
        <f>SUBTOTAL(9,P2:P59)</f>
        <v>393431841.98609471</v>
      </c>
      <c r="Q61" s="22">
        <f>SUBTOTAL(9,Q2:Q59)</f>
        <v>17438250492.141827</v>
      </c>
      <c r="R61" s="19">
        <f>Q61/I61</f>
        <v>14943.021588565784</v>
      </c>
      <c r="S61" s="81">
        <f>'Rate Application - REM Cycle I'!I61</f>
        <v>1.0900365956927256</v>
      </c>
      <c r="T61" s="22">
        <f>SUBTOTAL(9,T2:T59)</f>
        <v>19450444659.150974</v>
      </c>
      <c r="U61" s="22">
        <f>SUBTOTAL(9,U2:U59)</f>
        <v>789992.11354322906</v>
      </c>
      <c r="V61" s="65">
        <f>SUBTOTAL(9,V2:V59)</f>
        <v>0</v>
      </c>
      <c r="W61" s="79">
        <f>I61-V61</f>
        <v>1166982.8882188969</v>
      </c>
      <c r="X61" s="22">
        <f>SUBTOTAL(9,X2:X59)</f>
        <v>19450444659.150974</v>
      </c>
      <c r="Y61" s="22">
        <f>SUBTOTAL(9,Y2:Y59)</f>
        <v>21177755106.99963</v>
      </c>
      <c r="Z61" s="78">
        <f>X61/Y61-1</f>
        <v>-8.1562490411353772E-2</v>
      </c>
    </row>
    <row r="62" spans="1:36" ht="17.7" x14ac:dyDescent="0.6">
      <c r="A62" s="29">
        <v>99</v>
      </c>
      <c r="B62" s="25" t="s">
        <v>76</v>
      </c>
      <c r="C62" s="29"/>
      <c r="D62" s="19">
        <f>VLOOKUP(A62,'Rate Application - ICC Cycle I'!1:1048576,25,FALSE)</f>
        <v>10984.416733340633</v>
      </c>
      <c r="E62" s="19"/>
      <c r="F62" s="19"/>
      <c r="G62" s="87">
        <f>IF(C62=1,$F$71,IF(C62=3,$F$66,IF(C62=4,$F$67,IF(C62=5,$F$74,0))))</f>
        <v>0</v>
      </c>
      <c r="H62" s="19"/>
      <c r="I62" s="65">
        <f>SUM(I3:I54)-SUMPRODUCT((LEFT($A$3:$A$54,1)+0=9)*I3:I54)</f>
        <v>1011399.3491624917</v>
      </c>
      <c r="J62" s="22">
        <f>'Rate Application - ICC Cycle I'!U62</f>
        <v>543.38370905082365</v>
      </c>
      <c r="K62" s="11">
        <f>+H62+J62</f>
        <v>543.38370905082365</v>
      </c>
      <c r="L62" s="11">
        <f>K62*I62</f>
        <v>549577929.6795038</v>
      </c>
      <c r="M62" s="36">
        <f>'Rate Application - REM Cycle I'!M62</f>
        <v>1.0005406688454015</v>
      </c>
      <c r="N62" s="28">
        <f>L62*M62</f>
        <v>549875069.3442018</v>
      </c>
      <c r="O62" s="19">
        <f>N62/I62</f>
        <v>543.67749969340616</v>
      </c>
      <c r="P62" s="22">
        <f>SUM(P3:P54)-SUMPRODUCT((LEFT($A$3:$A$54,1)+0=9)*P3:P54)</f>
        <v>317393543.22387433</v>
      </c>
      <c r="Q62" s="22">
        <f>SUM(Q3:Q54)-SUMPRODUCT((LEFT($A$3:$A$54,1)+0=9)*Q3:Q54)</f>
        <v>14707236843.820927</v>
      </c>
      <c r="R62" s="19">
        <f>Q62/I62</f>
        <v>14541.473509943951</v>
      </c>
      <c r="S62" s="81">
        <f>'Rate Application - REM Cycle I'!I62</f>
        <v>1.090209793286856</v>
      </c>
      <c r="T62" s="22">
        <f>SUM(T3:T54)-SUMPRODUCT((LEFT($A$3:$A$54,1)+0=9)*T3:T54)</f>
        <v>16399486994.52033</v>
      </c>
      <c r="U62" s="22">
        <f>SUM(U3:U54)-SUMPRODUCT((LEFT($A$3:$A$54,1)+0=9)*U3:U54)</f>
        <v>691192.96706656355</v>
      </c>
      <c r="V62" s="65">
        <f>SUM(V3:V54)-SUMPRODUCT((LEFT($A$3:$A$54,1)+0=9)*V3:V54)</f>
        <v>0</v>
      </c>
      <c r="W62" s="79">
        <f>I62-V62</f>
        <v>1011399.3491624917</v>
      </c>
      <c r="X62" s="22">
        <f>SUM(X3:X54)-SUMPRODUCT((LEFT($A$3:$A$54,1)+0=9)*X3:X54)</f>
        <v>16399486994.52033</v>
      </c>
      <c r="Y62" s="22">
        <f>SUM(Y3:Y54)-SUMPRODUCT((LEFT($A$3:$A$54,1)+0=9)*Y3:Y54)</f>
        <v>18117692706.615276</v>
      </c>
      <c r="Z62" s="78">
        <f>X62/Y62-1</f>
        <v>-9.4835790622918581E-2</v>
      </c>
    </row>
    <row r="63" spans="1:36" ht="17.7" x14ac:dyDescent="0.6">
      <c r="I63" s="82"/>
      <c r="J63" s="22"/>
      <c r="K63" s="12"/>
      <c r="L63" s="12"/>
      <c r="M63" s="36"/>
      <c r="S63" s="81"/>
      <c r="T63" s="12"/>
      <c r="V63" s="83"/>
      <c r="X63" s="12"/>
      <c r="Y63" s="12"/>
    </row>
    <row r="64" spans="1:36" ht="17.7" x14ac:dyDescent="0.6">
      <c r="I64" s="82"/>
      <c r="J64" s="22"/>
      <c r="K64" s="12"/>
      <c r="L64" s="12"/>
      <c r="M64" s="36"/>
      <c r="S64" s="81"/>
      <c r="T64" s="12"/>
      <c r="V64" s="82"/>
      <c r="X64" s="12"/>
      <c r="Y64" s="12"/>
    </row>
    <row r="65" spans="1:26" ht="17.7" x14ac:dyDescent="0.6">
      <c r="A65" s="31">
        <v>1</v>
      </c>
      <c r="B65" s="25" t="s">
        <v>75</v>
      </c>
      <c r="C65" s="24"/>
      <c r="D65" s="18">
        <f>AVERAGEIF($C$1:$C$65535,1,D$1:D$65535)</f>
        <v>10459.948799491747</v>
      </c>
      <c r="E65" s="23">
        <f>AVERAGEIF($C$1:$C$65535,1,E$1:E$65535)</f>
        <v>0</v>
      </c>
      <c r="F65" s="23">
        <f>IF(SUMIF($C$1:$C$65535,1,F$1:F$65535)&lt;0,SUMIF(C$1:C$65535,1,F$1:F$65535),0)</f>
        <v>0</v>
      </c>
      <c r="G65" s="23">
        <f>AVERAGEIF($C$1:$C$65535,1,G$1:G$65535)</f>
        <v>0</v>
      </c>
      <c r="H65" s="23">
        <f>AVERAGEIF($C$1:$C$65535,1,H$1:H$65535)</f>
        <v>10424.160204059564</v>
      </c>
      <c r="I65" s="80">
        <f>SUMIF($C$1:$C$65535,1,I$1:I$65535)</f>
        <v>848536.38418973342</v>
      </c>
      <c r="J65" s="22">
        <f>'Rate Application - ICC Cycle I'!U65</f>
        <v>131.27420908993491</v>
      </c>
      <c r="K65" s="11">
        <f>+H65+J65</f>
        <v>10555.4344131495</v>
      </c>
      <c r="L65" s="11">
        <f>K65*I65</f>
        <v>8956670150.4857578</v>
      </c>
      <c r="M65" s="36">
        <f>'Rate Application - REM Cycle I'!M65</f>
        <v>1.0014818635818203</v>
      </c>
      <c r="N65" s="18">
        <f>SUMIF($C$1:$C$65535,1,N$1:N$65535)</f>
        <v>11475471590.423836</v>
      </c>
      <c r="O65" s="19">
        <f>N65/I65</f>
        <v>13523.841527881863</v>
      </c>
      <c r="P65" s="18">
        <f>SUMIF($C$1:$C$65535,1,P$1:P$65535)</f>
        <v>135726645.33431077</v>
      </c>
      <c r="Q65" s="18">
        <f>SUMIF($C$1:$C$65535,1,Q$1:Q$65535)</f>
        <v>11611198235.758144</v>
      </c>
      <c r="R65" s="19">
        <f>Q65/I65</f>
        <v>13683.795358811474</v>
      </c>
      <c r="S65" s="81">
        <f>'Rate Application - REM Cycle I'!I65</f>
        <v>1.0993762674816792</v>
      </c>
      <c r="T65" s="18">
        <f>SUMIF($C$1:$C$65535,1,T$1:T$65535)</f>
        <v>12964162207.812876</v>
      </c>
      <c r="U65" s="18">
        <f>SUMIF($C$1:$C$65535,1,U$1:U$65535)</f>
        <v>628601.51762700302</v>
      </c>
      <c r="V65" s="80">
        <f>SUMIF($C$1:$C$65535,1,V$1:V$65535)</f>
        <v>0</v>
      </c>
      <c r="W65" s="79">
        <f>I65-V65</f>
        <v>848536.38418973342</v>
      </c>
      <c r="X65" s="18">
        <f>SUMIF($C$1:$C$65535,1,X$1:X$65535)</f>
        <v>12964162207.812876</v>
      </c>
      <c r="Y65" s="18">
        <f>SUMIF($C$1:$C$65535,1,Y$1:Y$65535)</f>
        <v>14273992623.000803</v>
      </c>
      <c r="Z65" s="78">
        <f>X65/Y65-1</f>
        <v>-9.17634224552768E-2</v>
      </c>
    </row>
    <row r="66" spans="1:26" ht="17.7" hidden="1" x14ac:dyDescent="0.6">
      <c r="A66" s="31">
        <v>3</v>
      </c>
      <c r="B66" s="25" t="s">
        <v>74</v>
      </c>
      <c r="C66" s="24"/>
      <c r="D66" s="18" t="e">
        <f>AVERAGEIF($C$1:$C$65535,3,D$1:D$65535)</f>
        <v>#DIV/0!</v>
      </c>
      <c r="E66" s="23" t="e">
        <f>AVERAGEIF($C$1:$C$65535,3,E$1:E$65535)</f>
        <v>#DIV/0!</v>
      </c>
      <c r="F66" s="23">
        <f>IF(SUMIF($C$1:$C$65535,3,F$1:F$65535)&lt;0,SUMIF(C$1:C$65535,3,F$1:F$65535),0)</f>
        <v>0</v>
      </c>
      <c r="G66" s="23" t="e">
        <f>AVERAGEIF($C$1:$C$65535,3,G$1:G$65535)</f>
        <v>#DIV/0!</v>
      </c>
      <c r="H66" s="23" t="e">
        <f>AVERAGEIF($C$1:$C$65535,3,H$1:H$65535)</f>
        <v>#DIV/0!</v>
      </c>
      <c r="I66" s="80">
        <f>SUMIF($C$1:$C$65535,3,I$1:I$65535)</f>
        <v>0</v>
      </c>
      <c r="J66" s="22" t="e">
        <f>'Rate Application - ICC Cycle I'!U66</f>
        <v>#DIV/0!</v>
      </c>
      <c r="K66" s="11" t="e">
        <f>+H66+J66</f>
        <v>#DIV/0!</v>
      </c>
      <c r="L66" s="11" t="e">
        <f>K66*I66</f>
        <v>#DIV/0!</v>
      </c>
      <c r="M66" s="36" t="e">
        <f>'Rate Application - REM Cycle I'!M66</f>
        <v>#DIV/0!</v>
      </c>
      <c r="N66" s="18">
        <f>SUMIF($C$1:$C$65535,3,N$1:N$65535)</f>
        <v>0</v>
      </c>
      <c r="O66" s="19" t="e">
        <f>N66/I66</f>
        <v>#DIV/0!</v>
      </c>
      <c r="P66" s="18">
        <f>SUMIF($C$1:$C$65535,3,P$1:P$65535)</f>
        <v>0</v>
      </c>
      <c r="Q66" s="18">
        <f>SUMIF($C$1:$C$65535,3,Q$1:Q$65535)</f>
        <v>0</v>
      </c>
      <c r="R66" s="19" t="e">
        <f>Q66/I66</f>
        <v>#DIV/0!</v>
      </c>
      <c r="S66" s="81" t="e">
        <f>'Rate Application - REM Cycle I'!I66</f>
        <v>#DIV/0!</v>
      </c>
      <c r="T66" s="18">
        <f>SUMIF($C$1:$C$65535,3,T$1:T$65535)</f>
        <v>0</v>
      </c>
      <c r="U66" s="18">
        <f>SUMIF($C$1:$C$65535,3,U$1:U$65535)</f>
        <v>0</v>
      </c>
      <c r="V66" s="80">
        <f>SUMIF($C$1:$C$65535,3,V$1:V$65535)</f>
        <v>0</v>
      </c>
      <c r="W66" s="79">
        <f>I66-V66</f>
        <v>0</v>
      </c>
      <c r="X66" s="18">
        <f>SUMIF($C$1:$C$65535,3,X$1:X$65535)</f>
        <v>0</v>
      </c>
      <c r="Y66" s="18">
        <f>SUMIF($C$1:$C$65535,3,Y$1:Y$65535)</f>
        <v>0</v>
      </c>
      <c r="Z66" s="78" t="e">
        <f>X66/Y66-1</f>
        <v>#DIV/0!</v>
      </c>
    </row>
    <row r="67" spans="1:26" ht="17.7" hidden="1" x14ac:dyDescent="0.6">
      <c r="A67" s="31">
        <v>4</v>
      </c>
      <c r="B67" s="25" t="s">
        <v>73</v>
      </c>
      <c r="C67" s="24"/>
      <c r="D67" s="18" t="e">
        <f>AVERAGEIF($C$1:$C$65535,4,D$1:D$65535)</f>
        <v>#DIV/0!</v>
      </c>
      <c r="E67" s="23" t="e">
        <f>AVERAGEIF($C$1:$C$65535,4,E$1:E$65535)</f>
        <v>#DIV/0!</v>
      </c>
      <c r="F67" s="23">
        <f>IF(SUMIF($C$1:$C$65535,4,F$1:F$65535)&lt;0,SUMIF(C$1:C$65535,4,F$1:F$65535),0)</f>
        <v>0</v>
      </c>
      <c r="G67" s="23" t="e">
        <f>AVERAGEIF($C$1:$C$65535,4,G$1:G$65535)</f>
        <v>#DIV/0!</v>
      </c>
      <c r="H67" s="23" t="e">
        <f>AVERAGEIF($C$1:$C$65535,4,H$1:H$65535)</f>
        <v>#DIV/0!</v>
      </c>
      <c r="I67" s="80">
        <f>SUMIF($C$1:$C$65535,4,I$1:I$65535)</f>
        <v>0</v>
      </c>
      <c r="J67" s="22" t="e">
        <f>'Rate Application - ICC Cycle I'!U67</f>
        <v>#DIV/0!</v>
      </c>
      <c r="K67" s="11" t="e">
        <f>+H67+J67</f>
        <v>#DIV/0!</v>
      </c>
      <c r="L67" s="11" t="e">
        <f>K67*I67</f>
        <v>#DIV/0!</v>
      </c>
      <c r="M67" s="36" t="e">
        <f>'Rate Application - REM Cycle I'!M67</f>
        <v>#DIV/0!</v>
      </c>
      <c r="N67" s="18">
        <f>SUMIF($C$1:$C$65535,4,N$1:N$65535)</f>
        <v>0</v>
      </c>
      <c r="O67" s="19" t="e">
        <f>N67/I67</f>
        <v>#DIV/0!</v>
      </c>
      <c r="P67" s="18">
        <f>SUMIF($C$1:$C$65535,4,P$1:P$65535)</f>
        <v>0</v>
      </c>
      <c r="Q67" s="18">
        <f>SUMIF($C$1:$C$65535,4,Q$1:Q$65535)</f>
        <v>0</v>
      </c>
      <c r="R67" s="19" t="e">
        <f>Q67/I67</f>
        <v>#DIV/0!</v>
      </c>
      <c r="S67" s="81" t="e">
        <f>'Rate Application - REM Cycle I'!I67</f>
        <v>#DIV/0!</v>
      </c>
      <c r="T67" s="18">
        <f>SUMIF($C$1:$C$65535,4,T$1:T$65535)</f>
        <v>0</v>
      </c>
      <c r="U67" s="18">
        <f>SUMIF($C$1:$C$65535,4,U$1:U$65535)</f>
        <v>0</v>
      </c>
      <c r="V67" s="80">
        <f>SUMIF($C$1:$C$65535,4,V$1:V$65535)</f>
        <v>0</v>
      </c>
      <c r="W67" s="79">
        <f>I67-V67</f>
        <v>0</v>
      </c>
      <c r="X67" s="18">
        <f>SUMIF($C$1:$C$65535,4,X$1:X$65535)</f>
        <v>0</v>
      </c>
      <c r="Y67" s="18">
        <f>SUMIF($C$1:$C$65535,4,Y$1:Y$65535)</f>
        <v>0</v>
      </c>
      <c r="Z67" s="78" t="e">
        <f>X67/Y67-1</f>
        <v>#DIV/0!</v>
      </c>
    </row>
    <row r="68" spans="1:26" ht="17.7" x14ac:dyDescent="0.6">
      <c r="A68" s="29">
        <v>5</v>
      </c>
      <c r="B68" s="25" t="s">
        <v>72</v>
      </c>
      <c r="C68" s="24"/>
      <c r="D68" s="18">
        <f>AVERAGEIF($C$1:$C$65535,5,D$1:D$65535)</f>
        <v>12635.59058967449</v>
      </c>
      <c r="E68" s="23">
        <f>AVERAGEIF($C$1:$C$65535,5,E$1:E$65535)</f>
        <v>0</v>
      </c>
      <c r="F68" s="23">
        <f>IF(SUMIF($C$1:$C$65535,5,F$1:F$65535)&lt;0,SUMIF(C$1:C$65535,5,F$1:F$65535),0)</f>
        <v>0</v>
      </c>
      <c r="G68" s="23">
        <f>AVERAGEIF($C$1:$C$65535,5,G$1:G$65535)</f>
        <v>0</v>
      </c>
      <c r="H68" s="23">
        <f>AVERAGEIF($C$1:$C$65535,5,H$1:H$65535)</f>
        <v>12592.358060689014</v>
      </c>
      <c r="I68" s="80">
        <f>SUMIF($C$1:$C$65535,5,I$1:I$65535)</f>
        <v>313101.47436853946</v>
      </c>
      <c r="J68" s="22">
        <f>'Rate Application - ICC Cycle I'!U68</f>
        <v>1922.6648445368019</v>
      </c>
      <c r="K68" s="11">
        <f>+H68+J68</f>
        <v>14515.022905225815</v>
      </c>
      <c r="L68" s="11">
        <f>K68*I68</f>
        <v>4544675072.1193237</v>
      </c>
      <c r="M68" s="36">
        <f>'Rate Application - REM Cycle I'!M68</f>
        <v>0.99790031034215976</v>
      </c>
      <c r="N68" s="18">
        <f>SUMIF($C$1:$C$65535,5,N$1:N$65535)</f>
        <v>5546668362.8036861</v>
      </c>
      <c r="O68" s="19">
        <f>N68/I68</f>
        <v>17715.241916347288</v>
      </c>
      <c r="P68" s="18">
        <f>SUMIF($C$1:$C$65535,5,P$1:P$65535)</f>
        <v>257501081.74744377</v>
      </c>
      <c r="Q68" s="18">
        <f>SUMIF($C$1:$C$65535,5,Q$1:Q$65535)</f>
        <v>5804169444.5511293</v>
      </c>
      <c r="R68" s="19">
        <f>Q68/I68</f>
        <v>18537.662450350741</v>
      </c>
      <c r="S68" s="81">
        <f>'Rate Application - REM Cycle I'!I68</f>
        <v>1.0695902147917553</v>
      </c>
      <c r="T68" s="18">
        <f>SUMIF($C$1:$C$65535,5,T$1:T$65535)</f>
        <v>6459602062.3707314</v>
      </c>
      <c r="U68" s="18">
        <f>SUMIF($C$1:$C$65535,5,U$1:U$65535)</f>
        <v>142463.56830156504</v>
      </c>
      <c r="V68" s="80">
        <f>SUMIF($C$1:$C$65535,5,V$1:V$65535)</f>
        <v>0</v>
      </c>
      <c r="W68" s="79">
        <f>I68-V68</f>
        <v>313101.47436853946</v>
      </c>
      <c r="X68" s="18">
        <f>SUMIF($C$1:$C$65535,5,X$1:X$65535)</f>
        <v>6459602062.3707314</v>
      </c>
      <c r="Y68" s="18">
        <f>SUMIF($C$1:$C$65535,5,Y$1:Y$65535)</f>
        <v>6818078919.679533</v>
      </c>
      <c r="Z68" s="78">
        <f>X68/Y68-1</f>
        <v>-5.2577399225183896E-2</v>
      </c>
    </row>
    <row r="69" spans="1:26" x14ac:dyDescent="0.5">
      <c r="I69" s="77"/>
    </row>
    <row r="70" spans="1:26" x14ac:dyDescent="0.5">
      <c r="D70" s="384">
        <f>'Rate Application - ICC Cycle I'!Y31/'Rate Application - ICC Cycle II'!D31-1</f>
        <v>-0.16031039235374867</v>
      </c>
      <c r="E70" s="76"/>
      <c r="F70" s="76"/>
      <c r="G70" s="74"/>
    </row>
    <row r="71" spans="1:26" x14ac:dyDescent="0.5">
      <c r="E71" s="76"/>
      <c r="F71" s="75">
        <f>-2%*D65</f>
        <v>-209.19897598983493</v>
      </c>
      <c r="G71" s="73">
        <f>E65/D65</f>
        <v>0</v>
      </c>
      <c r="H71" s="75"/>
    </row>
    <row r="72" spans="1:26" x14ac:dyDescent="0.5">
      <c r="E72" s="76"/>
      <c r="F72" s="75" t="e">
        <f>-2%*D66</f>
        <v>#DIV/0!</v>
      </c>
      <c r="G72" s="73" t="e">
        <f>E66/D66</f>
        <v>#DIV/0!</v>
      </c>
      <c r="H72" s="75"/>
      <c r="Z72" s="336"/>
    </row>
    <row r="73" spans="1:26" x14ac:dyDescent="0.5">
      <c r="E73" s="76"/>
      <c r="F73" s="75" t="e">
        <f>-2%*D67</f>
        <v>#DIV/0!</v>
      </c>
      <c r="G73" s="73" t="e">
        <f>E67/D67</f>
        <v>#DIV/0!</v>
      </c>
      <c r="H73" s="75"/>
    </row>
    <row r="74" spans="1:26" x14ac:dyDescent="0.5">
      <c r="F74" s="75">
        <f>-2%*D68</f>
        <v>-252.7118117934898</v>
      </c>
      <c r="G74" s="73">
        <f>E68/D68</f>
        <v>0</v>
      </c>
      <c r="H74" s="75"/>
    </row>
    <row r="75" spans="1:26" x14ac:dyDescent="0.5">
      <c r="G75" s="74"/>
    </row>
    <row r="76" spans="1:26" x14ac:dyDescent="0.5">
      <c r="G76" s="73">
        <f>G61/D61</f>
        <v>0</v>
      </c>
      <c r="H76" s="73"/>
    </row>
  </sheetData>
  <sheetCalcPr fullCalcOnLoad="1"/>
  <autoFilter ref="A2:AI55"/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A127"/>
  <sheetViews>
    <sheetView zoomScale="90" zoomScaleNormal="90" workbookViewId="0">
      <pane xSplit="2" ySplit="2" topLeftCell="AH21" activePane="bottomRight" state="frozen"/>
      <selection pane="topRight" activeCell="C1" sqref="C1"/>
      <selection pane="bottomLeft" activeCell="A3" sqref="A3"/>
      <selection pane="bottomRight" activeCell="AH22" sqref="AH22"/>
    </sheetView>
  </sheetViews>
  <sheetFormatPr defaultColWidth="12.41796875" defaultRowHeight="15" x14ac:dyDescent="0.5"/>
  <cols>
    <col min="1" max="1" width="15.15625" style="10" customWidth="1"/>
    <col min="2" max="2" width="71.68359375" style="10" bestFit="1" customWidth="1"/>
    <col min="3" max="3" width="25" style="72" customWidth="1"/>
    <col min="4" max="8" width="12.41796875" style="10"/>
    <col min="9" max="9" width="15.578125" style="10" bestFit="1" customWidth="1"/>
    <col min="10" max="10" width="15.578125" style="10" customWidth="1"/>
    <col min="11" max="14" width="12.41796875" style="10"/>
    <col min="15" max="15" width="26.26171875" style="10" bestFit="1" customWidth="1"/>
    <col min="16" max="18" width="26.26171875" style="10" customWidth="1"/>
    <col min="19" max="19" width="26.26171875" style="82" customWidth="1"/>
    <col min="20" max="41" width="26.26171875" style="10" customWidth="1"/>
    <col min="42" max="42" width="15.83984375" style="10" customWidth="1"/>
    <col min="43" max="44" width="12.41796875" style="10"/>
    <col min="45" max="45" width="18" style="10" bestFit="1" customWidth="1"/>
    <col min="46" max="16384" width="12.41796875" style="10"/>
  </cols>
  <sheetData>
    <row r="1" spans="1:53" ht="139.5" x14ac:dyDescent="1.5">
      <c r="A1" s="56" t="s">
        <v>501</v>
      </c>
      <c r="B1" s="55"/>
      <c r="C1" s="91"/>
    </row>
    <row r="2" spans="1:53" s="316" customFormat="1" ht="105.3" x14ac:dyDescent="0.55000000000000004">
      <c r="A2" s="48" t="s">
        <v>106</v>
      </c>
      <c r="B2" s="47" t="s">
        <v>105</v>
      </c>
      <c r="C2" s="90" t="s">
        <v>593</v>
      </c>
      <c r="D2" s="316" t="s">
        <v>580</v>
      </c>
      <c r="E2" s="359" t="s">
        <v>581</v>
      </c>
      <c r="F2" s="316" t="s">
        <v>582</v>
      </c>
      <c r="G2" s="316" t="s">
        <v>537</v>
      </c>
      <c r="H2" s="316" t="s">
        <v>585</v>
      </c>
      <c r="I2" s="316" t="s">
        <v>586</v>
      </c>
      <c r="J2" s="316" t="s">
        <v>587</v>
      </c>
      <c r="K2" s="316" t="s">
        <v>588</v>
      </c>
      <c r="L2" s="316" t="s">
        <v>589</v>
      </c>
      <c r="M2" s="316" t="s">
        <v>271</v>
      </c>
      <c r="N2" s="379" t="s">
        <v>590</v>
      </c>
      <c r="O2" s="316" t="s">
        <v>540</v>
      </c>
      <c r="P2" s="316" t="s">
        <v>548</v>
      </c>
      <c r="Q2" s="316" t="s">
        <v>549</v>
      </c>
      <c r="R2" s="316" t="s">
        <v>550</v>
      </c>
      <c r="S2" s="360" t="s">
        <v>546</v>
      </c>
      <c r="T2" s="316" t="s">
        <v>551</v>
      </c>
      <c r="U2" s="316" t="s">
        <v>552</v>
      </c>
      <c r="V2" s="316" t="s">
        <v>553</v>
      </c>
      <c r="W2" s="316" t="s">
        <v>554</v>
      </c>
      <c r="X2" s="316" t="s">
        <v>555</v>
      </c>
      <c r="Y2" s="316" t="s">
        <v>556</v>
      </c>
      <c r="Z2" s="316" t="s">
        <v>557</v>
      </c>
      <c r="AA2" s="316" t="s">
        <v>558</v>
      </c>
      <c r="AB2" s="316" t="s">
        <v>559</v>
      </c>
      <c r="AC2" s="316" t="s">
        <v>560</v>
      </c>
      <c r="AD2" s="316" t="s">
        <v>561</v>
      </c>
      <c r="AE2" s="316" t="s">
        <v>562</v>
      </c>
      <c r="AF2" s="316" t="s">
        <v>563</v>
      </c>
      <c r="AG2" s="316" t="s">
        <v>564</v>
      </c>
      <c r="AH2" s="316" t="s">
        <v>565</v>
      </c>
      <c r="AI2" s="316" t="s">
        <v>566</v>
      </c>
      <c r="AJ2" s="316" t="s">
        <v>591</v>
      </c>
      <c r="AK2" s="316" t="s">
        <v>567</v>
      </c>
      <c r="AL2" s="316" t="s">
        <v>568</v>
      </c>
      <c r="AM2" s="379" t="s">
        <v>547</v>
      </c>
      <c r="AN2" s="379" t="s">
        <v>569</v>
      </c>
      <c r="AO2" s="316" t="s">
        <v>592</v>
      </c>
      <c r="AP2" s="316" t="s">
        <v>571</v>
      </c>
      <c r="AQ2" s="316" t="s">
        <v>572</v>
      </c>
    </row>
    <row r="3" spans="1:53" ht="17.7" x14ac:dyDescent="0.6">
      <c r="A3" s="37">
        <v>210001</v>
      </c>
      <c r="B3" s="26" t="str">
        <f>VLOOKUP(A3,'Variable Input'!$1:$1048576,2,FALSE)</f>
        <v>MERITUS MEDICAL CENTER</v>
      </c>
      <c r="C3" s="78">
        <f>VLOOKUP(A3,'Rate Application - ICC Cycle II'!$1:$1048576,26,FALSE)</f>
        <v>9.5707556204945421E-2</v>
      </c>
      <c r="D3" s="72">
        <f>VLOOKUP($A3,'DSH (Cumulative)'!A:M,7,FALSE)</f>
        <v>1131620208.27</v>
      </c>
      <c r="E3" s="75">
        <f>VLOOKUP(A3,'Rate Application - ICC Cycle II'!$1:$1048576,9,FALSE)</f>
        <v>29234.020255178955</v>
      </c>
      <c r="F3" s="75">
        <v>122832</v>
      </c>
      <c r="G3" s="72">
        <v>6.0960830831017318E-2</v>
      </c>
      <c r="H3" s="72">
        <v>-5.1672502690689459E-3</v>
      </c>
      <c r="I3" s="82">
        <v>132871</v>
      </c>
      <c r="J3" s="82">
        <v>18575</v>
      </c>
      <c r="K3" s="72" t="str">
        <f>VLOOKUP(A3,'PAU Volume'!$1:$1048576,44,FALSE)</f>
        <v>Meritus</v>
      </c>
      <c r="L3" s="82">
        <f>IFERROR(VLOOKUP(A3,#REF!,4,FALSE),0)</f>
        <v>0</v>
      </c>
      <c r="M3" s="10">
        <f>VLOOKUP($A3,'Variable Input'!$1:$1048576,20,FALSE)</f>
        <v>18</v>
      </c>
      <c r="N3" s="380"/>
      <c r="O3" s="378">
        <v>0.12830687500570628</v>
      </c>
      <c r="P3" s="378">
        <v>6.5294811610176057E-3</v>
      </c>
      <c r="Q3" s="378">
        <v>4.5005554500169905E-3</v>
      </c>
      <c r="R3" s="378">
        <f t="shared" ref="R3:R43" si="0">P3+Q3</f>
        <v>1.1030036611034596E-2</v>
      </c>
      <c r="S3" s="86">
        <v>1</v>
      </c>
      <c r="T3" s="378">
        <v>0.1246027288279118</v>
      </c>
      <c r="U3" s="378">
        <v>4.4008656711207292E-4</v>
      </c>
      <c r="V3" s="378">
        <v>1.6224014912086162E-2</v>
      </c>
      <c r="W3" s="378">
        <f t="shared" ref="W3:W43" si="1">U3+V3</f>
        <v>1.6664101479198234E-2</v>
      </c>
      <c r="X3" s="378">
        <v>2.0736391398033162E-2</v>
      </c>
      <c r="Y3" s="378">
        <f t="shared" ref="Y3:Y43" si="2">U3+V3+X3</f>
        <v>3.7400492877231392E-2</v>
      </c>
      <c r="Z3" s="378">
        <v>4.1789617721174989E-2</v>
      </c>
      <c r="AA3" s="378">
        <v>1.9191764511019876E-2</v>
      </c>
      <c r="AB3" s="378">
        <f t="shared" ref="AB3:AB43" si="3">Z3+AA3</f>
        <v>6.0981382232194861E-2</v>
      </c>
      <c r="AC3" s="378">
        <f t="shared" ref="AC3:AC43" si="4">P3+Q3+U3+V3+AA3</f>
        <v>4.6885902601252707E-2</v>
      </c>
      <c r="AD3" s="378">
        <v>0.24087849864102023</v>
      </c>
      <c r="AE3" s="378">
        <v>6.6389682331357738E-2</v>
      </c>
      <c r="AF3" s="380">
        <v>1.025890107114624</v>
      </c>
      <c r="AG3" s="380">
        <v>0.11880760249165867</v>
      </c>
      <c r="AH3" s="72">
        <v>0.85258507089940505</v>
      </c>
      <c r="AI3" s="72">
        <v>0.30248055484312558</v>
      </c>
      <c r="AJ3" s="72">
        <v>0.48913533658736313</v>
      </c>
      <c r="AK3" s="72">
        <v>0.30248055484312558</v>
      </c>
      <c r="AL3" s="72">
        <v>1.9494363782121948E-2</v>
      </c>
      <c r="AM3" s="380">
        <v>0.70722135007849296</v>
      </c>
      <c r="AN3" s="380">
        <f>VLOOKUP(A3,LMA!$1:$1048576,13,FALSE)</f>
        <v>1.031814126368475</v>
      </c>
      <c r="AO3" s="82">
        <f>VLOOKUP(A3,'Integrated Effic - ICC Cycle I'!$1:$1048576,8,FALSE)</f>
        <v>13998.409011097678</v>
      </c>
      <c r="AP3" s="72">
        <f>VLOOKUP(A3,'Integrated Effic - ICC Cycle I'!$1:$1048576,26,FALSE)</f>
        <v>-0.23185250700329063</v>
      </c>
      <c r="AQ3" s="72">
        <f>VLOOKUP(A3,PROFIT!$1:$1048576,7,FALSE)</f>
        <v>9.4778087159003377E-2</v>
      </c>
      <c r="AR3" s="72"/>
    </row>
    <row r="4" spans="1:53" ht="17.7" x14ac:dyDescent="0.6">
      <c r="A4" s="37">
        <v>210002</v>
      </c>
      <c r="B4" s="26" t="str">
        <f>VLOOKUP(A4,'Variable Input'!$1:$1048576,2,FALSE)</f>
        <v>UNIVERSITY OF MARYLAND MEDICAL CENTER</v>
      </c>
      <c r="C4" s="78">
        <f>VLOOKUP(A4,'Rate Application - ICC Cycle II'!$1:$1048576,26,FALSE)</f>
        <v>-0.10016201626631427</v>
      </c>
      <c r="D4" s="72">
        <f>VLOOKUP($A4,'DSH (Cumulative)'!A:M,7,FALSE)</f>
        <v>4735286175.0100002</v>
      </c>
      <c r="E4" s="75">
        <f>VLOOKUP(A4,'Rate Application - ICC Cycle II'!$1:$1048576,9,FALSE)</f>
        <v>53406.112545307114</v>
      </c>
      <c r="F4" s="75">
        <v>351402</v>
      </c>
      <c r="G4" s="72">
        <v>6.0980726713868526E-2</v>
      </c>
      <c r="H4" s="72">
        <v>5.4060351399018547E-2</v>
      </c>
      <c r="I4" s="82">
        <v>388190</v>
      </c>
      <c r="J4" s="82">
        <v>23713</v>
      </c>
      <c r="K4" s="72" t="str">
        <f>VLOOKUP(A4,'PAU Volume'!$1:$1048576,44,FALSE)</f>
        <v>UMMC</v>
      </c>
      <c r="L4" s="82">
        <f>IFERROR(VLOOKUP(A4,#REF!,4,FALSE),0)</f>
        <v>0</v>
      </c>
      <c r="M4" s="10">
        <f>VLOOKUP(A4,'Variable Input'!$1:$1048576,20,FALSE)</f>
        <v>525.1</v>
      </c>
      <c r="N4" s="380"/>
      <c r="O4" s="378">
        <v>0.10046185687394746</v>
      </c>
      <c r="P4" s="378">
        <v>2.9332474912602843E-4</v>
      </c>
      <c r="Q4" s="378">
        <v>3.1062131016530638E-2</v>
      </c>
      <c r="R4" s="378">
        <f t="shared" si="0"/>
        <v>3.1355455765656667E-2</v>
      </c>
      <c r="S4" s="86">
        <v>1</v>
      </c>
      <c r="T4" s="378">
        <v>4.5076686761530371E-2</v>
      </c>
      <c r="U4" s="378">
        <v>5.0455447500923178E-2</v>
      </c>
      <c r="V4" s="378">
        <v>2.8382275641549212E-2</v>
      </c>
      <c r="W4" s="378">
        <f t="shared" si="1"/>
        <v>7.8837723142472393E-2</v>
      </c>
      <c r="X4" s="378">
        <v>9.2468546415822011E-3</v>
      </c>
      <c r="Y4" s="378">
        <f t="shared" si="2"/>
        <v>8.8084577784054596E-2</v>
      </c>
      <c r="Z4" s="378">
        <v>1.6870150636094899E-2</v>
      </c>
      <c r="AA4" s="378">
        <v>3.5767919854496864E-2</v>
      </c>
      <c r="AB4" s="378">
        <f t="shared" si="3"/>
        <v>5.2638070490591764E-2</v>
      </c>
      <c r="AC4" s="378">
        <f t="shared" si="4"/>
        <v>0.14596109876262592</v>
      </c>
      <c r="AD4" s="378">
        <v>0.29523640667596296</v>
      </c>
      <c r="AE4" s="378">
        <v>9.296606686688394E-2</v>
      </c>
      <c r="AF4" s="380">
        <v>1.7311511087000846</v>
      </c>
      <c r="AG4" s="380">
        <v>8.8254391435647339E-2</v>
      </c>
      <c r="AH4" s="72">
        <v>0.9390900406813415</v>
      </c>
      <c r="AI4" s="72">
        <v>0.35568398882431962</v>
      </c>
      <c r="AJ4" s="72">
        <v>0.37557883844322149</v>
      </c>
      <c r="AK4" s="72">
        <v>0.35568398882431962</v>
      </c>
      <c r="AL4" s="72">
        <v>4.4533295003502038E-3</v>
      </c>
      <c r="AM4" s="380">
        <v>1.1240188383045526</v>
      </c>
      <c r="AN4" s="380">
        <f>VLOOKUP(A4,LMA!$1:$1048576,13,FALSE)</f>
        <v>0.98544723851765337</v>
      </c>
      <c r="AO4" s="82">
        <f>VLOOKUP(A4,'Integrated Effic - ICC Cycle I'!$1:$1048576,8,FALSE)</f>
        <v>24926.908228034936</v>
      </c>
      <c r="AP4" s="72">
        <f>VLOOKUP(A4,'Integrated Effic - ICC Cycle I'!$1:$1048576,26,FALSE)</f>
        <v>0.14096084570734524</v>
      </c>
      <c r="AQ4" s="72">
        <f>VLOOKUP(A4,PROFIT!$1:$1048576,7,FALSE)</f>
        <v>1.8827622647925802E-2</v>
      </c>
      <c r="AR4" s="72"/>
    </row>
    <row r="5" spans="1:53" ht="17.7" x14ac:dyDescent="0.6">
      <c r="A5" s="37">
        <v>210003</v>
      </c>
      <c r="B5" s="26" t="str">
        <f>VLOOKUP(A5,'Variable Input'!$1:$1048576,2,FALSE)</f>
        <v>PRINCE GEORGES HOSPITAL CENTER</v>
      </c>
      <c r="C5" s="78">
        <f>VLOOKUP(A5,'Rate Application - ICC Cycle II'!$1:$1048576,26,FALSE)</f>
        <v>-0.22165164829391748</v>
      </c>
      <c r="D5" s="72">
        <f>VLOOKUP($A5,'DSH (Cumulative)'!A:M,7,FALSE)</f>
        <v>1003715722.9399999</v>
      </c>
      <c r="E5" s="75">
        <f>VLOOKUP(A5,'Rate Application - ICC Cycle II'!$1:$1048576,9,FALSE)</f>
        <v>16622.361523679996</v>
      </c>
      <c r="F5" s="75">
        <v>46276</v>
      </c>
      <c r="G5" s="72">
        <v>5.8498708729336615E-2</v>
      </c>
      <c r="H5" s="72">
        <v>0.12193493274636147</v>
      </c>
      <c r="I5" s="82">
        <v>46456</v>
      </c>
      <c r="J5" s="82">
        <v>12604</v>
      </c>
      <c r="K5" s="72" t="str">
        <f>VLOOKUP(A5,'PAU Volume'!$1:$1048576,44,FALSE)</f>
        <v>UM-PGHC</v>
      </c>
      <c r="L5" s="82">
        <f>IFERROR(VLOOKUP(A5,#REF!,4,FALSE),0)</f>
        <v>0</v>
      </c>
      <c r="M5" s="10">
        <f>VLOOKUP(A5,'Variable Input'!$1:$1048576,20,FALSE)</f>
        <v>48</v>
      </c>
      <c r="N5" s="380"/>
      <c r="O5" s="378">
        <v>0.14945557548615429</v>
      </c>
      <c r="P5" s="378">
        <v>4.8507552039059022E-2</v>
      </c>
      <c r="Q5" s="378">
        <v>8.6695935869488469E-3</v>
      </c>
      <c r="R5" s="378">
        <f t="shared" si="0"/>
        <v>5.7177145626007869E-2</v>
      </c>
      <c r="S5" s="86">
        <v>1</v>
      </c>
      <c r="T5" s="378">
        <v>0.14253700164362024</v>
      </c>
      <c r="U5" s="378">
        <v>2.0855305287901114E-2</v>
      </c>
      <c r="V5" s="378">
        <v>2.8562377327718356E-2</v>
      </c>
      <c r="W5" s="378">
        <f t="shared" si="1"/>
        <v>4.941768261561947E-2</v>
      </c>
      <c r="X5" s="378">
        <v>3.0755636516567337E-2</v>
      </c>
      <c r="Y5" s="378">
        <f t="shared" si="2"/>
        <v>8.017331913218681E-2</v>
      </c>
      <c r="Z5" s="378">
        <v>5.0047824368705245E-2</v>
      </c>
      <c r="AA5" s="378">
        <v>1.7875648604667168E-2</v>
      </c>
      <c r="AB5" s="378">
        <f t="shared" si="3"/>
        <v>6.7923472973372409E-2</v>
      </c>
      <c r="AC5" s="378">
        <f t="shared" si="4"/>
        <v>0.1244704768462945</v>
      </c>
      <c r="AD5" s="378">
        <v>0.18464531312615515</v>
      </c>
      <c r="AE5" s="378">
        <v>1.3498908432634058E-3</v>
      </c>
      <c r="AF5" s="380">
        <v>1.1022823995727546</v>
      </c>
      <c r="AG5" s="380">
        <v>6.187424127565215E-2</v>
      </c>
      <c r="AH5" s="72">
        <v>0.86374885888782771</v>
      </c>
      <c r="AI5" s="72">
        <v>0.30432517757599398</v>
      </c>
      <c r="AJ5" s="72">
        <v>0.33679921446694366</v>
      </c>
      <c r="AK5" s="72">
        <v>0.30432517757599398</v>
      </c>
      <c r="AL5" s="72">
        <v>5.9624964712879536E-2</v>
      </c>
      <c r="AM5" s="380">
        <v>0.94348508634222916</v>
      </c>
      <c r="AN5" s="380">
        <f>VLOOKUP(A5,LMA!$1:$1048576,13,FALSE)</f>
        <v>1.0244274311095891</v>
      </c>
      <c r="AO5" s="82">
        <f>VLOOKUP(A5,'Integrated Effic - ICC Cycle I'!$1:$1048576,8,FALSE)</f>
        <v>22836.59331758241</v>
      </c>
      <c r="AP5" s="72">
        <f>VLOOKUP(A5,'Integrated Effic - ICC Cycle I'!$1:$1048576,26,FALSE)</f>
        <v>0.30509061946089244</v>
      </c>
      <c r="AQ5" s="72">
        <f>VLOOKUP(A5,PROFIT!$1:$1048576,7,FALSE)</f>
        <v>6.1219669056339784E-2</v>
      </c>
      <c r="AR5" s="72"/>
      <c r="AS5" t="s">
        <v>512</v>
      </c>
      <c r="AT5" t="s">
        <v>536</v>
      </c>
      <c r="AU5"/>
      <c r="AV5"/>
      <c r="AW5"/>
      <c r="AX5"/>
      <c r="AY5"/>
      <c r="AZ5"/>
      <c r="BA5"/>
    </row>
    <row r="6" spans="1:53" ht="18" thickBot="1" x14ac:dyDescent="0.65">
      <c r="A6" s="37">
        <v>210005</v>
      </c>
      <c r="B6" s="26" t="str">
        <f>VLOOKUP(A6,'Variable Input'!$1:$1048576,2,FALSE)</f>
        <v>FREDERICK MEMORIAL HOSPITAL</v>
      </c>
      <c r="C6" s="78">
        <f>VLOOKUP(A6,'Rate Application - ICC Cycle II'!$1:$1048576,26,FALSE)</f>
        <v>-0.13591887458545815</v>
      </c>
      <c r="D6" s="72">
        <f>VLOOKUP($A6,'DSH (Cumulative)'!A:M,7,FALSE)</f>
        <v>1104254224.71</v>
      </c>
      <c r="E6" s="75">
        <f>VLOOKUP(A6,'Rate Application - ICC Cycle II'!$1:$1048576,9,FALSE)</f>
        <v>24661.79924888902</v>
      </c>
      <c r="F6" s="75">
        <v>98032</v>
      </c>
      <c r="G6" s="72">
        <v>4.5170355036659338E-2</v>
      </c>
      <c r="H6" s="72">
        <v>7.8651868814973991E-3</v>
      </c>
      <c r="I6" s="82">
        <v>98076</v>
      </c>
      <c r="J6" s="82">
        <v>18893</v>
      </c>
      <c r="K6" s="72" t="str">
        <f>VLOOKUP(A6,'PAU Volume'!$1:$1048576,44,FALSE)</f>
        <v>Frederick</v>
      </c>
      <c r="L6" s="82">
        <f>IFERROR(VLOOKUP(A6,#REF!,4,FALSE),0)</f>
        <v>0</v>
      </c>
      <c r="M6" s="10">
        <f>VLOOKUP(A6,'Variable Input'!$1:$1048576,20,FALSE)</f>
        <v>0</v>
      </c>
      <c r="N6" s="380"/>
      <c r="O6" s="378">
        <v>0.11874103228365622</v>
      </c>
      <c r="P6" s="378">
        <v>1.9718740146563332E-3</v>
      </c>
      <c r="Q6" s="378">
        <v>4.6776260876715886E-3</v>
      </c>
      <c r="R6" s="378">
        <f t="shared" si="0"/>
        <v>6.6495001023279213E-3</v>
      </c>
      <c r="S6" s="86">
        <v>0</v>
      </c>
      <c r="T6" s="378">
        <v>0.13501792438632712</v>
      </c>
      <c r="U6" s="378">
        <v>1.9462422524643063E-3</v>
      </c>
      <c r="V6" s="378">
        <v>2.7257054317845392E-2</v>
      </c>
      <c r="W6" s="378">
        <f t="shared" si="1"/>
        <v>2.9203296570309699E-2</v>
      </c>
      <c r="X6" s="378">
        <v>1.9272329319010933E-2</v>
      </c>
      <c r="Y6" s="378">
        <f t="shared" si="2"/>
        <v>4.8475625889320632E-2</v>
      </c>
      <c r="Z6" s="378">
        <v>5.7993411274802537E-2</v>
      </c>
      <c r="AA6" s="378">
        <v>4.5481806102030987E-2</v>
      </c>
      <c r="AB6" s="378">
        <f t="shared" si="3"/>
        <v>0.10347521737683352</v>
      </c>
      <c r="AC6" s="378">
        <f t="shared" si="4"/>
        <v>8.1334602774668613E-2</v>
      </c>
      <c r="AD6" s="378">
        <v>0.27752853214996737</v>
      </c>
      <c r="AE6" s="378">
        <v>3.3921918807503171E-4</v>
      </c>
      <c r="AF6" s="380">
        <v>0.97808366845675687</v>
      </c>
      <c r="AG6" s="380">
        <v>8.4517787958152776E-2</v>
      </c>
      <c r="AH6" s="72">
        <v>0.95258008398692295</v>
      </c>
      <c r="AI6" s="72">
        <v>0.46471472825447208</v>
      </c>
      <c r="AJ6" s="72">
        <v>0.44279709543559448</v>
      </c>
      <c r="AK6" s="72">
        <v>0.46471472825447208</v>
      </c>
      <c r="AL6" s="72">
        <v>2.1739456738651266E-2</v>
      </c>
      <c r="AM6" s="380">
        <v>0.83124018838304548</v>
      </c>
      <c r="AN6" s="380">
        <f>VLOOKUP(A6,LMA!$1:$1048576,13,FALSE)</f>
        <v>1.0273453747719454</v>
      </c>
      <c r="AO6" s="82">
        <f>VLOOKUP(A6,'Integrated Effic - ICC Cycle I'!$1:$1048576,8,FALSE)</f>
        <v>16349.23944388897</v>
      </c>
      <c r="AP6" s="72">
        <f>VLOOKUP(A6,'Integrated Effic - ICC Cycle I'!$1:$1048576,26,FALSE)</f>
        <v>9.7555388672437404E-2</v>
      </c>
      <c r="AQ6" s="72">
        <f>VLOOKUP(A6,PROFIT!$1:$1048576,7,FALSE)</f>
        <v>6.4231529603547222E-2</v>
      </c>
      <c r="AR6" s="72"/>
      <c r="AS6"/>
      <c r="AT6"/>
      <c r="AU6"/>
      <c r="AV6"/>
      <c r="AW6"/>
      <c r="AX6"/>
      <c r="AY6"/>
      <c r="AZ6"/>
      <c r="BA6"/>
    </row>
    <row r="7" spans="1:53" ht="17.7" x14ac:dyDescent="0.6">
      <c r="A7" s="37">
        <v>210006</v>
      </c>
      <c r="B7" s="26" t="str">
        <f>VLOOKUP(A7,'Variable Input'!$1:$1048576,2,FALSE)</f>
        <v>UM-HARFORD MEMORIAL HOSPITAL</v>
      </c>
      <c r="C7" s="78">
        <f>VLOOKUP(A7,'Rate Application - ICC Cycle II'!$1:$1048576,26,FALSE)</f>
        <v>-0.13639095488370456</v>
      </c>
      <c r="D7" s="72">
        <f>VLOOKUP($A7,'DSH (Cumulative)'!A:M,7,FALSE)</f>
        <v>332156688.20999998</v>
      </c>
      <c r="E7" s="75">
        <f>VLOOKUP(A7,'Rate Application - ICC Cycle II'!$1:$1048576,9,FALSE)</f>
        <v>6404.5558703010038</v>
      </c>
      <c r="F7" s="75">
        <v>42420</v>
      </c>
      <c r="G7" s="72">
        <v>8.2515479867911704E-2</v>
      </c>
      <c r="H7" s="72">
        <v>7.9563639964542743E-2</v>
      </c>
      <c r="I7" s="82">
        <v>42622</v>
      </c>
      <c r="J7" s="82">
        <v>5279</v>
      </c>
      <c r="K7" s="72" t="str">
        <f>VLOOKUP(A7,'PAU Volume'!$1:$1048576,44,FALSE)</f>
        <v>UM-Harford</v>
      </c>
      <c r="L7" s="82">
        <f>IFERROR(VLOOKUP(A7,#REF!,4,FALSE),0)</f>
        <v>0</v>
      </c>
      <c r="M7" s="10">
        <f>VLOOKUP(A7,'Variable Input'!$1:$1048576,20,FALSE)</f>
        <v>0</v>
      </c>
      <c r="N7" s="380"/>
      <c r="O7" s="378">
        <v>0.18477616374008687</v>
      </c>
      <c r="P7" s="378">
        <v>9.4469177090433321E-4</v>
      </c>
      <c r="Q7" s="378">
        <v>0</v>
      </c>
      <c r="R7" s="378">
        <f t="shared" si="0"/>
        <v>9.4469177090433321E-4</v>
      </c>
      <c r="S7" s="86">
        <v>0</v>
      </c>
      <c r="T7" s="378">
        <v>0.16861364678245905</v>
      </c>
      <c r="U7" s="378">
        <v>0</v>
      </c>
      <c r="V7" s="378">
        <v>1.8305552869923589E-3</v>
      </c>
      <c r="W7" s="378">
        <f t="shared" si="1"/>
        <v>1.8305552869923589E-3</v>
      </c>
      <c r="X7" s="378">
        <v>3.7196036796216164E-2</v>
      </c>
      <c r="Y7" s="378">
        <f t="shared" si="2"/>
        <v>3.9026592083208522E-2</v>
      </c>
      <c r="Z7" s="378">
        <v>4.7641304197559186E-4</v>
      </c>
      <c r="AA7" s="378">
        <v>0</v>
      </c>
      <c r="AB7" s="378">
        <f t="shared" si="3"/>
        <v>4.7641304197559186E-4</v>
      </c>
      <c r="AC7" s="378">
        <f t="shared" si="4"/>
        <v>2.775247057896692E-3</v>
      </c>
      <c r="AD7" s="378">
        <v>0.16600428833395475</v>
      </c>
      <c r="AE7" s="378">
        <v>1.1503519682914258E-3</v>
      </c>
      <c r="AF7" s="380">
        <v>0.77512856564351817</v>
      </c>
      <c r="AG7" s="380">
        <v>5.3565151667098285E-2</v>
      </c>
      <c r="AH7" s="72">
        <v>0.97341987523885887</v>
      </c>
      <c r="AI7" s="72">
        <v>0.30518419017677939</v>
      </c>
      <c r="AJ7" s="72">
        <v>0.45888859013903699</v>
      </c>
      <c r="AK7" s="72">
        <v>0.30518419017677939</v>
      </c>
      <c r="AL7" s="72">
        <v>1.2333922948371904E-2</v>
      </c>
      <c r="AM7" s="380">
        <v>0.84615384615384615</v>
      </c>
      <c r="AN7" s="380">
        <f>VLOOKUP(A7,LMA!$1:$1048576,13,FALSE)</f>
        <v>1.0151569983863662</v>
      </c>
      <c r="AO7" s="82">
        <f>VLOOKUP(A7,'Integrated Effic - ICC Cycle I'!$1:$1048576,8,FALSE)</f>
        <v>17993.115810776799</v>
      </c>
      <c r="AP7" s="72">
        <f>VLOOKUP(A7,'Integrated Effic - ICC Cycle I'!$1:$1048576,26,FALSE)</f>
        <v>7.3948859412954704E-2</v>
      </c>
      <c r="AQ7" s="72">
        <f>VLOOKUP(A7,PROFIT!$1:$1048576,7,FALSE)</f>
        <v>8.6270777045941036E-2</v>
      </c>
      <c r="AR7" s="72"/>
      <c r="AS7" s="348" t="s">
        <v>513</v>
      </c>
      <c r="AT7" s="348"/>
      <c r="AU7"/>
      <c r="AV7"/>
      <c r="AW7"/>
      <c r="AX7"/>
      <c r="AY7"/>
      <c r="AZ7"/>
      <c r="BA7"/>
    </row>
    <row r="8" spans="1:53" ht="17.7" x14ac:dyDescent="0.6">
      <c r="A8" s="37">
        <v>210008</v>
      </c>
      <c r="B8" s="26" t="str">
        <f>VLOOKUP(A8,'Variable Input'!$1:$1048576,2,FALSE)</f>
        <v>MERCY MEDICAL CENTER</v>
      </c>
      <c r="C8" s="78">
        <f>VLOOKUP(A8,'Rate Application - ICC Cycle II'!$1:$1048576,26,FALSE)</f>
        <v>-0.11013606889217908</v>
      </c>
      <c r="D8" s="72">
        <f>VLOOKUP($A8,'DSH (Cumulative)'!A:M,7,FALSE)</f>
        <v>1721149237.3499999</v>
      </c>
      <c r="E8" s="75">
        <f>VLOOKUP(A8,'Rate Application - ICC Cycle II'!$1:$1048576,9,FALSE)</f>
        <v>37187.68418079293</v>
      </c>
      <c r="F8" s="75">
        <v>303770</v>
      </c>
      <c r="G8" s="72">
        <v>4.1695408136451839E-2</v>
      </c>
      <c r="H8" s="72">
        <v>4.3847849488229951E-2</v>
      </c>
      <c r="I8" s="82">
        <v>319173</v>
      </c>
      <c r="J8" s="82">
        <v>14908</v>
      </c>
      <c r="K8" s="72" t="str">
        <f>VLOOKUP(A8,'PAU Volume'!$1:$1048576,44,FALSE)</f>
        <v>Mercy</v>
      </c>
      <c r="L8" s="82">
        <f>IFERROR(VLOOKUP(A8,#REF!,4,FALSE),0)</f>
        <v>0</v>
      </c>
      <c r="M8" s="10">
        <f>VLOOKUP(A8,'Variable Input'!$1:$1048576,20,FALSE)</f>
        <v>63</v>
      </c>
      <c r="N8" s="380"/>
      <c r="O8" s="378">
        <v>5.6799392410026593E-2</v>
      </c>
      <c r="P8" s="378">
        <v>1.5141800401896575E-4</v>
      </c>
      <c r="Q8" s="378">
        <v>2.3075495348381346E-3</v>
      </c>
      <c r="R8" s="378">
        <f t="shared" si="0"/>
        <v>2.4589675388571003E-3</v>
      </c>
      <c r="S8" s="86">
        <v>0</v>
      </c>
      <c r="T8" s="378">
        <v>7.0045420620633195E-2</v>
      </c>
      <c r="U8" s="378">
        <v>2.8530013778341174E-4</v>
      </c>
      <c r="V8" s="378">
        <v>3.7848404396402085E-4</v>
      </c>
      <c r="W8" s="378">
        <f t="shared" si="1"/>
        <v>6.6378418174743259E-4</v>
      </c>
      <c r="X8" s="378">
        <v>5.8492741362880935E-3</v>
      </c>
      <c r="Y8" s="378">
        <f t="shared" si="2"/>
        <v>6.5130583180355263E-3</v>
      </c>
      <c r="Z8" s="378">
        <v>5.9054152110877556E-2</v>
      </c>
      <c r="AA8" s="378">
        <v>3.274710577391246E-2</v>
      </c>
      <c r="AB8" s="378">
        <f t="shared" si="3"/>
        <v>9.1801257884790016E-2</v>
      </c>
      <c r="AC8" s="378">
        <f t="shared" si="4"/>
        <v>3.5869857494516995E-2</v>
      </c>
      <c r="AD8" s="378">
        <v>0.46610295292825937</v>
      </c>
      <c r="AE8" s="378">
        <v>6.0927475728708255E-2</v>
      </c>
      <c r="AF8" s="380">
        <v>1.1370090592554933</v>
      </c>
      <c r="AG8" s="380">
        <v>6.5308086959662504E-2</v>
      </c>
      <c r="AH8" s="72">
        <v>0.94290513930800279</v>
      </c>
      <c r="AI8" s="72">
        <v>0.42428835069897669</v>
      </c>
      <c r="AJ8" s="72">
        <v>0.36481612509432521</v>
      </c>
      <c r="AK8" s="72">
        <v>0.42428835069897669</v>
      </c>
      <c r="AL8" s="72">
        <v>1.4851937787276448E-2</v>
      </c>
      <c r="AM8" s="380">
        <v>1.1240188383045526</v>
      </c>
      <c r="AN8" s="380">
        <f>VLOOKUP(A8,LMA!$1:$1048576,13,FALSE)</f>
        <v>0.98307853817748225</v>
      </c>
      <c r="AO8" s="82">
        <f>VLOOKUP(A8,'Integrated Effic - ICC Cycle I'!$1:$1048576,8,FALSE)</f>
        <v>16952.79572229847</v>
      </c>
      <c r="AP8" s="72">
        <f>VLOOKUP(A8,'Integrated Effic - ICC Cycle I'!$1:$1048576,26,FALSE)</f>
        <v>1.4411588685245835E-2</v>
      </c>
      <c r="AQ8" s="72">
        <f>VLOOKUP(A8,PROFIT!$1:$1048576,7,FALSE)</f>
        <v>9.7959763824346249E-2</v>
      </c>
      <c r="AR8" s="72"/>
      <c r="AS8" t="s">
        <v>514</v>
      </c>
      <c r="AT8">
        <v>0.17293944048590856</v>
      </c>
      <c r="AU8"/>
      <c r="AV8"/>
      <c r="AW8"/>
      <c r="AX8"/>
      <c r="AY8"/>
      <c r="AZ8"/>
      <c r="BA8"/>
    </row>
    <row r="9" spans="1:53" ht="17.7" x14ac:dyDescent="0.6">
      <c r="A9" s="37">
        <v>210009</v>
      </c>
      <c r="B9" s="26" t="str">
        <f>VLOOKUP(A9,'Variable Input'!$1:$1048576,2,FALSE)</f>
        <v>JOHNS HOPKINS HOSPITAL</v>
      </c>
      <c r="C9" s="78">
        <f>VLOOKUP(A9,'Rate Application - ICC Cycle II'!$1:$1048576,26,FALSE)</f>
        <v>-8.9020284340636913E-2</v>
      </c>
      <c r="D9" s="72">
        <f>VLOOKUP($A9,'DSH (Cumulative)'!A:M,7,FALSE)</f>
        <v>7682573869.2000008</v>
      </c>
      <c r="E9" s="75">
        <f>VLOOKUP(A9,'Rate Application - ICC Cycle II'!$1:$1048576,9,FALSE)</f>
        <v>104111.82276682714</v>
      </c>
      <c r="F9" s="75">
        <v>820519</v>
      </c>
      <c r="G9" s="72">
        <v>4.0762057384076109E-2</v>
      </c>
      <c r="H9" s="72">
        <v>-2.1914028547552755E-2</v>
      </c>
      <c r="I9" s="82">
        <v>869793</v>
      </c>
      <c r="J9" s="82">
        <v>42063</v>
      </c>
      <c r="K9" s="72" t="str">
        <f>VLOOKUP(A9,'PAU Volume'!$1:$1048576,44,FALSE)</f>
        <v>Johns Hopkins</v>
      </c>
      <c r="L9" s="82">
        <f>IFERROR(VLOOKUP(A9,#REF!,4,FALSE),0)</f>
        <v>0</v>
      </c>
      <c r="M9" s="10">
        <f>VLOOKUP(A9,'Variable Input'!$1:$1048576,20,FALSE)</f>
        <v>868</v>
      </c>
      <c r="N9" s="380"/>
      <c r="O9" s="378">
        <v>8.3011059404742391E-2</v>
      </c>
      <c r="P9" s="378">
        <v>4.2014256741077852E-3</v>
      </c>
      <c r="Q9" s="378">
        <v>3.0267647172812693E-2</v>
      </c>
      <c r="R9" s="378">
        <f t="shared" si="0"/>
        <v>3.4469072846920482E-2</v>
      </c>
      <c r="S9" s="86">
        <v>1</v>
      </c>
      <c r="T9" s="378">
        <v>4.4137884348939505E-2</v>
      </c>
      <c r="U9" s="378">
        <v>3.0353384365940792E-2</v>
      </c>
      <c r="V9" s="378">
        <v>1.6052368903243446E-2</v>
      </c>
      <c r="W9" s="378">
        <f t="shared" si="1"/>
        <v>4.6405753269184238E-2</v>
      </c>
      <c r="X9" s="378">
        <v>6.9203022758685326E-3</v>
      </c>
      <c r="Y9" s="378">
        <f t="shared" si="2"/>
        <v>5.3326055545052771E-2</v>
      </c>
      <c r="Z9" s="378">
        <v>1.9789119799379407E-2</v>
      </c>
      <c r="AA9" s="378">
        <v>2.6129846260062668E-2</v>
      </c>
      <c r="AB9" s="378">
        <f t="shared" si="3"/>
        <v>4.5918966059442075E-2</v>
      </c>
      <c r="AC9" s="378">
        <f t="shared" si="4"/>
        <v>0.10700467237616738</v>
      </c>
      <c r="AD9" s="378">
        <v>0.30121548723650565</v>
      </c>
      <c r="AE9" s="378">
        <v>7.6364118303515943E-2</v>
      </c>
      <c r="AF9" s="380">
        <v>1.4614753319946796</v>
      </c>
      <c r="AG9" s="380">
        <v>6.8452537151425547E-2</v>
      </c>
      <c r="AH9" s="72">
        <v>0.80998297345812043</v>
      </c>
      <c r="AI9" s="72">
        <v>0.44974532078257939</v>
      </c>
      <c r="AJ9" s="72">
        <v>0.33416905013306608</v>
      </c>
      <c r="AK9" s="72">
        <v>0.44974532078257939</v>
      </c>
      <c r="AL9" s="72">
        <v>1.8321293340181857E-2</v>
      </c>
      <c r="AM9" s="380">
        <v>1.1240188383045526</v>
      </c>
      <c r="AN9" s="380">
        <f>VLOOKUP(A9,LMA!$1:$1048576,13,FALSE)</f>
        <v>0.96826511916260483</v>
      </c>
      <c r="AO9" s="82">
        <f>VLOOKUP(A9,'Integrated Effic - ICC Cycle I'!$1:$1048576,8,FALSE)</f>
        <v>23309.23797672127</v>
      </c>
      <c r="AP9" s="72">
        <f>VLOOKUP(A9,'Integrated Effic - ICC Cycle I'!$1:$1048576,26,FALSE)</f>
        <v>7.5181268689543446E-2</v>
      </c>
      <c r="AQ9" s="72">
        <f>VLOOKUP(A9,PROFIT!$1:$1048576,7,FALSE)</f>
        <v>4.2046729843916532E-2</v>
      </c>
      <c r="AR9" s="72"/>
      <c r="AS9" t="s">
        <v>515</v>
      </c>
      <c r="AT9">
        <v>2.9908050075579111E-2</v>
      </c>
      <c r="AU9"/>
      <c r="AV9"/>
      <c r="AW9"/>
      <c r="AX9"/>
      <c r="AY9"/>
      <c r="AZ9"/>
      <c r="BA9"/>
    </row>
    <row r="10" spans="1:53" ht="17.7" x14ac:dyDescent="0.6">
      <c r="A10" s="37">
        <v>210011</v>
      </c>
      <c r="B10" s="26" t="str">
        <f>VLOOKUP(A10,'Variable Input'!$1:$1048576,2,FALSE)</f>
        <v>ST. AGNES HOSPITAL</v>
      </c>
      <c r="C10" s="78">
        <f>VLOOKUP(A10,'Rate Application - ICC Cycle II'!$1:$1048576,26,FALSE)</f>
        <v>-0.14480186680619889</v>
      </c>
      <c r="D10" s="72">
        <f>VLOOKUP($A10,'DSH (Cumulative)'!A:M,7,FALSE)</f>
        <v>1333366768.45</v>
      </c>
      <c r="E10" s="75">
        <f>VLOOKUP(A10,'Rate Application - ICC Cycle II'!$1:$1048576,9,FALSE)</f>
        <v>24239.679898120015</v>
      </c>
      <c r="F10" s="75">
        <v>142788</v>
      </c>
      <c r="G10" s="72">
        <v>6.1391608653554725E-2</v>
      </c>
      <c r="H10" s="72">
        <v>9.4241223314454725E-2</v>
      </c>
      <c r="I10" s="82">
        <v>147708</v>
      </c>
      <c r="J10" s="82">
        <v>14436</v>
      </c>
      <c r="K10" s="72" t="str">
        <f>VLOOKUP(A10,'PAU Volume'!$1:$1048576,44,FALSE)</f>
        <v>St. Agnes</v>
      </c>
      <c r="L10" s="82">
        <f>IFERROR(VLOOKUP(A10,#REF!,4,FALSE),0)</f>
        <v>0</v>
      </c>
      <c r="M10" s="10">
        <f>VLOOKUP(A10,'Variable Input'!$1:$1048576,20,FALSE)</f>
        <v>73</v>
      </c>
      <c r="N10" s="380"/>
      <c r="O10" s="378">
        <v>0.15595128494277088</v>
      </c>
      <c r="P10" s="378">
        <v>2.1257020954362291E-4</v>
      </c>
      <c r="Q10" s="378">
        <v>2.6739388878777451E-3</v>
      </c>
      <c r="R10" s="378">
        <f t="shared" si="0"/>
        <v>2.8865090974213681E-3</v>
      </c>
      <c r="S10" s="86">
        <v>0</v>
      </c>
      <c r="T10" s="378">
        <v>0.11937062382856901</v>
      </c>
      <c r="U10" s="378">
        <v>2.4834023578920086E-3</v>
      </c>
      <c r="V10" s="378">
        <v>1.7650565164443129E-2</v>
      </c>
      <c r="W10" s="378">
        <f t="shared" si="1"/>
        <v>2.0133967522335136E-2</v>
      </c>
      <c r="X10" s="378">
        <v>1.5745776866608281E-2</v>
      </c>
      <c r="Y10" s="378">
        <f t="shared" si="2"/>
        <v>3.5879744388943417E-2</v>
      </c>
      <c r="Z10" s="378">
        <v>4.4505495402605989E-2</v>
      </c>
      <c r="AA10" s="378">
        <v>3.1355672575079499E-2</v>
      </c>
      <c r="AB10" s="378">
        <f t="shared" si="3"/>
        <v>7.5861167977685495E-2</v>
      </c>
      <c r="AC10" s="378">
        <f t="shared" si="4"/>
        <v>5.4376149194836007E-2</v>
      </c>
      <c r="AD10" s="378">
        <v>0.2330144125187843</v>
      </c>
      <c r="AE10" s="378">
        <v>4.357703155897099E-2</v>
      </c>
      <c r="AF10" s="380">
        <v>1.0518746419934968</v>
      </c>
      <c r="AG10" s="380">
        <v>7.648872579166939E-2</v>
      </c>
      <c r="AH10" s="72">
        <v>0.98936910112569487</v>
      </c>
      <c r="AI10" s="72">
        <v>0.28201721444434791</v>
      </c>
      <c r="AJ10" s="72">
        <v>0.44256149859472466</v>
      </c>
      <c r="AK10" s="72">
        <v>0.28201721444434791</v>
      </c>
      <c r="AL10" s="72">
        <v>2.9649408523015831E-2</v>
      </c>
      <c r="AM10" s="380">
        <v>1.1240188383045526</v>
      </c>
      <c r="AN10" s="380">
        <f>VLOOKUP(A10,LMA!$1:$1048576,13,FALSE)</f>
        <v>0.98676730468047336</v>
      </c>
      <c r="AO10" s="82">
        <f>VLOOKUP(A10,'Integrated Effic - ICC Cycle I'!$1:$1048576,8,FALSE)</f>
        <v>19112.997367668471</v>
      </c>
      <c r="AP10" s="72">
        <f>VLOOKUP(A10,'Integrated Effic - ICC Cycle I'!$1:$1048576,26,FALSE)</f>
        <v>-7.7095352642335246E-2</v>
      </c>
      <c r="AQ10" s="72">
        <f>VLOOKUP(A10,PROFIT!$1:$1048576,7,FALSE)</f>
        <v>0.1898448709673127</v>
      </c>
      <c r="AR10" s="72"/>
      <c r="AS10" t="s">
        <v>517</v>
      </c>
      <c r="AT10">
        <v>0.10714702288031773</v>
      </c>
      <c r="AU10"/>
      <c r="AV10"/>
      <c r="AW10"/>
      <c r="AX10"/>
      <c r="AY10"/>
      <c r="AZ10"/>
      <c r="BA10"/>
    </row>
    <row r="11" spans="1:53" ht="18" thickBot="1" x14ac:dyDescent="0.65">
      <c r="A11" s="37">
        <v>210012</v>
      </c>
      <c r="B11" s="26" t="str">
        <f>VLOOKUP(A11,'Variable Input'!$1:$1048576,2,FALSE)</f>
        <v>SINAI HOSPITAL</v>
      </c>
      <c r="C11" s="78">
        <f>VLOOKUP(A11,'Rate Application - ICC Cycle II'!$1:$1048576,26,FALSE)</f>
        <v>-0.22057426581868567</v>
      </c>
      <c r="D11" s="72">
        <f>VLOOKUP($A11,'DSH (Cumulative)'!A:M,7,FALSE)</f>
        <v>2501392856.3400002</v>
      </c>
      <c r="E11" s="75">
        <f>VLOOKUP(A11,'Rate Application - ICC Cycle II'!$1:$1048576,9,FALSE)</f>
        <v>39233.431532673072</v>
      </c>
      <c r="F11" s="75">
        <v>266944</v>
      </c>
      <c r="G11" s="72">
        <v>7.9991290374212376E-2</v>
      </c>
      <c r="H11" s="72">
        <v>6.1910280633079129E-2</v>
      </c>
      <c r="I11" s="82">
        <v>281197</v>
      </c>
      <c r="J11" s="82">
        <v>18322</v>
      </c>
      <c r="K11" s="72" t="str">
        <f>VLOOKUP(A11,'PAU Volume'!$1:$1048576,44,FALSE)</f>
        <v>Sinai</v>
      </c>
      <c r="L11" s="82">
        <f>IFERROR(VLOOKUP(A11,#REF!,4,FALSE),0)</f>
        <v>0</v>
      </c>
      <c r="M11" s="10">
        <f>VLOOKUP(A11,'Variable Input'!$1:$1048576,20,FALSE)</f>
        <v>126</v>
      </c>
      <c r="N11" s="380"/>
      <c r="O11" s="378">
        <v>9.4343466882872984E-2</v>
      </c>
      <c r="P11" s="378">
        <v>3.9825636263731484E-3</v>
      </c>
      <c r="Q11" s="378">
        <v>2.314150329180302E-2</v>
      </c>
      <c r="R11" s="378">
        <f t="shared" si="0"/>
        <v>2.7124066918176169E-2</v>
      </c>
      <c r="S11" s="86">
        <v>1</v>
      </c>
      <c r="T11" s="378">
        <v>0.10238704592348744</v>
      </c>
      <c r="U11" s="378">
        <v>2.4149113995125326E-2</v>
      </c>
      <c r="V11" s="378">
        <v>1.8839658060210016E-2</v>
      </c>
      <c r="W11" s="378">
        <f t="shared" si="1"/>
        <v>4.2988772055335342E-2</v>
      </c>
      <c r="X11" s="378">
        <v>1.2850012378155478E-2</v>
      </c>
      <c r="Y11" s="378">
        <f t="shared" si="2"/>
        <v>5.5838784433490822E-2</v>
      </c>
      <c r="Z11" s="378">
        <v>2.7367775558785019E-2</v>
      </c>
      <c r="AA11" s="378">
        <v>1.6716761354314044E-2</v>
      </c>
      <c r="AB11" s="378">
        <f t="shared" si="3"/>
        <v>4.4084536913099062E-2</v>
      </c>
      <c r="AC11" s="378">
        <f t="shared" si="4"/>
        <v>8.6829600327825551E-2</v>
      </c>
      <c r="AD11" s="378">
        <v>0.30809597742460171</v>
      </c>
      <c r="AE11" s="378">
        <v>6.9609943372240746E-2</v>
      </c>
      <c r="AF11" s="380">
        <v>1.2459873863865556</v>
      </c>
      <c r="AG11" s="380">
        <v>8.6943542540158E-2</v>
      </c>
      <c r="AH11" s="72">
        <v>0.96574730434265377</v>
      </c>
      <c r="AI11" s="72">
        <v>0.29082548570730743</v>
      </c>
      <c r="AJ11" s="72">
        <v>0.46519317502474689</v>
      </c>
      <c r="AK11" s="72">
        <v>0.29082548570730743</v>
      </c>
      <c r="AL11" s="72">
        <v>8.6684837056031621E-3</v>
      </c>
      <c r="AM11" s="380">
        <v>1.1240188383045526</v>
      </c>
      <c r="AN11" s="380">
        <f>VLOOKUP(A11,LMA!$1:$1048576,13,FALSE)</f>
        <v>0.98140127069892769</v>
      </c>
      <c r="AO11" s="82">
        <f>VLOOKUP(A11,'Integrated Effic - ICC Cycle I'!$1:$1048576,8,FALSE)</f>
        <v>21763.805560164397</v>
      </c>
      <c r="AP11" s="72">
        <f>VLOOKUP(A11,'Integrated Effic - ICC Cycle I'!$1:$1048576,26,FALSE)</f>
        <v>0.14262685516908458</v>
      </c>
      <c r="AQ11" s="72">
        <f>VLOOKUP(A11,PROFIT!$1:$1048576,7,FALSE)</f>
        <v>0.14211528730844206</v>
      </c>
      <c r="AR11" s="72"/>
      <c r="AS11" s="346" t="s">
        <v>518</v>
      </c>
      <c r="AT11" s="346">
        <v>42</v>
      </c>
      <c r="AU11"/>
      <c r="AV11"/>
      <c r="AW11"/>
      <c r="AX11"/>
      <c r="AY11"/>
      <c r="AZ11"/>
      <c r="BA11"/>
    </row>
    <row r="12" spans="1:53" ht="17.7" x14ac:dyDescent="0.6">
      <c r="A12" s="37">
        <v>210015</v>
      </c>
      <c r="B12" s="26" t="str">
        <f>VLOOKUP(A12,'Variable Input'!$1:$1048576,2,FALSE)</f>
        <v>MEDSTAR FRANKLIN SQUARE</v>
      </c>
      <c r="C12" s="78">
        <f>VLOOKUP(A12,'Rate Application - ICC Cycle II'!$1:$1048576,26,FALSE)</f>
        <v>4.1853326663534585E-3</v>
      </c>
      <c r="D12" s="72">
        <f>VLOOKUP($A12,'DSH (Cumulative)'!A:M,7,FALSE)</f>
        <v>1697825768.6599998</v>
      </c>
      <c r="E12" s="75">
        <f>VLOOKUP(A12,'Rate Application - ICC Cycle II'!$1:$1048576,9,FALSE)</f>
        <v>36896.780287905021</v>
      </c>
      <c r="F12" s="75">
        <v>206809</v>
      </c>
      <c r="G12" s="72">
        <v>5.4341200217144586E-2</v>
      </c>
      <c r="H12" s="72">
        <v>-1.8154762780763112E-2</v>
      </c>
      <c r="I12" s="82">
        <v>221107</v>
      </c>
      <c r="J12" s="82">
        <v>25379</v>
      </c>
      <c r="K12" s="72" t="str">
        <f>VLOOKUP(A12,'PAU Volume'!$1:$1048576,44,FALSE)</f>
        <v>MedStar Fr Square</v>
      </c>
      <c r="L12" s="82">
        <f>IFERROR(VLOOKUP(A12,#REF!,4,FALSE),0)</f>
        <v>0</v>
      </c>
      <c r="M12" s="10">
        <f>VLOOKUP(A12,'Variable Input'!$1:$1048576,20,FALSE)</f>
        <v>78</v>
      </c>
      <c r="N12" s="380"/>
      <c r="O12" s="378">
        <v>0.17039791802478615</v>
      </c>
      <c r="P12" s="378">
        <v>7.9216816570156564E-4</v>
      </c>
      <c r="Q12" s="378">
        <v>6.8744594290261508E-3</v>
      </c>
      <c r="R12" s="378">
        <f t="shared" si="0"/>
        <v>7.6666275947277164E-3</v>
      </c>
      <c r="S12" s="86">
        <v>0</v>
      </c>
      <c r="T12" s="378">
        <v>8.3827288390863605E-2</v>
      </c>
      <c r="U12" s="378">
        <v>4.8659103412365359E-4</v>
      </c>
      <c r="V12" s="378">
        <v>5.6634257720576909E-3</v>
      </c>
      <c r="W12" s="378">
        <f t="shared" si="1"/>
        <v>6.1500168061813442E-3</v>
      </c>
      <c r="X12" s="378">
        <v>2.7496360307770296E-2</v>
      </c>
      <c r="Y12" s="378">
        <f t="shared" si="2"/>
        <v>3.3646377113951638E-2</v>
      </c>
      <c r="Z12" s="378">
        <v>4.6642150281842688E-2</v>
      </c>
      <c r="AA12" s="378">
        <v>2.9130594379182421E-2</v>
      </c>
      <c r="AB12" s="378">
        <f t="shared" si="3"/>
        <v>7.5772744661025113E-2</v>
      </c>
      <c r="AC12" s="378">
        <f t="shared" si="4"/>
        <v>4.2947238780091483E-2</v>
      </c>
      <c r="AD12" s="378">
        <v>0.26260538980907216</v>
      </c>
      <c r="AE12" s="378">
        <v>0.10372473624919305</v>
      </c>
      <c r="AF12" s="380">
        <v>0.90922562143939334</v>
      </c>
      <c r="AG12" s="380">
        <v>9.3725267164130877E-2</v>
      </c>
      <c r="AH12" s="72">
        <v>0.98250376708156995</v>
      </c>
      <c r="AI12" s="72">
        <v>0.287548744604463</v>
      </c>
      <c r="AJ12" s="72">
        <v>0.43211511918080237</v>
      </c>
      <c r="AK12" s="72">
        <v>0.287548744604463</v>
      </c>
      <c r="AL12" s="72">
        <v>1.3160561182020449E-2</v>
      </c>
      <c r="AM12" s="380">
        <v>0.93642072213500782</v>
      </c>
      <c r="AN12" s="380">
        <f>VLOOKUP(A12,LMA!$1:$1048576,13,FALSE)</f>
        <v>1.0047075552018199</v>
      </c>
      <c r="AO12" s="82">
        <f>VLOOKUP(A12,'Integrated Effic - ICC Cycle I'!$1:$1048576,8,FALSE)</f>
        <v>16391.436405967052</v>
      </c>
      <c r="AP12" s="72">
        <f>VLOOKUP(A12,'Integrated Effic - ICC Cycle I'!$1:$1048576,26,FALSE)</f>
        <v>-8.2761576984464291E-2</v>
      </c>
      <c r="AQ12" s="72">
        <f>VLOOKUP(A12,PROFIT!$1:$1048576,7,FALSE)</f>
        <v>5.2410688906872976E-2</v>
      </c>
      <c r="AR12" s="72"/>
      <c r="AS12"/>
      <c r="AT12"/>
      <c r="AU12"/>
      <c r="AV12"/>
      <c r="AW12"/>
      <c r="AX12"/>
      <c r="AY12"/>
      <c r="AZ12"/>
      <c r="BA12"/>
    </row>
    <row r="13" spans="1:53" ht="18" thickBot="1" x14ac:dyDescent="0.65">
      <c r="A13" s="37">
        <v>210016</v>
      </c>
      <c r="B13" s="26" t="str">
        <f>VLOOKUP(A13,'Variable Input'!$1:$1048576,2,FALSE)</f>
        <v>WASHINGTON ADVENTIST HOSPITAL</v>
      </c>
      <c r="C13" s="78">
        <f>VLOOKUP(A13,'Rate Application - ICC Cycle II'!$1:$1048576,26,FALSE)</f>
        <v>-0.11074933468667925</v>
      </c>
      <c r="D13" s="72">
        <f>VLOOKUP($A13,'DSH (Cumulative)'!A:M,7,FALSE)</f>
        <v>939333574.77999997</v>
      </c>
      <c r="E13" s="75">
        <f>VLOOKUP(A13,'Rate Application - ICC Cycle II'!$1:$1048576,9,FALSE)</f>
        <v>19503.503490301038</v>
      </c>
      <c r="F13" s="75">
        <v>56431</v>
      </c>
      <c r="G13" s="72">
        <v>7.8139643109091009E-2</v>
      </c>
      <c r="H13" s="72">
        <v>-2.9698224401374262E-2</v>
      </c>
      <c r="I13" s="82">
        <v>58136</v>
      </c>
      <c r="J13" s="82">
        <v>12358</v>
      </c>
      <c r="K13" s="72" t="str">
        <f>VLOOKUP(A13,'PAU Volume'!$1:$1048576,44,FALSE)</f>
        <v>Washington Adventist</v>
      </c>
      <c r="L13" s="82">
        <f>IFERROR(VLOOKUP(A13,#REF!,4,FALSE),0)</f>
        <v>0</v>
      </c>
      <c r="M13" s="10">
        <f>VLOOKUP(A13,'Variable Input'!$1:$1048576,20,FALSE)</f>
        <v>0</v>
      </c>
      <c r="N13" s="380"/>
      <c r="O13" s="378">
        <v>0.12355359474539052</v>
      </c>
      <c r="P13" s="378">
        <v>9.1202365745151855E-5</v>
      </c>
      <c r="Q13" s="378">
        <v>5.5879632368923855E-3</v>
      </c>
      <c r="R13" s="378">
        <f t="shared" si="0"/>
        <v>5.679165602637537E-3</v>
      </c>
      <c r="S13" s="86">
        <v>0</v>
      </c>
      <c r="T13" s="378">
        <v>0.10390234715178094</v>
      </c>
      <c r="U13" s="378">
        <v>6.4127712709044049E-2</v>
      </c>
      <c r="V13" s="378">
        <v>4.4640755810055631E-2</v>
      </c>
      <c r="W13" s="378">
        <f t="shared" si="1"/>
        <v>0.10876846851909969</v>
      </c>
      <c r="X13" s="378">
        <v>2.5285729991385422E-2</v>
      </c>
      <c r="Y13" s="378">
        <f t="shared" si="2"/>
        <v>0.13405419851048511</v>
      </c>
      <c r="Z13" s="378">
        <v>6.5258421411368825E-2</v>
      </c>
      <c r="AA13" s="378">
        <v>2.4201955944644811E-2</v>
      </c>
      <c r="AB13" s="378">
        <f t="shared" si="3"/>
        <v>8.9460377356013643E-2</v>
      </c>
      <c r="AC13" s="378">
        <f t="shared" si="4"/>
        <v>0.13864959006638203</v>
      </c>
      <c r="AD13" s="378">
        <v>0.23777656973969452</v>
      </c>
      <c r="AE13" s="378">
        <v>4.4088030154131978E-3</v>
      </c>
      <c r="AF13" s="380">
        <v>1.0631438253619281</v>
      </c>
      <c r="AG13" s="380">
        <v>8.6739201984805003E-2</v>
      </c>
      <c r="AH13" s="72">
        <v>0.94464518939977027</v>
      </c>
      <c r="AI13" s="72">
        <v>0.27252924262487593</v>
      </c>
      <c r="AJ13" s="72">
        <v>0.46667722007473805</v>
      </c>
      <c r="AK13" s="72">
        <v>0.27252924262487593</v>
      </c>
      <c r="AL13" s="72">
        <v>3.2612939110701185E-2</v>
      </c>
      <c r="AM13" s="380">
        <v>1.2032967032967032</v>
      </c>
      <c r="AN13" s="380">
        <f>VLOOKUP(A13,LMA!$1:$1048576,13,FALSE)</f>
        <v>1.0539417252660614</v>
      </c>
      <c r="AO13" s="82">
        <f>VLOOKUP(A13,'Integrated Effic - ICC Cycle I'!$1:$1048576,8,FALSE)</f>
        <v>17891.099259135364</v>
      </c>
      <c r="AP13" s="72">
        <f>VLOOKUP(A13,'Integrated Effic - ICC Cycle I'!$1:$1048576,26,FALSE)</f>
        <v>2.4664240858466302E-2</v>
      </c>
      <c r="AQ13" s="72">
        <f>VLOOKUP(A13,PROFIT!$1:$1048576,7,FALSE)</f>
        <v>9.2014120998052978E-2</v>
      </c>
      <c r="AR13" s="72"/>
      <c r="AS13" t="s">
        <v>519</v>
      </c>
      <c r="AT13"/>
      <c r="AU13"/>
      <c r="AV13"/>
      <c r="AW13"/>
      <c r="AX13"/>
      <c r="AY13"/>
      <c r="AZ13"/>
      <c r="BA13"/>
    </row>
    <row r="14" spans="1:53" ht="17.7" x14ac:dyDescent="0.6">
      <c r="A14" s="37">
        <v>210017</v>
      </c>
      <c r="B14" s="26" t="str">
        <f>VLOOKUP(A14,'Variable Input'!$1:$1048576,2,FALSE)</f>
        <v>GARRETT COUNTY MEMORIAL HOSPITAL</v>
      </c>
      <c r="C14" s="78">
        <f>VLOOKUP(A14,'Rate Application - ICC Cycle II'!$1:$1048576,26,FALSE)</f>
        <v>0.13021050436894588</v>
      </c>
      <c r="D14" s="72">
        <f>VLOOKUP($A14,'DSH (Cumulative)'!A:M,7,FALSE)</f>
        <v>191648762.76999998</v>
      </c>
      <c r="E14" s="75">
        <f>VLOOKUP(A14,'Rate Application - ICC Cycle II'!$1:$1048576,9,FALSE)</f>
        <v>5661.7590092090077</v>
      </c>
      <c r="F14" s="75">
        <v>62304</v>
      </c>
      <c r="G14" s="72">
        <v>2.5149558693493869E-2</v>
      </c>
      <c r="H14" s="72">
        <v>-7.9499358434026779E-2</v>
      </c>
      <c r="I14" s="82">
        <v>64894</v>
      </c>
      <c r="J14" s="82">
        <v>2239</v>
      </c>
      <c r="K14" s="72" t="str">
        <f>VLOOKUP(A14,'PAU Volume'!$1:$1048576,44,FALSE)</f>
        <v>Garrett</v>
      </c>
      <c r="L14" s="82">
        <f>IFERROR(VLOOKUP(A14,#REF!,4,FALSE),0)</f>
        <v>0</v>
      </c>
      <c r="M14" s="10">
        <f>VLOOKUP(A14,'Variable Input'!$1:$1048576,20,FALSE)</f>
        <v>0</v>
      </c>
      <c r="N14" s="380"/>
      <c r="O14" s="378">
        <v>7.7655609367721284E-2</v>
      </c>
      <c r="P14" s="378">
        <v>9.6651071151432311E-4</v>
      </c>
      <c r="Q14" s="378">
        <v>0</v>
      </c>
      <c r="R14" s="378">
        <f t="shared" si="0"/>
        <v>9.6651071151432311E-4</v>
      </c>
      <c r="S14" s="86">
        <v>0</v>
      </c>
      <c r="T14" s="378">
        <v>0.12862628290242492</v>
      </c>
      <c r="U14" s="378">
        <v>0</v>
      </c>
      <c r="V14" s="378">
        <v>4.0952939319953505E-4</v>
      </c>
      <c r="W14" s="378">
        <f t="shared" si="1"/>
        <v>4.0952939319953505E-4</v>
      </c>
      <c r="X14" s="378">
        <v>1.6120835911684922E-2</v>
      </c>
      <c r="Y14" s="378">
        <f t="shared" si="2"/>
        <v>1.6530365304884456E-2</v>
      </c>
      <c r="Z14" s="378">
        <v>4.1960765400559048E-2</v>
      </c>
      <c r="AA14" s="378">
        <v>1.2413281286915975E-2</v>
      </c>
      <c r="AB14" s="378">
        <f t="shared" si="3"/>
        <v>5.4374046687475024E-2</v>
      </c>
      <c r="AC14" s="378">
        <f t="shared" si="4"/>
        <v>1.3789321391629833E-2</v>
      </c>
      <c r="AD14" s="378">
        <v>0.29327753584448563</v>
      </c>
      <c r="AE14" s="378">
        <v>7.7433442072182335E-2</v>
      </c>
      <c r="AF14" s="380">
        <v>0.90569709359083916</v>
      </c>
      <c r="AG14" s="380">
        <v>6.4508029427886845E-2</v>
      </c>
      <c r="AH14" s="72">
        <v>0.72115816356188034</v>
      </c>
      <c r="AI14" s="72">
        <v>0.32843705570079285</v>
      </c>
      <c r="AJ14" s="72">
        <v>0.52690217104059756</v>
      </c>
      <c r="AK14" s="72">
        <v>0.32843705570079285</v>
      </c>
      <c r="AL14" s="72">
        <v>1.7717551355869096E-2</v>
      </c>
      <c r="AM14" s="380">
        <v>0.5714285714285714</v>
      </c>
      <c r="AN14" s="380">
        <f>VLOOKUP(A14,LMA!$1:$1048576,13,FALSE)</f>
        <v>0.88583943625654404</v>
      </c>
      <c r="AO14" s="82">
        <f>VLOOKUP(A14,'Integrated Effic - ICC Cycle I'!$1:$1048576,8,FALSE)</f>
        <v>13006.738451117766</v>
      </c>
      <c r="AP14" s="72">
        <f>VLOOKUP(A14,'Integrated Effic - ICC Cycle I'!$1:$1048576,26,FALSE)</f>
        <v>-0.2696666844586354</v>
      </c>
      <c r="AQ14" s="72">
        <f>VLOOKUP(A14,PROFIT!$1:$1048576,7,FALSE)</f>
        <v>0.1089706250425318</v>
      </c>
      <c r="AR14" s="72"/>
      <c r="AS14" s="347"/>
      <c r="AT14" s="347" t="s">
        <v>523</v>
      </c>
      <c r="AU14" s="347" t="s">
        <v>524</v>
      </c>
      <c r="AV14" s="347" t="s">
        <v>525</v>
      </c>
      <c r="AW14" s="347" t="s">
        <v>526</v>
      </c>
      <c r="AX14" s="347" t="s">
        <v>527</v>
      </c>
      <c r="AY14"/>
      <c r="AZ14"/>
      <c r="BA14"/>
    </row>
    <row r="15" spans="1:53" ht="17.7" x14ac:dyDescent="0.6">
      <c r="A15" s="37">
        <v>210018</v>
      </c>
      <c r="B15" s="26" t="str">
        <f>VLOOKUP(A15,'Variable Input'!$1:$1048576,2,FALSE)</f>
        <v>MEDSTAR MONTGOMERY MEDICAL CENTER</v>
      </c>
      <c r="C15" s="78">
        <f>VLOOKUP(A15,'Rate Application - ICC Cycle II'!$1:$1048576,26,FALSE)</f>
        <v>-0.11171278891610625</v>
      </c>
      <c r="D15" s="72">
        <f>VLOOKUP($A15,'DSH (Cumulative)'!A:M,7,FALSE)</f>
        <v>554533785.00999999</v>
      </c>
      <c r="E15" s="75">
        <f>VLOOKUP(A15,'Rate Application - ICC Cycle II'!$1:$1048576,9,FALSE)</f>
        <v>11828.629976083985</v>
      </c>
      <c r="F15" s="75">
        <v>59660</v>
      </c>
      <c r="G15" s="72">
        <v>4.5979598286310853E-2</v>
      </c>
      <c r="H15" s="72">
        <v>-4.5239417600084209E-2</v>
      </c>
      <c r="I15" s="82">
        <v>62137</v>
      </c>
      <c r="J15" s="82">
        <v>7446</v>
      </c>
      <c r="K15" s="72" t="str">
        <f>VLOOKUP(A15,'PAU Volume'!$1:$1048576,44,FALSE)</f>
        <v>MedStar Montgomery</v>
      </c>
      <c r="L15" s="82">
        <f>IFERROR(VLOOKUP(A15,#REF!,4,FALSE),0)</f>
        <v>0</v>
      </c>
      <c r="M15" s="10">
        <f>VLOOKUP(A15,'Variable Input'!$1:$1048576,20,FALSE)</f>
        <v>0</v>
      </c>
      <c r="N15" s="380"/>
      <c r="O15" s="378">
        <v>0.14961032499846888</v>
      </c>
      <c r="P15" s="378">
        <v>1.0890656955791797E-3</v>
      </c>
      <c r="Q15" s="378">
        <v>1.6985985553583769E-3</v>
      </c>
      <c r="R15" s="378">
        <f t="shared" si="0"/>
        <v>2.7876642509375568E-3</v>
      </c>
      <c r="S15" s="86">
        <v>0</v>
      </c>
      <c r="T15" s="378">
        <v>0.15437984990370807</v>
      </c>
      <c r="U15" s="378">
        <v>0</v>
      </c>
      <c r="V15" s="378">
        <v>1.5107186418020693E-3</v>
      </c>
      <c r="W15" s="378">
        <f t="shared" si="1"/>
        <v>1.5107186418020693E-3</v>
      </c>
      <c r="X15" s="378">
        <v>1.897764356850707E-2</v>
      </c>
      <c r="Y15" s="378">
        <f t="shared" si="2"/>
        <v>2.0488362210309141E-2</v>
      </c>
      <c r="Z15" s="378">
        <v>4.1869063056192542E-2</v>
      </c>
      <c r="AA15" s="378">
        <v>1.0600285813545282E-2</v>
      </c>
      <c r="AB15" s="378">
        <f t="shared" si="3"/>
        <v>5.2469348869737822E-2</v>
      </c>
      <c r="AC15" s="378">
        <f t="shared" si="4"/>
        <v>1.4898668706284909E-2</v>
      </c>
      <c r="AD15" s="378">
        <v>0.23349293089315445</v>
      </c>
      <c r="AE15" s="378">
        <v>7.8865392870811943E-2</v>
      </c>
      <c r="AF15" s="380">
        <v>0.85195014478832132</v>
      </c>
      <c r="AG15" s="380">
        <v>8.3329147347557045E-2</v>
      </c>
      <c r="AH15" s="72">
        <v>0.95818461046054793</v>
      </c>
      <c r="AI15" s="72">
        <v>0.34136972899665197</v>
      </c>
      <c r="AJ15" s="72">
        <v>0.45815444346364687</v>
      </c>
      <c r="AK15" s="72">
        <v>0.34136972899665197</v>
      </c>
      <c r="AL15" s="72">
        <v>1.691470333775396E-2</v>
      </c>
      <c r="AM15" s="380">
        <v>1.2032967032967032</v>
      </c>
      <c r="AN15" s="380">
        <f>VLOOKUP(A15,LMA!$1:$1048576,13,FALSE)</f>
        <v>1.025092895948849</v>
      </c>
      <c r="AO15" s="82">
        <f>VLOOKUP(A15,'Integrated Effic - ICC Cycle I'!$1:$1048576,8,FALSE)</f>
        <v>16625.257031380679</v>
      </c>
      <c r="AP15" s="72">
        <f>VLOOKUP(A15,'Integrated Effic - ICC Cycle I'!$1:$1048576,26,FALSE)</f>
        <v>0.1290965314888517</v>
      </c>
      <c r="AQ15" s="72">
        <f>VLOOKUP(A15,PROFIT!$1:$1048576,7,FALSE)</f>
        <v>1.6981310021313534E-2</v>
      </c>
      <c r="AR15" s="72"/>
      <c r="AS15" t="s">
        <v>520</v>
      </c>
      <c r="AT15">
        <v>1</v>
      </c>
      <c r="AU15">
        <v>1.415778806151341E-2</v>
      </c>
      <c r="AV15">
        <v>1.415778806151341E-2</v>
      </c>
      <c r="AW15">
        <v>1.2332047525148198</v>
      </c>
      <c r="AX15">
        <v>0.27341584040264882</v>
      </c>
      <c r="AY15"/>
      <c r="AZ15"/>
      <c r="BA15"/>
    </row>
    <row r="16" spans="1:53" ht="17.7" x14ac:dyDescent="0.6">
      <c r="A16" s="37">
        <v>210019</v>
      </c>
      <c r="B16" s="26" t="str">
        <f>VLOOKUP(A16,'Variable Input'!$1:$1048576,2,FALSE)</f>
        <v>PENINSULA REGIONAL MEDICAL CENTER</v>
      </c>
      <c r="C16" s="78">
        <f>VLOOKUP(A16,'Rate Application - ICC Cycle II'!$1:$1048576,26,FALSE)</f>
        <v>5.6143337882033073E-2</v>
      </c>
      <c r="D16" s="72">
        <f>VLOOKUP($A16,'DSH (Cumulative)'!A:M,7,FALSE)</f>
        <v>1424855284.9299998</v>
      </c>
      <c r="E16" s="75">
        <f>VLOOKUP(A16,'Rate Application - ICC Cycle II'!$1:$1048576,9,FALSE)</f>
        <v>35575.296562612995</v>
      </c>
      <c r="F16" s="75">
        <v>183754</v>
      </c>
      <c r="G16" s="72">
        <v>6.6469297856186882E-2</v>
      </c>
      <c r="H16" s="72">
        <v>-8.5606570240334134E-3</v>
      </c>
      <c r="I16" s="82">
        <v>194321</v>
      </c>
      <c r="J16" s="82">
        <v>19214</v>
      </c>
      <c r="K16" s="72" t="str">
        <f>VLOOKUP(A16,'PAU Volume'!$1:$1048576,44,FALSE)</f>
        <v>Peninsula</v>
      </c>
      <c r="L16" s="82">
        <f>IFERROR(VLOOKUP(A16,#REF!,4,FALSE),0)</f>
        <v>0</v>
      </c>
      <c r="M16" s="10">
        <v>0</v>
      </c>
      <c r="N16" s="380"/>
      <c r="O16" s="378">
        <v>0.11129705621273052</v>
      </c>
      <c r="P16" s="378">
        <v>3.3928646117880688E-3</v>
      </c>
      <c r="Q16" s="378">
        <v>1.191919467738747E-2</v>
      </c>
      <c r="R16" s="378">
        <f t="shared" si="0"/>
        <v>1.5312059289175539E-2</v>
      </c>
      <c r="S16" s="86">
        <v>1</v>
      </c>
      <c r="T16" s="378">
        <v>0.10878171188241219</v>
      </c>
      <c r="U16" s="378">
        <v>3.3042507021884299E-2</v>
      </c>
      <c r="V16" s="378">
        <v>3.6119699944358444E-2</v>
      </c>
      <c r="W16" s="378">
        <f t="shared" si="1"/>
        <v>6.9162206966242742E-2</v>
      </c>
      <c r="X16" s="378">
        <v>1.6208102070070004E-2</v>
      </c>
      <c r="Y16" s="378">
        <f t="shared" si="2"/>
        <v>8.537030903631275E-2</v>
      </c>
      <c r="Z16" s="378">
        <v>3.7579437639215771E-2</v>
      </c>
      <c r="AA16" s="378">
        <v>1.5707428354860269E-2</v>
      </c>
      <c r="AB16" s="378">
        <f t="shared" si="3"/>
        <v>5.3286865994076039E-2</v>
      </c>
      <c r="AC16" s="378">
        <f t="shared" si="4"/>
        <v>0.10018169461027857</v>
      </c>
      <c r="AD16" s="378">
        <v>0.2978843825783174</v>
      </c>
      <c r="AE16" s="378">
        <v>5.2492030374469222E-2</v>
      </c>
      <c r="AF16" s="380">
        <v>1.1193443903645917</v>
      </c>
      <c r="AG16" s="380">
        <v>0.10805806173755363</v>
      </c>
      <c r="AH16" s="72">
        <v>0.7942939813857105</v>
      </c>
      <c r="AI16" s="72">
        <v>0.29002780468558642</v>
      </c>
      <c r="AJ16" s="72">
        <v>0.53309409877509928</v>
      </c>
      <c r="AK16" s="72">
        <v>0.29002780468558642</v>
      </c>
      <c r="AL16" s="72">
        <v>1.203716135745753E-2</v>
      </c>
      <c r="AM16" s="380">
        <v>0.7095761381475667</v>
      </c>
      <c r="AN16" s="380">
        <f>VLOOKUP(A16,LMA!$1:$1048576,13,FALSE)</f>
        <v>0.94869044095437904</v>
      </c>
      <c r="AO16" s="82">
        <f>VLOOKUP(A16,'Integrated Effic - ICC Cycle I'!$1:$1048576,8,FALSE)</f>
        <v>14468.921508321686</v>
      </c>
      <c r="AP16" s="72">
        <f>VLOOKUP(A16,'Integrated Effic - ICC Cycle I'!$1:$1048576,26,FALSE)</f>
        <v>-0.19327666344029604</v>
      </c>
      <c r="AQ16" s="72">
        <f>VLOOKUP(A16,PROFIT!$1:$1048576,7,FALSE)</f>
        <v>9.755618378839935E-2</v>
      </c>
      <c r="AR16" s="72"/>
      <c r="AS16" t="s">
        <v>521</v>
      </c>
      <c r="AT16">
        <v>40</v>
      </c>
      <c r="AU16">
        <v>0.4592193804846133</v>
      </c>
      <c r="AV16">
        <v>1.1480484512115332E-2</v>
      </c>
      <c r="AW16"/>
      <c r="AX16"/>
      <c r="AY16"/>
      <c r="AZ16"/>
      <c r="BA16"/>
    </row>
    <row r="17" spans="1:53" ht="18" thickBot="1" x14ac:dyDescent="0.65">
      <c r="A17" s="37">
        <v>210022</v>
      </c>
      <c r="B17" s="26" t="str">
        <f>VLOOKUP(A17,'Variable Input'!$1:$1048576,2,FALSE)</f>
        <v>SUBURBAN HOSPITAL</v>
      </c>
      <c r="C17" s="78">
        <f>VLOOKUP(A17,'Rate Application - ICC Cycle II'!$1:$1048576,26,FALSE)</f>
        <v>-0.13688065050238352</v>
      </c>
      <c r="D17" s="72">
        <f>VLOOKUP($A17,'DSH (Cumulative)'!A:M,7,FALSE)</f>
        <v>1055574278.6900001</v>
      </c>
      <c r="E17" s="75">
        <f>VLOOKUP(A17,'Rate Application - ICC Cycle II'!$1:$1048576,9,FALSE)</f>
        <v>24909.085237375984</v>
      </c>
      <c r="F17" s="75">
        <v>93675</v>
      </c>
      <c r="G17" s="72">
        <v>4.6369633497270704E-2</v>
      </c>
      <c r="H17" s="72">
        <v>4.791555117813906E-2</v>
      </c>
      <c r="I17" s="82">
        <v>93723</v>
      </c>
      <c r="J17" s="82">
        <v>13113</v>
      </c>
      <c r="K17" s="72" t="str">
        <f>VLOOKUP(A17,'PAU Volume'!$1:$1048576,44,FALSE)</f>
        <v>Suburban</v>
      </c>
      <c r="L17" s="82">
        <f>IFERROR(VLOOKUP(A17,#REF!,4,FALSE),0)</f>
        <v>0</v>
      </c>
      <c r="M17" s="10">
        <f>VLOOKUP(A17,'Variable Input'!$1:$1048576,20,FALSE)</f>
        <v>4</v>
      </c>
      <c r="N17" s="380"/>
      <c r="O17" s="378">
        <v>0.10613810181285399</v>
      </c>
      <c r="P17" s="378">
        <v>1.5244179893981006E-2</v>
      </c>
      <c r="Q17" s="378">
        <v>9.5228891568349995E-3</v>
      </c>
      <c r="R17" s="378">
        <f t="shared" si="0"/>
        <v>2.4767069050816007E-2</v>
      </c>
      <c r="S17" s="86">
        <v>1</v>
      </c>
      <c r="T17" s="378">
        <v>0.11682857009488576</v>
      </c>
      <c r="U17" s="378">
        <v>3.5351845223301398E-2</v>
      </c>
      <c r="V17" s="378">
        <v>2.6065705092686749E-2</v>
      </c>
      <c r="W17" s="378">
        <f t="shared" si="1"/>
        <v>6.1417550315988147E-2</v>
      </c>
      <c r="X17" s="378">
        <v>1.7655433377214327E-2</v>
      </c>
      <c r="Y17" s="378">
        <f t="shared" si="2"/>
        <v>7.9072983693202481E-2</v>
      </c>
      <c r="Z17" s="378">
        <v>3.6443991574454566E-4</v>
      </c>
      <c r="AA17" s="378">
        <v>0</v>
      </c>
      <c r="AB17" s="378">
        <f t="shared" si="3"/>
        <v>3.6443991574454566E-4</v>
      </c>
      <c r="AC17" s="378">
        <f t="shared" si="4"/>
        <v>8.618461936680416E-2</v>
      </c>
      <c r="AD17" s="378">
        <v>0.41549772050990774</v>
      </c>
      <c r="AE17" s="378">
        <v>4.0476469868603237E-3</v>
      </c>
      <c r="AF17" s="380">
        <v>1.0862645002454603</v>
      </c>
      <c r="AG17" s="380">
        <v>0.10838384022692212</v>
      </c>
      <c r="AH17" s="72">
        <v>0.8896072092266728</v>
      </c>
      <c r="AI17" s="72">
        <v>0.37005116354224143</v>
      </c>
      <c r="AJ17" s="72">
        <v>0.5221763082226224</v>
      </c>
      <c r="AK17" s="72">
        <v>0.37005116354224143</v>
      </c>
      <c r="AL17" s="72">
        <v>2.3848612800686193E-2</v>
      </c>
      <c r="AM17" s="380">
        <v>1.2032967032967032</v>
      </c>
      <c r="AN17" s="380">
        <f>VLOOKUP(A17,LMA!$1:$1048576,13,FALSE)</f>
        <v>1.0168426586129804</v>
      </c>
      <c r="AO17" s="82">
        <f>VLOOKUP(A17,'Integrated Effic - ICC Cycle I'!$1:$1048576,8,FALSE)</f>
        <v>15992.743675765159</v>
      </c>
      <c r="AP17" s="72">
        <f>VLOOKUP(A17,'Integrated Effic - ICC Cycle I'!$1:$1048576,26,FALSE)</f>
        <v>6.9431272399088861E-2</v>
      </c>
      <c r="AQ17" s="72">
        <f>VLOOKUP(A17,PROFIT!$1:$1048576,7,FALSE)</f>
        <v>8.3176539012492182E-2</v>
      </c>
      <c r="AR17" s="72"/>
      <c r="AS17" s="346" t="s">
        <v>302</v>
      </c>
      <c r="AT17" s="346">
        <v>41</v>
      </c>
      <c r="AU17" s="346">
        <v>0.47337716854612671</v>
      </c>
      <c r="AV17" s="346"/>
      <c r="AW17" s="346"/>
      <c r="AX17" s="346"/>
      <c r="AY17"/>
      <c r="AZ17"/>
      <c r="BA17"/>
    </row>
    <row r="18" spans="1:53" ht="18" thickBot="1" x14ac:dyDescent="0.65">
      <c r="A18" s="37">
        <v>210023</v>
      </c>
      <c r="B18" s="26" t="str">
        <f>VLOOKUP(A18,'Variable Input'!$1:$1048576,2,FALSE)</f>
        <v>ANNE ARUNDEL MEDICAL CENTER</v>
      </c>
      <c r="C18" s="78">
        <f>VLOOKUP(A18,'Rate Application - ICC Cycle II'!$1:$1048576,26,FALSE)</f>
        <v>-7.5388832520385196E-2</v>
      </c>
      <c r="D18" s="72">
        <f>VLOOKUP($A18,'DSH (Cumulative)'!A:M,7,FALSE)</f>
        <v>1992766527.3000002</v>
      </c>
      <c r="E18" s="75">
        <f>VLOOKUP(A18,'Rate Application - ICC Cycle II'!$1:$1048576,9,FALSE)</f>
        <v>47800.030712699874</v>
      </c>
      <c r="F18" s="75">
        <v>228842</v>
      </c>
      <c r="G18" s="72">
        <v>2.6813818117718075E-2</v>
      </c>
      <c r="H18" s="72">
        <v>2.0505946251133667E-2</v>
      </c>
      <c r="I18" s="82">
        <v>238316</v>
      </c>
      <c r="J18" s="82">
        <v>31572</v>
      </c>
      <c r="K18" s="72" t="str">
        <f>VLOOKUP(A18,'PAU Volume'!$1:$1048576,44,FALSE)</f>
        <v>Anne Arundel</v>
      </c>
      <c r="L18" s="82">
        <f>IFERROR(VLOOKUP(A18,#REF!,4,FALSE),0)</f>
        <v>0</v>
      </c>
      <c r="M18" s="10">
        <f>VLOOKUP(A18,'Variable Input'!$1:$1048576,20,FALSE)</f>
        <v>76</v>
      </c>
      <c r="N18" s="380"/>
      <c r="O18" s="378">
        <v>0.10371051269642444</v>
      </c>
      <c r="P18" s="378">
        <v>9.3650580784527973E-4</v>
      </c>
      <c r="Q18" s="378">
        <v>3.2821608158599808E-3</v>
      </c>
      <c r="R18" s="378">
        <f t="shared" si="0"/>
        <v>4.2186666237052604E-3</v>
      </c>
      <c r="S18" s="86">
        <v>0</v>
      </c>
      <c r="T18" s="378">
        <v>0.11105088115763936</v>
      </c>
      <c r="U18" s="378">
        <v>1.2946092366611785E-3</v>
      </c>
      <c r="V18" s="378">
        <v>1.1665195565781921E-2</v>
      </c>
      <c r="W18" s="378">
        <f t="shared" si="1"/>
        <v>1.29598048024431E-2</v>
      </c>
      <c r="X18" s="378">
        <v>1.3313958089989586E-2</v>
      </c>
      <c r="Y18" s="378">
        <f t="shared" si="2"/>
        <v>2.6273762892432686E-2</v>
      </c>
      <c r="Z18" s="378">
        <v>6.2136004646108023E-2</v>
      </c>
      <c r="AA18" s="378">
        <v>3.005926930251019E-2</v>
      </c>
      <c r="AB18" s="378">
        <f t="shared" si="3"/>
        <v>9.2195273948618206E-2</v>
      </c>
      <c r="AC18" s="378">
        <f t="shared" si="4"/>
        <v>4.723774072865855E-2</v>
      </c>
      <c r="AD18" s="378">
        <v>0.32372443735095141</v>
      </c>
      <c r="AE18" s="378">
        <v>0.1021998044938431</v>
      </c>
      <c r="AF18" s="380">
        <v>0.97148262826917886</v>
      </c>
      <c r="AG18" s="380">
        <v>9.2493139049908316E-2</v>
      </c>
      <c r="AH18" s="72">
        <v>0.97614519930277721</v>
      </c>
      <c r="AI18" s="72">
        <v>0.44971760824731927</v>
      </c>
      <c r="AJ18" s="72">
        <v>0.42597295841277544</v>
      </c>
      <c r="AK18" s="72">
        <v>0.44971760824731927</v>
      </c>
      <c r="AL18" s="72">
        <v>1.1764734881686235E-2</v>
      </c>
      <c r="AM18" s="380">
        <v>0.95839874411302983</v>
      </c>
      <c r="AN18" s="380">
        <f>VLOOKUP(A18,LMA!$1:$1048576,13,FALSE)</f>
        <v>1.040496433033588</v>
      </c>
      <c r="AO18" s="82">
        <f>VLOOKUP(A18,'Integrated Effic - ICC Cycle I'!$1:$1048576,8,FALSE)</f>
        <v>14902.756582518243</v>
      </c>
      <c r="AP18" s="72">
        <f>VLOOKUP(A18,'Integrated Effic - ICC Cycle I'!$1:$1048576,26,FALSE)</f>
        <v>3.1687038950211521E-2</v>
      </c>
      <c r="AQ18" s="72">
        <f>VLOOKUP(A18,PROFIT!$1:$1048576,7,FALSE)</f>
        <v>4.8160206103109636E-2</v>
      </c>
      <c r="AR18" s="72"/>
      <c r="AS18"/>
      <c r="AT18"/>
      <c r="AU18"/>
      <c r="AV18"/>
      <c r="AW18"/>
      <c r="AX18"/>
      <c r="AY18"/>
      <c r="AZ18"/>
      <c r="BA18"/>
    </row>
    <row r="19" spans="1:53" ht="17.7" x14ac:dyDescent="0.6">
      <c r="A19" s="37">
        <v>210024</v>
      </c>
      <c r="B19" s="26" t="str">
        <f>VLOOKUP(A19,'Variable Input'!$1:$1048576,2,FALSE)</f>
        <v>MEDSTAR UNION MEMORIAL HOSPITAL</v>
      </c>
      <c r="C19" s="78">
        <f>VLOOKUP(A19,'Rate Application - ICC Cycle II'!$1:$1048576,26,FALSE)</f>
        <v>-8.5261319520897216E-2</v>
      </c>
      <c r="D19" s="72">
        <f>VLOOKUP($A19,'DSH (Cumulative)'!A:M,7,FALSE)</f>
        <v>1302148927.3099999</v>
      </c>
      <c r="E19" s="75">
        <f>VLOOKUP(A19,'Rate Application - ICC Cycle II'!$1:$1048576,9,FALSE)</f>
        <v>26999.26188542712</v>
      </c>
      <c r="F19" s="75">
        <v>101811</v>
      </c>
      <c r="G19" s="72">
        <v>0.10736242539953962</v>
      </c>
      <c r="H19" s="72">
        <v>-1.7409571775101162E-2</v>
      </c>
      <c r="I19" s="82">
        <v>101909</v>
      </c>
      <c r="J19" s="82">
        <v>10955</v>
      </c>
      <c r="K19" s="72" t="str">
        <f>VLOOKUP(A19,'PAU Volume'!$1:$1048576,44,FALSE)</f>
        <v>MedStar Union Mem</v>
      </c>
      <c r="L19" s="82">
        <f>IFERROR(VLOOKUP(A19,#REF!,4,FALSE),0)</f>
        <v>0</v>
      </c>
      <c r="M19" s="10">
        <f>VLOOKUP(A19,'Variable Input'!$1:$1048576,20,FALSE)</f>
        <v>88</v>
      </c>
      <c r="N19" s="380"/>
      <c r="O19" s="378">
        <v>0.12326655387216411</v>
      </c>
      <c r="P19" s="378">
        <v>4.9492954036679544E-4</v>
      </c>
      <c r="Q19" s="378">
        <v>3.7919496679105543E-3</v>
      </c>
      <c r="R19" s="378">
        <f t="shared" si="0"/>
        <v>4.2868792082773497E-3</v>
      </c>
      <c r="S19" s="86">
        <v>0</v>
      </c>
      <c r="T19" s="378">
        <v>8.8825194851450059E-2</v>
      </c>
      <c r="U19" s="378">
        <v>5.9271143660847299E-2</v>
      </c>
      <c r="V19" s="378">
        <v>7.1328621730418845E-2</v>
      </c>
      <c r="W19" s="378">
        <f t="shared" si="1"/>
        <v>0.13059976539126614</v>
      </c>
      <c r="X19" s="378">
        <v>2.5304929863375243E-2</v>
      </c>
      <c r="Y19" s="378">
        <f t="shared" si="2"/>
        <v>0.15590469525464137</v>
      </c>
      <c r="Z19" s="378">
        <v>3.2544402775050094E-4</v>
      </c>
      <c r="AA19" s="378">
        <v>0</v>
      </c>
      <c r="AB19" s="378">
        <f t="shared" si="3"/>
        <v>3.2544402775050094E-4</v>
      </c>
      <c r="AC19" s="378">
        <f t="shared" si="4"/>
        <v>0.1348866445995435</v>
      </c>
      <c r="AD19" s="378">
        <v>0.40781108916850034</v>
      </c>
      <c r="AE19" s="378">
        <v>8.0438121248753783E-4</v>
      </c>
      <c r="AF19" s="380">
        <v>1.2200261241476411</v>
      </c>
      <c r="AG19" s="380">
        <v>8.6077030575682709E-2</v>
      </c>
      <c r="AH19" s="72">
        <v>0.96543442855848083</v>
      </c>
      <c r="AI19" s="72">
        <v>0.28018737587449927</v>
      </c>
      <c r="AJ19" s="72">
        <v>0.51114490031796733</v>
      </c>
      <c r="AK19" s="72">
        <v>0.28018737587449927</v>
      </c>
      <c r="AL19" s="72">
        <v>1.2740198467996389E-2</v>
      </c>
      <c r="AM19" s="380">
        <v>1.1240188383045526</v>
      </c>
      <c r="AN19" s="380">
        <f>VLOOKUP(A19,LMA!$1:$1048576,13,FALSE)</f>
        <v>1.0013485641947195</v>
      </c>
      <c r="AO19" s="82">
        <f>VLOOKUP(A19,'Integrated Effic - ICC Cycle I'!$1:$1048576,8,FALSE)</f>
        <v>17837.401672850145</v>
      </c>
      <c r="AP19" s="72">
        <f>VLOOKUP(A19,'Integrated Effic - ICC Cycle I'!$1:$1048576,26,FALSE)</f>
        <v>5.9111086891123099E-2</v>
      </c>
      <c r="AQ19" s="72">
        <f>VLOOKUP(A19,PROFIT!$1:$1048576,7,FALSE)</f>
        <v>4.4241509584053006E-2</v>
      </c>
      <c r="AR19" s="72"/>
      <c r="AS19" s="347"/>
      <c r="AT19" s="347" t="s">
        <v>528</v>
      </c>
      <c r="AU19" s="347" t="s">
        <v>517</v>
      </c>
      <c r="AV19" s="347" t="s">
        <v>529</v>
      </c>
      <c r="AW19" s="347" t="s">
        <v>530</v>
      </c>
      <c r="AX19" s="347" t="s">
        <v>531</v>
      </c>
      <c r="AY19" s="347" t="s">
        <v>532</v>
      </c>
      <c r="AZ19" s="347" t="s">
        <v>533</v>
      </c>
      <c r="BA19" s="347" t="s">
        <v>534</v>
      </c>
    </row>
    <row r="20" spans="1:53" ht="17.7" x14ac:dyDescent="0.6">
      <c r="A20" s="37">
        <v>210027</v>
      </c>
      <c r="B20" s="26" t="str">
        <f>VLOOKUP(A20,'Variable Input'!$1:$1048576,2,FALSE)</f>
        <v>WESTERN MARYLAND REGIONAL MEDICAL CENTER</v>
      </c>
      <c r="C20" s="78">
        <f>VLOOKUP(A20,'Rate Application - ICC Cycle II'!$1:$1048576,26,FALSE)</f>
        <v>-4.0566240234661599E-2</v>
      </c>
      <c r="D20" s="72">
        <f>VLOOKUP($A20,'DSH (Cumulative)'!A:M,7,FALSE)</f>
        <v>1030323750.99</v>
      </c>
      <c r="E20" s="75">
        <f>VLOOKUP(A20,'Rate Application - ICC Cycle II'!$1:$1048576,9,FALSE)</f>
        <v>22692.781590576982</v>
      </c>
      <c r="F20" s="75">
        <v>143018</v>
      </c>
      <c r="G20" s="72">
        <v>4.9563866684235736E-2</v>
      </c>
      <c r="H20" s="72">
        <v>-1.0373553888065823E-2</v>
      </c>
      <c r="I20" s="82">
        <v>150382</v>
      </c>
      <c r="J20" s="82">
        <v>12662</v>
      </c>
      <c r="K20" s="72" t="str">
        <f>VLOOKUP(A20,'PAU Volume'!$1:$1048576,44,FALSE)</f>
        <v>Western Maryland</v>
      </c>
      <c r="L20" s="82">
        <f>IFERROR(VLOOKUP(A20,#REF!,4,FALSE),0)</f>
        <v>0</v>
      </c>
      <c r="M20" s="10">
        <f>VLOOKUP(A20,'Variable Input'!$1:$1048576,20,FALSE)</f>
        <v>0</v>
      </c>
      <c r="N20" s="380"/>
      <c r="O20" s="378">
        <v>0.11356295483490693</v>
      </c>
      <c r="P20" s="378">
        <v>2.8030341509837748E-3</v>
      </c>
      <c r="Q20" s="378">
        <v>8.0214280932665791E-3</v>
      </c>
      <c r="R20" s="378">
        <f t="shared" si="0"/>
        <v>1.0824462244250354E-2</v>
      </c>
      <c r="S20" s="86">
        <v>1</v>
      </c>
      <c r="T20" s="378">
        <v>9.5868810285739153E-2</v>
      </c>
      <c r="U20" s="378">
        <v>2.6719957392325942E-2</v>
      </c>
      <c r="V20" s="378">
        <v>2.2723609997048585E-2</v>
      </c>
      <c r="W20" s="378">
        <f t="shared" si="1"/>
        <v>4.9443567389374526E-2</v>
      </c>
      <c r="X20" s="378">
        <v>1.9790167641268203E-2</v>
      </c>
      <c r="Y20" s="378">
        <f t="shared" si="2"/>
        <v>6.9233735030642729E-2</v>
      </c>
      <c r="Z20" s="378">
        <v>2.2468816637435989E-2</v>
      </c>
      <c r="AA20" s="378">
        <v>1.0138392853362687E-2</v>
      </c>
      <c r="AB20" s="378">
        <f t="shared" si="3"/>
        <v>3.2607209490798678E-2</v>
      </c>
      <c r="AC20" s="378">
        <f t="shared" si="4"/>
        <v>7.0406422486987558E-2</v>
      </c>
      <c r="AD20" s="378">
        <v>0.24151591997957605</v>
      </c>
      <c r="AE20" s="378">
        <v>9.7677979007057048E-2</v>
      </c>
      <c r="AF20" s="380">
        <v>1.0669011167948019</v>
      </c>
      <c r="AG20" s="380">
        <v>0.10156017896751102</v>
      </c>
      <c r="AH20" s="72">
        <v>0.7448015403336975</v>
      </c>
      <c r="AI20" s="72">
        <v>0.27000534377759711</v>
      </c>
      <c r="AJ20" s="72">
        <v>0.58287322327537261</v>
      </c>
      <c r="AK20" s="72">
        <v>0.27000534377759711</v>
      </c>
      <c r="AL20" s="72">
        <v>6.4369118605431368E-3</v>
      </c>
      <c r="AM20" s="380">
        <v>0.64442700156985866</v>
      </c>
      <c r="AN20" s="380">
        <f>VLOOKUP(A20,LMA!$1:$1048576,13,FALSE)</f>
        <v>0.99021542895491921</v>
      </c>
      <c r="AO20" s="82">
        <f>VLOOKUP(A20,'Integrated Effic - ICC Cycle I'!$1:$1048576,8,FALSE)</f>
        <v>15287.995305322567</v>
      </c>
      <c r="AP20" s="72">
        <f>VLOOKUP(A20,'Integrated Effic - ICC Cycle I'!$1:$1048576,26,FALSE)</f>
        <v>-0.25749340731996062</v>
      </c>
      <c r="AQ20" s="72">
        <f>VLOOKUP(A20,PROFIT!$1:$1048576,7,FALSE)</f>
        <v>0.23580010644826474</v>
      </c>
      <c r="AR20" s="72"/>
      <c r="AS20" t="s">
        <v>522</v>
      </c>
      <c r="AT20" s="349">
        <v>0.2732033329175515</v>
      </c>
      <c r="AU20" s="349">
        <v>3.3196161145661332E-2</v>
      </c>
      <c r="AV20" s="349">
        <v>8.2299676676096212</v>
      </c>
      <c r="AW20" s="349">
        <v>3.8666186681099136E-10</v>
      </c>
      <c r="AX20" s="349">
        <v>0.20611138857341404</v>
      </c>
      <c r="AY20" s="349">
        <v>0.34029527726168896</v>
      </c>
      <c r="AZ20" s="349">
        <v>0.20611138857341404</v>
      </c>
      <c r="BA20" s="349">
        <v>0.34029527726168896</v>
      </c>
    </row>
    <row r="21" spans="1:53" ht="18" thickBot="1" x14ac:dyDescent="0.65">
      <c r="A21" s="37">
        <v>210028</v>
      </c>
      <c r="B21" s="26" t="str">
        <f>VLOOKUP(A21,'Variable Input'!$1:$1048576,2,FALSE)</f>
        <v xml:space="preserve">MEDSTAR ST. MARY'S HOSPITAL </v>
      </c>
      <c r="C21" s="78">
        <f>VLOOKUP(A21,'Rate Application - ICC Cycle II'!$1:$1048576,26,FALSE)</f>
        <v>3.0032151122201034E-2</v>
      </c>
      <c r="D21" s="72">
        <f>VLOOKUP($A21,'DSH (Cumulative)'!A:M,7,FALSE)</f>
        <v>592050246.85000002</v>
      </c>
      <c r="E21" s="75">
        <f>VLOOKUP(A21,'Rate Application - ICC Cycle II'!$1:$1048576,9,FALSE)</f>
        <v>14672.575577466996</v>
      </c>
      <c r="F21" s="75">
        <v>98013</v>
      </c>
      <c r="G21" s="72">
        <v>4.4431887024622439E-2</v>
      </c>
      <c r="H21" s="72">
        <v>-1.2591771336123436E-2</v>
      </c>
      <c r="I21" s="82">
        <v>100601</v>
      </c>
      <c r="J21" s="82">
        <v>9026</v>
      </c>
      <c r="K21" s="72" t="str">
        <f>VLOOKUP(A21,'PAU Volume'!$1:$1048576,44,FALSE)</f>
        <v>MedStar St. Mary's</v>
      </c>
      <c r="L21" s="82">
        <f>IFERROR(VLOOKUP(A21,#REF!,4,FALSE),0)</f>
        <v>0</v>
      </c>
      <c r="M21" s="10">
        <f>VLOOKUP(A21,'Variable Input'!$1:$1048576,20,FALSE)</f>
        <v>0</v>
      </c>
      <c r="N21" s="380"/>
      <c r="O21" s="378">
        <v>0.12342301890157069</v>
      </c>
      <c r="P21" s="378">
        <v>7.1008673284657484E-4</v>
      </c>
      <c r="Q21" s="378">
        <v>2.0906901471005237E-3</v>
      </c>
      <c r="R21" s="378">
        <f t="shared" si="0"/>
        <v>2.8007768799470983E-3</v>
      </c>
      <c r="S21" s="86">
        <v>0</v>
      </c>
      <c r="T21" s="378">
        <v>0.16664622519600536</v>
      </c>
      <c r="U21" s="378">
        <v>2.6600547975510287E-4</v>
      </c>
      <c r="V21" s="378">
        <v>0</v>
      </c>
      <c r="W21" s="378">
        <f t="shared" si="1"/>
        <v>2.6600547975510287E-4</v>
      </c>
      <c r="X21" s="378">
        <v>2.2018957873205253E-2</v>
      </c>
      <c r="Y21" s="378">
        <f t="shared" si="2"/>
        <v>2.2284963352960357E-2</v>
      </c>
      <c r="Z21" s="378">
        <v>5.053303857057917E-2</v>
      </c>
      <c r="AA21" s="378">
        <v>1.0865258267874645E-2</v>
      </c>
      <c r="AB21" s="378">
        <f t="shared" si="3"/>
        <v>6.1398296838453811E-2</v>
      </c>
      <c r="AC21" s="378">
        <f t="shared" si="4"/>
        <v>1.3932040627576846E-2</v>
      </c>
      <c r="AD21" s="378">
        <v>0.26094583193259063</v>
      </c>
      <c r="AE21" s="378">
        <v>8.3398248944423867E-2</v>
      </c>
      <c r="AF21" s="380">
        <v>0.82699934631509331</v>
      </c>
      <c r="AG21" s="380">
        <v>0.10156911982753739</v>
      </c>
      <c r="AH21" s="72">
        <v>0.98462633751887829</v>
      </c>
      <c r="AI21" s="72">
        <v>0.38486723974661996</v>
      </c>
      <c r="AJ21" s="72">
        <v>0.41893173356884139</v>
      </c>
      <c r="AK21" s="72">
        <v>0.38486723974661996</v>
      </c>
      <c r="AL21" s="72">
        <v>1.3711594644680216E-2</v>
      </c>
      <c r="AM21" s="380">
        <v>1.1098901098901099</v>
      </c>
      <c r="AN21" s="380">
        <f>VLOOKUP(A21,LMA!$1:$1048576,13,FALSE)</f>
        <v>0.97126226634072188</v>
      </c>
      <c r="AO21" s="82">
        <f>VLOOKUP(A21,'Integrated Effic - ICC Cycle I'!$1:$1048576,8,FALSE)</f>
        <v>14192.071804836636</v>
      </c>
      <c r="AP21" s="72">
        <f>VLOOKUP(A21,'Integrated Effic - ICC Cycle I'!$1:$1048576,26,FALSE)</f>
        <v>-0.19990899362330017</v>
      </c>
      <c r="AQ21" s="72">
        <f>VLOOKUP(A21,PROFIT!$1:$1048576,7,FALSE)</f>
        <v>0.13071698646614152</v>
      </c>
      <c r="AR21" s="72"/>
      <c r="AS21" s="346" t="s">
        <v>535</v>
      </c>
      <c r="AT21" s="350">
        <v>-0.27957838324689804</v>
      </c>
      <c r="AU21" s="350">
        <v>0.25175957353477452</v>
      </c>
      <c r="AV21" s="350">
        <v>-1.1104975247675379</v>
      </c>
      <c r="AW21" s="351">
        <v>0.27341584040264605</v>
      </c>
      <c r="AX21" s="350">
        <v>-0.78840346159203345</v>
      </c>
      <c r="AY21" s="350">
        <v>0.22924669509823742</v>
      </c>
      <c r="AZ21" s="350">
        <v>-0.78840346159203345</v>
      </c>
      <c r="BA21" s="350">
        <v>0.22924669509823742</v>
      </c>
    </row>
    <row r="22" spans="1:53" ht="17.7" x14ac:dyDescent="0.6">
      <c r="A22" s="37">
        <v>210029</v>
      </c>
      <c r="B22" s="26" t="str">
        <f>VLOOKUP(A22,'Variable Input'!$1:$1048576,2,FALSE)</f>
        <v>JOHNS HOPKINS BAYVIEW MEDICAL CENTER</v>
      </c>
      <c r="C22" s="78">
        <f>VLOOKUP(A22,'Rate Application - ICC Cycle II'!$1:$1048576,26,FALSE)</f>
        <v>-0.16651886319257059</v>
      </c>
      <c r="D22" s="72">
        <f>VLOOKUP($A22,'DSH (Cumulative)'!A:M,7,FALSE)</f>
        <v>2103749652.75</v>
      </c>
      <c r="E22" s="75">
        <f>VLOOKUP(A22,'Rate Application - ICC Cycle II'!$1:$1048576,9,FALSE)</f>
        <v>35540.799933832066</v>
      </c>
      <c r="F22" s="75">
        <v>364812</v>
      </c>
      <c r="G22" s="72">
        <v>6.664932148997417E-2</v>
      </c>
      <c r="H22" s="72">
        <v>0.1224051145567846</v>
      </c>
      <c r="I22" s="82">
        <v>374309</v>
      </c>
      <c r="J22" s="82">
        <v>19395</v>
      </c>
      <c r="K22" s="72" t="str">
        <f>VLOOKUP(A22,'PAU Volume'!$1:$1048576,44,FALSE)</f>
        <v>JH Bayview</v>
      </c>
      <c r="L22" s="82">
        <f>IFERROR(VLOOKUP(A22,#REF!,4,FALSE),0)</f>
        <v>0</v>
      </c>
      <c r="M22" s="10">
        <f>VLOOKUP(A22,'Variable Input'!$1:$1048576,20,FALSE)</f>
        <v>147</v>
      </c>
      <c r="N22" s="380"/>
      <c r="O22" s="378">
        <v>0.12095613627580076</v>
      </c>
      <c r="P22" s="378">
        <v>8.1707131551368353E-3</v>
      </c>
      <c r="Q22" s="378">
        <v>1.803448464799556E-2</v>
      </c>
      <c r="R22" s="378">
        <f t="shared" si="0"/>
        <v>2.6205197803132393E-2</v>
      </c>
      <c r="S22" s="86">
        <v>1</v>
      </c>
      <c r="T22" s="378">
        <v>6.3846399205766666E-2</v>
      </c>
      <c r="U22" s="378">
        <v>1.1450947261139664E-3</v>
      </c>
      <c r="V22" s="378">
        <v>1.2103006034161472E-2</v>
      </c>
      <c r="W22" s="378">
        <f t="shared" si="1"/>
        <v>1.3248100760275439E-2</v>
      </c>
      <c r="X22" s="378">
        <v>1.6246518723412397E-2</v>
      </c>
      <c r="Y22" s="378">
        <f t="shared" si="2"/>
        <v>2.9494619483687836E-2</v>
      </c>
      <c r="Z22" s="378">
        <v>2.3937244072347895E-2</v>
      </c>
      <c r="AA22" s="378">
        <v>2.117101262201207E-2</v>
      </c>
      <c r="AB22" s="378">
        <f t="shared" si="3"/>
        <v>4.5108256694359965E-2</v>
      </c>
      <c r="AC22" s="378">
        <f t="shared" si="4"/>
        <v>6.0624311185419902E-2</v>
      </c>
      <c r="AD22" s="378">
        <v>0.21971274243470928</v>
      </c>
      <c r="AE22" s="378">
        <v>7.9617286794728667E-2</v>
      </c>
      <c r="AF22" s="380">
        <v>1.1078007467496715</v>
      </c>
      <c r="AG22" s="380">
        <v>5.285231197526935E-2</v>
      </c>
      <c r="AH22" s="72">
        <v>0.92274390951254992</v>
      </c>
      <c r="AI22" s="72">
        <v>0.31462657004039013</v>
      </c>
      <c r="AJ22" s="72">
        <v>0.43277071669678391</v>
      </c>
      <c r="AK22" s="72">
        <v>0.31462657004039013</v>
      </c>
      <c r="AL22" s="72">
        <v>3.9227680993195638E-2</v>
      </c>
      <c r="AM22" s="380">
        <v>1.1240188383045526</v>
      </c>
      <c r="AN22" s="380">
        <f>VLOOKUP(A22,LMA!$1:$1048576,13,FALSE)</f>
        <v>0.99208367666048081</v>
      </c>
      <c r="AO22" s="82">
        <f>VLOOKUP(A22,'Integrated Effic - ICC Cycle I'!$1:$1048576,8,FALSE)</f>
        <v>20105.44568108462</v>
      </c>
      <c r="AP22" s="72">
        <f>VLOOKUP(A22,'Integrated Effic - ICC Cycle I'!$1:$1048576,26,FALSE)</f>
        <v>0.30888528512912017</v>
      </c>
      <c r="AQ22" s="72">
        <f>VLOOKUP(A22,PROFIT!$1:$1048576,7,FALSE)</f>
        <v>-1.4220487681866805E-2</v>
      </c>
      <c r="AR22" s="72"/>
      <c r="AS22"/>
      <c r="AT22"/>
      <c r="AU22"/>
      <c r="AV22"/>
      <c r="AW22"/>
      <c r="AX22"/>
      <c r="AY22"/>
      <c r="AZ22"/>
      <c r="BA22"/>
    </row>
    <row r="23" spans="1:53" ht="17.7" x14ac:dyDescent="0.6">
      <c r="A23" s="37">
        <v>210030</v>
      </c>
      <c r="B23" s="26" t="str">
        <f>VLOOKUP(A23,'Variable Input'!$1:$1048576,2,FALSE)</f>
        <v>UM-SHORE REGIONAL HEALTH AT CHESTERTOWN</v>
      </c>
      <c r="C23" s="78">
        <f>VLOOKUP(A23,'Rate Application - ICC Cycle II'!$1:$1048576,26,FALSE)</f>
        <v>-0.38565374811999731</v>
      </c>
      <c r="D23" s="72">
        <f>VLOOKUP($A23,'DSH (Cumulative)'!A:M,7,FALSE)</f>
        <v>155245676.54000002</v>
      </c>
      <c r="E23" s="75">
        <f>VLOOKUP(A23,'Rate Application - ICC Cycle II'!$1:$1048576,9,FALSE)</f>
        <v>2175.2241478610003</v>
      </c>
      <c r="F23" s="75">
        <v>33495</v>
      </c>
      <c r="G23" s="72">
        <v>4.2865061613136503E-2</v>
      </c>
      <c r="H23" s="378"/>
      <c r="I23" s="82">
        <v>33801</v>
      </c>
      <c r="J23" s="82">
        <v>733</v>
      </c>
      <c r="K23" s="72" t="str">
        <f>VLOOKUP(A23,'PAU Volume'!$1:$1048576,44,FALSE)</f>
        <v>UM-Chestertown</v>
      </c>
      <c r="L23" s="82">
        <f>IFERROR(VLOOKUP(A23,#REF!,4,FALSE),0)</f>
        <v>0</v>
      </c>
      <c r="M23" s="10">
        <f>VLOOKUP(A23,'Variable Input'!$1:$1048576,20,FALSE)</f>
        <v>0</v>
      </c>
      <c r="N23" s="380"/>
      <c r="O23" s="378">
        <v>5.9209379448741502E-2</v>
      </c>
      <c r="P23" s="378">
        <v>0</v>
      </c>
      <c r="Q23" s="378">
        <v>0</v>
      </c>
      <c r="R23" s="378">
        <f t="shared" si="0"/>
        <v>0</v>
      </c>
      <c r="S23" s="86">
        <v>0</v>
      </c>
      <c r="T23" s="378">
        <v>0.26449894180708944</v>
      </c>
      <c r="U23" s="378">
        <v>0</v>
      </c>
      <c r="V23" s="378">
        <v>2.2721186480829866E-3</v>
      </c>
      <c r="W23" s="378">
        <f t="shared" si="1"/>
        <v>2.2721186480829866E-3</v>
      </c>
      <c r="X23" s="378">
        <v>1.1898257726387057E-2</v>
      </c>
      <c r="Y23" s="378">
        <f t="shared" si="2"/>
        <v>1.4170376374470044E-2</v>
      </c>
      <c r="Z23" s="378">
        <v>1.6713535119281285E-4</v>
      </c>
      <c r="AA23" s="378">
        <v>0</v>
      </c>
      <c r="AB23" s="378">
        <f t="shared" si="3"/>
        <v>1.6713535119281285E-4</v>
      </c>
      <c r="AC23" s="378">
        <f t="shared" si="4"/>
        <v>2.2721186480829866E-3</v>
      </c>
      <c r="AD23" s="378">
        <v>0.22478373995647902</v>
      </c>
      <c r="AE23" s="378">
        <v>5.2157176397212679E-2</v>
      </c>
      <c r="AF23" s="380">
        <v>0.96158625715712176</v>
      </c>
      <c r="AG23" s="380">
        <v>6.6985303551852948E-2</v>
      </c>
      <c r="AH23" s="72">
        <v>0.97386459187527386</v>
      </c>
      <c r="AI23" s="72">
        <v>0.24497689325972868</v>
      </c>
      <c r="AJ23" s="72">
        <v>0.56612093327156676</v>
      </c>
      <c r="AK23" s="72">
        <v>0.24497689325972868</v>
      </c>
      <c r="AL23" s="72">
        <v>1.5652200333896759E-2</v>
      </c>
      <c r="AM23" s="380">
        <v>0.67739403453689173</v>
      </c>
      <c r="AN23" s="380">
        <f>VLOOKUP(A23,LMA!$1:$1048576,13,FALSE)</f>
        <v>1.0153604417441966</v>
      </c>
      <c r="AO23" s="82">
        <f>VLOOKUP(A23,'Integrated Effic - ICC Cycle I'!$1:$1048576,8,FALSE)</f>
        <v>24773.015761312749</v>
      </c>
      <c r="AP23" s="72">
        <f>VLOOKUP(A23,'Integrated Effic - ICC Cycle I'!$1:$1048576,26,FALSE)</f>
        <v>0.2599292629219685</v>
      </c>
      <c r="AQ23" s="72">
        <f>VLOOKUP(A23,PROFIT!$1:$1048576,7,FALSE)</f>
        <v>0.26110841707991905</v>
      </c>
      <c r="AR23" s="72"/>
      <c r="AS23"/>
      <c r="AT23"/>
      <c r="AU23"/>
      <c r="AV23"/>
      <c r="AW23"/>
      <c r="AX23"/>
      <c r="AY23"/>
      <c r="AZ23"/>
      <c r="BA23"/>
    </row>
    <row r="24" spans="1:53" ht="17.7" x14ac:dyDescent="0.6">
      <c r="A24" s="37">
        <v>210032</v>
      </c>
      <c r="B24" s="26" t="str">
        <f>VLOOKUP(A24,'Variable Input'!$1:$1048576,2,FALSE)</f>
        <v>UNION HOSPITAL OF CECIL COUNTY</v>
      </c>
      <c r="C24" s="78">
        <f>VLOOKUP(A24,'Rate Application - ICC Cycle II'!$1:$1048576,26,FALSE)</f>
        <v>-0.13679423406328239</v>
      </c>
      <c r="D24" s="72">
        <f>VLOOKUP($A24,'DSH (Cumulative)'!A:M,7,FALSE)</f>
        <v>507951060.35000002</v>
      </c>
      <c r="E24" s="75">
        <f>VLOOKUP(A24,'Rate Application - ICC Cycle II'!$1:$1048576,9,FALSE)</f>
        <v>10926.435215269013</v>
      </c>
      <c r="F24" s="75">
        <v>79942</v>
      </c>
      <c r="G24" s="72">
        <v>5.9080199665311917E-2</v>
      </c>
      <c r="H24" s="72">
        <v>-9.2244973199060443E-2</v>
      </c>
      <c r="I24" s="82">
        <v>82910</v>
      </c>
      <c r="J24" s="82">
        <v>5814</v>
      </c>
      <c r="K24" s="72" t="str">
        <f>VLOOKUP(A24,'PAU Volume'!$1:$1048576,44,FALSE)</f>
        <v>Union of Cecil</v>
      </c>
      <c r="L24" s="82">
        <f>IFERROR(VLOOKUP(A24,#REF!,4,FALSE),0)</f>
        <v>0</v>
      </c>
      <c r="M24" s="10">
        <f>VLOOKUP(A24,'Variable Input'!$1:$1048576,20,FALSE)</f>
        <v>0</v>
      </c>
      <c r="N24" s="380"/>
      <c r="O24" s="378">
        <v>0.11649596749868231</v>
      </c>
      <c r="P24" s="378">
        <v>8.5287605756077789E-4</v>
      </c>
      <c r="Q24" s="378">
        <v>2.1761056721911288E-4</v>
      </c>
      <c r="R24" s="378">
        <f t="shared" si="0"/>
        <v>1.0704866247798909E-3</v>
      </c>
      <c r="S24" s="86">
        <v>0</v>
      </c>
      <c r="T24" s="378">
        <v>0.18990371894102495</v>
      </c>
      <c r="U24" s="378">
        <v>9.4126611297599521E-5</v>
      </c>
      <c r="V24" s="378">
        <v>4.7788770205778285E-3</v>
      </c>
      <c r="W24" s="378">
        <f t="shared" si="1"/>
        <v>4.8730036318754277E-3</v>
      </c>
      <c r="X24" s="378">
        <v>1.8869530372520784E-2</v>
      </c>
      <c r="Y24" s="378">
        <f t="shared" si="2"/>
        <v>2.3742534004396212E-2</v>
      </c>
      <c r="Z24" s="378">
        <v>4.2062116710798389E-2</v>
      </c>
      <c r="AA24" s="378">
        <v>1.2885913330294384E-2</v>
      </c>
      <c r="AB24" s="378">
        <f t="shared" si="3"/>
        <v>5.4948030041092777E-2</v>
      </c>
      <c r="AC24" s="378">
        <f t="shared" si="4"/>
        <v>1.8829403586949702E-2</v>
      </c>
      <c r="AD24" s="378">
        <v>0.21297385084245959</v>
      </c>
      <c r="AE24" s="378">
        <v>5.9964925366670849E-2</v>
      </c>
      <c r="AF24" s="380">
        <v>0.89343265608773703</v>
      </c>
      <c r="AG24" s="380">
        <v>8.6852855100852749E-2</v>
      </c>
      <c r="AH24" s="72">
        <v>0.91431665906718351</v>
      </c>
      <c r="AI24" s="72">
        <v>0.30589699904901801</v>
      </c>
      <c r="AJ24" s="72">
        <v>0.47393566654606578</v>
      </c>
      <c r="AK24" s="72">
        <v>0.30589699904901801</v>
      </c>
      <c r="AL24" s="72">
        <v>1.3323186645290672E-2</v>
      </c>
      <c r="AM24" s="380">
        <v>0.78021978021978022</v>
      </c>
      <c r="AN24" s="380">
        <f>VLOOKUP(A24,LMA!$1:$1048576,13,FALSE)</f>
        <v>0.97047380224590285</v>
      </c>
      <c r="AO24" s="82">
        <f>VLOOKUP(A24,'Integrated Effic - ICC Cycle I'!$1:$1048576,8,FALSE)</f>
        <v>17240.406421447642</v>
      </c>
      <c r="AP24" s="72">
        <f>VLOOKUP(A24,'Integrated Effic - ICC Cycle I'!$1:$1048576,26,FALSE)</f>
        <v>0.29864666626171954</v>
      </c>
      <c r="AQ24" s="72">
        <f>VLOOKUP(A24,PROFIT!$1:$1048576,7,FALSE)</f>
        <v>-6.74782844731458E-2</v>
      </c>
      <c r="AR24" s="72"/>
      <c r="AS24" t="s">
        <v>512</v>
      </c>
      <c r="AT24" t="s">
        <v>537</v>
      </c>
      <c r="AU24"/>
      <c r="AV24"/>
      <c r="AW24"/>
      <c r="AX24"/>
      <c r="AY24"/>
      <c r="AZ24"/>
      <c r="BA24"/>
    </row>
    <row r="25" spans="1:53" ht="18" thickBot="1" x14ac:dyDescent="0.65">
      <c r="A25" s="37">
        <v>210033</v>
      </c>
      <c r="B25" s="26" t="str">
        <f>VLOOKUP(A25,'Variable Input'!$1:$1048576,2,FALSE)</f>
        <v>CARROLL HOSPITAL CENTER</v>
      </c>
      <c r="C25" s="78">
        <f>VLOOKUP(A25,'Rate Application - ICC Cycle II'!$1:$1048576,26,FALSE)</f>
        <v>-0.14481894170005216</v>
      </c>
      <c r="D25" s="72">
        <f>VLOOKUP($A25,'DSH (Cumulative)'!A:M,7,FALSE)</f>
        <v>725338562.5999999</v>
      </c>
      <c r="E25" s="75">
        <f>VLOOKUP(A25,'Rate Application - ICC Cycle II'!$1:$1048576,9,FALSE)</f>
        <v>16462.876928917998</v>
      </c>
      <c r="F25" s="75">
        <v>66911</v>
      </c>
      <c r="G25" s="72">
        <v>4.1958020018324736E-2</v>
      </c>
      <c r="H25" s="72">
        <v>-4.7060560695789899E-2</v>
      </c>
      <c r="I25" s="82">
        <v>67098</v>
      </c>
      <c r="J25" s="82">
        <v>10505</v>
      </c>
      <c r="K25" s="72" t="str">
        <f>VLOOKUP(A25,'PAU Volume'!$1:$1048576,44,FALSE)</f>
        <v>Carroll</v>
      </c>
      <c r="L25" s="82">
        <f>IFERROR(VLOOKUP(A25,#REF!,4,FALSE),0)</f>
        <v>0</v>
      </c>
      <c r="M25" s="10">
        <f>VLOOKUP(A25,'Variable Input'!$1:$1048576,20,FALSE)</f>
        <v>0</v>
      </c>
      <c r="N25" s="380"/>
      <c r="O25" s="378">
        <v>0.15996277143926438</v>
      </c>
      <c r="P25" s="378">
        <v>9.3863821804148395E-4</v>
      </c>
      <c r="Q25" s="378">
        <v>3.6821434017895267E-3</v>
      </c>
      <c r="R25" s="378">
        <f t="shared" si="0"/>
        <v>4.6207816198310103E-3</v>
      </c>
      <c r="S25" s="86">
        <v>0</v>
      </c>
      <c r="T25" s="378">
        <v>0.16725895644322736</v>
      </c>
      <c r="U25" s="378">
        <v>6.8310658797679123E-4</v>
      </c>
      <c r="V25" s="378">
        <v>1.8299528346316627E-2</v>
      </c>
      <c r="W25" s="378">
        <f t="shared" si="1"/>
        <v>1.8982634934293419E-2</v>
      </c>
      <c r="X25" s="378">
        <v>2.512532916270209E-2</v>
      </c>
      <c r="Y25" s="378">
        <f t="shared" si="2"/>
        <v>4.4107964096995508E-2</v>
      </c>
      <c r="Z25" s="378">
        <v>4.3334547717908761E-2</v>
      </c>
      <c r="AA25" s="378">
        <v>1.1745841787517726E-2</v>
      </c>
      <c r="AB25" s="378">
        <f t="shared" si="3"/>
        <v>5.5080389505426486E-2</v>
      </c>
      <c r="AC25" s="378">
        <f t="shared" si="4"/>
        <v>3.5349258341642154E-2</v>
      </c>
      <c r="AD25" s="378">
        <v>0.26109871681824126</v>
      </c>
      <c r="AE25" s="378">
        <v>1.9310562655840759E-4</v>
      </c>
      <c r="AF25" s="380">
        <v>0.89804216411714755</v>
      </c>
      <c r="AG25" s="380">
        <v>7.7762677535632582E-2</v>
      </c>
      <c r="AH25" s="72">
        <v>0.95871550365383229</v>
      </c>
      <c r="AI25" s="72">
        <v>0.34590218493036501</v>
      </c>
      <c r="AJ25" s="72">
        <v>0.50343476991128544</v>
      </c>
      <c r="AK25" s="72">
        <v>0.34590218493036501</v>
      </c>
      <c r="AL25" s="72">
        <v>8.0382523795846945E-3</v>
      </c>
      <c r="AM25" s="380">
        <v>0.71978021978021978</v>
      </c>
      <c r="AN25" s="380">
        <f>VLOOKUP(A25,LMA!$1:$1048576,13,FALSE)</f>
        <v>1.0043155768119887</v>
      </c>
      <c r="AO25" s="82">
        <f>VLOOKUP(A25,'Integrated Effic - ICC Cycle I'!$1:$1048576,8,FALSE)</f>
        <v>16408.295753746712</v>
      </c>
      <c r="AP25" s="72">
        <f>VLOOKUP(A25,'Integrated Effic - ICC Cycle I'!$1:$1048576,26,FALSE)</f>
        <v>5.7731530255368702E-2</v>
      </c>
      <c r="AQ25" s="72">
        <f>VLOOKUP(A25,PROFIT!$1:$1048576,7,FALSE)</f>
        <v>0.10143628713150386</v>
      </c>
      <c r="AR25" s="72"/>
      <c r="AS25"/>
      <c r="AT25"/>
      <c r="AU25"/>
      <c r="AV25"/>
      <c r="AW25"/>
      <c r="AX25"/>
      <c r="AY25"/>
      <c r="AZ25"/>
      <c r="BA25"/>
    </row>
    <row r="26" spans="1:53" ht="17.7" x14ac:dyDescent="0.6">
      <c r="A26" s="37">
        <v>210034</v>
      </c>
      <c r="B26" s="26" t="str">
        <f>VLOOKUP(A26,'Variable Input'!$1:$1048576,2,FALSE)</f>
        <v>MEDSTAR HARBOR HOSPITAL CENTER</v>
      </c>
      <c r="C26" s="78">
        <f>VLOOKUP(A26,'Rate Application - ICC Cycle II'!$1:$1048576,26,FALSE)</f>
        <v>-4.4684475415338598E-3</v>
      </c>
      <c r="D26" s="72">
        <f>VLOOKUP($A26,'DSH (Cumulative)'!A:M,7,FALSE)</f>
        <v>584072321.88</v>
      </c>
      <c r="E26" s="75">
        <f>VLOOKUP(A26,'Rate Application - ICC Cycle II'!$1:$1048576,9,FALSE)</f>
        <v>11637.098158323013</v>
      </c>
      <c r="F26" s="75">
        <v>61705</v>
      </c>
      <c r="G26" s="72">
        <v>7.837340039473753E-2</v>
      </c>
      <c r="H26" s="72">
        <v>5.4201178711562159E-2</v>
      </c>
      <c r="I26" s="82">
        <v>61904</v>
      </c>
      <c r="J26" s="82">
        <v>9116</v>
      </c>
      <c r="K26" s="72" t="str">
        <f>VLOOKUP(A26,'PAU Volume'!$1:$1048576,44,FALSE)</f>
        <v>MedStar Harbor</v>
      </c>
      <c r="L26" s="82">
        <f>IFERROR(VLOOKUP(A26,#REF!,4,FALSE),0)</f>
        <v>0</v>
      </c>
      <c r="M26" s="10">
        <f>VLOOKUP(A26,'Variable Input'!$1:$1048576,20,FALSE)</f>
        <v>46</v>
      </c>
      <c r="N26" s="380"/>
      <c r="O26" s="378">
        <v>0.16776263354193119</v>
      </c>
      <c r="P26" s="378">
        <v>6.0083596895677091E-4</v>
      </c>
      <c r="Q26" s="378">
        <v>2.4855354614268228E-4</v>
      </c>
      <c r="R26" s="378">
        <f t="shared" si="0"/>
        <v>8.493895150994532E-4</v>
      </c>
      <c r="S26" s="86">
        <v>0</v>
      </c>
      <c r="T26" s="378">
        <v>0.13979288191976946</v>
      </c>
      <c r="U26" s="378">
        <v>0</v>
      </c>
      <c r="V26" s="378">
        <v>0</v>
      </c>
      <c r="W26" s="378">
        <f t="shared" si="1"/>
        <v>0</v>
      </c>
      <c r="X26" s="378">
        <v>2.8585980656718538E-2</v>
      </c>
      <c r="Y26" s="378">
        <f t="shared" si="2"/>
        <v>2.8585980656718538E-2</v>
      </c>
      <c r="Z26" s="378">
        <v>7.9804599485344838E-2</v>
      </c>
      <c r="AA26" s="378">
        <v>2.3221738624975931E-2</v>
      </c>
      <c r="AB26" s="378">
        <f t="shared" si="3"/>
        <v>0.10302633811032078</v>
      </c>
      <c r="AC26" s="378">
        <f t="shared" si="4"/>
        <v>2.4071128140075383E-2</v>
      </c>
      <c r="AD26" s="378">
        <v>0.20447666908903261</v>
      </c>
      <c r="AE26" s="378">
        <v>1.0548566026397123E-2</v>
      </c>
      <c r="AF26" s="380">
        <v>0.83727477931311078</v>
      </c>
      <c r="AG26" s="380">
        <v>6.6984816068355726E-2</v>
      </c>
      <c r="AH26" s="72">
        <v>0.98369492671387693</v>
      </c>
      <c r="AI26" s="72">
        <v>0.23470750160873585</v>
      </c>
      <c r="AJ26" s="72">
        <v>0.34590682472137674</v>
      </c>
      <c r="AK26" s="72">
        <v>0.23470750160873585</v>
      </c>
      <c r="AL26" s="72">
        <v>1.8129340066914093E-2</v>
      </c>
      <c r="AM26" s="380">
        <v>1.1240188383045526</v>
      </c>
      <c r="AN26" s="380">
        <f>VLOOKUP(A26,LMA!$1:$1048576,13,FALSE)</f>
        <v>0.99674771920837635</v>
      </c>
      <c r="AO26" s="82">
        <f>VLOOKUP(A26,'Integrated Effic - ICC Cycle I'!$1:$1048576,8,FALSE)</f>
        <v>17848.841560149009</v>
      </c>
      <c r="AP26" s="72">
        <f>VLOOKUP(A26,'Integrated Effic - ICC Cycle I'!$1:$1048576,26,FALSE)</f>
        <v>-0.10227403858306061</v>
      </c>
      <c r="AQ26" s="72">
        <f>VLOOKUP(A26,PROFIT!$1:$1048576,7,FALSE)</f>
        <v>6.9440568677950204E-2</v>
      </c>
      <c r="AR26" s="72"/>
      <c r="AS26" s="348" t="s">
        <v>513</v>
      </c>
      <c r="AT26" s="348"/>
      <c r="AU26"/>
      <c r="AV26"/>
      <c r="AW26"/>
      <c r="AX26"/>
      <c r="AY26"/>
      <c r="AZ26"/>
      <c r="BA26"/>
    </row>
    <row r="27" spans="1:53" ht="17.7" x14ac:dyDescent="0.6">
      <c r="A27" s="37">
        <v>210035</v>
      </c>
      <c r="B27" s="26" t="str">
        <f>VLOOKUP(A27,'Variable Input'!$1:$1048576,2,FALSE)</f>
        <v>UM-CHARLES REGIONAL MEDICAL CENTER</v>
      </c>
      <c r="C27" s="78">
        <f>VLOOKUP(A27,'Rate Application - ICC Cycle II'!$1:$1048576,26,FALSE)</f>
        <v>-3.6680935983368634E-3</v>
      </c>
      <c r="D27" s="72">
        <f>VLOOKUP($A27,'DSH (Cumulative)'!A:M,7,FALSE)</f>
        <v>485861164.10999995</v>
      </c>
      <c r="E27" s="75">
        <f>VLOOKUP(A27,'Rate Application - ICC Cycle II'!$1:$1048576,9,FALSE)</f>
        <v>12134.106723412984</v>
      </c>
      <c r="F27" s="75">
        <v>69099</v>
      </c>
      <c r="G27" s="72">
        <v>5.0998650153998001E-2</v>
      </c>
      <c r="H27" s="72">
        <v>5.8991313534796364E-2</v>
      </c>
      <c r="I27" s="82">
        <v>69362</v>
      </c>
      <c r="J27" s="82">
        <v>6772</v>
      </c>
      <c r="K27" s="72" t="str">
        <f>VLOOKUP(A27,'PAU Volume'!$1:$1048576,44,FALSE)</f>
        <v>UM-Charles Regional</v>
      </c>
      <c r="L27" s="82">
        <f>IFERROR(VLOOKUP(A27,#REF!,4,FALSE),0)</f>
        <v>0</v>
      </c>
      <c r="M27" s="10">
        <f>VLOOKUP(A27,'Variable Input'!$1:$1048576,20,FALSE)</f>
        <v>0</v>
      </c>
      <c r="N27" s="380"/>
      <c r="O27" s="378">
        <v>0.13736559264943518</v>
      </c>
      <c r="P27" s="378">
        <v>3.9152633672710784E-4</v>
      </c>
      <c r="Q27" s="378">
        <v>1.410089326959592E-3</v>
      </c>
      <c r="R27" s="378">
        <f t="shared" si="0"/>
        <v>1.8016156636866999E-3</v>
      </c>
      <c r="S27" s="86">
        <v>0</v>
      </c>
      <c r="T27" s="378">
        <v>0.24056046950495796</v>
      </c>
      <c r="U27" s="378">
        <v>4.35087280811549E-4</v>
      </c>
      <c r="V27" s="378">
        <v>2.7800008058013402E-4</v>
      </c>
      <c r="W27" s="378">
        <f t="shared" si="1"/>
        <v>7.1308736139168302E-4</v>
      </c>
      <c r="X27" s="378">
        <v>2.3458087837655611E-2</v>
      </c>
      <c r="Y27" s="378">
        <f t="shared" si="2"/>
        <v>2.4171175199047292E-2</v>
      </c>
      <c r="Z27" s="378">
        <v>4.2638038849367101E-2</v>
      </c>
      <c r="AA27" s="378">
        <v>8.4452685111911421E-3</v>
      </c>
      <c r="AB27" s="378">
        <f t="shared" si="3"/>
        <v>5.1083307360558244E-2</v>
      </c>
      <c r="AC27" s="378">
        <f t="shared" si="4"/>
        <v>1.0959971536269524E-2</v>
      </c>
      <c r="AD27" s="378">
        <v>0.22788846978028762</v>
      </c>
      <c r="AE27" s="378">
        <v>1.9019429254953792E-2</v>
      </c>
      <c r="AF27" s="380">
        <v>0.92611878728432306</v>
      </c>
      <c r="AG27" s="380">
        <v>8.3144790912384373E-2</v>
      </c>
      <c r="AH27" s="72">
        <v>0.97157372502772166</v>
      </c>
      <c r="AI27" s="72">
        <v>0.35137340093809916</v>
      </c>
      <c r="AJ27" s="72">
        <v>0.44333543786598284</v>
      </c>
      <c r="AK27" s="72">
        <v>0.35137340093809916</v>
      </c>
      <c r="AL27" s="72">
        <v>2.0267366337276549E-2</v>
      </c>
      <c r="AM27" s="380">
        <v>0.74882260596546313</v>
      </c>
      <c r="AN27" s="380">
        <f>VLOOKUP(A27,LMA!$1:$1048576,13,FALSE)</f>
        <v>0.96708770515813969</v>
      </c>
      <c r="AO27" s="82">
        <f>VLOOKUP(A27,'Integrated Effic - ICC Cycle I'!$1:$1048576,8,FALSE)</f>
        <v>14730.941066012398</v>
      </c>
      <c r="AP27" s="72">
        <f>VLOOKUP(A27,'Integrated Effic - ICC Cycle I'!$1:$1048576,26,FALSE)</f>
        <v>-8.2844330294622903E-2</v>
      </c>
      <c r="AQ27" s="72">
        <f>VLOOKUP(A27,PROFIT!$1:$1048576,7,FALSE)</f>
        <v>6.6336268632902859E-2</v>
      </c>
      <c r="AR27" s="72"/>
      <c r="AS27" t="s">
        <v>514</v>
      </c>
      <c r="AT27">
        <v>0.19840968817406035</v>
      </c>
      <c r="AU27"/>
      <c r="AV27"/>
      <c r="AW27"/>
      <c r="AX27"/>
      <c r="AY27"/>
      <c r="AZ27"/>
      <c r="BA27"/>
    </row>
    <row r="28" spans="1:53" ht="17.7" x14ac:dyDescent="0.6">
      <c r="A28" s="37">
        <v>210037</v>
      </c>
      <c r="B28" s="26" t="str">
        <f>VLOOKUP(A28,'Variable Input'!$1:$1048576,2,FALSE)</f>
        <v>UM-SHORE REGIONAL HEALTH AT EASTON</v>
      </c>
      <c r="C28" s="78">
        <f>VLOOKUP(A28,'Rate Application - ICC Cycle II'!$1:$1048576,26,FALSE)</f>
        <v>-0.18631182965245874</v>
      </c>
      <c r="D28" s="72">
        <f>VLOOKUP($A28,'DSH (Cumulative)'!A:M,7,FALSE)</f>
        <v>727772945.64999998</v>
      </c>
      <c r="E28" s="75">
        <f>VLOOKUP(A28,'Rate Application - ICC Cycle II'!$1:$1048576,9,FALSE)</f>
        <v>14334.792159748988</v>
      </c>
      <c r="F28" s="75">
        <v>76041</v>
      </c>
      <c r="G28" s="72">
        <v>5.8758224477391888E-2</v>
      </c>
      <c r="H28" s="72">
        <v>0.20547558376321651</v>
      </c>
      <c r="I28" s="82">
        <v>78478</v>
      </c>
      <c r="J28" s="82">
        <v>7318</v>
      </c>
      <c r="K28" s="72" t="str">
        <f>VLOOKUP(A28,'PAU Volume'!$1:$1048576,44,FALSE)</f>
        <v>UM-Easton</v>
      </c>
      <c r="L28" s="82">
        <f>IFERROR(VLOOKUP(A28,#REF!,4,FALSE),0)</f>
        <v>0</v>
      </c>
      <c r="M28" s="10">
        <f>VLOOKUP(A28,'Variable Input'!$1:$1048576,20,FALSE)</f>
        <v>0</v>
      </c>
      <c r="N28" s="380"/>
      <c r="O28" s="378">
        <v>7.6447278473493113E-2</v>
      </c>
      <c r="P28" s="378">
        <v>9.0510021635202163E-4</v>
      </c>
      <c r="Q28" s="378">
        <v>6.0067584464963374E-3</v>
      </c>
      <c r="R28" s="378">
        <f t="shared" si="0"/>
        <v>6.9118586628483594E-3</v>
      </c>
      <c r="S28" s="86">
        <v>0</v>
      </c>
      <c r="T28" s="378">
        <v>0.11540362883089003</v>
      </c>
      <c r="U28" s="378">
        <v>1.7392931680239589E-3</v>
      </c>
      <c r="V28" s="378">
        <v>1.8771329294864955E-2</v>
      </c>
      <c r="W28" s="378">
        <f t="shared" si="1"/>
        <v>2.0510622462888914E-2</v>
      </c>
      <c r="X28" s="378">
        <v>2.3783221604605397E-2</v>
      </c>
      <c r="Y28" s="378">
        <f t="shared" si="2"/>
        <v>4.4293844067494315E-2</v>
      </c>
      <c r="Z28" s="378">
        <v>5.1174231946986608E-2</v>
      </c>
      <c r="AA28" s="378">
        <v>1.3580201219721694E-2</v>
      </c>
      <c r="AB28" s="378">
        <f t="shared" si="3"/>
        <v>6.47544331667083E-2</v>
      </c>
      <c r="AC28" s="378">
        <f t="shared" si="4"/>
        <v>4.1002682345458966E-2</v>
      </c>
      <c r="AD28" s="378">
        <v>0.22663554888018345</v>
      </c>
      <c r="AE28" s="378">
        <v>8.2465808048931208E-2</v>
      </c>
      <c r="AF28" s="380">
        <v>1.0081174996614188</v>
      </c>
      <c r="AG28" s="380">
        <v>0.11063327670641927</v>
      </c>
      <c r="AH28" s="72">
        <v>0.98293168678079457</v>
      </c>
      <c r="AI28" s="72">
        <v>0.24949954335088526</v>
      </c>
      <c r="AJ28" s="72">
        <v>0.55698194448278115</v>
      </c>
      <c r="AK28" s="72">
        <v>0.24949954335088526</v>
      </c>
      <c r="AL28" s="72">
        <v>8.6687804730553684E-3</v>
      </c>
      <c r="AM28" s="380">
        <v>0.68838304552590268</v>
      </c>
      <c r="AN28" s="380">
        <f>VLOOKUP(A28,LMA!$1:$1048576,13,FALSE)</f>
        <v>0.98754886998478275</v>
      </c>
      <c r="AO28" s="82">
        <f>VLOOKUP(A28,'Integrated Effic - ICC Cycle I'!$1:$1048576,8,FALSE)</f>
        <v>18416.490245954992</v>
      </c>
      <c r="AP28" s="72">
        <f>VLOOKUP(A28,'Integrated Effic - ICC Cycle I'!$1:$1048576,26,FALSE)</f>
        <v>-0.16031039235374867</v>
      </c>
      <c r="AQ28" s="72">
        <f>VLOOKUP(A28,PROFIT!$1:$1048576,7,FALSE)</f>
        <v>0.28614872993892815</v>
      </c>
      <c r="AR28" s="72"/>
      <c r="AS28" t="s">
        <v>515</v>
      </c>
      <c r="AT28">
        <v>3.9366404361327864E-2</v>
      </c>
      <c r="AU28"/>
      <c r="AV28"/>
      <c r="AW28"/>
      <c r="AX28"/>
      <c r="AY28"/>
      <c r="AZ28"/>
      <c r="BA28"/>
    </row>
    <row r="29" spans="1:53" ht="17.7" x14ac:dyDescent="0.6">
      <c r="A29" s="37">
        <v>210038</v>
      </c>
      <c r="B29" s="26" t="str">
        <f>VLOOKUP(A29,'Variable Input'!$1:$1048576,2,FALSE)</f>
        <v>UMMC MIDTOWN CAMPUS</v>
      </c>
      <c r="C29" s="78">
        <f>VLOOKUP(A29,'Rate Application - ICC Cycle II'!$1:$1048576,26,FALSE)</f>
        <v>-0.18370201056667745</v>
      </c>
      <c r="D29" s="72">
        <f>VLOOKUP($A29,'DSH (Cumulative)'!A:M,7,FALSE)</f>
        <v>661434305.47000003</v>
      </c>
      <c r="E29" s="75">
        <f>VLOOKUP(A29,'Rate Application - ICC Cycle II'!$1:$1048576,9,FALSE)</f>
        <v>10658.398211444006</v>
      </c>
      <c r="F29" s="75">
        <v>89452</v>
      </c>
      <c r="G29" s="72">
        <v>0.12138151781711595</v>
      </c>
      <c r="H29" s="72">
        <v>-8.6672482655211658E-2</v>
      </c>
      <c r="I29" s="82">
        <v>90079</v>
      </c>
      <c r="J29" s="82">
        <v>5389</v>
      </c>
      <c r="K29" s="72" t="str">
        <f>VLOOKUP(A29,'PAU Volume'!$1:$1048576,44,FALSE)</f>
        <v>UMMC Midtown</v>
      </c>
      <c r="L29" s="82">
        <f>IFERROR(VLOOKUP(A29,#REF!,4,FALSE),0)</f>
        <v>0</v>
      </c>
      <c r="M29" s="10">
        <f>VLOOKUP(A29,'Variable Input'!$1:$1048576,20,FALSE)</f>
        <v>40</v>
      </c>
      <c r="N29" s="380"/>
      <c r="O29" s="378">
        <v>0.15905972537497481</v>
      </c>
      <c r="P29" s="378">
        <v>5.2771983087919884E-4</v>
      </c>
      <c r="Q29" s="378">
        <v>6.4991682372126248E-4</v>
      </c>
      <c r="R29" s="378">
        <f t="shared" si="0"/>
        <v>1.1776366546004612E-3</v>
      </c>
      <c r="S29" s="86">
        <v>0</v>
      </c>
      <c r="T29" s="378">
        <v>0.10361454220710553</v>
      </c>
      <c r="U29" s="378">
        <v>9.104788796368458E-5</v>
      </c>
      <c r="V29" s="378">
        <v>0</v>
      </c>
      <c r="W29" s="378">
        <f t="shared" si="1"/>
        <v>9.104788796368458E-5</v>
      </c>
      <c r="X29" s="378">
        <v>1.4394179856651328E-2</v>
      </c>
      <c r="Y29" s="378">
        <f t="shared" si="2"/>
        <v>1.4485227744615012E-2</v>
      </c>
      <c r="Z29" s="378">
        <v>2.9617273403256594E-4</v>
      </c>
      <c r="AA29" s="378">
        <v>0</v>
      </c>
      <c r="AB29" s="378">
        <f t="shared" si="3"/>
        <v>2.9617273403256594E-4</v>
      </c>
      <c r="AC29" s="378">
        <f t="shared" si="4"/>
        <v>1.2686845425641457E-3</v>
      </c>
      <c r="AD29" s="378">
        <v>0.2745173725254571</v>
      </c>
      <c r="AE29" s="378">
        <v>2.8704712430147137E-3</v>
      </c>
      <c r="AF29" s="380">
        <v>0.89587534513634648</v>
      </c>
      <c r="AG29" s="380">
        <v>5.1744404068721918E-2</v>
      </c>
      <c r="AH29" s="72">
        <v>0.97370999637276867</v>
      </c>
      <c r="AI29" s="72">
        <v>0.21464524752447148</v>
      </c>
      <c r="AJ29" s="72">
        <v>0.40267044648803935</v>
      </c>
      <c r="AK29" s="72">
        <v>0.21464524752447148</v>
      </c>
      <c r="AL29" s="72">
        <v>1.1355108200024933E-2</v>
      </c>
      <c r="AM29" s="380">
        <v>1.1240188383045526</v>
      </c>
      <c r="AN29" s="380">
        <f>VLOOKUP(A29,LMA!$1:$1048576,13,FALSE)</f>
        <v>0.9997587430420336</v>
      </c>
      <c r="AO29" s="82">
        <f>VLOOKUP(A29,'Integrated Effic - ICC Cycle I'!$1:$1048576,8,FALSE)</f>
        <v>23018.729787064924</v>
      </c>
      <c r="AP29" s="72">
        <f>VLOOKUP(A29,'Integrated Effic - ICC Cycle I'!$1:$1048576,26,FALSE)</f>
        <v>0.3809728339684344</v>
      </c>
      <c r="AQ29" s="72">
        <f>VLOOKUP(A29,PROFIT!$1:$1048576,7,FALSE)</f>
        <v>-1.2322490837208882E-2</v>
      </c>
      <c r="AR29" s="72"/>
      <c r="AS29" t="s">
        <v>516</v>
      </c>
      <c r="AT29">
        <v>1.5350564470361061E-2</v>
      </c>
      <c r="AU29"/>
      <c r="AV29"/>
      <c r="AW29"/>
      <c r="AX29"/>
      <c r="AY29"/>
      <c r="AZ29"/>
      <c r="BA29"/>
    </row>
    <row r="30" spans="1:53" ht="17.7" x14ac:dyDescent="0.6">
      <c r="A30" s="37">
        <v>210039</v>
      </c>
      <c r="B30" s="26" t="str">
        <f>VLOOKUP(A30,'Variable Input'!$1:$1048576,2,FALSE)</f>
        <v>CALVERT MEMORIAL HOSPITAL</v>
      </c>
      <c r="C30" s="78">
        <f>VLOOKUP(A30,'Rate Application - ICC Cycle II'!$1:$1048576,26,FALSE)</f>
        <v>-0.11925058820268597</v>
      </c>
      <c r="D30" s="72">
        <f>VLOOKUP($A30,'DSH (Cumulative)'!A:M,7,FALSE)</f>
        <v>469778443.06</v>
      </c>
      <c r="E30" s="75">
        <f>VLOOKUP(A30,'Rate Application - ICC Cycle II'!$1:$1048576,9,FALSE)</f>
        <v>10412.594138032973</v>
      </c>
      <c r="F30" s="75">
        <v>63025</v>
      </c>
      <c r="G30" s="72">
        <v>5.5735431930769443E-2</v>
      </c>
      <c r="H30" s="72">
        <v>-3.3745657823165742E-2</v>
      </c>
      <c r="I30" s="82">
        <v>66765</v>
      </c>
      <c r="J30" s="82">
        <v>6866</v>
      </c>
      <c r="K30" s="72" t="str">
        <f>VLOOKUP(A30,'PAU Volume'!$1:$1048576,44,FALSE)</f>
        <v>Calvert</v>
      </c>
      <c r="L30" s="82">
        <f>IFERROR(VLOOKUP(A30,#REF!,4,FALSE),0)</f>
        <v>0</v>
      </c>
      <c r="M30" s="10">
        <f>VLOOKUP(A30,'Variable Input'!$1:$1048576,20,FALSE)</f>
        <v>0</v>
      </c>
      <c r="N30" s="380"/>
      <c r="O30" s="378">
        <v>0.13128636998607146</v>
      </c>
      <c r="P30" s="378">
        <v>7.4067810977763277E-4</v>
      </c>
      <c r="Q30" s="378">
        <v>0</v>
      </c>
      <c r="R30" s="378">
        <f t="shared" si="0"/>
        <v>7.4067810977763277E-4</v>
      </c>
      <c r="S30" s="86">
        <v>0</v>
      </c>
      <c r="T30" s="378">
        <v>0.20424063835604753</v>
      </c>
      <c r="U30" s="378">
        <v>0</v>
      </c>
      <c r="V30" s="378">
        <v>2.1438645743688534E-3</v>
      </c>
      <c r="W30" s="378">
        <f t="shared" si="1"/>
        <v>2.1438645743688534E-3</v>
      </c>
      <c r="X30" s="378">
        <v>2.6513351300320877E-2</v>
      </c>
      <c r="Y30" s="378">
        <f t="shared" si="2"/>
        <v>2.865721587468973E-2</v>
      </c>
      <c r="Z30" s="378">
        <v>3.6491770662467525E-2</v>
      </c>
      <c r="AA30" s="378">
        <v>9.493145535920745E-3</v>
      </c>
      <c r="AB30" s="378">
        <f t="shared" si="3"/>
        <v>4.5984916198388272E-2</v>
      </c>
      <c r="AC30" s="378">
        <f t="shared" si="4"/>
        <v>1.2377688220067231E-2</v>
      </c>
      <c r="AD30" s="378">
        <v>0.1897438732552571</v>
      </c>
      <c r="AE30" s="378">
        <v>6.8245421349172039E-2</v>
      </c>
      <c r="AF30" s="380">
        <v>0.84325489815647081</v>
      </c>
      <c r="AG30" s="380">
        <v>9.2240867477871691E-2</v>
      </c>
      <c r="AH30" s="72">
        <v>0.98684295005354739</v>
      </c>
      <c r="AI30" s="72">
        <v>0.38732143319854728</v>
      </c>
      <c r="AJ30" s="72">
        <v>0.45703223210418686</v>
      </c>
      <c r="AK30" s="72">
        <v>0.38732143319854728</v>
      </c>
      <c r="AL30" s="72">
        <v>1.0483959352006779E-2</v>
      </c>
      <c r="AM30" s="380">
        <v>0.78649921507064369</v>
      </c>
      <c r="AN30" s="380">
        <f>VLOOKUP(A30,LMA!$1:$1048576,13,FALSE)</f>
        <v>0.99626803695773614</v>
      </c>
      <c r="AO30" s="82">
        <f>VLOOKUP(A30,'Integrated Effic - ICC Cycle I'!$1:$1048576,8,FALSE)</f>
        <v>16065.974727032744</v>
      </c>
      <c r="AP30" s="72">
        <f>VLOOKUP(A30,'Integrated Effic - ICC Cycle I'!$1:$1048576,26,FALSE)</f>
        <v>2.8986184719643093E-2</v>
      </c>
      <c r="AQ30" s="72">
        <f>VLOOKUP(A30,PROFIT!$1:$1048576,7,FALSE)</f>
        <v>9.5685213149193371E-2</v>
      </c>
      <c r="AR30" s="72"/>
      <c r="AS30" t="s">
        <v>517</v>
      </c>
      <c r="AT30">
        <v>6.595428309668637E-2</v>
      </c>
      <c r="AU30"/>
      <c r="AV30"/>
      <c r="AW30"/>
      <c r="AX30"/>
      <c r="AY30"/>
      <c r="AZ30"/>
      <c r="BA30"/>
    </row>
    <row r="31" spans="1:53" ht="18" thickBot="1" x14ac:dyDescent="0.65">
      <c r="A31" s="37">
        <v>210040</v>
      </c>
      <c r="B31" s="26" t="str">
        <f>VLOOKUP(A31,'Variable Input'!$1:$1048576,2,FALSE)</f>
        <v>NORTHWEST HOSPITAL CENTER</v>
      </c>
      <c r="C31" s="78">
        <f>VLOOKUP(A31,'Rate Application - ICC Cycle II'!$1:$1048576,26,FALSE)</f>
        <v>-0.14769648498013377</v>
      </c>
      <c r="D31" s="72">
        <f>VLOOKUP($A31,'DSH (Cumulative)'!A:M,7,FALSE)</f>
        <v>838119897.68000007</v>
      </c>
      <c r="E31" s="75">
        <f>VLOOKUP(A31,'Rate Application - ICC Cycle II'!$1:$1048576,9,FALSE)</f>
        <v>15965.725843327995</v>
      </c>
      <c r="F31" s="75">
        <v>78271</v>
      </c>
      <c r="G31" s="72">
        <v>9.6291790959771209E-2</v>
      </c>
      <c r="H31" s="72">
        <v>8.3189832306010292E-2</v>
      </c>
      <c r="I31" s="82">
        <v>80918</v>
      </c>
      <c r="J31" s="82">
        <v>9188</v>
      </c>
      <c r="K31" s="72" t="str">
        <f>VLOOKUP(A31,'PAU Volume'!$1:$1048576,44,FALSE)</f>
        <v>Northwest</v>
      </c>
      <c r="L31" s="82">
        <f>IFERROR(VLOOKUP(A31,#REF!,4,FALSE),0)</f>
        <v>0</v>
      </c>
      <c r="M31" s="10">
        <f>VLOOKUP(A31,'Variable Input'!$1:$1048576,20,FALSE)</f>
        <v>0</v>
      </c>
      <c r="N31" s="380"/>
      <c r="O31" s="378">
        <v>0.16649391302310537</v>
      </c>
      <c r="P31" s="378">
        <v>1.1441806570922568E-3</v>
      </c>
      <c r="Q31" s="378">
        <v>2.1466571580782971E-4</v>
      </c>
      <c r="R31" s="378">
        <f t="shared" si="0"/>
        <v>1.3588463729000864E-3</v>
      </c>
      <c r="S31" s="86">
        <v>0</v>
      </c>
      <c r="T31" s="378">
        <v>0.1757993953848131</v>
      </c>
      <c r="U31" s="378">
        <v>3.4152799270507103E-4</v>
      </c>
      <c r="V31" s="378">
        <v>1.183086187146735E-3</v>
      </c>
      <c r="W31" s="378">
        <f t="shared" si="1"/>
        <v>1.5246141798518061E-3</v>
      </c>
      <c r="X31" s="378">
        <v>1.8628995396957511E-2</v>
      </c>
      <c r="Y31" s="378">
        <f t="shared" si="2"/>
        <v>2.0153609576809318E-2</v>
      </c>
      <c r="Z31" s="378">
        <v>8.8442965205271049E-4</v>
      </c>
      <c r="AA31" s="378">
        <v>0</v>
      </c>
      <c r="AB31" s="378">
        <f t="shared" si="3"/>
        <v>8.8442965205271049E-4</v>
      </c>
      <c r="AC31" s="378">
        <f t="shared" si="4"/>
        <v>2.8834605527518925E-3</v>
      </c>
      <c r="AD31" s="378">
        <v>0.25740201188030182</v>
      </c>
      <c r="AE31" s="378">
        <v>4.5076355883107315E-2</v>
      </c>
      <c r="AF31" s="380">
        <v>0.93741998153877459</v>
      </c>
      <c r="AG31" s="380">
        <v>8.0198034287811693E-2</v>
      </c>
      <c r="AH31" s="72">
        <v>0.97974695402678347</v>
      </c>
      <c r="AI31" s="72">
        <v>0.27480347207990125</v>
      </c>
      <c r="AJ31" s="72">
        <v>0.49072979325797367</v>
      </c>
      <c r="AK31" s="72">
        <v>0.27480347207990125</v>
      </c>
      <c r="AL31" s="72">
        <v>3.2992180137496573E-2</v>
      </c>
      <c r="AM31" s="380">
        <v>0.93642072213500782</v>
      </c>
      <c r="AN31" s="380">
        <f>VLOOKUP(A31,LMA!$1:$1048576,13,FALSE)</f>
        <v>0.99412472687934472</v>
      </c>
      <c r="AO31" s="82">
        <f>VLOOKUP(A31,'Integrated Effic - ICC Cycle I'!$1:$1048576,8,FALSE)</f>
        <v>18357.369690300417</v>
      </c>
      <c r="AP31" s="72">
        <f>VLOOKUP(A31,'Integrated Effic - ICC Cycle I'!$1:$1048576,26,FALSE)</f>
        <v>6.4547526406610434E-2</v>
      </c>
      <c r="AQ31" s="72">
        <f>VLOOKUP(A31,PROFIT!$1:$1048576,7,FALSE)</f>
        <v>0.10443553813898926</v>
      </c>
      <c r="AR31" s="72"/>
      <c r="AS31" s="346" t="s">
        <v>518</v>
      </c>
      <c r="AT31" s="346">
        <v>42</v>
      </c>
      <c r="AU31"/>
      <c r="AV31"/>
      <c r="AW31"/>
      <c r="AX31"/>
      <c r="AY31"/>
      <c r="AZ31"/>
      <c r="BA31"/>
    </row>
    <row r="32" spans="1:53" ht="17.7" x14ac:dyDescent="0.6">
      <c r="A32" s="37">
        <v>210043</v>
      </c>
      <c r="B32" s="26" t="str">
        <f>VLOOKUP(A32,'Variable Input'!$1:$1048576,2,FALSE)</f>
        <v>UM-BALTIMORE WASHINGTON MEDICAL CENTER</v>
      </c>
      <c r="C32" s="78">
        <f>VLOOKUP(A32,'Rate Application - ICC Cycle II'!$1:$1048576,26,FALSE)</f>
        <v>-7.4586716961966837E-2</v>
      </c>
      <c r="D32" s="72">
        <f>VLOOKUP($A32,'DSH (Cumulative)'!A:M,7,FALSE)</f>
        <v>1385941643.5300002</v>
      </c>
      <c r="E32" s="75">
        <f>VLOOKUP(A32,'Rate Application - ICC Cycle II'!$1:$1048576,9,FALSE)</f>
        <v>30943.516611114035</v>
      </c>
      <c r="F32" s="75">
        <v>147693</v>
      </c>
      <c r="G32" s="72">
        <v>5.0385595186712991E-2</v>
      </c>
      <c r="H32" s="72">
        <v>0.19722984206876615</v>
      </c>
      <c r="I32" s="82">
        <v>148383</v>
      </c>
      <c r="J32" s="82">
        <v>21287</v>
      </c>
      <c r="K32" s="72" t="str">
        <f>VLOOKUP(A32,'PAU Volume'!$1:$1048576,44,FALSE)</f>
        <v>UM-BWMC</v>
      </c>
      <c r="L32" s="82">
        <f>IFERROR(VLOOKUP(A32,#REF!,4,FALSE),0)</f>
        <v>0</v>
      </c>
      <c r="M32" s="10">
        <f>VLOOKUP(A32,'Variable Input'!$1:$1048576,20,FALSE)</f>
        <v>7</v>
      </c>
      <c r="N32" s="380"/>
      <c r="O32" s="378">
        <v>0.14459047784538412</v>
      </c>
      <c r="P32" s="378">
        <v>8.9262848981189473E-4</v>
      </c>
      <c r="Q32" s="378">
        <v>6.9532078776252566E-3</v>
      </c>
      <c r="R32" s="378">
        <f t="shared" si="0"/>
        <v>7.845836367437152E-3</v>
      </c>
      <c r="S32" s="86">
        <v>0</v>
      </c>
      <c r="T32" s="378">
        <v>0.13042652110269176</v>
      </c>
      <c r="U32" s="378">
        <v>3.4548792771206204E-3</v>
      </c>
      <c r="V32" s="378">
        <v>1.361728245589244E-2</v>
      </c>
      <c r="W32" s="378">
        <f t="shared" si="1"/>
        <v>1.7072161733013059E-2</v>
      </c>
      <c r="X32" s="378">
        <v>2.3318376232404524E-2</v>
      </c>
      <c r="Y32" s="378">
        <f t="shared" si="2"/>
        <v>4.0390537965417583E-2</v>
      </c>
      <c r="Z32" s="378">
        <v>4.2252761631163267E-2</v>
      </c>
      <c r="AA32" s="378">
        <v>9.2325650953799E-3</v>
      </c>
      <c r="AB32" s="378">
        <f t="shared" si="3"/>
        <v>5.1485326726543171E-2</v>
      </c>
      <c r="AC32" s="378">
        <f t="shared" si="4"/>
        <v>3.4150563195830111E-2</v>
      </c>
      <c r="AD32" s="378">
        <v>0.26184695676263681</v>
      </c>
      <c r="AE32" s="378">
        <v>1.210965893222558E-2</v>
      </c>
      <c r="AF32" s="380">
        <v>0.98791624369524966</v>
      </c>
      <c r="AG32" s="380">
        <v>7.7903912510575241E-2</v>
      </c>
      <c r="AH32" s="72">
        <v>0.9815009912452477</v>
      </c>
      <c r="AI32" s="72">
        <v>0.32391890677985702</v>
      </c>
      <c r="AJ32" s="72">
        <v>0.46527579736082691</v>
      </c>
      <c r="AK32" s="72">
        <v>0.32391890677985702</v>
      </c>
      <c r="AL32" s="72">
        <v>1.1872440620873111E-2</v>
      </c>
      <c r="AM32" s="380">
        <v>0.95839874411302983</v>
      </c>
      <c r="AN32" s="380">
        <f>VLOOKUP(A32,LMA!$1:$1048576,13,FALSE)</f>
        <v>0.98727683874454164</v>
      </c>
      <c r="AO32" s="82">
        <f>VLOOKUP(A32,'Integrated Effic - ICC Cycle I'!$1:$1048576,8,FALSE)</f>
        <v>15983.590389498875</v>
      </c>
      <c r="AP32" s="72">
        <f>VLOOKUP(A32,'Integrated Effic - ICC Cycle I'!$1:$1048576,26,FALSE)</f>
        <v>-4.8736156653949037E-2</v>
      </c>
      <c r="AQ32" s="72">
        <f>VLOOKUP(A32,PROFIT!$1:$1048576,7,FALSE)</f>
        <v>0.10761672918035056</v>
      </c>
      <c r="AR32" s="72"/>
      <c r="AS32"/>
      <c r="AT32"/>
      <c r="AU32"/>
      <c r="AV32"/>
      <c r="AW32"/>
      <c r="AX32"/>
      <c r="AY32"/>
      <c r="AZ32"/>
      <c r="BA32"/>
    </row>
    <row r="33" spans="1:53" ht="18" thickBot="1" x14ac:dyDescent="0.65">
      <c r="A33" s="37">
        <v>210044</v>
      </c>
      <c r="B33" s="26" t="str">
        <f>VLOOKUP(A33,'Variable Input'!$1:$1048576,2,FALSE)</f>
        <v>GREATER BALTIMORE MEDICAL CENTER</v>
      </c>
      <c r="C33" s="78">
        <f>VLOOKUP(A33,'Rate Application - ICC Cycle II'!$1:$1048576,26,FALSE)</f>
        <v>-0.10326001430781895</v>
      </c>
      <c r="D33" s="72">
        <f>VLOOKUP($A33,'DSH (Cumulative)'!A:M,7,FALSE)</f>
        <v>1432504689.6500001</v>
      </c>
      <c r="E33" s="75">
        <f>VLOOKUP(A33,'Rate Application - ICC Cycle II'!$1:$1048576,9,FALSE)</f>
        <v>30637.922123716067</v>
      </c>
      <c r="F33" s="75">
        <v>175430</v>
      </c>
      <c r="G33" s="72">
        <v>2.7131954942549392E-2</v>
      </c>
      <c r="H33" s="72">
        <v>6.947846411486025E-2</v>
      </c>
      <c r="I33" s="82">
        <v>185348</v>
      </c>
      <c r="J33" s="82">
        <v>20956</v>
      </c>
      <c r="K33" s="72" t="str">
        <f>VLOOKUP(A33,'PAU Volume'!$1:$1048576,44,FALSE)</f>
        <v>GBMC</v>
      </c>
      <c r="L33" s="82">
        <f>IFERROR(VLOOKUP(A33,#REF!,4,FALSE),0)</f>
        <v>0</v>
      </c>
      <c r="M33" s="10">
        <f>VLOOKUP(A33,'Variable Input'!$1:$1048576,20,FALSE)</f>
        <v>58</v>
      </c>
      <c r="N33" s="380"/>
      <c r="O33" s="378">
        <v>9.4368351749257215E-2</v>
      </c>
      <c r="P33" s="378">
        <v>8.3833203670148214E-4</v>
      </c>
      <c r="Q33" s="378">
        <v>3.1129440335084671E-3</v>
      </c>
      <c r="R33" s="378">
        <f t="shared" si="0"/>
        <v>3.9512760702099491E-3</v>
      </c>
      <c r="S33" s="86">
        <v>0</v>
      </c>
      <c r="T33" s="378">
        <v>9.6123193239960714E-2</v>
      </c>
      <c r="U33" s="378">
        <v>3.1946981787737164E-4</v>
      </c>
      <c r="V33" s="378">
        <v>8.258306085029138E-4</v>
      </c>
      <c r="W33" s="378">
        <f t="shared" si="1"/>
        <v>1.1453004263802854E-3</v>
      </c>
      <c r="X33" s="378">
        <v>1.403652545464186E-2</v>
      </c>
      <c r="Y33" s="378">
        <f t="shared" si="2"/>
        <v>1.5181825881022145E-2</v>
      </c>
      <c r="Z33" s="378">
        <v>6.1662174042081519E-2</v>
      </c>
      <c r="AA33" s="378">
        <v>3.6561659970184547E-2</v>
      </c>
      <c r="AB33" s="378">
        <f t="shared" si="3"/>
        <v>9.8223834012266059E-2</v>
      </c>
      <c r="AC33" s="378">
        <f t="shared" si="4"/>
        <v>4.165823646677478E-2</v>
      </c>
      <c r="AD33" s="378">
        <v>0.33324988919242643</v>
      </c>
      <c r="AE33" s="378">
        <v>7.2815744966679738E-2</v>
      </c>
      <c r="AF33" s="380">
        <v>0.93476372623594861</v>
      </c>
      <c r="AG33" s="380">
        <v>8.9585209866341775E-2</v>
      </c>
      <c r="AH33" s="72">
        <v>0.96369223656717651</v>
      </c>
      <c r="AI33" s="72">
        <v>0.45755562833219787</v>
      </c>
      <c r="AJ33" s="72">
        <v>0.40576700639395513</v>
      </c>
      <c r="AK33" s="72">
        <v>0.45755562833219787</v>
      </c>
      <c r="AL33" s="72">
        <v>8.3088227415291684E-3</v>
      </c>
      <c r="AM33" s="380">
        <v>0.93642072213500782</v>
      </c>
      <c r="AN33" s="380">
        <f>VLOOKUP(A33,LMA!$1:$1048576,13,FALSE)</f>
        <v>0.9950932000443341</v>
      </c>
      <c r="AO33" s="82">
        <f>VLOOKUP(A33,'Integrated Effic - ICC Cycle I'!$1:$1048576,8,FALSE)</f>
        <v>15911.003250060867</v>
      </c>
      <c r="AP33" s="72">
        <f>VLOOKUP(A33,'Integrated Effic - ICC Cycle I'!$1:$1048576,26,FALSE)</f>
        <v>-1.3822270340733023E-2</v>
      </c>
      <c r="AQ33" s="72">
        <f>VLOOKUP(A33,PROFIT!$1:$1048576,7,FALSE)</f>
        <v>0.11080761705387003</v>
      </c>
      <c r="AR33" s="72"/>
      <c r="AS33" t="s">
        <v>519</v>
      </c>
      <c r="AT33"/>
      <c r="AU33"/>
      <c r="AV33"/>
      <c r="AW33"/>
      <c r="AX33"/>
      <c r="AY33"/>
      <c r="AZ33"/>
      <c r="BA33"/>
    </row>
    <row r="34" spans="1:53" ht="17.7" x14ac:dyDescent="0.6">
      <c r="A34" s="37">
        <v>210048</v>
      </c>
      <c r="B34" s="26" t="str">
        <f>VLOOKUP(A34,'Variable Input'!$1:$1048576,2,FALSE)</f>
        <v>HOWARD COUNTY GENERAL HOSPITAL</v>
      </c>
      <c r="C34" s="78">
        <f>VLOOKUP(A34,'Rate Application - ICC Cycle II'!$1:$1048576,26,FALSE)</f>
        <v>-1.8177667344131732E-2</v>
      </c>
      <c r="D34" s="72">
        <f>VLOOKUP($A34,'DSH (Cumulative)'!A:M,7,FALSE)</f>
        <v>964888017.56999993</v>
      </c>
      <c r="E34" s="75">
        <f>VLOOKUP(A34,'Rate Application - ICC Cycle II'!$1:$1048576,9,FALSE)</f>
        <v>24559.146065829038</v>
      </c>
      <c r="F34" s="75">
        <v>128742</v>
      </c>
      <c r="G34" s="72">
        <v>5.0727258721670172E-2</v>
      </c>
      <c r="H34" s="72">
        <v>3.3452107066018311E-2</v>
      </c>
      <c r="I34" s="82">
        <v>128880</v>
      </c>
      <c r="J34" s="82">
        <v>18825</v>
      </c>
      <c r="K34" s="72" t="str">
        <f>VLOOKUP(A34,'PAU Volume'!$1:$1048576,44,FALSE)</f>
        <v>Howard County</v>
      </c>
      <c r="L34" s="82">
        <f>IFERROR(VLOOKUP(A34,#REF!,4,FALSE),0)</f>
        <v>0</v>
      </c>
      <c r="M34" s="10">
        <f>VLOOKUP(A34,'Variable Input'!$1:$1048576,20,FALSE)</f>
        <v>0</v>
      </c>
      <c r="N34" s="380"/>
      <c r="O34" s="378">
        <v>0.13693220659123137</v>
      </c>
      <c r="P34" s="378">
        <v>1.0059028603253534E-3</v>
      </c>
      <c r="Q34" s="378">
        <v>9.2529711989010799E-4</v>
      </c>
      <c r="R34" s="378">
        <f t="shared" si="0"/>
        <v>1.9311999802154615E-3</v>
      </c>
      <c r="S34" s="86">
        <v>0</v>
      </c>
      <c r="T34" s="378">
        <v>0.16237886866739956</v>
      </c>
      <c r="U34" s="378">
        <v>1.03106065597198E-3</v>
      </c>
      <c r="V34" s="378">
        <v>9.8400603785718348E-3</v>
      </c>
      <c r="W34" s="378">
        <f t="shared" si="1"/>
        <v>1.0871121034543815E-2</v>
      </c>
      <c r="X34" s="378">
        <v>1.9257573280551381E-2</v>
      </c>
      <c r="Y34" s="378">
        <f t="shared" si="2"/>
        <v>3.0128694315095197E-2</v>
      </c>
      <c r="Z34" s="378">
        <v>9.3211052313452405E-2</v>
      </c>
      <c r="AA34" s="378">
        <v>4.7922670842747712E-2</v>
      </c>
      <c r="AB34" s="378">
        <f t="shared" si="3"/>
        <v>0.14113372315620012</v>
      </c>
      <c r="AC34" s="378">
        <f t="shared" si="4"/>
        <v>6.0724991857506988E-2</v>
      </c>
      <c r="AD34" s="378">
        <v>0.23500374728569409</v>
      </c>
      <c r="AE34" s="378">
        <v>6.727729657320632E-4</v>
      </c>
      <c r="AF34" s="380">
        <v>0.90771034455469291</v>
      </c>
      <c r="AG34" s="380">
        <v>7.6006798209798165E-2</v>
      </c>
      <c r="AH34" s="72">
        <v>0.97117576078645751</v>
      </c>
      <c r="AI34" s="72">
        <v>0.47329876216663996</v>
      </c>
      <c r="AJ34" s="72">
        <v>0.35715583961173386</v>
      </c>
      <c r="AK34" s="72">
        <v>0.47329876216663996</v>
      </c>
      <c r="AL34" s="72">
        <v>2.3013457927080087E-2</v>
      </c>
      <c r="AM34" s="380">
        <v>1.1224489795918366</v>
      </c>
      <c r="AN34" s="380">
        <f>VLOOKUP(A34,LMA!$1:$1048576,13,FALSE)</f>
        <v>1.0134680453008471</v>
      </c>
      <c r="AO34" s="82">
        <f>VLOOKUP(A34,'Integrated Effic - ICC Cycle I'!$1:$1048576,8,FALSE)</f>
        <v>14143.987058952876</v>
      </c>
      <c r="AP34" s="72">
        <f>VLOOKUP(A34,'Integrated Effic - ICC Cycle I'!$1:$1048576,26,FALSE)</f>
        <v>3.6279021455449589E-2</v>
      </c>
      <c r="AQ34" s="72">
        <f>VLOOKUP(A34,PROFIT!$1:$1048576,7,FALSE)</f>
        <v>-1.4115167917550698E-2</v>
      </c>
      <c r="AR34" s="72"/>
      <c r="AS34" s="347"/>
      <c r="AT34" s="347" t="s">
        <v>523</v>
      </c>
      <c r="AU34" s="347" t="s">
        <v>524</v>
      </c>
      <c r="AV34" s="347" t="s">
        <v>525</v>
      </c>
      <c r="AW34" s="347" t="s">
        <v>526</v>
      </c>
      <c r="AX34" s="347" t="s">
        <v>527</v>
      </c>
      <c r="AY34"/>
      <c r="AZ34"/>
      <c r="BA34"/>
    </row>
    <row r="35" spans="1:53" ht="17.7" x14ac:dyDescent="0.6">
      <c r="A35" s="37">
        <v>210049</v>
      </c>
      <c r="B35" s="26" t="str">
        <f>VLOOKUP(A35,'Variable Input'!$1:$1048576,2,FALSE)</f>
        <v>UM-UPPER CHESAPEAKE MEDICAL CENTER</v>
      </c>
      <c r="C35" s="78">
        <f>VLOOKUP(A35,'Rate Application - ICC Cycle II'!$1:$1048576,26,FALSE)</f>
        <v>-6.3052073714990442E-2</v>
      </c>
      <c r="D35" s="72">
        <f>VLOOKUP($A35,'DSH (Cumulative)'!A:M,7,FALSE)</f>
        <v>1032396069.0700001</v>
      </c>
      <c r="E35" s="75">
        <f>VLOOKUP(A35,'Rate Application - ICC Cycle II'!$1:$1048576,9,FALSE)</f>
        <v>24233.031990069048</v>
      </c>
      <c r="F35" s="75">
        <v>136668</v>
      </c>
      <c r="G35" s="72">
        <v>5.2890351769821098E-2</v>
      </c>
      <c r="H35" s="72">
        <v>6.253551788376055E-2</v>
      </c>
      <c r="I35" s="82">
        <v>136926</v>
      </c>
      <c r="J35" s="82">
        <v>15564</v>
      </c>
      <c r="K35" s="72" t="str">
        <f>VLOOKUP(A35,'PAU Volume'!$1:$1048576,44,FALSE)</f>
        <v>UM-Upper Chesapeake</v>
      </c>
      <c r="L35" s="82">
        <f>IFERROR(VLOOKUP(A35,#REF!,4,FALSE),0)</f>
        <v>0</v>
      </c>
      <c r="M35" s="10">
        <f>VLOOKUP(A35,'Variable Input'!$1:$1048576,20,FALSE)</f>
        <v>0</v>
      </c>
      <c r="N35" s="380"/>
      <c r="O35" s="378">
        <v>0.14882060601317051</v>
      </c>
      <c r="P35" s="378">
        <v>1.1057002840827251E-3</v>
      </c>
      <c r="Q35" s="378">
        <v>4.8765065862739322E-3</v>
      </c>
      <c r="R35" s="378">
        <f t="shared" si="0"/>
        <v>5.9822068703566569E-3</v>
      </c>
      <c r="S35" s="86">
        <v>0</v>
      </c>
      <c r="T35" s="378">
        <v>0.11604310347919006</v>
      </c>
      <c r="U35" s="378">
        <v>3.7217179417386834E-3</v>
      </c>
      <c r="V35" s="378">
        <v>2.4085069369011756E-2</v>
      </c>
      <c r="W35" s="378">
        <f t="shared" si="1"/>
        <v>2.7806787310750439E-2</v>
      </c>
      <c r="X35" s="378">
        <v>2.8145181577359998E-2</v>
      </c>
      <c r="Y35" s="378">
        <f t="shared" si="2"/>
        <v>5.5951968888110437E-2</v>
      </c>
      <c r="Z35" s="378">
        <v>5.0529522376269308E-2</v>
      </c>
      <c r="AA35" s="378">
        <v>1.0636764628634249E-2</v>
      </c>
      <c r="AB35" s="378">
        <f t="shared" si="3"/>
        <v>6.1166287004903556E-2</v>
      </c>
      <c r="AC35" s="378">
        <f t="shared" si="4"/>
        <v>4.4425758809741346E-2</v>
      </c>
      <c r="AD35" s="378">
        <v>0.25184237813277355</v>
      </c>
      <c r="AE35" s="378">
        <v>3.5283032157168632E-4</v>
      </c>
      <c r="AF35" s="380">
        <v>0.88823010149647552</v>
      </c>
      <c r="AG35" s="380">
        <v>7.1277268575210606E-2</v>
      </c>
      <c r="AH35" s="72">
        <v>0.96451389725753278</v>
      </c>
      <c r="AI35" s="72">
        <v>0.35790065575911545</v>
      </c>
      <c r="AJ35" s="72">
        <v>0.49781987197819921</v>
      </c>
      <c r="AK35" s="72">
        <v>0.35790065575911545</v>
      </c>
      <c r="AL35" s="72">
        <v>8.6651205148758088E-3</v>
      </c>
      <c r="AM35" s="380">
        <v>0.84615384615384615</v>
      </c>
      <c r="AN35" s="380">
        <f>VLOOKUP(A35,LMA!$1:$1048576,13,FALSE)</f>
        <v>1.0176311622379344</v>
      </c>
      <c r="AO35" s="82">
        <f>VLOOKUP(A35,'Integrated Effic - ICC Cycle I'!$1:$1048576,8,FALSE)</f>
        <v>14886.919633285075</v>
      </c>
      <c r="AP35" s="72">
        <f>VLOOKUP(A35,'Integrated Effic - ICC Cycle I'!$1:$1048576,26,FALSE)</f>
        <v>-0.13954191106450331</v>
      </c>
      <c r="AQ35" s="72">
        <f>VLOOKUP(A35,PROFIT!$1:$1048576,7,FALSE)</f>
        <v>0.16932305139761214</v>
      </c>
      <c r="AR35" s="72"/>
      <c r="AS35" t="s">
        <v>520</v>
      </c>
      <c r="AT35">
        <v>1</v>
      </c>
      <c r="AU35">
        <v>7.1304013817174161E-3</v>
      </c>
      <c r="AV35">
        <v>7.1304013817174161E-3</v>
      </c>
      <c r="AW35">
        <v>1.6391849937396918</v>
      </c>
      <c r="AX35">
        <v>0.20781231487817844</v>
      </c>
      <c r="AY35"/>
      <c r="AZ35"/>
      <c r="BA35"/>
    </row>
    <row r="36" spans="1:53" ht="17.7" x14ac:dyDescent="0.6">
      <c r="A36" s="37">
        <v>210051</v>
      </c>
      <c r="B36" s="26" t="str">
        <f>VLOOKUP(A36,'Variable Input'!$1:$1048576,2,FALSE)</f>
        <v>DOCTORS COMMUNITY HOSPITAL</v>
      </c>
      <c r="C36" s="78">
        <f>VLOOKUP(A36,'Rate Application - ICC Cycle II'!$1:$1048576,26,FALSE)</f>
        <v>-0.12315288236018107</v>
      </c>
      <c r="D36" s="72">
        <f>VLOOKUP($A36,'DSH (Cumulative)'!A:M,7,FALSE)</f>
        <v>763267318.85000002</v>
      </c>
      <c r="E36" s="75">
        <f>VLOOKUP(A36,'Rate Application - ICC Cycle II'!$1:$1048576,9,FALSE)</f>
        <v>15907.038226505023</v>
      </c>
      <c r="F36" s="75">
        <v>62331</v>
      </c>
      <c r="G36" s="72">
        <v>6.5931908721609853E-2</v>
      </c>
      <c r="H36" s="72">
        <v>6.8316877701830592E-2</v>
      </c>
      <c r="I36" s="82">
        <v>62670</v>
      </c>
      <c r="J36" s="82">
        <v>11125</v>
      </c>
      <c r="K36" s="72" t="str">
        <f>VLOOKUP(A36,'PAU Volume'!$1:$1048576,44,FALSE)</f>
        <v>Doctors</v>
      </c>
      <c r="L36" s="82">
        <f>IFERROR(VLOOKUP(A36,#REF!,4,FALSE),0)</f>
        <v>0</v>
      </c>
      <c r="M36" s="10">
        <f>VLOOKUP(A36,'Variable Input'!$1:$1048576,20,FALSE)</f>
        <v>0</v>
      </c>
      <c r="N36" s="380"/>
      <c r="O36" s="378">
        <v>0.19217183674155178</v>
      </c>
      <c r="P36" s="378">
        <v>1.7896328496491232E-4</v>
      </c>
      <c r="Q36" s="378">
        <v>3.5909522090193267E-3</v>
      </c>
      <c r="R36" s="378">
        <f t="shared" si="0"/>
        <v>3.7699154939842389E-3</v>
      </c>
      <c r="S36" s="86">
        <v>0</v>
      </c>
      <c r="T36" s="378">
        <v>0.13915776159332854</v>
      </c>
      <c r="U36" s="378">
        <v>1.6810947360343374E-3</v>
      </c>
      <c r="V36" s="378">
        <v>1.9449105322269242E-3</v>
      </c>
      <c r="W36" s="378">
        <f t="shared" si="1"/>
        <v>3.6260052682612616E-3</v>
      </c>
      <c r="X36" s="378">
        <v>1.9780484401971322E-2</v>
      </c>
      <c r="Y36" s="378">
        <f t="shared" si="2"/>
        <v>2.3406489670232584E-2</v>
      </c>
      <c r="Z36" s="378">
        <v>1.4816118228242593E-3</v>
      </c>
      <c r="AA36" s="378">
        <v>0</v>
      </c>
      <c r="AB36" s="378">
        <f t="shared" si="3"/>
        <v>1.4816118228242593E-3</v>
      </c>
      <c r="AC36" s="378">
        <f t="shared" si="4"/>
        <v>7.3959207622455005E-3</v>
      </c>
      <c r="AD36" s="378">
        <v>0.31334622503089343</v>
      </c>
      <c r="AE36" s="378">
        <v>9.3181420209907738E-4</v>
      </c>
      <c r="AF36" s="380">
        <v>0.9546095404289936</v>
      </c>
      <c r="AG36" s="380">
        <v>7.1577362901484698E-2</v>
      </c>
      <c r="AH36" s="72">
        <v>0.92242860069138077</v>
      </c>
      <c r="AI36" s="72">
        <v>0.32869456714855211</v>
      </c>
      <c r="AJ36" s="72">
        <v>0.43570511315494237</v>
      </c>
      <c r="AK36" s="72">
        <v>0.32869456714855211</v>
      </c>
      <c r="AL36" s="72">
        <v>3.0499533677045745E-2</v>
      </c>
      <c r="AM36" s="380">
        <v>0.94348508634222916</v>
      </c>
      <c r="AN36" s="380">
        <f>VLOOKUP(A36,LMA!$1:$1048576,13,FALSE)</f>
        <v>1.0121247170635188</v>
      </c>
      <c r="AO36" s="82">
        <f>VLOOKUP(A36,'Integrated Effic - ICC Cycle I'!$1:$1048576,8,FALSE)</f>
        <v>17978.527321258782</v>
      </c>
      <c r="AP36" s="72">
        <f>VLOOKUP(A36,'Integrated Effic - ICC Cycle I'!$1:$1048576,26,FALSE)</f>
        <v>0.17211771777276152</v>
      </c>
      <c r="AQ36" s="72">
        <f>VLOOKUP(A36,PROFIT!$1:$1048576,7,FALSE)</f>
        <v>6.944815092820405E-3</v>
      </c>
      <c r="AR36" s="72"/>
      <c r="AS36" t="s">
        <v>521</v>
      </c>
      <c r="AT36">
        <v>40</v>
      </c>
      <c r="AU36">
        <v>0.17399869835191398</v>
      </c>
      <c r="AV36">
        <v>4.3499674587978493E-3</v>
      </c>
      <c r="AW36"/>
      <c r="AX36"/>
      <c r="AY36"/>
      <c r="AZ36"/>
      <c r="BA36"/>
    </row>
    <row r="37" spans="1:53" ht="18" thickBot="1" x14ac:dyDescent="0.65">
      <c r="A37" s="37">
        <v>210056</v>
      </c>
      <c r="B37" s="26" t="str">
        <f>VLOOKUP(A37,'Variable Input'!$1:$1048576,2,FALSE)</f>
        <v>MEDSTAR GOOD SAMARITAN</v>
      </c>
      <c r="C37" s="78">
        <f>VLOOKUP(A37,'Rate Application - ICC Cycle II'!$1:$1048576,26,FALSE)</f>
        <v>-6.5262273931644965E-2</v>
      </c>
      <c r="D37" s="72">
        <f>VLOOKUP($A37,'DSH (Cumulative)'!A:M,7,FALSE)</f>
        <v>822271454.82999992</v>
      </c>
      <c r="E37" s="75">
        <f>VLOOKUP(A37,'Rate Application - ICC Cycle II'!$1:$1048576,9,FALSE)</f>
        <v>16881.552106553001</v>
      </c>
      <c r="F37" s="75">
        <v>101632</v>
      </c>
      <c r="G37" s="72">
        <v>0.1045184638302462</v>
      </c>
      <c r="H37" s="72">
        <v>5.7740196798827803E-3</v>
      </c>
      <c r="I37" s="82">
        <v>101751</v>
      </c>
      <c r="J37" s="82">
        <v>10416</v>
      </c>
      <c r="K37" s="72" t="str">
        <f>VLOOKUP(A37,'PAU Volume'!$1:$1048576,44,FALSE)</f>
        <v>MedStar Good Sam</v>
      </c>
      <c r="L37" s="82">
        <f>IFERROR(VLOOKUP(A37,#REF!,4,FALSE),0)</f>
        <v>0</v>
      </c>
      <c r="M37" s="10">
        <f>VLOOKUP(A37,'Variable Input'!$1:$1048576,20,FALSE)</f>
        <v>41</v>
      </c>
      <c r="N37" s="380"/>
      <c r="O37" s="378">
        <v>0.19086357214631264</v>
      </c>
      <c r="P37" s="378">
        <v>6.6280757912671291E-4</v>
      </c>
      <c r="Q37" s="378">
        <v>1.3012831350355696E-3</v>
      </c>
      <c r="R37" s="378">
        <f t="shared" si="0"/>
        <v>1.9640907141622826E-3</v>
      </c>
      <c r="S37" s="86">
        <v>0</v>
      </c>
      <c r="T37" s="378">
        <v>0.11770842395257605</v>
      </c>
      <c r="U37" s="378">
        <v>6.0645833370513873E-5</v>
      </c>
      <c r="V37" s="378">
        <v>1.5708833122411888E-4</v>
      </c>
      <c r="W37" s="378">
        <f t="shared" si="1"/>
        <v>2.1773416459463276E-4</v>
      </c>
      <c r="X37" s="378">
        <v>2.8650799136207831E-2</v>
      </c>
      <c r="Y37" s="378">
        <f t="shared" si="2"/>
        <v>2.8868533300802465E-2</v>
      </c>
      <c r="Z37" s="378">
        <v>8.5695157574404012E-4</v>
      </c>
      <c r="AA37" s="378">
        <v>0</v>
      </c>
      <c r="AB37" s="378">
        <f t="shared" si="3"/>
        <v>8.5695157574404012E-4</v>
      </c>
      <c r="AC37" s="378">
        <f t="shared" si="4"/>
        <v>2.1818248787569155E-3</v>
      </c>
      <c r="AD37" s="378">
        <v>0.1986582126298406</v>
      </c>
      <c r="AE37" s="378">
        <v>2.2202228769569766E-3</v>
      </c>
      <c r="AF37" s="380">
        <v>0.92680383487219509</v>
      </c>
      <c r="AG37" s="380">
        <v>5.5004013117569577E-2</v>
      </c>
      <c r="AH37" s="72">
        <v>0.99274512778703905</v>
      </c>
      <c r="AI37" s="72">
        <v>0.18555149787967626</v>
      </c>
      <c r="AJ37" s="72">
        <v>0.55097505375215727</v>
      </c>
      <c r="AK37" s="72">
        <v>0.18555149787967626</v>
      </c>
      <c r="AL37" s="72">
        <v>3.0007084299049604E-2</v>
      </c>
      <c r="AM37" s="380">
        <v>1.1240188383045526</v>
      </c>
      <c r="AN37" s="380">
        <f>VLOOKUP(A37,LMA!$1:$1048576,13,FALSE)</f>
        <v>0.99950208844913191</v>
      </c>
      <c r="AO37" s="82">
        <f>VLOOKUP(A37,'Integrated Effic - ICC Cycle I'!$1:$1048576,8,FALSE)</f>
        <v>17987.296279465689</v>
      </c>
      <c r="AP37" s="72">
        <f>VLOOKUP(A37,'Integrated Effic - ICC Cycle I'!$1:$1048576,26,FALSE)</f>
        <v>-7.0309668514313417E-3</v>
      </c>
      <c r="AQ37" s="72">
        <f>VLOOKUP(A37,PROFIT!$1:$1048576,7,FALSE)</f>
        <v>6.7624927679421881E-2</v>
      </c>
      <c r="AR37" s="72"/>
      <c r="AS37" s="346" t="s">
        <v>302</v>
      </c>
      <c r="AT37" s="346">
        <v>41</v>
      </c>
      <c r="AU37" s="346">
        <v>0.18112909973363139</v>
      </c>
      <c r="AV37" s="346"/>
      <c r="AW37" s="346"/>
      <c r="AX37" s="346"/>
      <c r="AY37"/>
      <c r="AZ37"/>
      <c r="BA37"/>
    </row>
    <row r="38" spans="1:53" ht="18" thickBot="1" x14ac:dyDescent="0.65">
      <c r="A38" s="37">
        <v>210057</v>
      </c>
      <c r="B38" s="26" t="str">
        <f>VLOOKUP(A38,'Variable Input'!$1:$1048576,2,FALSE)</f>
        <v>SHADY GROVE ADVENTIST HOSPITAL</v>
      </c>
      <c r="C38" s="78">
        <f>VLOOKUP(A38,'Rate Application - ICC Cycle II'!$1:$1048576,26,FALSE)</f>
        <v>-0.13058186730303945</v>
      </c>
      <c r="D38" s="72">
        <f>VLOOKUP($A38,'DSH (Cumulative)'!A:M,7,FALSE)</f>
        <v>1362431440.73</v>
      </c>
      <c r="E38" s="75">
        <f>VLOOKUP(A38,'Rate Application - ICC Cycle II'!$1:$1048576,9,FALSE)</f>
        <v>29567.442541858047</v>
      </c>
      <c r="F38" s="75">
        <v>109329</v>
      </c>
      <c r="G38" s="72">
        <v>6.2589082492951767E-2</v>
      </c>
      <c r="H38" s="72">
        <v>4.0409948892925707E-2</v>
      </c>
      <c r="I38" s="82">
        <v>110555</v>
      </c>
      <c r="J38" s="82">
        <v>23238</v>
      </c>
      <c r="K38" s="72" t="str">
        <f>VLOOKUP(A38,'PAU Volume'!$1:$1048576,44,FALSE)</f>
        <v>Shady Grove</v>
      </c>
      <c r="L38" s="82">
        <f>IFERROR(VLOOKUP(A38,#REF!,4,FALSE),0)</f>
        <v>0</v>
      </c>
      <c r="M38" s="10">
        <f>VLOOKUP(A38,'Variable Input'!$1:$1048576,20,FALSE)</f>
        <v>0</v>
      </c>
      <c r="N38" s="380"/>
      <c r="O38" s="378">
        <v>9.4788952992945708E-2</v>
      </c>
      <c r="P38" s="378">
        <v>1.0589089869345505E-3</v>
      </c>
      <c r="Q38" s="378">
        <v>8.4292120004801283E-3</v>
      </c>
      <c r="R38" s="378">
        <f t="shared" si="0"/>
        <v>9.4881209874146787E-3</v>
      </c>
      <c r="S38" s="86">
        <v>0</v>
      </c>
      <c r="T38" s="378">
        <v>0.10757166408536374</v>
      </c>
      <c r="U38" s="378">
        <v>1.8518732543307255E-3</v>
      </c>
      <c r="V38" s="378">
        <v>1.3277635572127367E-2</v>
      </c>
      <c r="W38" s="378">
        <f t="shared" si="1"/>
        <v>1.5129508826458093E-2</v>
      </c>
      <c r="X38" s="378">
        <v>1.6562791671023321E-2</v>
      </c>
      <c r="Y38" s="378">
        <f t="shared" si="2"/>
        <v>3.169230049748141E-2</v>
      </c>
      <c r="Z38" s="378">
        <v>6.8623763607790808E-2</v>
      </c>
      <c r="AA38" s="378">
        <v>6.6687385028730312E-2</v>
      </c>
      <c r="AB38" s="378">
        <f t="shared" si="3"/>
        <v>0.13531114863652111</v>
      </c>
      <c r="AC38" s="378">
        <f t="shared" si="4"/>
        <v>9.1305014842603088E-2</v>
      </c>
      <c r="AD38" s="378">
        <v>0.25420601979372565</v>
      </c>
      <c r="AE38" s="378">
        <v>1.6234869982477199E-2</v>
      </c>
      <c r="AF38" s="380">
        <v>0.89510196681115806</v>
      </c>
      <c r="AG38" s="380">
        <v>8.3391138322232272E-2</v>
      </c>
      <c r="AH38" s="72">
        <v>0.9623767429908795</v>
      </c>
      <c r="AI38" s="72">
        <v>0.40933350497946686</v>
      </c>
      <c r="AJ38" s="72">
        <v>0.36810132758739317</v>
      </c>
      <c r="AK38" s="72">
        <v>0.40933350497946686</v>
      </c>
      <c r="AL38" s="72">
        <v>3.575288850936497E-2</v>
      </c>
      <c r="AM38" s="380">
        <v>1.2032967032967032</v>
      </c>
      <c r="AN38" s="380">
        <f>VLOOKUP(A38,LMA!$1:$1048576,13,FALSE)</f>
        <v>1.0603099822826751</v>
      </c>
      <c r="AO38" s="82">
        <f>VLOOKUP(A38,'Integrated Effic - ICC Cycle I'!$1:$1048576,8,FALSE)</f>
        <v>16969.176780109905</v>
      </c>
      <c r="AP38" s="72">
        <f>VLOOKUP(A38,'Integrated Effic - ICC Cycle I'!$1:$1048576,26,FALSE)</f>
        <v>-5.6469003197059386E-3</v>
      </c>
      <c r="AQ38" s="72">
        <f>VLOOKUP(A38,PROFIT!$1:$1048576,7,FALSE)</f>
        <v>0.13213430906290247</v>
      </c>
      <c r="AR38" s="72"/>
      <c r="AS38"/>
      <c r="AT38"/>
      <c r="AU38"/>
      <c r="AV38"/>
      <c r="AW38"/>
      <c r="AX38"/>
      <c r="AY38"/>
      <c r="AZ38"/>
      <c r="BA38"/>
    </row>
    <row r="39" spans="1:53" ht="17.7" x14ac:dyDescent="0.6">
      <c r="A39" s="37">
        <v>210058</v>
      </c>
      <c r="B39" s="26" t="str">
        <f>VLOOKUP(A39,'Variable Input'!$1:$1048576,2,FALSE)</f>
        <v>UM-REHABILITATION &amp; ORTHOPAEDIC INSTITUTE</v>
      </c>
      <c r="C39" s="78">
        <f>VLOOKUP(A39,'Rate Application - ICC Cycle II'!$1:$1048576,26,FALSE)</f>
        <v>-0.28362736423557922</v>
      </c>
      <c r="D39" s="72">
        <f>VLOOKUP($A39,'DSH (Cumulative)'!A:M,7,FALSE)</f>
        <v>333343606.46000004</v>
      </c>
      <c r="E39" s="75">
        <f>VLOOKUP(A39,'Rate Application - ICC Cycle II'!$1:$1048576,9,FALSE)</f>
        <v>5264.4707007620054</v>
      </c>
      <c r="F39" s="75">
        <v>39537</v>
      </c>
      <c r="G39" s="72">
        <v>3.0581874250823617E-2</v>
      </c>
      <c r="H39" s="72">
        <v>0.12197893339437615</v>
      </c>
      <c r="I39" s="82">
        <v>40130</v>
      </c>
      <c r="J39" s="82">
        <v>1680</v>
      </c>
      <c r="K39" s="72" t="str">
        <f>VLOOKUP(A39,'PAU Volume'!$1:$1048576,44,FALSE)</f>
        <v>UMROI</v>
      </c>
      <c r="L39" s="82">
        <f>IFERROR(VLOOKUP(A39,#REF!,4,FALSE),0)</f>
        <v>0</v>
      </c>
      <c r="M39" s="10">
        <f>VLOOKUP(A39,'Variable Input'!$1:$1048576,20,FALSE)</f>
        <v>15</v>
      </c>
      <c r="N39" s="380"/>
      <c r="O39" s="378">
        <v>1.1479680545470844E-3</v>
      </c>
      <c r="P39" s="378">
        <v>0</v>
      </c>
      <c r="Q39" s="378">
        <v>0</v>
      </c>
      <c r="R39" s="378">
        <f t="shared" si="0"/>
        <v>0</v>
      </c>
      <c r="S39" s="86">
        <v>0</v>
      </c>
      <c r="T39" s="378">
        <v>0</v>
      </c>
      <c r="U39" s="378">
        <v>0</v>
      </c>
      <c r="V39" s="378">
        <v>0</v>
      </c>
      <c r="W39" s="378">
        <f t="shared" si="1"/>
        <v>0</v>
      </c>
      <c r="X39" s="378">
        <v>3.9345090241561081E-5</v>
      </c>
      <c r="Y39" s="378">
        <f t="shared" si="2"/>
        <v>3.9345090241561081E-5</v>
      </c>
      <c r="Z39" s="378">
        <v>0</v>
      </c>
      <c r="AA39" s="378">
        <v>0</v>
      </c>
      <c r="AB39" s="378">
        <f t="shared" si="3"/>
        <v>0</v>
      </c>
      <c r="AC39" s="378">
        <f t="shared" si="4"/>
        <v>0</v>
      </c>
      <c r="AD39" s="378">
        <v>0.36841399488127824</v>
      </c>
      <c r="AE39" s="378">
        <v>1.6540460051777693E-2</v>
      </c>
      <c r="AF39" s="380">
        <v>1.7394321203423011</v>
      </c>
      <c r="AG39" s="380">
        <v>6.8113616651534828E-2</v>
      </c>
      <c r="AH39" s="72">
        <v>0.95376084676422634</v>
      </c>
      <c r="AI39" s="72">
        <v>0.40369749159913315</v>
      </c>
      <c r="AJ39" s="72">
        <v>0.32737464811239553</v>
      </c>
      <c r="AK39" s="72">
        <v>0.40369749159913315</v>
      </c>
      <c r="AL39" s="72">
        <v>7.7173125164503569E-3</v>
      </c>
      <c r="AM39" s="380">
        <v>1.1240188383045526</v>
      </c>
      <c r="AN39" s="380">
        <f>VLOOKUP(A39,LMA!$1:$1048576,13,FALSE)</f>
        <v>1.002407169990714</v>
      </c>
      <c r="AO39" s="82">
        <f>VLOOKUP(A39,'Integrated Effic - ICC Cycle I'!$1:$1048576,8,FALSE)</f>
        <v>22356.872209251502</v>
      </c>
      <c r="AP39" s="72">
        <f>VLOOKUP(A39,'Integrated Effic - ICC Cycle I'!$1:$1048576,26,FALSE)</f>
        <v>0.26000419025537314</v>
      </c>
      <c r="AQ39" s="72">
        <f>VLOOKUP(A39,PROFIT!$1:$1048576,7,FALSE)</f>
        <v>0.14702359304322546</v>
      </c>
      <c r="AR39" s="72"/>
      <c r="AS39" s="347"/>
      <c r="AT39" s="347" t="s">
        <v>528</v>
      </c>
      <c r="AU39" s="347" t="s">
        <v>517</v>
      </c>
      <c r="AV39" s="347" t="s">
        <v>529</v>
      </c>
      <c r="AW39" s="347" t="s">
        <v>530</v>
      </c>
      <c r="AX39" s="347" t="s">
        <v>531</v>
      </c>
      <c r="AY39" s="347" t="s">
        <v>532</v>
      </c>
      <c r="AZ39" s="347" t="s">
        <v>533</v>
      </c>
      <c r="BA39" s="347" t="s">
        <v>534</v>
      </c>
    </row>
    <row r="40" spans="1:53" ht="17.7" x14ac:dyDescent="0.6">
      <c r="A40" s="37">
        <v>210060</v>
      </c>
      <c r="B40" s="26" t="str">
        <f>VLOOKUP(A40,'Variable Input'!$1:$1048576,2,FALSE)</f>
        <v>FORT WASHINGTON MEDICAL CENTER</v>
      </c>
      <c r="C40" s="78">
        <f>VLOOKUP(A40,'Rate Application - ICC Cycle II'!$1:$1048576,26,FALSE)</f>
        <v>-0.14606517645444084</v>
      </c>
      <c r="D40" s="72">
        <f>VLOOKUP($A40,'DSH (Cumulative)'!A:M,7,FALSE)</f>
        <v>171674334.96000001</v>
      </c>
      <c r="E40" s="75">
        <f>VLOOKUP(A40,'Rate Application - ICC Cycle II'!$1:$1048576,9,FALSE)</f>
        <v>3719.0107248960016</v>
      </c>
      <c r="F40" s="75">
        <v>24099</v>
      </c>
      <c r="G40" s="72">
        <v>3.9918579168940864E-2</v>
      </c>
      <c r="H40" s="72">
        <v>-3.2982491682320814E-2</v>
      </c>
      <c r="I40" s="82">
        <v>24099</v>
      </c>
      <c r="J40" s="82">
        <v>2080</v>
      </c>
      <c r="K40" s="72" t="str">
        <f>VLOOKUP(A40,'PAU Volume'!$1:$1048576,44,FALSE)</f>
        <v>Ft. Washington</v>
      </c>
      <c r="L40" s="82">
        <f>IFERROR(VLOOKUP(A40,#REF!,4,FALSE),0)</f>
        <v>0</v>
      </c>
      <c r="M40" s="10">
        <f>VLOOKUP(A40,'Variable Input'!$1:$1048576,20,FALSE)</f>
        <v>0</v>
      </c>
      <c r="N40" s="380"/>
      <c r="O40" s="378">
        <v>0.17552153165704618</v>
      </c>
      <c r="P40" s="378">
        <v>5.3935334006493E-4</v>
      </c>
      <c r="Q40" s="378">
        <v>0</v>
      </c>
      <c r="R40" s="378">
        <f t="shared" si="0"/>
        <v>5.3935334006493E-4</v>
      </c>
      <c r="S40" s="86">
        <v>0</v>
      </c>
      <c r="T40" s="378">
        <v>0.3523688957811062</v>
      </c>
      <c r="U40" s="378">
        <v>0</v>
      </c>
      <c r="V40" s="378">
        <v>0</v>
      </c>
      <c r="W40" s="378">
        <f t="shared" si="1"/>
        <v>0</v>
      </c>
      <c r="X40" s="378">
        <v>3.2759378450081957E-2</v>
      </c>
      <c r="Y40" s="378">
        <f t="shared" si="2"/>
        <v>3.2759378450081957E-2</v>
      </c>
      <c r="Z40" s="378">
        <v>2.4280198685490803E-3</v>
      </c>
      <c r="AA40" s="378">
        <v>0</v>
      </c>
      <c r="AB40" s="378">
        <f t="shared" si="3"/>
        <v>2.4280198685490803E-3</v>
      </c>
      <c r="AC40" s="378">
        <f t="shared" si="4"/>
        <v>5.3935334006493E-4</v>
      </c>
      <c r="AD40" s="378">
        <v>0.12061485083322794</v>
      </c>
      <c r="AE40" s="378">
        <v>1.5077371118694032E-5</v>
      </c>
      <c r="AF40" s="380">
        <v>0.75677004150794491</v>
      </c>
      <c r="AG40" s="380">
        <v>4.9489221005885278E-2</v>
      </c>
      <c r="AH40" s="72">
        <v>0.88981672584283611</v>
      </c>
      <c r="AI40" s="72">
        <v>0.36624306676525797</v>
      </c>
      <c r="AJ40" s="72">
        <v>0.4021983253220256</v>
      </c>
      <c r="AK40" s="72">
        <v>0.36624306676525797</v>
      </c>
      <c r="AL40" s="72">
        <v>4.0134563566108485E-2</v>
      </c>
      <c r="AM40" s="380">
        <v>0.94348508634222916</v>
      </c>
      <c r="AN40" s="380">
        <f>VLOOKUP(A40,LMA!$1:$1048576,13,FALSE)</f>
        <v>1.0133274124996876</v>
      </c>
      <c r="AO40" s="82">
        <f>VLOOKUP(A40,'Integrated Effic - ICC Cycle I'!$1:$1048576,8,FALSE)</f>
        <v>17758.770768501869</v>
      </c>
      <c r="AP40" s="72">
        <f>VLOOKUP(A40,'Integrated Effic - ICC Cycle I'!$1:$1048576,26,FALSE)</f>
        <v>7.3188811187011149E-2</v>
      </c>
      <c r="AQ40" s="72">
        <f>VLOOKUP(A40,PROFIT!$1:$1048576,7,FALSE)</f>
        <v>9.4695952105780121E-2</v>
      </c>
      <c r="AR40" s="72"/>
      <c r="AS40" t="s">
        <v>522</v>
      </c>
      <c r="AT40">
        <v>-8.3724775098298676E-2</v>
      </c>
      <c r="AU40">
        <v>2.5987743427101116E-2</v>
      </c>
      <c r="AV40">
        <v>-3.2217023895574921</v>
      </c>
      <c r="AW40">
        <v>2.5342724696209755E-3</v>
      </c>
      <c r="AX40">
        <v>-0.13624796378840637</v>
      </c>
      <c r="AY40">
        <v>-3.1201586408190991E-2</v>
      </c>
      <c r="AZ40">
        <v>-0.13624796378840637</v>
      </c>
      <c r="BA40">
        <v>-3.1201586408190991E-2</v>
      </c>
    </row>
    <row r="41" spans="1:53" ht="18" thickBot="1" x14ac:dyDescent="0.65">
      <c r="A41" s="37">
        <v>210061</v>
      </c>
      <c r="B41" s="26" t="str">
        <f>VLOOKUP(A41,'Variable Input'!$1:$1048576,2,FALSE)</f>
        <v>ATLANTIC GENERAL HOSPITAL</v>
      </c>
      <c r="C41" s="78">
        <f>VLOOKUP(A41,'Rate Application - ICC Cycle II'!$1:$1048576,26,FALSE)</f>
        <v>1.7456339400856669E-2</v>
      </c>
      <c r="D41" s="72">
        <f>VLOOKUP($A41,'DSH (Cumulative)'!A:M,7,FALSE)</f>
        <v>345281264.62</v>
      </c>
      <c r="E41" s="75">
        <f>VLOOKUP(A41,'Rate Application - ICC Cycle II'!$1:$1048576,9,FALSE)</f>
        <v>9011.8464937300014</v>
      </c>
      <c r="F41" s="75">
        <v>72514</v>
      </c>
      <c r="G41" s="72">
        <v>1.9705617106185628E-2</v>
      </c>
      <c r="H41" s="72">
        <v>-2.4999321929099927E-2</v>
      </c>
      <c r="I41" s="82">
        <v>72966</v>
      </c>
      <c r="J41" s="82">
        <v>3341</v>
      </c>
      <c r="K41" s="72" t="str">
        <f>VLOOKUP(A41,'PAU Volume'!$1:$1048576,44,FALSE)</f>
        <v>Atlantic General</v>
      </c>
      <c r="L41" s="82">
        <f>IFERROR(VLOOKUP(A41,#REF!,4,FALSE),0)</f>
        <v>0</v>
      </c>
      <c r="M41" s="10">
        <f>VLOOKUP(A41,'Variable Input'!$1:$1048576,20,FALSE)</f>
        <v>0</v>
      </c>
      <c r="N41" s="380"/>
      <c r="O41" s="378">
        <v>0.10575461800810637</v>
      </c>
      <c r="P41" s="378">
        <v>4.4260025658515235E-4</v>
      </c>
      <c r="Q41" s="378">
        <v>5.5771343012277231E-5</v>
      </c>
      <c r="R41" s="378">
        <f t="shared" si="0"/>
        <v>4.983715995974296E-4</v>
      </c>
      <c r="S41" s="86">
        <v>0</v>
      </c>
      <c r="T41" s="378">
        <v>0.21921705309814649</v>
      </c>
      <c r="U41" s="378">
        <v>6.8957107451756108E-5</v>
      </c>
      <c r="V41" s="378">
        <v>0</v>
      </c>
      <c r="W41" s="378">
        <f t="shared" si="1"/>
        <v>6.8957107451756108E-5</v>
      </c>
      <c r="X41" s="378">
        <v>1.0516251691924793E-2</v>
      </c>
      <c r="Y41" s="378">
        <f t="shared" si="2"/>
        <v>1.0585208799376548E-2</v>
      </c>
      <c r="Z41" s="378">
        <v>6.8363829613409086E-4</v>
      </c>
      <c r="AA41" s="378">
        <v>0</v>
      </c>
      <c r="AB41" s="378">
        <f t="shared" si="3"/>
        <v>6.8363829613409086E-4</v>
      </c>
      <c r="AC41" s="378">
        <f t="shared" si="4"/>
        <v>5.6732870704918567E-4</v>
      </c>
      <c r="AD41" s="378">
        <v>0.30047308599771583</v>
      </c>
      <c r="AE41" s="378">
        <v>4.8738057891487781E-2</v>
      </c>
      <c r="AF41" s="380">
        <v>0.99140262895630871</v>
      </c>
      <c r="AG41" s="380">
        <v>7.4786320399034975E-2</v>
      </c>
      <c r="AH41" s="72">
        <v>0.71224735107477211</v>
      </c>
      <c r="AI41" s="72">
        <v>0.31711630714117517</v>
      </c>
      <c r="AJ41" s="72">
        <v>0.53700501352261665</v>
      </c>
      <c r="AK41" s="72">
        <v>0.31711630714117517</v>
      </c>
      <c r="AL41" s="72">
        <v>1.8727243841364937E-2</v>
      </c>
      <c r="AM41" s="380">
        <v>0.59026687598116168</v>
      </c>
      <c r="AN41" s="380">
        <f>VLOOKUP(A41,LMA!$1:$1048576,13,FALSE)</f>
        <v>0.97051096672515413</v>
      </c>
      <c r="AO41" s="82">
        <f>VLOOKUP(A41,'Integrated Effic - ICC Cycle I'!$1:$1048576,8,FALSE)</f>
        <v>13722.776541967354</v>
      </c>
      <c r="AP41" s="72">
        <f>VLOOKUP(A41,'Integrated Effic - ICC Cycle I'!$1:$1048576,26,FALSE)</f>
        <v>-0.24657149347230134</v>
      </c>
      <c r="AQ41" s="72">
        <f>VLOOKUP(A41,PROFIT!$1:$1048576,7,FALSE)</f>
        <v>0.18845347631408671</v>
      </c>
      <c r="AR41" s="72"/>
      <c r="AS41" s="346" t="s">
        <v>535</v>
      </c>
      <c r="AT41" s="346">
        <v>-0.36300144209259011</v>
      </c>
      <c r="AU41" s="346">
        <v>0.28352696274384775</v>
      </c>
      <c r="AV41" s="346">
        <v>-1.2803066014590772</v>
      </c>
      <c r="AW41" s="352">
        <v>0.20781231487817908</v>
      </c>
      <c r="AX41" s="346">
        <v>-0.93603080898246449</v>
      </c>
      <c r="AY41" s="346">
        <v>0.21002792479728427</v>
      </c>
      <c r="AZ41" s="346">
        <v>-0.93603080898246449</v>
      </c>
      <c r="BA41" s="346">
        <v>0.21002792479728427</v>
      </c>
    </row>
    <row r="42" spans="1:53" ht="17.7" x14ac:dyDescent="0.6">
      <c r="A42" s="37">
        <v>210062</v>
      </c>
      <c r="B42" s="26" t="str">
        <f>VLOOKUP(A42,'Variable Input'!$1:$1048576,2,FALSE)</f>
        <v>MEDSTAR SOUTHERN MARYLAND HOSPITAL CENTER</v>
      </c>
      <c r="C42" s="78">
        <f>VLOOKUP(A42,'Rate Application - ICC Cycle II'!$1:$1048576,26,FALSE)</f>
        <v>-0.12659459247718929</v>
      </c>
      <c r="D42" s="72">
        <f>VLOOKUP($A42,'DSH (Cumulative)'!A:M,7,FALSE)</f>
        <v>835932818.18000007</v>
      </c>
      <c r="E42" s="75">
        <f>VLOOKUP(A42,'Rate Application - ICC Cycle II'!$1:$1048576,9,FALSE)</f>
        <v>17485.311336287028</v>
      </c>
      <c r="F42" s="75">
        <v>69226</v>
      </c>
      <c r="G42" s="72">
        <v>5.8566385147719932E-2</v>
      </c>
      <c r="H42" s="72">
        <v>7.0206795751137641E-2</v>
      </c>
      <c r="I42" s="82">
        <v>69253</v>
      </c>
      <c r="J42" s="82">
        <v>12624</v>
      </c>
      <c r="K42" s="72" t="str">
        <f>VLOOKUP(A42,'PAU Volume'!$1:$1048576,44,FALSE)</f>
        <v>MedStar Southern MD</v>
      </c>
      <c r="L42" s="82">
        <f>IFERROR(VLOOKUP(A42,#REF!,4,FALSE),0)</f>
        <v>0</v>
      </c>
      <c r="M42" s="10">
        <f>VLOOKUP(A42,'Variable Input'!$1:$1048576,20,FALSE)</f>
        <v>0</v>
      </c>
      <c r="N42" s="380"/>
      <c r="O42" s="378">
        <v>0.16788323910080558</v>
      </c>
      <c r="P42" s="378">
        <v>2.3737558305029192E-4</v>
      </c>
      <c r="Q42" s="378">
        <v>3.5894320884343373E-4</v>
      </c>
      <c r="R42" s="378">
        <f t="shared" si="0"/>
        <v>5.963187918937257E-4</v>
      </c>
      <c r="S42" s="86">
        <v>0</v>
      </c>
      <c r="T42" s="378">
        <v>0.12391139155241433</v>
      </c>
      <c r="U42" s="378">
        <v>5.7084890610705711E-3</v>
      </c>
      <c r="V42" s="378">
        <v>3.5379992170021531E-2</v>
      </c>
      <c r="W42" s="378">
        <f t="shared" si="1"/>
        <v>4.10884812310921E-2</v>
      </c>
      <c r="X42" s="378">
        <v>3.5836335045999645E-2</v>
      </c>
      <c r="Y42" s="378">
        <f t="shared" si="2"/>
        <v>7.6924816277091745E-2</v>
      </c>
      <c r="Z42" s="378">
        <v>6.0307863250226919E-2</v>
      </c>
      <c r="AA42" s="378">
        <v>1.5253658192059427E-2</v>
      </c>
      <c r="AB42" s="378">
        <f t="shared" si="3"/>
        <v>7.5561521442286339E-2</v>
      </c>
      <c r="AC42" s="378">
        <f t="shared" si="4"/>
        <v>5.6938458215045257E-2</v>
      </c>
      <c r="AD42" s="378">
        <v>0.21098330192027287</v>
      </c>
      <c r="AE42" s="378">
        <v>6.4309809727540826E-4</v>
      </c>
      <c r="AF42" s="380">
        <v>0.89950734894326412</v>
      </c>
      <c r="AG42" s="380">
        <v>8.5918640631676035E-2</v>
      </c>
      <c r="AH42" s="72">
        <v>0.92356476701792667</v>
      </c>
      <c r="AI42" s="72">
        <v>0.32476999549729219</v>
      </c>
      <c r="AJ42" s="72">
        <v>0.4114738440731569</v>
      </c>
      <c r="AK42" s="72">
        <v>0.32476999549729219</v>
      </c>
      <c r="AL42" s="72">
        <v>2.5431223102376319E-2</v>
      </c>
      <c r="AM42" s="380">
        <v>0.94348508634222916</v>
      </c>
      <c r="AN42" s="380">
        <f>VLOOKUP(A42,LMA!$1:$1048576,13,FALSE)</f>
        <v>0.99213458983798986</v>
      </c>
      <c r="AO42" s="82">
        <f>VLOOKUP(A42,'Integrated Effic - ICC Cycle I'!$1:$1048576,8,FALSE)</f>
        <v>17870.584117512561</v>
      </c>
      <c r="AP42" s="72">
        <f>VLOOKUP(A42,'Integrated Effic - ICC Cycle I'!$1:$1048576,26,FALSE)</f>
        <v>0.15380335730706918</v>
      </c>
      <c r="AQ42" s="72">
        <f>VLOOKUP(A42,PROFIT!$1:$1048576,7,FALSE)</f>
        <v>2.191941641679266E-2</v>
      </c>
      <c r="AR42" s="72"/>
      <c r="AS42"/>
      <c r="AT42"/>
      <c r="AU42"/>
      <c r="AV42"/>
      <c r="AW42"/>
      <c r="AX42"/>
      <c r="AY42"/>
      <c r="AZ42"/>
      <c r="BA42"/>
    </row>
    <row r="43" spans="1:53" ht="17.7" x14ac:dyDescent="0.6">
      <c r="A43" s="37">
        <v>210063</v>
      </c>
      <c r="B43" s="26" t="str">
        <f>VLOOKUP(A43,'Variable Input'!$1:$1048576,2,FALSE)</f>
        <v>UM-ST. JOSEPH MEDICAL CENTER</v>
      </c>
      <c r="C43" s="78">
        <f>VLOOKUP(A43,'Rate Application - ICC Cycle II'!$1:$1048576,26,FALSE)</f>
        <v>-5.285512893618971E-2</v>
      </c>
      <c r="D43" s="72">
        <f>VLOOKUP($A43,'DSH (Cumulative)'!A:M,7,FALSE)</f>
        <v>1236082880.6400001</v>
      </c>
      <c r="E43" s="75">
        <f>VLOOKUP(A43,'Rate Application - ICC Cycle II'!$1:$1048576,9,FALSE)</f>
        <v>30821.946526509015</v>
      </c>
      <c r="F43" s="75">
        <v>101114</v>
      </c>
      <c r="G43" s="72">
        <v>3.7944566020352538E-2</v>
      </c>
      <c r="H43" s="72">
        <v>0.13111491455588653</v>
      </c>
      <c r="I43" s="82">
        <v>101276</v>
      </c>
      <c r="J43" s="82">
        <v>16147</v>
      </c>
      <c r="K43" s="72" t="str">
        <f>VLOOKUP(A43,'PAU Volume'!$1:$1048576,44,FALSE)</f>
        <v>UM-St. Joe</v>
      </c>
      <c r="L43" s="82">
        <f>IFERROR(VLOOKUP(A43,#REF!,4,FALSE),0)</f>
        <v>0</v>
      </c>
      <c r="M43" s="10">
        <f>VLOOKUP(A43,'Variable Input'!$1:$1048576,20,FALSE)</f>
        <v>0</v>
      </c>
      <c r="N43" s="380"/>
      <c r="O43" s="378">
        <v>8.3662725845214461E-2</v>
      </c>
      <c r="P43" s="378">
        <v>3.3478163678552658E-4</v>
      </c>
      <c r="Q43" s="378">
        <v>1.044427909461614E-3</v>
      </c>
      <c r="R43" s="378">
        <f t="shared" si="0"/>
        <v>1.3792095462471406E-3</v>
      </c>
      <c r="S43" s="86">
        <v>0</v>
      </c>
      <c r="T43" s="378">
        <v>8.6699575929620173E-2</v>
      </c>
      <c r="U43" s="378">
        <v>7.8585642688669785E-2</v>
      </c>
      <c r="V43" s="378">
        <v>4.3081268853519705E-2</v>
      </c>
      <c r="W43" s="378">
        <f t="shared" si="1"/>
        <v>0.12166691154218949</v>
      </c>
      <c r="X43" s="378">
        <v>1.833100861263335E-2</v>
      </c>
      <c r="Y43" s="378">
        <f t="shared" si="2"/>
        <v>0.13999792015482285</v>
      </c>
      <c r="Z43" s="378">
        <v>4.5964362575579495E-2</v>
      </c>
      <c r="AA43" s="378">
        <v>2.8752849004129669E-2</v>
      </c>
      <c r="AB43" s="378">
        <f t="shared" si="3"/>
        <v>7.4717211579709161E-2</v>
      </c>
      <c r="AC43" s="378">
        <f t="shared" si="4"/>
        <v>0.15179897009256629</v>
      </c>
      <c r="AD43" s="378">
        <v>0.41698725032070033</v>
      </c>
      <c r="AE43" s="378">
        <v>2.5423514266059602E-3</v>
      </c>
      <c r="AF43" s="380">
        <v>1.1031798321501125</v>
      </c>
      <c r="AG43" s="380">
        <v>9.5217747911320372E-2</v>
      </c>
      <c r="AH43" s="72">
        <v>0.96020715694544856</v>
      </c>
      <c r="AI43" s="72">
        <v>0.37181028385575371</v>
      </c>
      <c r="AJ43" s="72">
        <v>0.50444719542409233</v>
      </c>
      <c r="AK43" s="72">
        <v>0.37181028385575371</v>
      </c>
      <c r="AL43" s="72">
        <v>9.2650648268696803E-3</v>
      </c>
      <c r="AM43" s="380">
        <v>0.93642072213500782</v>
      </c>
      <c r="AN43" s="380">
        <f>VLOOKUP(A43,LMA!$1:$1048576,13,FALSE)</f>
        <v>0.98817682393360584</v>
      </c>
      <c r="AO43" s="82">
        <f>VLOOKUP(A43,'Integrated Effic - ICC Cycle I'!$1:$1048576,8,FALSE)</f>
        <v>14303.314798694431</v>
      </c>
      <c r="AP43" s="72">
        <f>VLOOKUP(A43,'Integrated Effic - ICC Cycle I'!$1:$1048576,26,FALSE)</f>
        <v>-0.10347063092159614</v>
      </c>
      <c r="AQ43" s="72">
        <f>VLOOKUP(A43,PROFIT!$1:$1048576,7,FALSE)</f>
        <v>0.13409547753779952</v>
      </c>
      <c r="AR43" s="72"/>
      <c r="AS43"/>
      <c r="AT43"/>
      <c r="AU43"/>
      <c r="AV43"/>
      <c r="AW43"/>
      <c r="AX43"/>
      <c r="AY43"/>
      <c r="AZ43"/>
      <c r="BA43"/>
    </row>
    <row r="44" spans="1:53" ht="17.7" x14ac:dyDescent="0.6">
      <c r="A44" s="26"/>
      <c r="B44" s="26"/>
      <c r="C44" s="78"/>
      <c r="O44" s="72"/>
      <c r="P44" s="72"/>
      <c r="Q44" s="72"/>
      <c r="R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t="s">
        <v>512</v>
      </c>
      <c r="AT44" t="s">
        <v>539</v>
      </c>
      <c r="AU44"/>
      <c r="AV44"/>
      <c r="AW44"/>
      <c r="AX44"/>
      <c r="AY44"/>
      <c r="AZ44"/>
      <c r="BA44"/>
    </row>
    <row r="45" spans="1:53" ht="18" thickBot="1" x14ac:dyDescent="0.65">
      <c r="A45" s="26"/>
      <c r="B45" s="26"/>
      <c r="C45" s="78" t="s">
        <v>504</v>
      </c>
      <c r="D45" s="71">
        <f t="shared" ref="D45:W45" si="5">CORREL($C$3:$C$43,D3:D43)</f>
        <v>2.2200415816958693E-2</v>
      </c>
      <c r="E45" s="71">
        <f t="shared" si="5"/>
        <v>0.13966417869170789</v>
      </c>
      <c r="F45" s="71">
        <f t="shared" si="5"/>
        <v>6.9147525367556986E-2</v>
      </c>
      <c r="G45" s="71">
        <f t="shared" si="5"/>
        <v>-0.13754246951299412</v>
      </c>
      <c r="H45" s="71">
        <f t="shared" si="5"/>
        <v>-0.35709793838878479</v>
      </c>
      <c r="I45" s="71">
        <f t="shared" si="5"/>
        <v>7.1022271189290442E-2</v>
      </c>
      <c r="J45" s="71">
        <f t="shared" si="5"/>
        <v>0.19580684773756329</v>
      </c>
      <c r="K45" s="71" t="e">
        <f t="shared" si="5"/>
        <v>#DIV/0!</v>
      </c>
      <c r="L45" s="71" t="e">
        <f t="shared" si="5"/>
        <v>#DIV/0!</v>
      </c>
      <c r="M45" s="71">
        <f t="shared" si="5"/>
        <v>-2.2628523954574077E-2</v>
      </c>
      <c r="N45" s="71" t="e">
        <f t="shared" si="5"/>
        <v>#DIV/0!</v>
      </c>
      <c r="O45" s="71">
        <f t="shared" si="5"/>
        <v>0.19482765831571935</v>
      </c>
      <c r="P45" s="71">
        <f t="shared" si="5"/>
        <v>-0.17586552918336953</v>
      </c>
      <c r="Q45" s="71">
        <f t="shared" si="5"/>
        <v>-6.1437701791361814E-2</v>
      </c>
      <c r="R45" s="71">
        <f t="shared" si="5"/>
        <v>-0.15425356220721967</v>
      </c>
      <c r="S45" s="71">
        <f t="shared" si="5"/>
        <v>4.0713546024106033E-2</v>
      </c>
      <c r="T45" s="71">
        <f t="shared" si="5"/>
        <v>-3.7318101801289881E-2</v>
      </c>
      <c r="U45" s="71">
        <f t="shared" si="5"/>
        <v>4.5038451038002678E-2</v>
      </c>
      <c r="V45" s="71">
        <f t="shared" si="5"/>
        <v>1.9059249496256325E-2</v>
      </c>
      <c r="W45" s="71">
        <f t="shared" si="5"/>
        <v>3.5380157666374937E-2</v>
      </c>
      <c r="X45" s="71">
        <v>2.1402545733177666E-2</v>
      </c>
      <c r="Y45" s="71">
        <f t="shared" ref="Y45:AQ45" si="6">CORREL($C$3:$C$43,Y3:Y43)</f>
        <v>6.7872894282566737E-2</v>
      </c>
      <c r="Z45" s="71">
        <f t="shared" si="6"/>
        <v>0.31862001812147323</v>
      </c>
      <c r="AA45" s="71">
        <f t="shared" si="6"/>
        <v>0.14970303341446395</v>
      </c>
      <c r="AB45" s="71">
        <f t="shared" si="6"/>
        <v>0.27222890534083322</v>
      </c>
      <c r="AC45" s="71">
        <f t="shared" si="6"/>
        <v>3.7674614545527951E-2</v>
      </c>
      <c r="AD45" s="71">
        <f t="shared" si="6"/>
        <v>5.9707364365202464E-2</v>
      </c>
      <c r="AE45" s="71">
        <f t="shared" si="6"/>
        <v>0.19597717725802019</v>
      </c>
      <c r="AF45" s="71">
        <f t="shared" si="6"/>
        <v>-0.22338327973708316</v>
      </c>
      <c r="AG45" s="71">
        <f t="shared" si="6"/>
        <v>0.32718892342425815</v>
      </c>
      <c r="AH45" s="71">
        <f t="shared" si="6"/>
        <v>-0.4099359117160869</v>
      </c>
      <c r="AI45" s="71">
        <f t="shared" si="6"/>
        <v>7.8868777181926808E-2</v>
      </c>
      <c r="AJ45" s="71">
        <f t="shared" si="6"/>
        <v>0.13608949227235123</v>
      </c>
      <c r="AK45" s="71">
        <f t="shared" si="6"/>
        <v>7.8868777181926808E-2</v>
      </c>
      <c r="AL45" s="71">
        <f t="shared" si="6"/>
        <v>-0.1506423389836011</v>
      </c>
      <c r="AM45" s="71">
        <f t="shared" si="6"/>
        <v>-0.23980962162905364</v>
      </c>
      <c r="AN45" s="71">
        <f t="shared" si="6"/>
        <v>-0.39296659115836285</v>
      </c>
      <c r="AO45" s="71">
        <f t="shared" si="6"/>
        <v>-0.74374425683822798</v>
      </c>
      <c r="AP45" s="71">
        <f t="shared" si="6"/>
        <v>-0.76644305802919654</v>
      </c>
      <c r="AQ45" s="71">
        <f t="shared" si="6"/>
        <v>-0.14632832518079744</v>
      </c>
      <c r="AR45" s="72"/>
      <c r="AS45"/>
      <c r="AT45"/>
      <c r="AU45"/>
      <c r="AV45"/>
      <c r="AW45"/>
      <c r="AX45"/>
      <c r="AY45"/>
      <c r="AZ45"/>
      <c r="BA45"/>
    </row>
    <row r="46" spans="1:53" ht="17.7" x14ac:dyDescent="0.6">
      <c r="A46" s="26"/>
      <c r="B46" s="26"/>
      <c r="C46" s="78" t="s">
        <v>538</v>
      </c>
      <c r="D46" s="71">
        <f t="shared" ref="D46:W46" si="7">D45*D45</f>
        <v>4.9285846244586967E-4</v>
      </c>
      <c r="E46" s="71">
        <f t="shared" si="7"/>
        <v>1.9506082809629312E-2</v>
      </c>
      <c r="F46" s="71">
        <f t="shared" si="7"/>
        <v>4.7813802644569373E-3</v>
      </c>
      <c r="G46" s="71">
        <f t="shared" si="7"/>
        <v>1.8917930919732918E-2</v>
      </c>
      <c r="H46" s="71">
        <f t="shared" si="7"/>
        <v>0.12751893760152033</v>
      </c>
      <c r="I46" s="71">
        <f t="shared" si="7"/>
        <v>5.0441630048851148E-3</v>
      </c>
      <c r="J46" s="71">
        <f t="shared" si="7"/>
        <v>3.8340321620921297E-2</v>
      </c>
      <c r="K46" s="71" t="e">
        <f t="shared" si="7"/>
        <v>#DIV/0!</v>
      </c>
      <c r="L46" s="71" t="e">
        <f t="shared" si="7"/>
        <v>#DIV/0!</v>
      </c>
      <c r="M46" s="71">
        <f t="shared" si="7"/>
        <v>5.1205009636273279E-4</v>
      </c>
      <c r="N46" s="71" t="e">
        <f t="shared" si="7"/>
        <v>#DIV/0!</v>
      </c>
      <c r="O46" s="71">
        <f t="shared" si="7"/>
        <v>3.7957816444786692E-2</v>
      </c>
      <c r="P46" s="71">
        <f t="shared" si="7"/>
        <v>3.0928684354946601E-2</v>
      </c>
      <c r="Q46" s="71">
        <f t="shared" si="7"/>
        <v>3.7745912014043024E-3</v>
      </c>
      <c r="R46" s="71">
        <f t="shared" si="7"/>
        <v>2.3794161453616586E-2</v>
      </c>
      <c r="S46" s="71">
        <f t="shared" si="7"/>
        <v>1.6575928298570002E-3</v>
      </c>
      <c r="T46" s="71">
        <f t="shared" si="7"/>
        <v>1.392640722051435E-3</v>
      </c>
      <c r="U46" s="71">
        <f t="shared" si="7"/>
        <v>2.0284620719025646E-3</v>
      </c>
      <c r="V46" s="71">
        <f t="shared" si="7"/>
        <v>3.6325499136054696E-4</v>
      </c>
      <c r="W46" s="71">
        <f t="shared" si="7"/>
        <v>1.2517555564975492E-3</v>
      </c>
      <c r="X46" s="71">
        <v>4.5806896386076156E-4</v>
      </c>
      <c r="Y46" s="71">
        <f t="shared" ref="Y46:AP46" si="8">Y45*Y45</f>
        <v>4.6067297782924803E-3</v>
      </c>
      <c r="Z46" s="71">
        <f t="shared" si="8"/>
        <v>0.10151871594772793</v>
      </c>
      <c r="AA46" s="71">
        <f t="shared" si="8"/>
        <v>2.2410998213492111E-2</v>
      </c>
      <c r="AB46" s="71">
        <f t="shared" si="8"/>
        <v>7.4108576903068338E-2</v>
      </c>
      <c r="AC46" s="71">
        <f t="shared" si="8"/>
        <v>1.4193765811541064E-3</v>
      </c>
      <c r="AD46" s="71">
        <f t="shared" si="8"/>
        <v>3.5649693594390491E-3</v>
      </c>
      <c r="AE46" s="71">
        <f t="shared" si="8"/>
        <v>3.8407054006021464E-2</v>
      </c>
      <c r="AF46" s="71">
        <f t="shared" si="8"/>
        <v>4.9900089666095951E-2</v>
      </c>
      <c r="AG46" s="71">
        <f t="shared" si="8"/>
        <v>0.10705259161152507</v>
      </c>
      <c r="AH46" s="71">
        <f t="shared" si="8"/>
        <v>0.16804745171449939</v>
      </c>
      <c r="AI46" s="71">
        <f t="shared" si="8"/>
        <v>6.2202840141724189E-3</v>
      </c>
      <c r="AJ46" s="71">
        <f t="shared" si="8"/>
        <v>1.8520349906946346E-2</v>
      </c>
      <c r="AK46" s="71">
        <f t="shared" si="8"/>
        <v>6.2202840141724189E-3</v>
      </c>
      <c r="AL46" s="71">
        <f t="shared" si="8"/>
        <v>2.2693114294450183E-2</v>
      </c>
      <c r="AM46" s="71">
        <f t="shared" si="8"/>
        <v>5.7508654625869876E-2</v>
      </c>
      <c r="AN46" s="71">
        <f t="shared" si="8"/>
        <v>0.15442274176662391</v>
      </c>
      <c r="AO46" s="71">
        <f t="shared" si="8"/>
        <v>0.55315551957984799</v>
      </c>
      <c r="AP46" s="71">
        <f t="shared" si="8"/>
        <v>0.58743496120114636</v>
      </c>
      <c r="AQ46" s="71">
        <f>AQ45*AQ45</f>
        <v>2.1411978750217199E-2</v>
      </c>
      <c r="AR46" s="72"/>
      <c r="AS46" s="348" t="s">
        <v>513</v>
      </c>
      <c r="AT46" s="348"/>
      <c r="AU46"/>
      <c r="AV46"/>
      <c r="AW46"/>
      <c r="AX46"/>
      <c r="AY46"/>
      <c r="AZ46"/>
      <c r="BA46"/>
    </row>
    <row r="47" spans="1:53" ht="17.7" x14ac:dyDescent="0.6">
      <c r="A47" s="26"/>
      <c r="B47" s="26"/>
      <c r="C47" s="78"/>
      <c r="O47" s="72"/>
      <c r="P47" s="72"/>
      <c r="Q47" s="72"/>
      <c r="R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t="s">
        <v>514</v>
      </c>
      <c r="AT47">
        <v>0.27799215348174855</v>
      </c>
      <c r="AU47"/>
      <c r="AV47"/>
      <c r="AW47"/>
      <c r="AX47"/>
      <c r="AY47"/>
      <c r="AZ47"/>
      <c r="BA47"/>
    </row>
    <row r="48" spans="1:53" ht="18" thickBot="1" x14ac:dyDescent="0.65">
      <c r="A48" s="26"/>
      <c r="B48" s="26"/>
      <c r="C48" s="78"/>
      <c r="O48" s="71"/>
      <c r="P48" s="71"/>
      <c r="Q48" s="71"/>
      <c r="R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2"/>
      <c r="AQ48" s="72"/>
      <c r="AR48" s="72"/>
      <c r="AS48" t="s">
        <v>515</v>
      </c>
      <c r="AT48">
        <v>7.727963739742004E-2</v>
      </c>
      <c r="AU48"/>
      <c r="AV48"/>
      <c r="AW48"/>
      <c r="AX48"/>
      <c r="AY48"/>
      <c r="AZ48"/>
      <c r="BA48"/>
    </row>
    <row r="49" spans="1:53" ht="18" hidden="1" thickBot="1" x14ac:dyDescent="0.65">
      <c r="A49" s="26"/>
      <c r="B49" s="26"/>
      <c r="C49" s="78"/>
      <c r="O49" s="72"/>
      <c r="P49" s="72"/>
      <c r="Q49" s="72"/>
      <c r="R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t="s">
        <v>516</v>
      </c>
      <c r="AT49">
        <v>5.4211628332355544E-2</v>
      </c>
      <c r="AU49"/>
      <c r="AV49"/>
      <c r="AW49"/>
      <c r="AX49"/>
      <c r="AY49"/>
      <c r="AZ49"/>
      <c r="BA49"/>
    </row>
    <row r="50" spans="1:53" ht="21" hidden="1" customHeight="1" x14ac:dyDescent="0.6">
      <c r="A50" s="32" t="s">
        <v>78</v>
      </c>
      <c r="B50" s="26" t="s">
        <v>77</v>
      </c>
      <c r="C50" s="78" t="e">
        <f>#REF!/#REF!-1</f>
        <v>#REF!</v>
      </c>
      <c r="O50" s="72"/>
      <c r="P50" s="72"/>
      <c r="Q50" s="72"/>
      <c r="R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t="s">
        <v>517</v>
      </c>
      <c r="AT50">
        <v>6.4639676009416849E-2</v>
      </c>
      <c r="AU50"/>
      <c r="AV50"/>
      <c r="AW50"/>
      <c r="AX50"/>
      <c r="AY50"/>
      <c r="AZ50"/>
      <c r="BA50"/>
    </row>
    <row r="51" spans="1:53" ht="18" hidden="1" thickBot="1" x14ac:dyDescent="0.65">
      <c r="A51" s="29">
        <v>99</v>
      </c>
      <c r="B51" s="25" t="s">
        <v>76</v>
      </c>
      <c r="C51" s="78" t="e">
        <f>#REF!/#REF!-1</f>
        <v>#REF!</v>
      </c>
      <c r="O51" s="72"/>
      <c r="P51" s="72"/>
      <c r="Q51" s="72"/>
      <c r="R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346" t="s">
        <v>518</v>
      </c>
      <c r="AT51" s="346">
        <v>42</v>
      </c>
      <c r="AU51"/>
      <c r="AV51"/>
      <c r="AW51"/>
      <c r="AX51"/>
      <c r="AY51"/>
      <c r="AZ51"/>
      <c r="BA51"/>
    </row>
    <row r="52" spans="1:53" ht="15.6" hidden="1" thickBot="1" x14ac:dyDescent="0.6">
      <c r="O52" s="72"/>
      <c r="P52" s="72"/>
      <c r="Q52" s="72"/>
      <c r="R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/>
      <c r="AT52"/>
      <c r="AU52"/>
      <c r="AV52"/>
      <c r="AW52"/>
      <c r="AX52"/>
      <c r="AY52"/>
      <c r="AZ52"/>
      <c r="BA52"/>
    </row>
    <row r="53" spans="1:53" s="71" customFormat="1" ht="15.6" hidden="1" thickBot="1" x14ac:dyDescent="0.6">
      <c r="A53" s="10"/>
      <c r="B53" s="10"/>
      <c r="C53" s="72"/>
      <c r="O53" s="72"/>
      <c r="P53" s="72"/>
      <c r="Q53" s="72"/>
      <c r="R53" s="72"/>
      <c r="S53" s="8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t="s">
        <v>519</v>
      </c>
      <c r="AT53"/>
      <c r="AU53"/>
      <c r="AV53"/>
      <c r="AW53"/>
      <c r="AX53"/>
      <c r="AY53"/>
      <c r="AZ53"/>
      <c r="BA53"/>
    </row>
    <row r="54" spans="1:53" s="71" customFormat="1" ht="18" hidden="1" thickBot="1" x14ac:dyDescent="0.65">
      <c r="A54" s="31">
        <v>1</v>
      </c>
      <c r="B54" s="25" t="s">
        <v>75</v>
      </c>
      <c r="C54" s="78" t="e">
        <f>#REF!/#REF!-1</f>
        <v>#REF!</v>
      </c>
      <c r="O54" s="72"/>
      <c r="P54" s="72"/>
      <c r="Q54" s="72"/>
      <c r="R54" s="72"/>
      <c r="S54" s="8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347"/>
      <c r="AT54" s="347" t="s">
        <v>523</v>
      </c>
      <c r="AU54" s="347" t="s">
        <v>524</v>
      </c>
      <c r="AV54" s="347" t="s">
        <v>525</v>
      </c>
      <c r="AW54" s="347" t="s">
        <v>526</v>
      </c>
      <c r="AX54" s="347" t="s">
        <v>527</v>
      </c>
      <c r="AY54"/>
      <c r="AZ54"/>
      <c r="BA54"/>
    </row>
    <row r="55" spans="1:53" s="71" customFormat="1" ht="18" hidden="1" thickBot="1" x14ac:dyDescent="0.65">
      <c r="A55" s="31">
        <v>3</v>
      </c>
      <c r="B55" s="25" t="s">
        <v>74</v>
      </c>
      <c r="C55" s="78" t="e">
        <f>#REF!/#REF!-1</f>
        <v>#REF!</v>
      </c>
      <c r="O55" s="72"/>
      <c r="P55" s="72"/>
      <c r="Q55" s="72"/>
      <c r="R55" s="72"/>
      <c r="S55" s="8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t="s">
        <v>520</v>
      </c>
      <c r="AT55">
        <v>1</v>
      </c>
      <c r="AU55">
        <v>1.3997591149536165E-2</v>
      </c>
      <c r="AV55">
        <v>1.3997591149536165E-2</v>
      </c>
      <c r="AW55">
        <v>3.3500783348683827</v>
      </c>
      <c r="AX55">
        <v>7.4660176551372553E-2</v>
      </c>
      <c r="AY55"/>
      <c r="AZ55"/>
      <c r="BA55"/>
    </row>
    <row r="56" spans="1:53" s="71" customFormat="1" ht="18" hidden="1" thickBot="1" x14ac:dyDescent="0.65">
      <c r="A56" s="31">
        <v>4</v>
      </c>
      <c r="B56" s="25" t="s">
        <v>73</v>
      </c>
      <c r="C56" s="78" t="e">
        <f>#REF!/#REF!-1</f>
        <v>#REF!</v>
      </c>
      <c r="O56" s="72"/>
      <c r="P56" s="72"/>
      <c r="Q56" s="72"/>
      <c r="R56" s="72"/>
      <c r="S56" s="8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t="s">
        <v>521</v>
      </c>
      <c r="AT56">
        <v>40</v>
      </c>
      <c r="AU56">
        <v>0.16713150858409523</v>
      </c>
      <c r="AV56">
        <v>4.1782877146023809E-3</v>
      </c>
      <c r="AW56"/>
      <c r="AX56"/>
      <c r="AY56"/>
      <c r="AZ56"/>
      <c r="BA56"/>
    </row>
    <row r="57" spans="1:53" s="71" customFormat="1" ht="18" hidden="1" thickBot="1" x14ac:dyDescent="0.65">
      <c r="A57" s="29">
        <v>5</v>
      </c>
      <c r="B57" s="25" t="s">
        <v>72</v>
      </c>
      <c r="C57" s="78" t="e">
        <f>#REF!/#REF!-1</f>
        <v>#REF!</v>
      </c>
      <c r="O57" s="72"/>
      <c r="P57" s="72"/>
      <c r="Q57" s="72"/>
      <c r="R57" s="72"/>
      <c r="S57" s="8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346" t="s">
        <v>302</v>
      </c>
      <c r="AT57" s="346">
        <v>41</v>
      </c>
      <c r="AU57" s="346">
        <v>0.18112909973363139</v>
      </c>
      <c r="AV57" s="346"/>
      <c r="AW57" s="346"/>
      <c r="AX57" s="346"/>
      <c r="AY57"/>
      <c r="AZ57"/>
      <c r="BA57"/>
    </row>
    <row r="58" spans="1:53" s="71" customFormat="1" ht="15.6" hidden="1" thickBot="1" x14ac:dyDescent="0.6">
      <c r="A58" s="10"/>
      <c r="B58" s="10"/>
      <c r="C58" s="72"/>
      <c r="O58" s="72"/>
      <c r="P58" s="72"/>
      <c r="Q58" s="72"/>
      <c r="R58" s="72"/>
      <c r="S58" s="8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/>
      <c r="AT58"/>
      <c r="AU58"/>
      <c r="AV58"/>
      <c r="AW58"/>
      <c r="AX58"/>
      <c r="AY58"/>
      <c r="AZ58"/>
      <c r="BA58"/>
    </row>
    <row r="59" spans="1:53" s="71" customFormat="1" ht="15.3" x14ac:dyDescent="0.55000000000000004">
      <c r="A59" s="10"/>
      <c r="B59" s="10"/>
      <c r="C59" s="72"/>
      <c r="S59" s="82"/>
      <c r="AP59" s="72"/>
      <c r="AQ59" s="72"/>
      <c r="AR59" s="72"/>
      <c r="AS59" s="347"/>
      <c r="AT59" s="347" t="s">
        <v>528</v>
      </c>
      <c r="AU59" s="347" t="s">
        <v>517</v>
      </c>
      <c r="AV59" s="347" t="s">
        <v>529</v>
      </c>
      <c r="AW59" s="347" t="s">
        <v>530</v>
      </c>
      <c r="AX59" s="347" t="s">
        <v>531</v>
      </c>
      <c r="AY59" s="347" t="s">
        <v>532</v>
      </c>
      <c r="AZ59" s="347" t="s">
        <v>533</v>
      </c>
      <c r="BA59" s="347" t="s">
        <v>534</v>
      </c>
    </row>
    <row r="60" spans="1:53" s="71" customFormat="1" ht="15.3" x14ac:dyDescent="0.55000000000000004">
      <c r="A60" s="10"/>
      <c r="B60" s="10"/>
      <c r="C60" s="72"/>
      <c r="O60" s="72"/>
      <c r="P60" s="72"/>
      <c r="Q60" s="72"/>
      <c r="R60" s="72"/>
      <c r="S60" s="8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t="s">
        <v>522</v>
      </c>
      <c r="AT60">
        <v>-0.11205428294985781</v>
      </c>
      <c r="AU60">
        <v>1.0051971780312575E-2</v>
      </c>
      <c r="AV60">
        <v>-11.147492790352162</v>
      </c>
      <c r="AW60">
        <v>7.6866662224623573E-14</v>
      </c>
      <c r="AX60">
        <v>-0.1323700757391007</v>
      </c>
      <c r="AY60">
        <v>-9.1738490160614916E-2</v>
      </c>
      <c r="AZ60">
        <v>-0.1323700757391007</v>
      </c>
      <c r="BA60">
        <v>-9.1738490160614916E-2</v>
      </c>
    </row>
    <row r="61" spans="1:53" s="71" customFormat="1" ht="15.6" thickBot="1" x14ac:dyDescent="0.6">
      <c r="A61" s="10"/>
      <c r="B61" s="10"/>
      <c r="C61" s="72"/>
      <c r="O61" s="72"/>
      <c r="P61" s="72"/>
      <c r="Q61" s="72"/>
      <c r="R61" s="72"/>
      <c r="S61" s="8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346" t="s">
        <v>535</v>
      </c>
      <c r="AT61" s="346">
        <v>7.7162818665015676E-2</v>
      </c>
      <c r="AU61" s="346">
        <v>4.2158058522588207E-2</v>
      </c>
      <c r="AV61" s="346">
        <v>1.8303219211025097</v>
      </c>
      <c r="AW61" s="353">
        <v>7.4660176551372553E-2</v>
      </c>
      <c r="AX61" s="346">
        <v>-8.0417959180790199E-3</v>
      </c>
      <c r="AY61" s="346">
        <v>0.16236743324811037</v>
      </c>
      <c r="AZ61" s="346">
        <v>-8.0417959180790199E-3</v>
      </c>
      <c r="BA61" s="346">
        <v>0.16236743324811037</v>
      </c>
    </row>
    <row r="62" spans="1:53" s="71" customFormat="1" ht="15.3" x14ac:dyDescent="0.55000000000000004">
      <c r="A62" s="10"/>
      <c r="B62" s="10"/>
      <c r="C62" s="72"/>
      <c r="O62" s="72"/>
      <c r="P62" s="72"/>
      <c r="Q62" s="72"/>
      <c r="R62" s="72"/>
      <c r="S62" s="8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/>
      <c r="AT62"/>
      <c r="AU62"/>
      <c r="AV62"/>
      <c r="AW62"/>
      <c r="AX62"/>
      <c r="AY62"/>
      <c r="AZ62"/>
      <c r="BA62"/>
    </row>
    <row r="63" spans="1:53" s="71" customFormat="1" ht="15.3" x14ac:dyDescent="0.55000000000000004">
      <c r="A63" s="10"/>
      <c r="B63" s="10"/>
      <c r="C63" s="72"/>
      <c r="O63" s="72"/>
      <c r="P63" s="72"/>
      <c r="Q63" s="72"/>
      <c r="R63" s="72"/>
      <c r="S63" s="8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t="s">
        <v>512</v>
      </c>
      <c r="AT63" t="s">
        <v>570</v>
      </c>
      <c r="AU63"/>
      <c r="AV63"/>
      <c r="AW63"/>
      <c r="AX63"/>
      <c r="AY63"/>
      <c r="AZ63"/>
      <c r="BA63"/>
    </row>
    <row r="64" spans="1:53" ht="15.6" thickBot="1" x14ac:dyDescent="0.6">
      <c r="AS64"/>
      <c r="AT64"/>
      <c r="AU64"/>
      <c r="AV64"/>
      <c r="AW64"/>
      <c r="AX64"/>
      <c r="AY64"/>
      <c r="AZ64"/>
      <c r="BA64"/>
    </row>
    <row r="65" spans="1:53" s="71" customFormat="1" ht="15.3" x14ac:dyDescent="0.55000000000000004">
      <c r="A65" s="10"/>
      <c r="B65" s="10"/>
      <c r="C65" s="72"/>
      <c r="S65" s="82"/>
      <c r="AS65" s="348" t="s">
        <v>513</v>
      </c>
      <c r="AT65" s="348"/>
      <c r="AU65"/>
      <c r="AV65"/>
      <c r="AW65"/>
      <c r="AX65"/>
      <c r="AY65"/>
      <c r="AZ65"/>
      <c r="BA65"/>
    </row>
    <row r="66" spans="1:53" ht="15.3" x14ac:dyDescent="0.55000000000000004">
      <c r="AS66" t="s">
        <v>514</v>
      </c>
      <c r="AT66">
        <v>0.44772061485316161</v>
      </c>
      <c r="AU66"/>
      <c r="AV66"/>
      <c r="AW66"/>
      <c r="AX66"/>
      <c r="AY66"/>
      <c r="AZ66"/>
      <c r="BA66"/>
    </row>
    <row r="67" spans="1:53" ht="15.3" x14ac:dyDescent="0.55000000000000004">
      <c r="AS67" t="s">
        <v>515</v>
      </c>
      <c r="AT67">
        <v>0.20045374896449306</v>
      </c>
      <c r="AU67"/>
      <c r="AV67"/>
      <c r="AW67"/>
      <c r="AX67"/>
      <c r="AY67"/>
      <c r="AZ67"/>
      <c r="BA67"/>
    </row>
    <row r="68" spans="1:53" ht="15.3" x14ac:dyDescent="0.55000000000000004">
      <c r="AS68" t="s">
        <v>516</v>
      </c>
      <c r="AT68">
        <v>0.18046509268860539</v>
      </c>
      <c r="AU68"/>
      <c r="AV68"/>
      <c r="AW68"/>
      <c r="AX68"/>
      <c r="AY68"/>
      <c r="AZ68"/>
      <c r="BA68"/>
    </row>
    <row r="69" spans="1:53" ht="15.3" x14ac:dyDescent="0.55000000000000004">
      <c r="AS69" t="s">
        <v>517</v>
      </c>
      <c r="AT69">
        <v>6.0747986711554368E-2</v>
      </c>
      <c r="AU69"/>
      <c r="AV69"/>
      <c r="AW69"/>
      <c r="AX69"/>
      <c r="AY69"/>
      <c r="AZ69"/>
      <c r="BA69"/>
    </row>
    <row r="70" spans="1:53" ht="15.6" thickBot="1" x14ac:dyDescent="0.6">
      <c r="AS70" s="346" t="s">
        <v>518</v>
      </c>
      <c r="AT70" s="346">
        <v>42</v>
      </c>
      <c r="AU70"/>
      <c r="AV70"/>
      <c r="AW70"/>
      <c r="AX70"/>
      <c r="AY70"/>
      <c r="AZ70"/>
      <c r="BA70"/>
    </row>
    <row r="71" spans="1:53" ht="15.3" x14ac:dyDescent="0.55000000000000004">
      <c r="AS71"/>
      <c r="AT71"/>
      <c r="AU71"/>
      <c r="AV71"/>
      <c r="AW71"/>
      <c r="AX71"/>
      <c r="AY71"/>
      <c r="AZ71"/>
      <c r="BA71"/>
    </row>
    <row r="72" spans="1:53" ht="15.6" thickBot="1" x14ac:dyDescent="0.6">
      <c r="AS72" t="s">
        <v>519</v>
      </c>
      <c r="AT72"/>
      <c r="AU72"/>
      <c r="AV72"/>
      <c r="AW72"/>
      <c r="AX72"/>
      <c r="AY72"/>
      <c r="AZ72"/>
      <c r="BA72"/>
    </row>
    <row r="73" spans="1:53" ht="15.3" x14ac:dyDescent="0.55000000000000004">
      <c r="AS73" s="347"/>
      <c r="AT73" s="347" t="s">
        <v>523</v>
      </c>
      <c r="AU73" s="347" t="s">
        <v>524</v>
      </c>
      <c r="AV73" s="347" t="s">
        <v>525</v>
      </c>
      <c r="AW73" s="347" t="s">
        <v>526</v>
      </c>
      <c r="AX73" s="347" t="s">
        <v>527</v>
      </c>
      <c r="AY73"/>
      <c r="AZ73"/>
      <c r="BA73"/>
    </row>
    <row r="74" spans="1:53" ht="15.3" x14ac:dyDescent="0.55000000000000004">
      <c r="AS74" t="s">
        <v>520</v>
      </c>
      <c r="AT74">
        <v>1</v>
      </c>
      <c r="AU74">
        <v>3.7007893157620486E-2</v>
      </c>
      <c r="AV74">
        <v>3.7007893157620486E-2</v>
      </c>
      <c r="AW74">
        <v>10.02837540441878</v>
      </c>
      <c r="AX74">
        <v>2.9480067953436408E-3</v>
      </c>
      <c r="AY74"/>
      <c r="AZ74"/>
      <c r="BA74"/>
    </row>
    <row r="75" spans="1:53" ht="15.3" x14ac:dyDescent="0.55000000000000004">
      <c r="AS75" t="s">
        <v>521</v>
      </c>
      <c r="AT75">
        <v>40</v>
      </c>
      <c r="AU75">
        <v>0.14761271558028743</v>
      </c>
      <c r="AV75">
        <v>3.690317889507186E-3</v>
      </c>
      <c r="AW75"/>
      <c r="AX75"/>
      <c r="AY75"/>
      <c r="AZ75"/>
      <c r="BA75"/>
    </row>
    <row r="76" spans="1:53" ht="15.6" thickBot="1" x14ac:dyDescent="0.6">
      <c r="AS76" s="346" t="s">
        <v>302</v>
      </c>
      <c r="AT76" s="346">
        <v>41</v>
      </c>
      <c r="AU76" s="346">
        <v>0.18462060873790792</v>
      </c>
      <c r="AV76" s="346"/>
      <c r="AW76" s="346"/>
      <c r="AX76" s="346"/>
      <c r="AY76"/>
      <c r="AZ76"/>
      <c r="BA76"/>
    </row>
    <row r="77" spans="1:53" ht="15.6" thickBot="1" x14ac:dyDescent="0.6">
      <c r="AS77"/>
      <c r="AT77"/>
      <c r="AU77"/>
      <c r="AV77"/>
      <c r="AW77"/>
      <c r="AX77"/>
      <c r="AY77"/>
      <c r="AZ77"/>
      <c r="BA77"/>
    </row>
    <row r="78" spans="1:53" ht="15.3" x14ac:dyDescent="0.55000000000000004">
      <c r="AS78" s="347"/>
      <c r="AT78" s="347" t="s">
        <v>528</v>
      </c>
      <c r="AU78" s="347" t="s">
        <v>517</v>
      </c>
      <c r="AV78" s="347" t="s">
        <v>529</v>
      </c>
      <c r="AW78" s="347" t="s">
        <v>530</v>
      </c>
      <c r="AX78" s="347" t="s">
        <v>531</v>
      </c>
      <c r="AY78" s="347" t="s">
        <v>532</v>
      </c>
      <c r="AZ78" s="347" t="s">
        <v>533</v>
      </c>
      <c r="BA78" s="347" t="s">
        <v>534</v>
      </c>
    </row>
    <row r="79" spans="1:53" ht="15.3" x14ac:dyDescent="0.55000000000000004">
      <c r="AS79" t="s">
        <v>522</v>
      </c>
      <c r="AT79">
        <v>0.25515102189583294</v>
      </c>
      <c r="AU79">
        <v>0.1172080352033186</v>
      </c>
      <c r="AV79">
        <v>2.1769072525891864</v>
      </c>
      <c r="AW79">
        <v>3.5447814941886542E-2</v>
      </c>
      <c r="AX79">
        <v>1.8264746400254328E-2</v>
      </c>
      <c r="AY79">
        <v>0.49203729739141155</v>
      </c>
      <c r="AZ79">
        <v>1.8264746400254328E-2</v>
      </c>
      <c r="BA79">
        <v>0.49203729739141155</v>
      </c>
    </row>
    <row r="80" spans="1:53" ht="15.6" thickBot="1" x14ac:dyDescent="0.6">
      <c r="AS80" s="346" t="s">
        <v>535</v>
      </c>
      <c r="AT80" s="346">
        <v>-0.39823591085712751</v>
      </c>
      <c r="AU80" s="346">
        <v>0.12575496143100837</v>
      </c>
      <c r="AV80" s="346">
        <v>-3.1667610273619902</v>
      </c>
      <c r="AW80" s="353">
        <v>2.948006795343652E-3</v>
      </c>
      <c r="AX80" s="346">
        <v>-0.6523961686142532</v>
      </c>
      <c r="AY80" s="346">
        <v>-0.14407565310000187</v>
      </c>
      <c r="AZ80" s="346">
        <v>-0.6523961686142532</v>
      </c>
      <c r="BA80" s="346">
        <v>-0.14407565310000187</v>
      </c>
    </row>
    <row r="81" spans="45:53" ht="15.3" x14ac:dyDescent="0.55000000000000004">
      <c r="AS81"/>
      <c r="AT81"/>
      <c r="AU81"/>
      <c r="AV81"/>
      <c r="AW81"/>
      <c r="AX81"/>
      <c r="AY81"/>
      <c r="AZ81"/>
      <c r="BA81"/>
    </row>
    <row r="82" spans="45:53" ht="15.3" x14ac:dyDescent="0.55000000000000004">
      <c r="AS82"/>
      <c r="AT82"/>
      <c r="AU82"/>
      <c r="AV82"/>
      <c r="AW82"/>
      <c r="AX82"/>
      <c r="AY82"/>
      <c r="AZ82"/>
      <c r="BA82"/>
    </row>
    <row r="83" spans="45:53" ht="15.3" x14ac:dyDescent="0.55000000000000004">
      <c r="AS83"/>
      <c r="AT83"/>
      <c r="AU83"/>
      <c r="AV83"/>
      <c r="AW83"/>
      <c r="AX83"/>
      <c r="AY83"/>
      <c r="AZ83"/>
      <c r="BA83"/>
    </row>
    <row r="84" spans="45:53" ht="15.3" x14ac:dyDescent="0.55000000000000004">
      <c r="AS84"/>
      <c r="AT84"/>
      <c r="AU84"/>
      <c r="AV84"/>
      <c r="AW84"/>
      <c r="AX84"/>
      <c r="AY84"/>
      <c r="AZ84"/>
      <c r="BA84"/>
    </row>
    <row r="85" spans="45:53" ht="15.3" x14ac:dyDescent="0.55000000000000004">
      <c r="AS85"/>
      <c r="AT85"/>
      <c r="AU85"/>
      <c r="AV85"/>
      <c r="AW85"/>
      <c r="AX85"/>
      <c r="AY85"/>
      <c r="AZ85"/>
      <c r="BA85"/>
    </row>
    <row r="86" spans="45:53" ht="15.3" x14ac:dyDescent="0.55000000000000004">
      <c r="AS86"/>
      <c r="AT86"/>
      <c r="AU86"/>
      <c r="AV86"/>
      <c r="AW86"/>
      <c r="AX86"/>
      <c r="AY86"/>
      <c r="AZ86"/>
      <c r="BA86"/>
    </row>
    <row r="87" spans="45:53" ht="15.3" x14ac:dyDescent="0.55000000000000004">
      <c r="AS87"/>
      <c r="AT87"/>
      <c r="AU87"/>
      <c r="AV87"/>
      <c r="AW87"/>
      <c r="AX87"/>
      <c r="AY87"/>
      <c r="AZ87"/>
      <c r="BA87"/>
    </row>
    <row r="88" spans="45:53" ht="15.3" x14ac:dyDescent="0.55000000000000004">
      <c r="AS88"/>
      <c r="AT88"/>
      <c r="AU88"/>
      <c r="AV88"/>
      <c r="AW88"/>
      <c r="AX88"/>
      <c r="AY88"/>
      <c r="AZ88"/>
      <c r="BA88"/>
    </row>
    <row r="89" spans="45:53" ht="15.3" x14ac:dyDescent="0.55000000000000004">
      <c r="AS89"/>
      <c r="AT89"/>
      <c r="AU89"/>
      <c r="AV89"/>
      <c r="AW89"/>
      <c r="AX89"/>
      <c r="AY89"/>
      <c r="AZ89"/>
      <c r="BA89"/>
    </row>
    <row r="90" spans="45:53" ht="15.3" x14ac:dyDescent="0.55000000000000004">
      <c r="AS90"/>
      <c r="AT90"/>
      <c r="AU90"/>
      <c r="AV90"/>
      <c r="AW90"/>
      <c r="AX90"/>
      <c r="AY90"/>
      <c r="AZ90"/>
      <c r="BA90"/>
    </row>
    <row r="91" spans="45:53" ht="15.3" x14ac:dyDescent="0.55000000000000004">
      <c r="AS91"/>
      <c r="AT91"/>
      <c r="AU91"/>
      <c r="AV91"/>
      <c r="AW91"/>
      <c r="AX91"/>
      <c r="AY91"/>
      <c r="AZ91"/>
      <c r="BA91"/>
    </row>
    <row r="92" spans="45:53" ht="15.3" x14ac:dyDescent="0.55000000000000004">
      <c r="AS92"/>
      <c r="AT92"/>
      <c r="AU92"/>
      <c r="AV92"/>
      <c r="AW92"/>
      <c r="AX92"/>
      <c r="AY92"/>
      <c r="AZ92"/>
      <c r="BA92"/>
    </row>
    <row r="93" spans="45:53" ht="15.3" x14ac:dyDescent="0.55000000000000004">
      <c r="AS93"/>
      <c r="AT93"/>
      <c r="AU93"/>
      <c r="AV93"/>
      <c r="AW93"/>
      <c r="AX93"/>
      <c r="AY93"/>
      <c r="AZ93"/>
      <c r="BA93"/>
    </row>
    <row r="94" spans="45:53" ht="15.3" x14ac:dyDescent="0.55000000000000004">
      <c r="AS94"/>
      <c r="AT94"/>
      <c r="AU94"/>
      <c r="AV94"/>
      <c r="AW94"/>
      <c r="AX94"/>
      <c r="AY94"/>
      <c r="AZ94"/>
      <c r="BA94"/>
    </row>
    <row r="95" spans="45:53" ht="15.3" x14ac:dyDescent="0.55000000000000004">
      <c r="AS95"/>
      <c r="AT95"/>
      <c r="AU95"/>
      <c r="AV95"/>
      <c r="AW95"/>
      <c r="AX95"/>
      <c r="AY95"/>
      <c r="AZ95"/>
      <c r="BA95"/>
    </row>
    <row r="96" spans="45:53" ht="15.3" x14ac:dyDescent="0.55000000000000004">
      <c r="AS96"/>
      <c r="AT96"/>
      <c r="AU96"/>
      <c r="AV96"/>
      <c r="AW96"/>
      <c r="AX96"/>
      <c r="AY96"/>
      <c r="AZ96"/>
      <c r="BA96"/>
    </row>
    <row r="97" spans="45:53" ht="15.3" x14ac:dyDescent="0.55000000000000004">
      <c r="AS97"/>
      <c r="AT97"/>
      <c r="AU97"/>
      <c r="AV97"/>
      <c r="AW97"/>
      <c r="AX97"/>
      <c r="AY97"/>
      <c r="AZ97"/>
      <c r="BA97"/>
    </row>
    <row r="98" spans="45:53" ht="15.3" x14ac:dyDescent="0.55000000000000004">
      <c r="AS98"/>
      <c r="AT98"/>
      <c r="AU98"/>
      <c r="AV98"/>
      <c r="AW98"/>
      <c r="AX98"/>
      <c r="AY98"/>
      <c r="AZ98"/>
      <c r="BA98"/>
    </row>
    <row r="99" spans="45:53" ht="15.3" x14ac:dyDescent="0.55000000000000004">
      <c r="AS99"/>
      <c r="AT99"/>
      <c r="AU99"/>
      <c r="AV99"/>
      <c r="AW99"/>
      <c r="AX99"/>
      <c r="AY99"/>
      <c r="AZ99"/>
      <c r="BA99"/>
    </row>
    <row r="100" spans="45:53" ht="15.3" x14ac:dyDescent="0.55000000000000004">
      <c r="AS100"/>
      <c r="AT100"/>
      <c r="AU100"/>
      <c r="AV100"/>
      <c r="AW100"/>
      <c r="AX100"/>
      <c r="AY100"/>
      <c r="AZ100"/>
      <c r="BA100"/>
    </row>
    <row r="101" spans="45:53" ht="15.3" x14ac:dyDescent="0.55000000000000004">
      <c r="AS101"/>
      <c r="AT101"/>
      <c r="AU101"/>
      <c r="AV101"/>
      <c r="AW101"/>
      <c r="AX101"/>
      <c r="AY101"/>
      <c r="AZ101"/>
      <c r="BA101"/>
    </row>
    <row r="102" spans="45:53" ht="15.3" x14ac:dyDescent="0.55000000000000004">
      <c r="AS102"/>
      <c r="AT102"/>
      <c r="AU102"/>
      <c r="AV102"/>
      <c r="AW102"/>
      <c r="AX102"/>
      <c r="AY102"/>
      <c r="AZ102"/>
      <c r="BA102"/>
    </row>
    <row r="103" spans="45:53" ht="15.3" x14ac:dyDescent="0.55000000000000004">
      <c r="AS103"/>
      <c r="AT103"/>
      <c r="AU103"/>
      <c r="AV103"/>
      <c r="AW103"/>
      <c r="AX103"/>
      <c r="AY103"/>
      <c r="AZ103"/>
      <c r="BA103"/>
    </row>
    <row r="104" spans="45:53" ht="15.3" x14ac:dyDescent="0.55000000000000004">
      <c r="AS104"/>
      <c r="AT104"/>
      <c r="AU104"/>
      <c r="AV104"/>
      <c r="AW104"/>
      <c r="AX104"/>
      <c r="AY104"/>
      <c r="AZ104"/>
      <c r="BA104"/>
    </row>
    <row r="105" spans="45:53" ht="15.3" x14ac:dyDescent="0.55000000000000004">
      <c r="AS105"/>
      <c r="AT105"/>
      <c r="AU105"/>
      <c r="AV105"/>
      <c r="AW105"/>
      <c r="AX105"/>
      <c r="AY105"/>
      <c r="AZ105"/>
      <c r="BA105"/>
    </row>
    <row r="106" spans="45:53" ht="15.3" x14ac:dyDescent="0.55000000000000004">
      <c r="AS106"/>
      <c r="AT106"/>
      <c r="AU106"/>
      <c r="AV106"/>
      <c r="AW106"/>
      <c r="AX106"/>
      <c r="AY106"/>
      <c r="AZ106"/>
      <c r="BA106"/>
    </row>
    <row r="107" spans="45:53" ht="15.3" x14ac:dyDescent="0.55000000000000004">
      <c r="AS107"/>
      <c r="AT107"/>
      <c r="AU107"/>
      <c r="AV107"/>
      <c r="AW107"/>
      <c r="AX107"/>
      <c r="AY107"/>
      <c r="AZ107"/>
      <c r="BA107"/>
    </row>
    <row r="108" spans="45:53" ht="15.3" x14ac:dyDescent="0.55000000000000004">
      <c r="AS108"/>
      <c r="AT108"/>
      <c r="AU108"/>
      <c r="AV108"/>
      <c r="AW108"/>
      <c r="AX108"/>
      <c r="AY108"/>
      <c r="AZ108"/>
      <c r="BA108"/>
    </row>
    <row r="109" spans="45:53" ht="15.3" x14ac:dyDescent="0.55000000000000004">
      <c r="AS109"/>
      <c r="AT109"/>
      <c r="AU109"/>
      <c r="AV109"/>
      <c r="AW109"/>
      <c r="AX109"/>
      <c r="AY109"/>
      <c r="AZ109"/>
      <c r="BA109"/>
    </row>
    <row r="110" spans="45:53" ht="15.3" x14ac:dyDescent="0.55000000000000004">
      <c r="AS110"/>
      <c r="AT110"/>
      <c r="AU110"/>
    </row>
    <row r="111" spans="45:53" ht="15.3" x14ac:dyDescent="0.55000000000000004">
      <c r="AS111"/>
      <c r="AT111"/>
      <c r="AU111"/>
    </row>
    <row r="112" spans="45:53" ht="15.3" x14ac:dyDescent="0.55000000000000004">
      <c r="AS112"/>
      <c r="AT112"/>
      <c r="AU112"/>
    </row>
    <row r="113" spans="45:47" ht="15.3" x14ac:dyDescent="0.55000000000000004">
      <c r="AS113"/>
      <c r="AT113"/>
      <c r="AU113"/>
    </row>
    <row r="114" spans="45:47" ht="15.3" x14ac:dyDescent="0.55000000000000004">
      <c r="AS114"/>
      <c r="AT114"/>
      <c r="AU114"/>
    </row>
    <row r="115" spans="45:47" ht="15.3" x14ac:dyDescent="0.55000000000000004">
      <c r="AS115"/>
      <c r="AT115"/>
      <c r="AU115"/>
    </row>
    <row r="116" spans="45:47" ht="15.3" x14ac:dyDescent="0.55000000000000004">
      <c r="AS116"/>
      <c r="AT116"/>
      <c r="AU116"/>
    </row>
    <row r="117" spans="45:47" ht="15.3" x14ac:dyDescent="0.55000000000000004">
      <c r="AS117"/>
      <c r="AT117"/>
      <c r="AU117"/>
    </row>
    <row r="118" spans="45:47" ht="15.3" x14ac:dyDescent="0.55000000000000004">
      <c r="AS118"/>
      <c r="AT118"/>
      <c r="AU118"/>
    </row>
    <row r="119" spans="45:47" ht="15.3" x14ac:dyDescent="0.55000000000000004">
      <c r="AS119"/>
      <c r="AT119"/>
      <c r="AU119"/>
    </row>
    <row r="120" spans="45:47" ht="15.3" x14ac:dyDescent="0.55000000000000004">
      <c r="AS120"/>
      <c r="AT120"/>
      <c r="AU120"/>
    </row>
    <row r="121" spans="45:47" ht="15.3" x14ac:dyDescent="0.55000000000000004">
      <c r="AS121"/>
      <c r="AT121"/>
      <c r="AU121"/>
    </row>
    <row r="122" spans="45:47" ht="15.3" x14ac:dyDescent="0.55000000000000004">
      <c r="AS122"/>
      <c r="AT122"/>
      <c r="AU122"/>
    </row>
    <row r="123" spans="45:47" ht="15.3" x14ac:dyDescent="0.55000000000000004">
      <c r="AS123"/>
      <c r="AT123"/>
      <c r="AU123"/>
    </row>
    <row r="124" spans="45:47" ht="15.3" x14ac:dyDescent="0.55000000000000004">
      <c r="AS124"/>
      <c r="AT124"/>
      <c r="AU124"/>
    </row>
    <row r="125" spans="45:47" ht="15.3" x14ac:dyDescent="0.55000000000000004">
      <c r="AS125"/>
      <c r="AT125"/>
      <c r="AU125"/>
    </row>
    <row r="126" spans="45:47" ht="15.3" x14ac:dyDescent="0.55000000000000004">
      <c r="AS126"/>
      <c r="AT126"/>
      <c r="AU126"/>
    </row>
    <row r="127" spans="45:47" ht="15.3" x14ac:dyDescent="0.55000000000000004">
      <c r="AS127"/>
      <c r="AT127"/>
      <c r="AU127"/>
    </row>
  </sheetData>
  <sheetCalcPr fullCalcOnLoad="1"/>
  <autoFilter ref="A2:BA43">
    <sortState xmlns:xlrd2="http://schemas.microsoft.com/office/spreadsheetml/2017/richdata2" ref="A3:AY43">
      <sortCondition ref="A2:A43"/>
    </sortState>
  </autoFilter>
  <printOptions horizontalCentered="1"/>
  <pageMargins left="0.25" right="0.25" top="0.55000000000000004" bottom="0.2" header="0" footer="0"/>
  <pageSetup orientation="portrait" horizontalDpi="1200" verticalDpi="12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2"/>
  <sheetViews>
    <sheetView topLeftCell="B4" workbookViewId="0">
      <selection activeCell="C20" sqref="C20"/>
    </sheetView>
  </sheetViews>
  <sheetFormatPr defaultRowHeight="14.4" x14ac:dyDescent="0.55000000000000004"/>
  <cols>
    <col min="1" max="1" width="46.41796875" bestFit="1" customWidth="1"/>
    <col min="2" max="2" width="35.41796875" style="92" bestFit="1" customWidth="1"/>
    <col min="3" max="3" width="41.41796875" style="92" bestFit="1" customWidth="1"/>
    <col min="4" max="4" width="45" style="93" bestFit="1" customWidth="1"/>
    <col min="5" max="6" width="14.26171875" bestFit="1" customWidth="1"/>
    <col min="7" max="7" width="12.26171875" bestFit="1" customWidth="1"/>
  </cols>
  <sheetData>
    <row r="1" spans="1:7" x14ac:dyDescent="0.55000000000000004">
      <c r="A1" s="1" t="s">
        <v>106</v>
      </c>
      <c r="B1" t="s">
        <v>51</v>
      </c>
    </row>
    <row r="3" spans="1:7" x14ac:dyDescent="0.55000000000000004">
      <c r="A3" s="1" t="s">
        <v>0</v>
      </c>
      <c r="B3" s="281" t="s">
        <v>178</v>
      </c>
      <c r="C3" s="281" t="s">
        <v>177</v>
      </c>
      <c r="D3" s="309" t="s">
        <v>176</v>
      </c>
    </row>
    <row r="4" spans="1:7" x14ac:dyDescent="0.55000000000000004">
      <c r="A4" s="318">
        <v>1</v>
      </c>
      <c r="B4" s="281"/>
      <c r="C4" s="281"/>
      <c r="D4" s="309"/>
    </row>
    <row r="5" spans="1:7" x14ac:dyDescent="0.55000000000000004">
      <c r="A5" s="312" t="s">
        <v>411</v>
      </c>
      <c r="B5" s="281">
        <v>73477074.041108057</v>
      </c>
      <c r="C5" s="281">
        <v>82941712.866657749</v>
      </c>
      <c r="D5" s="309">
        <v>0.12881077464046164</v>
      </c>
      <c r="E5" s="95">
        <f>C5-B5</f>
        <v>9464638.8255496919</v>
      </c>
      <c r="F5" s="95"/>
      <c r="G5" s="281"/>
    </row>
    <row r="6" spans="1:7" x14ac:dyDescent="0.55000000000000004">
      <c r="A6" s="312" t="s">
        <v>425</v>
      </c>
      <c r="B6" s="281">
        <v>383442518.34440809</v>
      </c>
      <c r="C6" s="281">
        <v>408449390.11962038</v>
      </c>
      <c r="D6" s="309">
        <v>6.5216741959615243E-2</v>
      </c>
      <c r="E6" s="95">
        <f t="shared" ref="E6:E15" si="0">C6-B6</f>
        <v>25006871.775212288</v>
      </c>
      <c r="F6" s="95"/>
      <c r="G6" s="281"/>
    </row>
    <row r="7" spans="1:7" x14ac:dyDescent="0.55000000000000004">
      <c r="A7" s="312" t="s">
        <v>409</v>
      </c>
      <c r="B7" s="281">
        <v>513765360.97469074</v>
      </c>
      <c r="C7" s="281">
        <v>541826710.4028753</v>
      </c>
      <c r="D7" s="309">
        <v>5.4618998398311414E-2</v>
      </c>
      <c r="E7" s="95">
        <f t="shared" si="0"/>
        <v>28061349.428184569</v>
      </c>
      <c r="F7" s="95"/>
      <c r="G7" s="281"/>
    </row>
    <row r="8" spans="1:7" x14ac:dyDescent="0.55000000000000004">
      <c r="A8" s="312" t="s">
        <v>81</v>
      </c>
      <c r="B8" s="281">
        <v>146086437.73579153</v>
      </c>
      <c r="C8" s="281">
        <v>152423576.24943447</v>
      </c>
      <c r="D8" s="309">
        <v>4.3379376017807614E-2</v>
      </c>
      <c r="E8" s="95">
        <f t="shared" si="0"/>
        <v>6337138.5136429369</v>
      </c>
      <c r="F8" s="95"/>
      <c r="G8" s="281"/>
    </row>
    <row r="9" spans="1:7" x14ac:dyDescent="0.55000000000000004">
      <c r="A9" s="312" t="s">
        <v>403</v>
      </c>
      <c r="B9" s="281">
        <v>206949787.85208052</v>
      </c>
      <c r="C9" s="281">
        <v>213745967.70927936</v>
      </c>
      <c r="D9" s="309">
        <v>3.2839752713621939E-2</v>
      </c>
      <c r="E9" s="95">
        <f t="shared" si="0"/>
        <v>6796179.8571988344</v>
      </c>
      <c r="F9" s="95"/>
      <c r="G9" s="281"/>
    </row>
    <row r="10" spans="1:7" x14ac:dyDescent="0.55000000000000004">
      <c r="A10" s="312" t="s">
        <v>422</v>
      </c>
      <c r="B10" s="281">
        <v>547219767.1459837</v>
      </c>
      <c r="C10" s="281">
        <v>564255167.84037018</v>
      </c>
      <c r="D10" s="309">
        <v>3.1130821138341425E-2</v>
      </c>
      <c r="E10" s="95">
        <f>C10-B10</f>
        <v>17035400.694386482</v>
      </c>
      <c r="F10" s="95"/>
      <c r="G10" s="281"/>
    </row>
    <row r="11" spans="1:7" x14ac:dyDescent="0.55000000000000004">
      <c r="A11" s="312" t="s">
        <v>380</v>
      </c>
      <c r="B11" s="281">
        <v>123454716.04708941</v>
      </c>
      <c r="C11" s="281">
        <v>125370199.65498002</v>
      </c>
      <c r="D11" s="309">
        <v>1.5515677887590673E-2</v>
      </c>
      <c r="E11" s="95">
        <f t="shared" si="0"/>
        <v>1915483.6078906059</v>
      </c>
      <c r="F11" s="95"/>
      <c r="G11" s="281"/>
    </row>
    <row r="12" spans="1:7" x14ac:dyDescent="0.55000000000000004">
      <c r="A12" s="312" t="s">
        <v>397</v>
      </c>
      <c r="B12" s="281">
        <v>176298783.78661111</v>
      </c>
      <c r="C12" s="281">
        <v>177476853.94512022</v>
      </c>
      <c r="D12" s="309">
        <v>6.6822364465941586E-3</v>
      </c>
      <c r="E12" s="95">
        <f t="shared" si="0"/>
        <v>1178070.1585091054</v>
      </c>
      <c r="F12" s="95"/>
      <c r="G12" s="281"/>
    </row>
    <row r="13" spans="1:7" x14ac:dyDescent="0.55000000000000004">
      <c r="A13" s="312" t="s">
        <v>413</v>
      </c>
      <c r="B13" s="281">
        <v>601446348.45018578</v>
      </c>
      <c r="C13" s="281">
        <v>605237772.06121397</v>
      </c>
      <c r="D13" s="309">
        <v>6.3038434280928701E-3</v>
      </c>
      <c r="E13" s="95">
        <f t="shared" si="0"/>
        <v>3791423.6110281944</v>
      </c>
      <c r="F13" s="95"/>
      <c r="G13" s="281"/>
    </row>
    <row r="14" spans="1:7" x14ac:dyDescent="0.55000000000000004">
      <c r="A14" s="312" t="s">
        <v>398</v>
      </c>
      <c r="B14" s="281">
        <v>205889135.11789241</v>
      </c>
      <c r="C14" s="281">
        <v>205932350.09506312</v>
      </c>
      <c r="D14" s="309">
        <v>2.0989440334462373E-4</v>
      </c>
      <c r="E14" s="95">
        <f t="shared" si="0"/>
        <v>43214.977170705795</v>
      </c>
      <c r="F14" s="95"/>
      <c r="G14" s="281"/>
    </row>
    <row r="15" spans="1:7" x14ac:dyDescent="0.55000000000000004">
      <c r="A15" s="312" t="s">
        <v>388</v>
      </c>
      <c r="B15" s="281">
        <v>342063676.63033193</v>
      </c>
      <c r="C15" s="281">
        <v>339819324.86375618</v>
      </c>
      <c r="D15" s="309">
        <v>-6.5612104409472627E-3</v>
      </c>
      <c r="E15" s="95">
        <f t="shared" si="0"/>
        <v>-2244351.7665757537</v>
      </c>
      <c r="F15" s="95"/>
      <c r="G15" s="281"/>
    </row>
    <row r="16" spans="1:7" x14ac:dyDescent="0.55000000000000004">
      <c r="A16" s="312" t="s">
        <v>405</v>
      </c>
      <c r="B16" s="281">
        <v>348926896.50253075</v>
      </c>
      <c r="C16" s="281">
        <v>331692493.70245624</v>
      </c>
      <c r="D16" s="309">
        <v>-4.9392589028887102E-2</v>
      </c>
      <c r="G16" s="281"/>
    </row>
    <row r="17" spans="1:4" x14ac:dyDescent="0.55000000000000004">
      <c r="A17" s="312" t="s">
        <v>377</v>
      </c>
      <c r="B17" s="281">
        <v>441501289.78100872</v>
      </c>
      <c r="C17" s="281">
        <v>415995332.22662151</v>
      </c>
      <c r="D17" s="309">
        <v>-5.7770969518658788E-2</v>
      </c>
    </row>
    <row r="18" spans="1:4" x14ac:dyDescent="0.55000000000000004">
      <c r="A18" s="312" t="s">
        <v>387</v>
      </c>
      <c r="B18" s="281">
        <v>357479688.25679171</v>
      </c>
      <c r="C18" s="281">
        <v>336782124.6095047</v>
      </c>
      <c r="D18" s="309">
        <v>-5.7898572498527923E-2</v>
      </c>
    </row>
    <row r="19" spans="1:4" x14ac:dyDescent="0.55000000000000004">
      <c r="A19" s="312" t="s">
        <v>392</v>
      </c>
      <c r="B19" s="281">
        <v>485538387.39230251</v>
      </c>
      <c r="C19" s="281">
        <v>456128571.79738301</v>
      </c>
      <c r="D19" s="309">
        <v>-6.0571555944055833E-2</v>
      </c>
    </row>
    <row r="20" spans="1:4" x14ac:dyDescent="0.55000000000000004">
      <c r="A20" s="312" t="s">
        <v>384</v>
      </c>
      <c r="B20" s="281">
        <v>303444858.6894334</v>
      </c>
      <c r="C20" s="281">
        <v>282661071.81346834</v>
      </c>
      <c r="D20" s="309">
        <v>-6.8492796238926013E-2</v>
      </c>
    </row>
    <row r="21" spans="1:4" x14ac:dyDescent="0.55000000000000004">
      <c r="A21" s="312" t="s">
        <v>407</v>
      </c>
      <c r="B21" s="281">
        <v>704906575.99958563</v>
      </c>
      <c r="C21" s="281">
        <v>656242538.61273301</v>
      </c>
      <c r="D21" s="309">
        <v>-6.9036151801882495E-2</v>
      </c>
    </row>
    <row r="22" spans="1:4" x14ac:dyDescent="0.55000000000000004">
      <c r="A22" s="312" t="s">
        <v>386</v>
      </c>
      <c r="B22" s="281">
        <v>271471178.92933607</v>
      </c>
      <c r="C22" s="281">
        <v>249940627.90576845</v>
      </c>
      <c r="D22" s="309">
        <v>-7.9310632931579139E-2</v>
      </c>
    </row>
    <row r="23" spans="1:4" x14ac:dyDescent="0.55000000000000004">
      <c r="A23" s="312" t="s">
        <v>406</v>
      </c>
      <c r="B23" s="281">
        <v>478959576.11742043</v>
      </c>
      <c r="C23" s="281">
        <v>437966132.54404742</v>
      </c>
      <c r="D23" s="309">
        <v>-8.5588524830586543E-2</v>
      </c>
    </row>
    <row r="24" spans="1:4" x14ac:dyDescent="0.55000000000000004">
      <c r="A24" s="312" t="s">
        <v>391</v>
      </c>
      <c r="B24" s="281">
        <v>479405027.32837516</v>
      </c>
      <c r="C24" s="281">
        <v>435602106.43360209</v>
      </c>
      <c r="D24" s="309">
        <v>-9.1369339906336999E-2</v>
      </c>
    </row>
    <row r="25" spans="1:4" x14ac:dyDescent="0.55000000000000004">
      <c r="A25" s="312" t="s">
        <v>421</v>
      </c>
      <c r="B25" s="281">
        <v>389282179.80573398</v>
      </c>
      <c r="C25" s="281">
        <v>347152189.29831451</v>
      </c>
      <c r="D25" s="309">
        <v>-0.10822481144254759</v>
      </c>
    </row>
    <row r="26" spans="1:4" x14ac:dyDescent="0.55000000000000004">
      <c r="A26" s="312" t="s">
        <v>412</v>
      </c>
      <c r="B26" s="281">
        <v>347884597.26089543</v>
      </c>
      <c r="C26" s="281">
        <v>309280521.22646683</v>
      </c>
      <c r="D26" s="309">
        <v>-0.11096805187232117</v>
      </c>
    </row>
    <row r="27" spans="1:4" x14ac:dyDescent="0.55000000000000004">
      <c r="A27" s="312" t="s">
        <v>419</v>
      </c>
      <c r="B27" s="281">
        <v>629192420.7775166</v>
      </c>
      <c r="C27" s="281">
        <v>559126700.01580787</v>
      </c>
      <c r="D27" s="309">
        <v>-0.11135817668484616</v>
      </c>
    </row>
    <row r="28" spans="1:4" x14ac:dyDescent="0.55000000000000004">
      <c r="A28" s="312" t="s">
        <v>420</v>
      </c>
      <c r="B28" s="281">
        <v>111736905.45604147</v>
      </c>
      <c r="C28" s="281">
        <v>99195364.99865894</v>
      </c>
      <c r="D28" s="309">
        <v>-0.11224170211440576</v>
      </c>
    </row>
    <row r="29" spans="1:4" x14ac:dyDescent="0.55000000000000004">
      <c r="A29" s="312" t="s">
        <v>394</v>
      </c>
      <c r="B29" s="281">
        <v>166047924.03270695</v>
      </c>
      <c r="C29" s="281">
        <v>146809402.04021084</v>
      </c>
      <c r="D29" s="309">
        <v>-0.11586126176866041</v>
      </c>
    </row>
    <row r="30" spans="1:4" x14ac:dyDescent="0.55000000000000004">
      <c r="A30" s="312" t="s">
        <v>410</v>
      </c>
      <c r="B30" s="281">
        <v>198357034.28269643</v>
      </c>
      <c r="C30" s="281">
        <v>174072950.38421357</v>
      </c>
      <c r="D30" s="309">
        <v>-0.12242612915795781</v>
      </c>
    </row>
    <row r="31" spans="1:4" x14ac:dyDescent="0.55000000000000004">
      <c r="A31" s="312" t="s">
        <v>378</v>
      </c>
      <c r="B31" s="281">
        <v>310623280.19533324</v>
      </c>
      <c r="C31" s="281">
        <v>272009275.74603659</v>
      </c>
      <c r="D31" s="309">
        <v>-0.12431136656922337</v>
      </c>
    </row>
    <row r="32" spans="1:4" x14ac:dyDescent="0.55000000000000004">
      <c r="A32" s="312" t="s">
        <v>383</v>
      </c>
      <c r="B32" s="281">
        <v>498044320.36016619</v>
      </c>
      <c r="C32" s="281">
        <v>434693178.57889009</v>
      </c>
      <c r="D32" s="309">
        <v>-0.12719980771081385</v>
      </c>
    </row>
    <row r="33" spans="1:4" x14ac:dyDescent="0.55000000000000004">
      <c r="A33" s="312" t="s">
        <v>408</v>
      </c>
      <c r="B33" s="281">
        <v>393223971.76524913</v>
      </c>
      <c r="C33" s="281">
        <v>342557177.56432688</v>
      </c>
      <c r="D33" s="309">
        <v>-0.12884970866214085</v>
      </c>
    </row>
    <row r="34" spans="1:4" x14ac:dyDescent="0.55000000000000004">
      <c r="A34" s="312" t="s">
        <v>400</v>
      </c>
      <c r="B34" s="281">
        <v>187801683.18495172</v>
      </c>
      <c r="C34" s="281">
        <v>162052565.84590259</v>
      </c>
      <c r="D34" s="309">
        <v>-0.13710802215596096</v>
      </c>
    </row>
    <row r="35" spans="1:4" x14ac:dyDescent="0.55000000000000004">
      <c r="A35" s="312" t="s">
        <v>399</v>
      </c>
      <c r="B35" s="281">
        <v>267259938.27860209</v>
      </c>
      <c r="C35" s="281">
        <v>230173485.25686708</v>
      </c>
      <c r="D35" s="309">
        <v>-0.13876547776148429</v>
      </c>
    </row>
    <row r="36" spans="1:4" x14ac:dyDescent="0.55000000000000004">
      <c r="A36" s="312" t="s">
        <v>381</v>
      </c>
      <c r="B36" s="281">
        <v>65524512.041859597</v>
      </c>
      <c r="C36" s="281">
        <v>56205292.435566068</v>
      </c>
      <c r="D36" s="309">
        <v>-0.14222493714016593</v>
      </c>
    </row>
    <row r="37" spans="1:4" x14ac:dyDescent="0.55000000000000004">
      <c r="A37" s="312" t="s">
        <v>416</v>
      </c>
      <c r="B37" s="281">
        <v>463917929.5748083</v>
      </c>
      <c r="C37" s="281">
        <v>394973559.98013031</v>
      </c>
      <c r="D37" s="309">
        <v>-0.14861328954857844</v>
      </c>
    </row>
    <row r="38" spans="1:4" x14ac:dyDescent="0.55000000000000004">
      <c r="A38" s="312" t="s">
        <v>393</v>
      </c>
      <c r="B38" s="281">
        <v>292537198.30604488</v>
      </c>
      <c r="C38" s="281">
        <v>248988057.53376243</v>
      </c>
      <c r="D38" s="309">
        <v>-0.14886701938918023</v>
      </c>
    </row>
    <row r="39" spans="1:4" x14ac:dyDescent="0.55000000000000004">
      <c r="A39" s="312" t="s">
        <v>402</v>
      </c>
      <c r="B39" s="281">
        <v>701874512.24118495</v>
      </c>
      <c r="C39" s="281">
        <v>593836986.5691061</v>
      </c>
      <c r="D39" s="309">
        <v>-0.15392712484614901</v>
      </c>
    </row>
    <row r="40" spans="1:4" x14ac:dyDescent="0.55000000000000004">
      <c r="A40" s="312" t="s">
        <v>395</v>
      </c>
      <c r="B40" s="281">
        <v>247695139.32122138</v>
      </c>
      <c r="C40" s="281">
        <v>199727889.27038756</v>
      </c>
      <c r="D40" s="309">
        <v>-0.19365438571900229</v>
      </c>
    </row>
    <row r="41" spans="1:4" x14ac:dyDescent="0.55000000000000004">
      <c r="A41" s="312" t="s">
        <v>396</v>
      </c>
      <c r="B41" s="281">
        <v>268416796.67069432</v>
      </c>
      <c r="C41" s="281">
        <v>214079173.53369427</v>
      </c>
      <c r="D41" s="309">
        <v>-0.20243749203096206</v>
      </c>
    </row>
    <row r="42" spans="1:4" x14ac:dyDescent="0.55000000000000004">
      <c r="A42" s="312" t="s">
        <v>423</v>
      </c>
      <c r="B42" s="281">
        <v>380375203.56753546</v>
      </c>
      <c r="C42" s="281">
        <v>294599795.31005311</v>
      </c>
      <c r="D42" s="309">
        <v>-0.22550210280006588</v>
      </c>
    </row>
    <row r="43" spans="1:4" x14ac:dyDescent="0.55000000000000004">
      <c r="A43" s="312" t="s">
        <v>415</v>
      </c>
      <c r="B43" s="281">
        <v>861936517.09345961</v>
      </c>
      <c r="C43" s="281">
        <v>663529388.35911381</v>
      </c>
      <c r="D43" s="309">
        <v>-0.23018763539964104</v>
      </c>
    </row>
    <row r="44" spans="1:4" x14ac:dyDescent="0.55000000000000004">
      <c r="A44" s="312" t="s">
        <v>382</v>
      </c>
      <c r="B44" s="281">
        <v>116188893.52768132</v>
      </c>
      <c r="C44" s="281">
        <v>84049147.852950856</v>
      </c>
      <c r="D44" s="309">
        <v>-0.2766163331013507</v>
      </c>
    </row>
    <row r="45" spans="1:4" x14ac:dyDescent="0.55000000000000004">
      <c r="A45" s="312" t="s">
        <v>401</v>
      </c>
      <c r="B45" s="281">
        <v>52153723.776889794</v>
      </c>
      <c r="C45" s="281">
        <v>32994193.977645256</v>
      </c>
      <c r="D45" s="309">
        <v>-0.36736647763077757</v>
      </c>
    </row>
    <row r="46" spans="1:4" x14ac:dyDescent="0.55000000000000004">
      <c r="A46" s="318">
        <v>5</v>
      </c>
      <c r="B46" s="281"/>
      <c r="C46" s="281"/>
      <c r="D46" s="309"/>
    </row>
    <row r="47" spans="1:4" x14ac:dyDescent="0.55000000000000004">
      <c r="A47" s="312" t="s">
        <v>418</v>
      </c>
      <c r="B47" s="281">
        <v>2412318168.0345168</v>
      </c>
      <c r="C47" s="281">
        <v>2208956803.631578</v>
      </c>
      <c r="D47" s="309">
        <v>-8.4301219921015469E-2</v>
      </c>
    </row>
    <row r="48" spans="1:4" x14ac:dyDescent="0.55000000000000004">
      <c r="A48" s="312" t="s">
        <v>424</v>
      </c>
      <c r="B48" s="281">
        <v>1307714834.2625487</v>
      </c>
      <c r="C48" s="281">
        <v>1197147838.3282416</v>
      </c>
      <c r="D48" s="309">
        <v>-8.4549775713646635E-2</v>
      </c>
    </row>
    <row r="49" spans="2:4" x14ac:dyDescent="0.55000000000000004">
      <c r="B49"/>
      <c r="C49"/>
      <c r="D49"/>
    </row>
    <row r="50" spans="2:4" x14ac:dyDescent="0.55000000000000004">
      <c r="B50"/>
      <c r="C50"/>
      <c r="D50"/>
    </row>
    <row r="51" spans="2:4" x14ac:dyDescent="0.55000000000000004">
      <c r="B51"/>
      <c r="C51"/>
      <c r="D51"/>
    </row>
    <row r="52" spans="2:4" x14ac:dyDescent="0.55000000000000004">
      <c r="B52"/>
      <c r="C52"/>
      <c r="D52"/>
    </row>
    <row r="53" spans="2:4" x14ac:dyDescent="0.55000000000000004">
      <c r="B53"/>
      <c r="C53"/>
      <c r="D53"/>
    </row>
    <row r="54" spans="2:4" x14ac:dyDescent="0.55000000000000004">
      <c r="B54"/>
      <c r="C54"/>
      <c r="D54" s="93">
        <f>_xlfn.STDEV.P(D5:D52)</f>
        <v>9.5227305934899503E-2</v>
      </c>
    </row>
    <row r="55" spans="2:4" x14ac:dyDescent="0.55000000000000004">
      <c r="B55"/>
      <c r="C55"/>
      <c r="D55" s="309">
        <f>AVERAGE(D5:D52)</f>
        <v>-8.9228989191802416E-2</v>
      </c>
    </row>
    <row r="56" spans="2:4" x14ac:dyDescent="0.55000000000000004">
      <c r="B56"/>
      <c r="C56"/>
      <c r="D56" s="309">
        <f>D54+D55</f>
        <v>5.9983167430970874E-3</v>
      </c>
    </row>
    <row r="57" spans="2:4" x14ac:dyDescent="0.55000000000000004">
      <c r="B57"/>
      <c r="C57"/>
      <c r="D57" s="309">
        <f>-D54+D55</f>
        <v>-0.18445629512670192</v>
      </c>
    </row>
    <row r="58" spans="2:4" x14ac:dyDescent="0.55000000000000004">
      <c r="B58"/>
      <c r="C58"/>
      <c r="D58"/>
    </row>
    <row r="59" spans="2:4" x14ac:dyDescent="0.55000000000000004">
      <c r="B59"/>
      <c r="C59"/>
      <c r="D59"/>
    </row>
    <row r="60" spans="2:4" x14ac:dyDescent="0.55000000000000004">
      <c r="B60"/>
      <c r="C60"/>
      <c r="D60"/>
    </row>
    <row r="61" spans="2:4" x14ac:dyDescent="0.55000000000000004">
      <c r="B61"/>
      <c r="C61"/>
      <c r="D61"/>
    </row>
    <row r="62" spans="2:4" x14ac:dyDescent="0.55000000000000004">
      <c r="B62"/>
      <c r="C62"/>
      <c r="D6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B1" workbookViewId="0">
      <selection activeCell="C37" sqref="C37:C42"/>
    </sheetView>
  </sheetViews>
  <sheetFormatPr defaultRowHeight="14.4" x14ac:dyDescent="0.55000000000000004"/>
  <cols>
    <col min="1" max="1" width="13.15625" bestFit="1" customWidth="1"/>
    <col min="2" max="2" width="47.26171875" bestFit="1" customWidth="1"/>
    <col min="3" max="3" width="31.83984375" bestFit="1" customWidth="1"/>
    <col min="4" max="7" width="31.83984375" customWidth="1"/>
    <col min="8" max="10" width="45.15625" bestFit="1" customWidth="1"/>
  </cols>
  <sheetData>
    <row r="1" spans="1:10" ht="15.3" x14ac:dyDescent="0.55000000000000004">
      <c r="A1" s="334" t="s">
        <v>283</v>
      </c>
      <c r="B1" s="334" t="s">
        <v>265</v>
      </c>
      <c r="C1" s="334" t="s">
        <v>645</v>
      </c>
      <c r="D1" s="334" t="s">
        <v>490</v>
      </c>
      <c r="E1" s="334" t="s">
        <v>211</v>
      </c>
      <c r="F1" s="334" t="s">
        <v>491</v>
      </c>
      <c r="G1" s="334" t="s">
        <v>494</v>
      </c>
      <c r="H1" s="334" t="s">
        <v>493</v>
      </c>
      <c r="I1" s="334" t="s">
        <v>503</v>
      </c>
      <c r="J1" s="334" t="s">
        <v>495</v>
      </c>
    </row>
    <row r="2" spans="1:10" x14ac:dyDescent="0.55000000000000004">
      <c r="A2">
        <v>210017</v>
      </c>
      <c r="B2" t="str">
        <f>VLOOKUP($A2,'Integrated Effic - ICC Cycle II'!$1:$1048576,2,FALSE)</f>
        <v>GARRETT COUNTY MEMORIAL HOSPITAL</v>
      </c>
      <c r="C2" s="93">
        <f>VLOOKUP($A2,'Rate Application - ICC Cycle I'!$1:$1048576,26,FALSE)</f>
        <v>-0.2696666844586354</v>
      </c>
      <c r="D2" s="95">
        <f t="shared" ref="D2:D42" si="0">_xlfn.NORM.DIST(C2,$E$2,$F$2,FALSE)</f>
        <v>0.48494027954211799</v>
      </c>
      <c r="E2" s="93">
        <f>AVERAGE(C2:C42)</f>
        <v>2.5281797748727797E-2</v>
      </c>
      <c r="F2" s="93">
        <f>_xlfn.STDEV.P(C2:C42)</f>
        <v>0.16433607535454206</v>
      </c>
      <c r="G2" s="95">
        <f>($E$2-C2)/$F$2</f>
        <v>1.7947884027961312</v>
      </c>
      <c r="H2" s="93">
        <f>(COUNTIFS($G$2:$G$42,"&gt;=1")+COUNTIFS($G$2:$G$42,"&lt;=-1"))/COUNT($G$2:$G$42)</f>
        <v>0.34146341463414637</v>
      </c>
      <c r="I2" s="93">
        <f>(COUNTIFS($G$2:$G$42,"&gt;=2")+COUNTIFS($G$2:$G$42,"&lt;=-2"))/COUNT($G$2:$G$42)</f>
        <v>2.4390243902439025E-2</v>
      </c>
      <c r="J2" s="93">
        <f>(COUNTIFS($G$2:$G$42,"&gt;=3")+COUNTIFS($G$2:$G$42,"&lt;=-3"))/COUNT($G$2:$G$42)</f>
        <v>0</v>
      </c>
    </row>
    <row r="3" spans="1:10" x14ac:dyDescent="0.55000000000000004">
      <c r="A3">
        <v>210061</v>
      </c>
      <c r="B3" t="str">
        <f>VLOOKUP($A3,'Integrated Effic - ICC Cycle II'!$1:$1048576,2,FALSE)</f>
        <v>ATLANTIC GENERAL HOSPITAL</v>
      </c>
      <c r="C3" s="93">
        <f>VLOOKUP($A3,'Rate Application - ICC Cycle I'!$1:$1048576,26,FALSE)</f>
        <v>-0.24657149347230134</v>
      </c>
      <c r="D3" s="95">
        <f t="shared" si="0"/>
        <v>0.61793514862590015</v>
      </c>
      <c r="E3" s="93"/>
      <c r="F3" s="93"/>
      <c r="G3" s="95">
        <f t="shared" ref="G3:G42" si="1">($E$2-C3)/$F$2</f>
        <v>1.6542520602036237</v>
      </c>
    </row>
    <row r="4" spans="1:10" x14ac:dyDescent="0.55000000000000004">
      <c r="A4">
        <v>210027</v>
      </c>
      <c r="B4" t="str">
        <f>VLOOKUP($A4,'Integrated Effic - ICC Cycle II'!$1:$1048576,2,FALSE)</f>
        <v>WESTERN MARYLAND REGIONAL MEDICAL CENTER</v>
      </c>
      <c r="C4" s="93">
        <f>VLOOKUP($A4,'Rate Application - ICC Cycle I'!$1:$1048576,26,FALSE)</f>
        <v>-0.25749340731996062</v>
      </c>
      <c r="D4" s="95">
        <f t="shared" si="0"/>
        <v>0.55237767648302716</v>
      </c>
      <c r="E4" s="93"/>
      <c r="F4" s="93"/>
      <c r="G4" s="95">
        <f t="shared" si="1"/>
        <v>1.720712901647574</v>
      </c>
    </row>
    <row r="5" spans="1:10" x14ac:dyDescent="0.55000000000000004">
      <c r="A5">
        <v>210001</v>
      </c>
      <c r="B5" t="str">
        <f>VLOOKUP($A5,'Integrated Effic - ICC Cycle II'!$1:$1048576,2,FALSE)</f>
        <v>MERITUS MEDICAL CENTER</v>
      </c>
      <c r="C5" s="93">
        <f>VLOOKUP($A5,'Rate Application - ICC Cycle I'!$1:$1048576,26,FALSE)</f>
        <v>-0.23185250700329063</v>
      </c>
      <c r="D5" s="95">
        <f t="shared" si="0"/>
        <v>0.71375360109420194</v>
      </c>
      <c r="E5" s="93"/>
      <c r="F5" s="93"/>
      <c r="G5" s="95">
        <f t="shared" si="1"/>
        <v>1.5646856857039548</v>
      </c>
    </row>
    <row r="6" spans="1:10" x14ac:dyDescent="0.55000000000000004">
      <c r="A6">
        <v>210028</v>
      </c>
      <c r="B6" t="str">
        <f>VLOOKUP($A6,'Integrated Effic - ICC Cycle II'!$1:$1048576,2,FALSE)</f>
        <v xml:space="preserve">MEDSTAR ST. MARY'S HOSPITAL </v>
      </c>
      <c r="C6" s="93">
        <f>VLOOKUP($A6,'Rate Application - ICC Cycle I'!$1:$1048576,26,FALSE)</f>
        <v>-0.19990899362330017</v>
      </c>
      <c r="D6" s="95">
        <f t="shared" si="0"/>
        <v>0.94936041366455004</v>
      </c>
      <c r="E6" s="93"/>
      <c r="F6" s="93"/>
      <c r="G6" s="95">
        <f t="shared" si="1"/>
        <v>1.3703064947011585</v>
      </c>
    </row>
    <row r="7" spans="1:10" x14ac:dyDescent="0.55000000000000004">
      <c r="A7">
        <v>210019</v>
      </c>
      <c r="B7" t="str">
        <f>VLOOKUP($A7,'Integrated Effic - ICC Cycle II'!$1:$1048576,2,FALSE)</f>
        <v>PENINSULA REGIONAL MEDICAL CENTER</v>
      </c>
      <c r="C7" s="93">
        <f>VLOOKUP($A7,'Rate Application - ICC Cycle I'!$1:$1048576,26,FALSE)</f>
        <v>-0.19327666344029604</v>
      </c>
      <c r="D7" s="95">
        <f t="shared" si="0"/>
        <v>1.0025253026789074</v>
      </c>
      <c r="E7" s="93"/>
      <c r="F7" s="93"/>
      <c r="G7" s="95">
        <f t="shared" si="1"/>
        <v>1.3299481609105077</v>
      </c>
    </row>
    <row r="8" spans="1:10" x14ac:dyDescent="0.55000000000000004">
      <c r="A8">
        <v>210037</v>
      </c>
      <c r="B8" t="str">
        <f>VLOOKUP($A8,'Integrated Effic - ICC Cycle II'!$1:$1048576,2,FALSE)</f>
        <v>UM-SHORE REGIONAL HEALTH AT EASTON</v>
      </c>
      <c r="C8" s="93">
        <f>VLOOKUP($A8,'Rate Application - ICC Cycle I'!$1:$1048576,26,FALSE)</f>
        <v>-0.16031039235374867</v>
      </c>
      <c r="D8" s="95">
        <f t="shared" si="0"/>
        <v>1.2829891938749491</v>
      </c>
      <c r="E8" s="93"/>
      <c r="F8" s="93"/>
      <c r="G8" s="95">
        <f t="shared" si="1"/>
        <v>1.1293453960250421</v>
      </c>
    </row>
    <row r="9" spans="1:10" x14ac:dyDescent="0.55000000000000004">
      <c r="A9">
        <v>210049</v>
      </c>
      <c r="B9" s="425" t="str">
        <f>VLOOKUP($A9,'Integrated Effic - ICC Cycle II'!$1:$1048576,2,FALSE)</f>
        <v>UM-UPPER CHESAPEAKE MEDICAL CENTER</v>
      </c>
      <c r="C9" s="93">
        <f>VLOOKUP($A9,'Rate Application - ICC Cycle I'!$1:$1048576,26,FALSE)</f>
        <v>-0.13954191106450331</v>
      </c>
      <c r="D9" s="95">
        <f t="shared" si="0"/>
        <v>1.4680448453762074</v>
      </c>
      <c r="E9" s="93"/>
      <c r="F9" s="93"/>
      <c r="G9" s="95">
        <f t="shared" si="1"/>
        <v>1.0029672940505425</v>
      </c>
    </row>
    <row r="10" spans="1:10" x14ac:dyDescent="0.55000000000000004">
      <c r="A10">
        <v>210015</v>
      </c>
      <c r="B10" t="str">
        <f>VLOOKUP($A10,'Integrated Effic - ICC Cycle II'!$1:$1048576,2,FALSE)</f>
        <v>MEDSTAR FRANKLIN SQUARE</v>
      </c>
      <c r="C10" s="93">
        <f>VLOOKUP($A10,'Rate Application - ICC Cycle I'!$1:$1048576,26,FALSE)</f>
        <v>-8.2761576984464291E-2</v>
      </c>
      <c r="D10" s="95">
        <f t="shared" si="0"/>
        <v>1.9557630715119598</v>
      </c>
      <c r="E10" s="93"/>
      <c r="F10" s="93"/>
      <c r="G10" s="95">
        <f t="shared" si="1"/>
        <v>0.65745378487405803</v>
      </c>
    </row>
    <row r="11" spans="1:10" x14ac:dyDescent="0.55000000000000004">
      <c r="A11">
        <v>210034</v>
      </c>
      <c r="B11" t="str">
        <f>VLOOKUP($A11,'Integrated Effic - ICC Cycle II'!$1:$1048576,2,FALSE)</f>
        <v>MEDSTAR HARBOR HOSPITAL CENTER</v>
      </c>
      <c r="C11" s="93">
        <f>VLOOKUP($A11,'Rate Application - ICC Cycle I'!$1:$1048576,26,FALSE)</f>
        <v>-0.10227403858306061</v>
      </c>
      <c r="D11" s="95">
        <f t="shared" si="0"/>
        <v>1.7961914754674508</v>
      </c>
      <c r="E11" s="93"/>
      <c r="F11" s="93"/>
      <c r="G11" s="95">
        <f t="shared" si="1"/>
        <v>0.7761888925276863</v>
      </c>
    </row>
    <row r="12" spans="1:10" x14ac:dyDescent="0.55000000000000004">
      <c r="A12">
        <v>210063</v>
      </c>
      <c r="B12" t="str">
        <f>VLOOKUP($A12,'Integrated Effic - ICC Cycle II'!$1:$1048576,2,FALSE)</f>
        <v>UM-ST. JOSEPH MEDICAL CENTER</v>
      </c>
      <c r="C12" s="93">
        <f>VLOOKUP($A12,'Rate Application - ICC Cycle I'!$1:$1048576,26,FALSE)</f>
        <v>-0.10347063092159614</v>
      </c>
      <c r="D12" s="95">
        <f t="shared" si="0"/>
        <v>1.7860211883590291</v>
      </c>
      <c r="E12" s="93"/>
      <c r="F12" s="93"/>
      <c r="G12" s="95">
        <f t="shared" si="1"/>
        <v>0.7834702659933358</v>
      </c>
    </row>
    <row r="13" spans="1:10" x14ac:dyDescent="0.55000000000000004">
      <c r="A13">
        <v>210035</v>
      </c>
      <c r="B13" t="str">
        <f>VLOOKUP($A13,'Integrated Effic - ICC Cycle II'!$1:$1048576,2,FALSE)</f>
        <v>UM-CHARLES REGIONAL MEDICAL CENTER</v>
      </c>
      <c r="C13" s="93">
        <f>VLOOKUP($A13,'Rate Application - ICC Cycle I'!$1:$1048576,26,FALSE)</f>
        <v>-8.2844330294622903E-2</v>
      </c>
      <c r="D13" s="95">
        <f t="shared" si="0"/>
        <v>1.9551154395020711</v>
      </c>
      <c r="E13" s="93"/>
      <c r="F13" s="93"/>
      <c r="G13" s="95">
        <f t="shared" si="1"/>
        <v>0.65795734631046254</v>
      </c>
    </row>
    <row r="14" spans="1:10" x14ac:dyDescent="0.55000000000000004">
      <c r="A14">
        <v>210011</v>
      </c>
      <c r="B14" t="str">
        <f>VLOOKUP($A14,'Integrated Effic - ICC Cycle II'!$1:$1048576,2,FALSE)</f>
        <v>ST. AGNES HOSPITAL</v>
      </c>
      <c r="C14" s="93">
        <f>VLOOKUP($A14,'Rate Application - ICC Cycle I'!$1:$1048576,26,FALSE)</f>
        <v>-7.7095352642335246E-2</v>
      </c>
      <c r="D14" s="95">
        <f t="shared" si="0"/>
        <v>1.9994151040653434</v>
      </c>
      <c r="E14" s="93"/>
      <c r="F14" s="93"/>
      <c r="G14" s="95">
        <f t="shared" si="1"/>
        <v>0.62297429319881503</v>
      </c>
    </row>
    <row r="15" spans="1:10" x14ac:dyDescent="0.55000000000000004">
      <c r="A15">
        <v>210043</v>
      </c>
      <c r="B15" t="str">
        <f>VLOOKUP($A15,'Integrated Effic - ICC Cycle II'!$1:$1048576,2,FALSE)</f>
        <v>UM-BALTIMORE WASHINGTON MEDICAL CENTER</v>
      </c>
      <c r="C15" s="93">
        <f>VLOOKUP($A15,'Rate Application - ICC Cycle I'!$1:$1048576,26,FALSE)</f>
        <v>-4.8736156653949037E-2</v>
      </c>
      <c r="D15" s="95">
        <f t="shared" si="0"/>
        <v>2.1934384746026172</v>
      </c>
      <c r="E15" s="93"/>
      <c r="F15" s="93"/>
      <c r="G15" s="95">
        <f t="shared" si="1"/>
        <v>0.45040600028319383</v>
      </c>
    </row>
    <row r="16" spans="1:10" x14ac:dyDescent="0.55000000000000004">
      <c r="A16">
        <v>210056</v>
      </c>
      <c r="B16" t="str">
        <f>VLOOKUP($A16,'Integrated Effic - ICC Cycle II'!$1:$1048576,2,FALSE)</f>
        <v>MEDSTAR GOOD SAMARITAN</v>
      </c>
      <c r="C16" s="93">
        <f>VLOOKUP($A16,'Rate Application - ICC Cycle I'!$1:$1048576,26,FALSE)</f>
        <v>-7.0309668514313417E-3</v>
      </c>
      <c r="D16" s="95">
        <f t="shared" si="0"/>
        <v>2.3811230820789731</v>
      </c>
      <c r="E16" s="93"/>
      <c r="F16" s="93"/>
      <c r="G16" s="95">
        <f t="shared" si="1"/>
        <v>0.19662611833979185</v>
      </c>
    </row>
    <row r="17" spans="1:7" x14ac:dyDescent="0.55000000000000004">
      <c r="A17">
        <v>210044</v>
      </c>
      <c r="B17" t="str">
        <f>VLOOKUP($A17,'Integrated Effic - ICC Cycle II'!$1:$1048576,2,FALSE)</f>
        <v>GREATER BALTIMORE MEDICAL CENTER</v>
      </c>
      <c r="C17" s="93">
        <f>VLOOKUP($A17,'Rate Application - ICC Cycle I'!$1:$1048576,26,FALSE)</f>
        <v>-1.3822270340733023E-2</v>
      </c>
      <c r="D17" s="95">
        <f t="shared" si="0"/>
        <v>2.3598372167054484</v>
      </c>
      <c r="E17" s="93"/>
      <c r="F17" s="93"/>
      <c r="G17" s="95">
        <f t="shared" si="1"/>
        <v>0.23795181919184141</v>
      </c>
    </row>
    <row r="18" spans="1:7" x14ac:dyDescent="0.55000000000000004">
      <c r="A18">
        <v>210008</v>
      </c>
      <c r="B18" t="str">
        <f>VLOOKUP($A18,'Integrated Effic - ICC Cycle II'!$1:$1048576,2,FALSE)</f>
        <v>MERCY MEDICAL CENTER</v>
      </c>
      <c r="C18" s="93">
        <f>VLOOKUP($A18,'Rate Application - ICC Cycle I'!$1:$1048576,26,FALSE)</f>
        <v>1.4411588685245835E-2</v>
      </c>
      <c r="D18" s="95">
        <f t="shared" si="0"/>
        <v>2.4222951845320613</v>
      </c>
      <c r="E18" s="93"/>
      <c r="F18" s="93"/>
      <c r="G18" s="95">
        <f t="shared" si="1"/>
        <v>6.6146213118637207E-2</v>
      </c>
    </row>
    <row r="19" spans="1:7" x14ac:dyDescent="0.55000000000000004">
      <c r="A19">
        <v>210057</v>
      </c>
      <c r="B19" t="str">
        <f>VLOOKUP($A19,'Integrated Effic - ICC Cycle II'!$1:$1048576,2,FALSE)</f>
        <v>SHADY GROVE ADVENTIST HOSPITAL</v>
      </c>
      <c r="C19" s="93">
        <f>VLOOKUP($A19,'Rate Application - ICC Cycle I'!$1:$1048576,26,FALSE)</f>
        <v>-5.6469003197059386E-3</v>
      </c>
      <c r="D19" s="95">
        <f t="shared" si="0"/>
        <v>2.384984944929049</v>
      </c>
      <c r="E19" s="93"/>
      <c r="F19" s="93"/>
      <c r="G19" s="95">
        <f t="shared" si="1"/>
        <v>0.18820394731776038</v>
      </c>
    </row>
    <row r="20" spans="1:7" x14ac:dyDescent="0.55000000000000004">
      <c r="A20">
        <v>210033</v>
      </c>
      <c r="B20" t="str">
        <f>VLOOKUP($A20,'Integrated Effic - ICC Cycle II'!$1:$1048576,2,FALSE)</f>
        <v>CARROLL HOSPITAL CENTER</v>
      </c>
      <c r="C20" s="93">
        <f>VLOOKUP($A20,'Rate Application - ICC Cycle I'!$1:$1048576,26,FALSE)</f>
        <v>5.7731530255368702E-2</v>
      </c>
      <c r="D20" s="95">
        <f t="shared" si="0"/>
        <v>2.3807320676625547</v>
      </c>
      <c r="E20" s="93"/>
      <c r="F20" s="93"/>
      <c r="G20" s="95">
        <f t="shared" si="1"/>
        <v>-0.19745958053722032</v>
      </c>
    </row>
    <row r="21" spans="1:7" x14ac:dyDescent="0.55000000000000004">
      <c r="A21">
        <v>210016</v>
      </c>
      <c r="B21" t="str">
        <f>VLOOKUP($A21,'Integrated Effic - ICC Cycle II'!$1:$1048576,2,FALSE)</f>
        <v>WASHINGTON ADVENTIST HOSPITAL</v>
      </c>
      <c r="C21" s="93">
        <f>VLOOKUP($A21,'Rate Application - ICC Cycle I'!$1:$1048576,26,FALSE)</f>
        <v>2.4664240858466302E-2</v>
      </c>
      <c r="D21" s="95">
        <f t="shared" si="0"/>
        <v>2.4275830043507001</v>
      </c>
      <c r="E21" s="93"/>
      <c r="F21" s="93"/>
      <c r="G21" s="95">
        <f t="shared" si="1"/>
        <v>3.7578899759481582E-3</v>
      </c>
    </row>
    <row r="22" spans="1:7" x14ac:dyDescent="0.55000000000000004">
      <c r="A22">
        <v>210039</v>
      </c>
      <c r="B22" t="str">
        <f>VLOOKUP($A22,'Integrated Effic - ICC Cycle II'!$1:$1048576,2,FALSE)</f>
        <v>CALVERT MEMORIAL HOSPITAL</v>
      </c>
      <c r="C22" s="93">
        <f>VLOOKUP($A22,'Rate Application - ICC Cycle I'!$1:$1048576,26,FALSE)</f>
        <v>2.8986184719643093E-2</v>
      </c>
      <c r="D22" s="95">
        <f t="shared" si="0"/>
        <v>2.4269834666726418</v>
      </c>
      <c r="E22" s="93"/>
      <c r="F22" s="93"/>
      <c r="G22" s="95">
        <f t="shared" si="1"/>
        <v>-2.2541532423257495E-2</v>
      </c>
    </row>
    <row r="23" spans="1:7" x14ac:dyDescent="0.55000000000000004">
      <c r="A23">
        <v>210023</v>
      </c>
      <c r="B23" t="str">
        <f>VLOOKUP($A23,'Integrated Effic - ICC Cycle II'!$1:$1048576,2,FALSE)</f>
        <v>ANNE ARUNDEL MEDICAL CENTER</v>
      </c>
      <c r="C23" s="93">
        <f>VLOOKUP($A23,'Rate Application - ICC Cycle I'!$1:$1048576,26,FALSE)</f>
        <v>3.1687038950211521E-2</v>
      </c>
      <c r="D23" s="95">
        <f t="shared" si="0"/>
        <v>2.4257568819253597</v>
      </c>
      <c r="E23" s="93"/>
      <c r="F23" s="93"/>
      <c r="G23" s="95">
        <f t="shared" si="1"/>
        <v>-3.8976476635850799E-2</v>
      </c>
    </row>
    <row r="24" spans="1:7" x14ac:dyDescent="0.55000000000000004">
      <c r="A24">
        <v>210048</v>
      </c>
      <c r="B24" t="str">
        <f>VLOOKUP($A24,'Integrated Effic - ICC Cycle II'!$1:$1048576,2,FALSE)</f>
        <v>HOWARD COUNTY GENERAL HOSPITAL</v>
      </c>
      <c r="C24" s="93">
        <f>VLOOKUP($A24,'Rate Application - ICC Cycle I'!$1:$1048576,26,FALSE)</f>
        <v>3.6279021455449589E-2</v>
      </c>
      <c r="D24" s="95">
        <f t="shared" si="0"/>
        <v>2.4221706265182115</v>
      </c>
      <c r="E24" s="93"/>
      <c r="F24" s="93"/>
      <c r="G24" s="95">
        <f t="shared" si="1"/>
        <v>-6.691910880186322E-2</v>
      </c>
    </row>
    <row r="25" spans="1:7" x14ac:dyDescent="0.55000000000000004">
      <c r="A25">
        <v>210060</v>
      </c>
      <c r="B25" t="str">
        <f>VLOOKUP($A25,'Integrated Effic - ICC Cycle II'!$1:$1048576,2,FALSE)</f>
        <v>FORT WASHINGTON MEDICAL CENTER</v>
      </c>
      <c r="C25" s="93">
        <f>VLOOKUP($A25,'Rate Application - ICC Cycle I'!$1:$1048576,26,FALSE)</f>
        <v>7.3188811187011149E-2</v>
      </c>
      <c r="D25" s="95">
        <f t="shared" si="0"/>
        <v>2.3266085377609116</v>
      </c>
      <c r="E25" s="93"/>
      <c r="F25" s="93"/>
      <c r="G25" s="95">
        <f t="shared" si="1"/>
        <v>-0.29151854414758149</v>
      </c>
    </row>
    <row r="26" spans="1:7" x14ac:dyDescent="0.55000000000000004">
      <c r="A26">
        <v>210024</v>
      </c>
      <c r="B26" t="str">
        <f>VLOOKUP($A26,'Integrated Effic - ICC Cycle II'!$1:$1048576,2,FALSE)</f>
        <v>MEDSTAR UNION MEMORIAL HOSPITAL</v>
      </c>
      <c r="C26" s="93">
        <f>VLOOKUP($A26,'Rate Application - ICC Cycle I'!$1:$1048576,26,FALSE)</f>
        <v>5.9111086891123099E-2</v>
      </c>
      <c r="D26" s="95">
        <f t="shared" si="0"/>
        <v>2.3767052424347166</v>
      </c>
      <c r="E26" s="93"/>
      <c r="F26" s="93"/>
      <c r="G26" s="95">
        <f t="shared" si="1"/>
        <v>-0.20585430843112987</v>
      </c>
    </row>
    <row r="27" spans="1:7" x14ac:dyDescent="0.55000000000000004">
      <c r="A27">
        <v>210040</v>
      </c>
      <c r="B27" s="425" t="str">
        <f>VLOOKUP($A27,'Integrated Effic - ICC Cycle II'!$1:$1048576,2,FALSE)</f>
        <v>NORTHWEST HOSPITAL CENTER</v>
      </c>
      <c r="C27" s="93">
        <f>VLOOKUP($A27,'Rate Application - ICC Cycle I'!$1:$1048576,26,FALSE)</f>
        <v>6.4547526406610434E-2</v>
      </c>
      <c r="D27" s="95">
        <f t="shared" si="0"/>
        <v>2.3592837543119942</v>
      </c>
      <c r="E27" s="93"/>
      <c r="F27" s="93"/>
      <c r="G27" s="95">
        <f t="shared" si="1"/>
        <v>-0.23893553848824695</v>
      </c>
    </row>
    <row r="28" spans="1:7" x14ac:dyDescent="0.55000000000000004">
      <c r="A28">
        <v>210009</v>
      </c>
      <c r="B28" t="str">
        <f>VLOOKUP($A28,'Integrated Effic - ICC Cycle II'!$1:$1048576,2,FALSE)</f>
        <v>JOHNS HOPKINS HOSPITAL</v>
      </c>
      <c r="C28" s="93">
        <f>VLOOKUP($A28,'Rate Application - ICC Cycle I'!$1:$1048576,26,FALSE)</f>
        <v>7.5181268689543446E-2</v>
      </c>
      <c r="D28" s="95">
        <f t="shared" si="0"/>
        <v>2.3182293679110497</v>
      </c>
      <c r="E28" s="93"/>
      <c r="F28" s="93"/>
      <c r="G28" s="95">
        <f t="shared" si="1"/>
        <v>-0.30364282969008172</v>
      </c>
    </row>
    <row r="29" spans="1:7" x14ac:dyDescent="0.55000000000000004">
      <c r="A29">
        <v>210022</v>
      </c>
      <c r="B29" t="str">
        <f>VLOOKUP($A29,'Integrated Effic - ICC Cycle II'!$1:$1048576,2,FALSE)</f>
        <v>SUBURBAN HOSPITAL</v>
      </c>
      <c r="C29" s="93">
        <f>VLOOKUP($A29,'Rate Application - ICC Cycle I'!$1:$1048576,26,FALSE)</f>
        <v>6.9431272399088861E-2</v>
      </c>
      <c r="D29" s="95">
        <f t="shared" si="0"/>
        <v>2.3415563199986504</v>
      </c>
      <c r="E29" s="93"/>
      <c r="F29" s="93"/>
      <c r="G29" s="95">
        <f t="shared" si="1"/>
        <v>-0.2686535780723257</v>
      </c>
    </row>
    <row r="30" spans="1:7" x14ac:dyDescent="0.55000000000000004">
      <c r="A30">
        <v>210006</v>
      </c>
      <c r="B30" t="str">
        <f>VLOOKUP($A30,'Integrated Effic - ICC Cycle II'!$1:$1048576,2,FALSE)</f>
        <v>UM-HARFORD MEMORIAL HOSPITAL</v>
      </c>
      <c r="C30" s="93">
        <f>VLOOKUP($A30,'Rate Application - ICC Cycle I'!$1:$1048576,26,FALSE)</f>
        <v>7.3948859412954704E-2</v>
      </c>
      <c r="D30" s="95">
        <f t="shared" si="0"/>
        <v>2.3234489229095514</v>
      </c>
      <c r="E30" s="93"/>
      <c r="F30" s="93"/>
      <c r="G30" s="95">
        <f t="shared" si="1"/>
        <v>-0.29614350689117758</v>
      </c>
    </row>
    <row r="31" spans="1:7" x14ac:dyDescent="0.55000000000000004">
      <c r="A31">
        <v>210005</v>
      </c>
      <c r="B31" t="str">
        <f>VLOOKUP($A31,'Integrated Effic - ICC Cycle II'!$1:$1048576,2,FALSE)</f>
        <v>FREDERICK MEMORIAL HOSPITAL</v>
      </c>
      <c r="C31" s="93">
        <f>VLOOKUP($A31,'Rate Application - ICC Cycle I'!$1:$1048576,26,FALSE)</f>
        <v>9.7555388672437404E-2</v>
      </c>
      <c r="D31" s="95">
        <f t="shared" si="0"/>
        <v>2.2038260019252616</v>
      </c>
      <c r="E31" s="93"/>
      <c r="F31" s="93"/>
      <c r="G31" s="95">
        <f t="shared" si="1"/>
        <v>-0.43979138949123048</v>
      </c>
    </row>
    <row r="32" spans="1:7" x14ac:dyDescent="0.55000000000000004">
      <c r="A32">
        <v>210018</v>
      </c>
      <c r="B32" t="str">
        <f>VLOOKUP($A32,'Integrated Effic - ICC Cycle II'!$1:$1048576,2,FALSE)</f>
        <v>MEDSTAR MONTGOMERY MEDICAL CENTER</v>
      </c>
      <c r="C32" s="93">
        <f>VLOOKUP($A32,'Rate Application - ICC Cycle I'!$1:$1048576,26,FALSE)</f>
        <v>0.1290965314888517</v>
      </c>
      <c r="D32" s="95">
        <f t="shared" si="0"/>
        <v>1.9884725019680654</v>
      </c>
      <c r="E32" s="93"/>
      <c r="F32" s="93"/>
      <c r="G32" s="95">
        <f t="shared" si="1"/>
        <v>-0.63172211893311825</v>
      </c>
    </row>
    <row r="33" spans="1:7" x14ac:dyDescent="0.55000000000000004">
      <c r="A33">
        <v>210062</v>
      </c>
      <c r="B33" t="str">
        <f>VLOOKUP($A33,'Integrated Effic - ICC Cycle II'!$1:$1048576,2,FALSE)</f>
        <v>MEDSTAR SOUTHERN MARYLAND HOSPITAL CENTER</v>
      </c>
      <c r="C33" s="93">
        <f>VLOOKUP($A33,'Rate Application - ICC Cycle I'!$1:$1048576,26,FALSE)</f>
        <v>0.15380335730706918</v>
      </c>
      <c r="D33" s="95">
        <f t="shared" si="0"/>
        <v>1.7879863184899787</v>
      </c>
      <c r="E33" s="93"/>
      <c r="F33" s="93"/>
      <c r="G33" s="95">
        <f t="shared" si="1"/>
        <v>-0.78206540640006339</v>
      </c>
    </row>
    <row r="34" spans="1:7" x14ac:dyDescent="0.55000000000000004">
      <c r="A34">
        <v>210002</v>
      </c>
      <c r="B34" t="str">
        <f>VLOOKUP($A34,'Integrated Effic - ICC Cycle II'!$1:$1048576,2,FALSE)</f>
        <v>UNIVERSITY OF MARYLAND MEDICAL CENTER</v>
      </c>
      <c r="C34" s="93">
        <f>VLOOKUP($A34,'Rate Application - ICC Cycle I'!$1:$1048576,26,FALSE)</f>
        <v>0.14096084570734524</v>
      </c>
      <c r="D34" s="95">
        <f t="shared" si="0"/>
        <v>1.8948756463898941</v>
      </c>
      <c r="E34" s="93"/>
      <c r="F34" s="93"/>
      <c r="G34" s="95">
        <f t="shared" si="1"/>
        <v>-0.70391755254620181</v>
      </c>
    </row>
    <row r="35" spans="1:7" x14ac:dyDescent="0.55000000000000004">
      <c r="A35">
        <v>210012</v>
      </c>
      <c r="B35" t="str">
        <f>VLOOKUP($A35,'Integrated Effic - ICC Cycle II'!$1:$1048576,2,FALSE)</f>
        <v>SINAI HOSPITAL</v>
      </c>
      <c r="C35" s="93">
        <f>VLOOKUP($A35,'Rate Application - ICC Cycle I'!$1:$1048576,26,FALSE)</f>
        <v>0.14262685516908458</v>
      </c>
      <c r="D35" s="95">
        <f t="shared" si="0"/>
        <v>1.8813049110242885</v>
      </c>
      <c r="E35" s="93"/>
      <c r="F35" s="93"/>
      <c r="G35" s="95">
        <f t="shared" si="1"/>
        <v>-0.71405537200029945</v>
      </c>
    </row>
    <row r="36" spans="1:7" x14ac:dyDescent="0.55000000000000004">
      <c r="A36">
        <v>210051</v>
      </c>
      <c r="B36" t="str">
        <f>VLOOKUP($A36,'Integrated Effic - ICC Cycle II'!$1:$1048576,2,FALSE)</f>
        <v>DOCTORS COMMUNITY HOSPITAL</v>
      </c>
      <c r="C36" s="93">
        <f>VLOOKUP($A36,'Rate Application - ICC Cycle I'!$1:$1048576,26,FALSE)</f>
        <v>0.17211771777276152</v>
      </c>
      <c r="D36" s="95">
        <f t="shared" si="0"/>
        <v>1.6286039102039414</v>
      </c>
      <c r="E36" s="93"/>
      <c r="F36" s="93"/>
      <c r="G36" s="95">
        <f t="shared" si="1"/>
        <v>-0.89350995943676315</v>
      </c>
    </row>
    <row r="37" spans="1:7" x14ac:dyDescent="0.55000000000000004">
      <c r="A37">
        <v>210032</v>
      </c>
      <c r="B37" t="str">
        <f>VLOOKUP($A37,'Integrated Effic - ICC Cycle II'!$1:$1048576,2,FALSE)</f>
        <v>UNION HOSPITAL OF CECIL COUNTY</v>
      </c>
      <c r="C37" s="93">
        <f>VLOOKUP($A37,'Rate Application - ICC Cycle I'!$1:$1048576,26,FALSE)</f>
        <v>0.29864666626171954</v>
      </c>
      <c r="D37" s="95">
        <f t="shared" si="0"/>
        <v>0.6085781044932087</v>
      </c>
      <c r="E37" s="93"/>
      <c r="F37" s="93"/>
      <c r="G37" s="95">
        <f t="shared" si="1"/>
        <v>-1.663450145826038</v>
      </c>
    </row>
    <row r="38" spans="1:7" x14ac:dyDescent="0.55000000000000004">
      <c r="A38">
        <v>210058</v>
      </c>
      <c r="B38" t="str">
        <f>VLOOKUP($A38,'Integrated Effic - ICC Cycle II'!$1:$1048576,2,FALSE)</f>
        <v>UM-REHABILITATION &amp; ORTHOPAEDIC INSTITUTE</v>
      </c>
      <c r="C38" s="93">
        <f>VLOOKUP($A38,'Rate Application - ICC Cycle I'!$1:$1048576,26,FALSE)</f>
        <v>0.26000419025537314</v>
      </c>
      <c r="D38" s="95">
        <f t="shared" si="0"/>
        <v>0.87535348451764339</v>
      </c>
      <c r="E38" s="93"/>
      <c r="F38" s="93"/>
      <c r="G38" s="95">
        <f t="shared" si="1"/>
        <v>-1.428307156540342</v>
      </c>
    </row>
    <row r="39" spans="1:7" x14ac:dyDescent="0.55000000000000004">
      <c r="A39">
        <v>210003</v>
      </c>
      <c r="B39" t="str">
        <f>VLOOKUP($A39,'Integrated Effic - ICC Cycle II'!$1:$1048576,2,FALSE)</f>
        <v>PRINCE GEORGES HOSPITAL CENTER</v>
      </c>
      <c r="C39" s="93">
        <f>VLOOKUP($A39,'Rate Application - ICC Cycle I'!$1:$1048576,26,FALSE)</f>
        <v>0.30509061946089244</v>
      </c>
      <c r="D39" s="95">
        <f t="shared" si="0"/>
        <v>0.56971098576878776</v>
      </c>
      <c r="E39" s="93"/>
      <c r="F39" s="93"/>
      <c r="G39" s="95">
        <f t="shared" si="1"/>
        <v>-1.7026621884969522</v>
      </c>
    </row>
    <row r="40" spans="1:7" x14ac:dyDescent="0.55000000000000004">
      <c r="A40">
        <v>210030</v>
      </c>
      <c r="B40" t="str">
        <f>VLOOKUP($A40,'Integrated Effic - ICC Cycle II'!$1:$1048576,2,FALSE)</f>
        <v>UM-SHORE REGIONAL HEALTH AT CHESTERTOWN</v>
      </c>
      <c r="C40" s="93">
        <f>VLOOKUP($A40,'Rate Application - ICC Cycle I'!$1:$1048576,26,FALSE)</f>
        <v>0.2599292629219685</v>
      </c>
      <c r="D40" s="95">
        <f t="shared" si="0"/>
        <v>0.87592362846258665</v>
      </c>
      <c r="E40" s="93"/>
      <c r="F40" s="93"/>
      <c r="G40" s="95">
        <f t="shared" si="1"/>
        <v>-1.4278512168859296</v>
      </c>
    </row>
    <row r="41" spans="1:7" x14ac:dyDescent="0.55000000000000004">
      <c r="A41">
        <v>210029</v>
      </c>
      <c r="B41" t="str">
        <f>VLOOKUP($A41,'Integrated Effic - ICC Cycle II'!$1:$1048576,2,FALSE)</f>
        <v>JOHNS HOPKINS BAYVIEW MEDICAL CENTER</v>
      </c>
      <c r="C41" s="93">
        <f>VLOOKUP($A41,'Rate Application - ICC Cycle I'!$1:$1048576,26,FALSE)</f>
        <v>0.30888528512912017</v>
      </c>
      <c r="D41" s="95">
        <f t="shared" si="0"/>
        <v>0.54760083367015244</v>
      </c>
      <c r="E41" s="93"/>
      <c r="F41" s="93"/>
      <c r="G41" s="95">
        <f t="shared" si="1"/>
        <v>-1.7257530750234866</v>
      </c>
    </row>
    <row r="42" spans="1:7" x14ac:dyDescent="0.55000000000000004">
      <c r="A42">
        <v>210038</v>
      </c>
      <c r="B42" t="str">
        <f>VLOOKUP($A42,'Integrated Effic - ICC Cycle II'!$1:$1048576,2,FALSE)</f>
        <v>UMMC MIDTOWN CAMPUS</v>
      </c>
      <c r="C42" s="93">
        <f>VLOOKUP($A42,'Rate Application - ICC Cycle I'!$1:$1048576,26,FALSE)</f>
        <v>0.3809728339684344</v>
      </c>
      <c r="D42" s="95">
        <f t="shared" si="0"/>
        <v>0.23329831936817519</v>
      </c>
      <c r="E42" s="93"/>
      <c r="F42" s="93"/>
      <c r="G42" s="95">
        <f t="shared" si="1"/>
        <v>-2.1644123814709055</v>
      </c>
    </row>
    <row r="43" spans="1:7" x14ac:dyDescent="0.55000000000000004">
      <c r="D43" s="335"/>
    </row>
  </sheetData>
  <sheetCalcPr fullCalcOnLoad="1"/>
  <autoFilter ref="A1:D1">
    <sortState xmlns:xlrd2="http://schemas.microsoft.com/office/spreadsheetml/2017/richdata2" ref="A2:D42">
      <sortCondition ref="C1"/>
    </sortState>
  </autoFilter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9 b 8 8 e 3 f 4 - c f 0 4 - 4 5 c 5 - a 2 7 1 - d 7 c 4 b 9 e e a 4 1 c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 H o s p i t a l   ( 2 ) < / S l i c e r S h e e t N a m e > < S A H o s t H a s h > 1 0 0 5 6 2 0 5 6 4 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8 2 7 8 f b 6 e - 9 7 2 b - 4 7 7 3 - a 7 0 2 - e 8 4 6 a 5 1 b 4 d 4 1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 H o s p i t a l   ( 2 ) < / S l i c e r S h e e t N a m e > < S A H o s t H a s h > 5 2 6 8 4 1 3 9 0 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0 7 3 2 8 9 8 9 - 3 6 e 5 - 4 8 c 0 - a 7 f 8 - 6 f b 6 a 8 b 0 e f 9 3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 H o s p i t a l < / S l i c e r S h e e t N a m e > < S A H o s t H a s h > 5 9 8 9 4 5 8 7 5 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9 9 c 9 f c 8 - f f f 4 - 4 8 d 1 - b 1 e 1 - a 1 9 6 a 3 f f f 9 2 9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 C Y   P a y e r   < / S l i c e r S h e e t N a m e > < S A H o s t H a s h > 8 8 7 7 2 5 4 6 6 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5 6 1 d 4 6 6 f - 7 6 5 a - 4 9 4 e - 8 1 0 d - 0 b 4 2 0 a 5 b c 8 4 7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 S e r v i c e l i n e < / S l i c e r S h e e t N a m e > < S A H o s t H a s h > 1 8 7 4 0 2 1 2 1 2 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 2 0 2 0 - 0 1 - 2 2 T 1 2 : 3 7 : 4 5 . 8 4 1 9 5 1 5 - 0 5 : 0 0 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p r o d t r e n d s _ 4 6 e c 8 8 9 3 - d c f a - 4 c 9 6 - a f 3 c - b 9 d 0 5 b 8 a e 6 0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t r e n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 i : t y p e = " S a n d b o x E d i t o r M e a s u r e G r i d K e y " & g t ; & l t ; T a b l e N a m e & g t ; p r o d t r e n d s & l t ; / T a b l e N a m e & g t ; & l t ; / K e y & g t ; & l t ; M a i n t a i n e r 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 r e a d o n l y & l t ; / K e y & g t ; & l t ; / D i a g r a m O b j e c t K e y & g t ; & l t ; D i a g r a m O b j e c t K e y & g t ; & l t ; K e y & g t ; M e a s u r e s \ C h a r g e   P e r   E c m a d & l t ; / K e y & g t ; & l t ; / D i a g r a m O b j e c t K e y & g t ; & l t ; D i a g r a m O b j e c t K e y & g t ; & l t ; K e y & g t ; M e a s u r e s \ C h a r g e   P e r   E c m a d \ T a g I n f o \ F o r m u l a & l t ; / K e y & g t ; & l t ; / D i a g r a m O b j e c t K e y & g t ; & l t ; D i a g r a m O b j e c t K e y & g t ; & l t ; K e y & g t ; M e a s u r e s \ C h a r g e   P e r   E c m a d \ T a g I n f o \ V a l u e & l t ; / K e y & g t ; & l t ; / D i a g r a m O b j e c t K e y & g t ; & l t ; D i a g r a m O b j e c t K e y & g t ; & l t ; K e y & g t ; M e a s u r e s \ S u m   o f   F Y E A R & l t ; / K e y & g t ; & l t ; / D i a g r a m O b j e c t K e y & g t ; & l t ; D i a g r a m O b j e c t K e y & g t ; & l t ; K e y & g t ; M e a s u r e s \ S u m   o f   F Y E A R \ T a g I n f o \ F o r m u l a & l t ; / K e y & g t ; & l t ; / D i a g r a m O b j e c t K e y & g t ; & l t ; D i a g r a m O b j e c t K e y & g t ; & l t ; K e y & g t ; M e a s u r e s \ S u m   o f   F Y E A R \ T a g I n f o \ V a l u e & l t ; / K e y & g t ; & l t ; / D i a g r a m O b j e c t K e y & g t ; & l t ; D i a g r a m O b j e c t K e y & g t ; & l t ; K e y & g t ; M e a s u r e s \ S u m   o f   a p r _ e a p g & l t ; / K e y & g t ; & l t ; / D i a g r a m O b j e c t K e y & g t ; & l t ; D i a g r a m O b j e c t K e y & g t ; & l t ; K e y & g t ; M e a s u r e s \ S u m   o f   a p r _ e a p g \ T a g I n f o \ F o r m u l a & l t ; / K e y & g t ; & l t ; / D i a g r a m O b j e c t K e y & g t ; & l t ; D i a g r a m O b j e c t K e y & g t ; & l t ; K e y & g t ; M e a s u r e s \ S u m   o f   a p r _ e a p g \ T a g I n f o \ V a l u e & l t ; / K e y & g t ; & l t ; / D i a g r a m O b j e c t K e y & g t ; & l t ; D i a g r a m O b j e c t K e y & g t ; & l t ; K e y & g t ; M e a s u r e s \ S u m   o f   c o u n t & l t ; / K e y & g t ; & l t ; / D i a g r a m O b j e c t K e y & g t ; & l t ; D i a g r a m O b j e c t K e y & g t ; & l t ; K e y & g t ; M e a s u r e s \ S u m   o f   c o u n t \ T a g I n f o \ F o r m u l a & l t ; / K e y & g t ; & l t ; / D i a g r a m O b j e c t K e y & g t ; & l t ; D i a g r a m O b j e c t K e y & g t ; & l t ; K e y & g t ; M e a s u r e s \ S u m   o f   c o u n t \ T a g I n f o \ V a l u e & l t ; / K e y & g t ; & l t ; / D i a g r a m O b j e c t K e y & g t ; & l t ; D i a g r a m O b j e c t K e y & g t ; & l t ; K e y & g t ; M e a s u r e s \ S u m   o f   t o t _ c h g & l t ; / K e y & g t ; & l t ; / D i a g r a m O b j e c t K e y & g t ; & l t ; D i a g r a m O b j e c t K e y & g t ; & l t ; K e y & g t ; M e a s u r e s \ S u m   o f   t o t _ c h g \ T a g I n f o \ F o r m u l a & l t ; / K e y & g t ; & l t ; / D i a g r a m O b j e c t K e y & g t ; & l t ; D i a g r a m O b j e c t K e y & g t ; & l t ; K e y & g t ; M e a s u r e s \ S u m   o f   t o t _ c h g \ T a g I n f o \ V a l u e & l t ; / K e y & g t ; & l t ; / D i a g r a m O b j e c t K e y & g t ; & l t ; D i a g r a m O b j e c t K e y & g t ; & l t ; K e y & g t ; M e a s u r e s \ S u m   o f   e c m a d & l t ; / K e y & g t ; & l t ; / D i a g r a m O b j e c t K e y & g t ; & l t ; D i a g r a m O b j e c t K e y & g t ; & l t ; K e y & g t ; M e a s u r e s \ S u m   o f   e c m a d \ T a g I n f o \ F o r m u l a & l t ; / K e y & g t ; & l t ; / D i a g r a m O b j e c t K e y & g t ; & l t ; D i a g r a m O b j e c t K e y & g t ; & l t ; K e y & g t ; M e a s u r e s \ S u m   o f   e c m a d \ T a g I n f o \ V a l u e & l t ; / K e y & g t ; & l t ; / D i a g r a m O b j e c t K e y & g t ; & l t ; D i a g r a m O b j e c t K e y & g t ; & l t ; K e y & g t ; M e a s u r e s \ S u m   o f   C M I & l t ; / K e y & g t ; & l t ; / D i a g r a m O b j e c t K e y & g t ; & l t ; D i a g r a m O b j e c t K e y & g t ; & l t ; K e y & g t ; M e a s u r e s \ S u m   o f   C M I \ T a g I n f o \ F o r m u l a & l t ; / K e y & g t ; & l t ; / D i a g r a m O b j e c t K e y & g t ; & l t ; D i a g r a m O b j e c t K e y & g t ; & l t ; K e y & g t ; M e a s u r e s \ S u m   o f   C M I \ T a g I n f o \ V a l u e & l t ; / K e y & g t ; & l t ; / D i a g r a m O b j e c t K e y & g t ; & l t ; D i a g r a m O b j e c t K e y & g t ; & l t ; K e y & g t ; M e a s u r e s \ A v e r a g e   o f   C M I & l t ; / K e y & g t ; & l t ; / D i a g r a m O b j e c t K e y & g t ; & l t ; D i a g r a m O b j e c t K e y & g t ; & l t ; K e y & g t ; M e a s u r e s \ A v e r a g e   o f   C M I \ T a g I n f o \ F o r m u l a & l t ; / K e y & g t ; & l t ; / D i a g r a m O b j e c t K e y & g t ; & l t ; D i a g r a m O b j e c t K e y & g t ; & l t ; K e y & g t ; M e a s u r e s \ A v e r a g e   o f   C M I \ T a g I n f o \ V a l u e & l t ; / K e y & g t ; & l t ; / D i a g r a m O b j e c t K e y & g t ; & l t ; D i a g r a m O b j e c t K e y & g t ; & l t ; K e y & g t ; M e a s u r e s \ S u m   o f   K A I S E R _ P A T & l t ; / K e y & g t ; & l t ; / D i a g r a m O b j e c t K e y & g t ; & l t ; D i a g r a m O b j e c t K e y & g t ; & l t ; K e y & g t ; M e a s u r e s \ S u m   o f   K A I S E R _ P A T \ T a g I n f o \ F o r m u l a & l t ; / K e y & g t ; & l t ; / D i a g r a m O b j e c t K e y & g t ; & l t ; D i a g r a m O b j e c t K e y & g t ; & l t ; K e y & g t ; M e a s u r e s \ S u m   o f   K A I S E R _ P A T \ T a g I n f o \ V a l u e & l t ; / K e y & g t ; & l t ; / D i a g r a m O b j e c t K e y & g t ; & l t ; D i a g r a m O b j e c t K e y & g t ; & l t ; K e y & g t ; M e a s u r e s \ S u m   o f   Y E A R & l t ; / K e y & g t ; & l t ; / D i a g r a m O b j e c t K e y & g t ; & l t ; D i a g r a m O b j e c t K e y & g t ; & l t ; K e y & g t ; M e a s u r e s \ S u m   o f   Y E A R \ T a g I n f o \ F o r m u l a & l t ; / K e y & g t ; & l t ; / D i a g r a m O b j e c t K e y & g t ; & l t ; D i a g r a m O b j e c t K e y & g t ; & l t ; K e y & g t ; M e a s u r e s \ S u m   o f   Y E A R \ T a g I n f o \ V a l u e & l t ; / K e y & g t ; & l t ; / D i a g r a m O b j e c t K e y & g t ; & l t ; D i a g r a m O b j e c t K e y & g t ; & l t ; K e y & g t ; C o l u m n s \ p a y e r 2 & l t ; / K e y & g t ; & l t ; / D i a g r a m O b j e c t K e y & g t ; & l t ; D i a g r a m O b j e c t K e y & g t ; & l t ; K e y & g t ; C o l u m n s \ R E S I D E N T _ S T A T U S & l t ; / K e y & g t ; & l t ; / D i a g r a m O b j e c t K e y & g t ; & l t ; D i a g r a m O b j e c t K e y & g t ; & l t ; K e y & g t ; C o l u m n s \ H O S P I D & l t ; / K e y & g t ; & l t ; / D i a g r a m O b j e c t K e y & g t ; & l t ; D i a g r a m O b j e c t K e y & g t ; & l t ; K e y & g t ; C o l u m n s \ h o s p n a m e & l t ; / K e y & g t ; & l t ; / D i a g r a m O b j e c t K e y & g t ; & l t ; D i a g r a m O b j e c t K e y & g t ; & l t ; K e y & g t ; C o l u m n s \ P R O D _ C A T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F Y E A R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Q T R & l t ; / K e y & g t ; & l t ; / D i a g r a m O b j e c t K e y & g t ; & l t ; D i a g r a m O b j e c t K e y & g t ; & l t ; K e y & g t ; C o l u m n s \ a p r _ e a p g & l t ; / K e y & g t ; & l t ; / D i a g r a m O b j e c t K e y & g t ; & l t ; D i a g r a m O b j e c t K e y & g t ; & l t ; K e y & g t ; C o l u m n s \ d e s c & l t ; / K e y & g t ; & l t ; / D i a g r a m O b j e c t K e y & g t ; & l t ; D i a g r a m O b j e c t K e y & g t ; & l t ; K e y & g t ; C o l u m n s \ E X C L U S I O N & l t ; / K e y & g t ; & l t ; / D i a g r a m O b j e c t K e y & g t ; & l t ; D i a g r a m O b j e c t K e y & g t ; & l t ; K e y & g t ; C o l u m n s \ c o u n t & l t ; / K e y & g t ; & l t ; / D i a g r a m O b j e c t K e y & g t ; & l t ; D i a g r a m O b j e c t K e y & g t ; & l t ; K e y & g t ; C o l u m n s \ t o t _ c h g & l t ; / K e y & g t ; & l t ; / D i a g r a m O b j e c t K e y & g t ; & l t ; D i a g r a m O b j e c t K e y & g t ; & l t ; K e y & g t ; C o l u m n s \ e c m a d & l t ; / K e y & g t ; & l t ; / D i a g r a m O b j e c t K e y & g t ; & l t ; D i a g r a m O b j e c t K e y & g t ; & l t ; K e y & g t ; C o l u m n s \ a v c h a r g e & l t ; / K e y & g t ; & l t ; / D i a g r a m O b j e c t K e y & g t ; & l t ; D i a g r a m O b j e c t K e y & g t ; & l t ; K e y & g t ; C o l u m n s \ C M I & l t ; / K e y & g t ; & l t ; / D i a g r a m O b j e c t K e y & g t ; & l t ; D i a g r a m O b j e c t K e y & g t ; & l t ; K e y & g t ; C o l u m n s \ P A U & l t ; / K e y & g t ; & l t ; / D i a g r a m O b j e c t K e y & g t ; & l t ; D i a g r a m O b j e c t K e y & g t ; & l t ; K e y & g t ; C o l u m n s \ C a t e g o r i c a l & l t ; / K e y & g t ; & l t ; / D i a g r a m O b j e c t K e y & g t ; & l t ; D i a g r a m O b j e c t K e y & g t ; & l t ; K e y & g t ; C o l u m n s \ O P _ O n c _ D r u g s & l t ; / K e y & g t ; & l t ; / D i a g r a m O b j e c t K e y & g t ; & l t ; D i a g r a m O b j e c t K e y & g t ; & l t ; K e y & g t ; C o l u m n s \ o r d e r & l t ; / K e y & g t ; & l t ; / D i a g r a m O b j e c t K e y & g t ; & l t ; D i a g r a m O b j e c t K e y & g t ; & l t ; K e y & g t ; C o l u m n s \ d i f c o u n t & l t ; / K e y & g t ; & l t ; / D i a g r a m O b j e c t K e y & g t ; & l t ; D i a g r a m O b j e c t K e y & g t ; & l t ; K e y & g t ; C o l u m n s \ d i f t o t _ c h g & l t ; / K e y & g t ; & l t ; / D i a g r a m O b j e c t K e y & g t ; & l t ; D i a g r a m O b j e c t K e y & g t ; & l t ; K e y & g t ; C o l u m n s \ d i f e c m a d & l t ; / K e y & g t ; & l t ; / D i a g r a m O b j e c t K e y & g t ; & l t ; D i a g r a m O b j e c t K e y & g t ; & l t ; K e y & g t ; C o l u m n s \ d i f t o t w e i g h t & l t ; / K e y & g t ; & l t ; / D i a g r a m O b j e c t K e y & g t ; & l t ; D i a g r a m O b j e c t K e y & g t ; & l t ; K e y & g t ; C o l u m n s \ t o t w e i g h t & l t ; / K e y & g t ; & l t ; / D i a g r a m O b j e c t K e y & g t ; & l t ; D i a g r a m O b j e c t K e y & g t ; & l t ; K e y & g t ; C o l u m n s \ d i f a v c h a r g e & l t ; / K e y & g t ; & l t ; / D i a g r a m O b j e c t K e y & g t ; & l t ; D i a g r a m O b j e c t K e y & g t ; & l t ; K e y & g t ; C o l u m n s \ d i f C M I & l t ; / K e y & g t ; & l t ; / D i a g r a m O b j e c t K e y & g t ; & l t ; D i a g r a m O b j e c t K e y & g t ; & l t ; K e y & g t ; C o l u m n s \ m o n t h y e a r & l t ; / K e y & g t ; & l t ; / D i a g r a m O b j e c t K e y & g t ; & l t ; D i a g r a m O b j e c t K e y & g t ; & l t ; K e y & g t ; C o l u m n s \ C a s e   M i x   I n d e x & l t ; / K e y & g t ; & l t ; / D i a g r a m O b j e c t K e y & g t ; & l t ; D i a g r a m O b j e c t K e y & g t ; & l t ; K e y & g t ; C o l u m n s \ S A S _ C O U N T Y & l t ; / K e y & g t ; & l t ; / D i a g r a m O b j e c t K e y & g t ; & l t ; D i a g r a m O b j e c t K e y & g t ; & l t ; K e y & g t ; C o l u m n s \ Z i p c o d e 2 & l t ; / K e y & g t ; & l t ; / D i a g r a m O b j e c t K e y & g t ; & l t ; D i a g r a m O b j e c t K e y & g t ; & l t ; K e y & g t ; C o l u m n s \ s a s s t a t e & l t ; / K e y & g t ; & l t ; / D i a g r a m O b j e c t K e y & g t ; & l t ; D i a g r a m O b j e c t K e y & g t ; & l t ; K e y & g t ; C o l u m n s \ O b v _ 2 4 _ F l a g & l t ; / K e y & g t ; & l t ; / D i a g r a m O b j e c t K e y & g t ; & l t ; D i a g r a m O b j e c t K e y & g t ; & l t ; K e y & g t ; C o l u m n s \ z i p c i t y & l t ; / K e y & g t ; & l t ; / D i a g r a m O b j e c t K e y & g t ; & l t ; D i a g r a m O b j e c t K e y & g t ; & l t ; K e y & g t ; C o l u m n s \ z i p n a m e & l t ; / K e y & g t ; & l t ; / D i a g r a m O b j e c t K e y & g t ; & l t ; D i a g r a m O b j e c t K e y & g t ; & l t ; K e y & g t ; C o l u m n s \ D r g n a m e & l t ; / K e y & g t ; & l t ; / D i a g r a m O b j e c t K e y & g t ; & l t ; D i a g r a m O b j e c t K e y & g t ; & l t ; K e y & g t ; C o l u m n s \ K A I S E R _ T Y P E & l t ; / K e y & g t ; & l t ; / D i a g r a m O b j e c t K e y & g t ; & l t ; D i a g r a m O b j e c t K e y & g t ; & l t ; K e y & g t ; C o l u m n s \ K A I S E R _ P A T & l t ; / K e y & g t ; & l t ; / D i a g r a m O b j e c t K e y & g t ; & l t ; D i a g r a m O b j e c t K e y & g t ; & l t ; K e y & g t ; L i n k s \ & a m p ; l t ; C o l u m n s \ S u m   o f   F Y E A R & a m p ; g t ; - & a m p ; l t ; M e a s u r e s \ F Y E A R & a m p ; g t ; & l t ; / K e y & g t ; & l t ; / D i a g r a m O b j e c t K e y & g t ; & l t ; D i a g r a m O b j e c t K e y & g t ; & l t ; K e y & g t ; L i n k s \ & a m p ; l t ; C o l u m n s \ S u m   o f   F Y E A R & a m p ; g t ; - & a m p ; l t ; M e a s u r e s \ F Y E A R & a m p ; g t ; \ C O L U M N & l t ; / K e y & g t ; & l t ; / D i a g r a m O b j e c t K e y & g t ; & l t ; D i a g r a m O b j e c t K e y & g t ; & l t ; K e y & g t ; L i n k s \ & a m p ; l t ; C o l u m n s \ S u m   o f   F Y E A R & a m p ; g t ; - & a m p ; l t ; M e a s u r e s \ F Y E A R & a m p ; g t ; \ M E A S U R E & l t ; / K e y & g t ; & l t ; / D i a g r a m O b j e c t K e y & g t ; & l t ; D i a g r a m O b j e c t K e y & g t ; & l t ; K e y & g t ; L i n k s \ & a m p ; l t ; C o l u m n s \ S u m   o f   a p r _ e a p g & a m p ; g t ; - & a m p ; l t ; M e a s u r e s \ a p r _ e a p g & a m p ; g t ; & l t ; / K e y & g t ; & l t ; / D i a g r a m O b j e c t K e y & g t ; & l t ; D i a g r a m O b j e c t K e y & g t ; & l t ; K e y & g t ; L i n k s \ & a m p ; l t ; C o l u m n s \ S u m   o f   a p r _ e a p g & a m p ; g t ; - & a m p ; l t ; M e a s u r e s \ a p r _ e a p g & a m p ; g t ; \ C O L U M N & l t ; / K e y & g t ; & l t ; / D i a g r a m O b j e c t K e y & g t ; & l t ; D i a g r a m O b j e c t K e y & g t ; & l t ; K e y & g t ; L i n k s \ & a m p ; l t ; C o l u m n s \ S u m   o f   a p r _ e a p g & a m p ; g t ; - & a m p ; l t ; M e a s u r e s \ a p r _ e a p g & a m p ; g t ; \ M E A S U R E & l t ; / K e y & g t ; & l t ; / D i a g r a m O b j e c t K e y & g t ; & l t ; D i a g r a m O b j e c t K e y & g t ; & l t ; K e y & g t ; L i n k s \ & a m p ; l t ; C o l u m n s \ S u m   o f   c o u n t & a m p ; g t ; - & a m p ; l t ; M e a s u r e s \ c o u n t & a m p ; g t ; & l t ; / K e y & g t ; & l t ; / D i a g r a m O b j e c t K e y & g t ; & l t ; D i a g r a m O b j e c t K e y & g t ; & l t ; K e y & g t ; L i n k s \ & a m p ; l t ; C o l u m n s \ S u m   o f   c o u n t & a m p ; g t ; - & a m p ; l t ; M e a s u r e s \ c o u n t & a m p ; g t ; \ C O L U M N & l t ; / K e y & g t ; & l t ; / D i a g r a m O b j e c t K e y & g t ; & l t ; D i a g r a m O b j e c t K e y & g t ; & l t ; K e y & g t ; L i n k s \ & a m p ; l t ; C o l u m n s \ S u m   o f   c o u n t & a m p ; g t ; - & a m p ; l t ; M e a s u r e s \ c o u n t & a m p ; g t ; \ M E A S U R E & l t ; / K e y & g t ; & l t ; / D i a g r a m O b j e c t K e y & g t ; & l t ; D i a g r a m O b j e c t K e y & g t ; & l t ; K e y & g t ; L i n k s \ & a m p ; l t ; C o l u m n s \ S u m   o f   t o t _ c h g & a m p ; g t ; - & a m p ; l t ; M e a s u r e s \ t o t _ c h g & a m p ; g t ; & l t ; / K e y & g t ; & l t ; / D i a g r a m O b j e c t K e y & g t ; & l t ; D i a g r a m O b j e c t K e y & g t ; & l t ; K e y & g t ; L i n k s \ & a m p ; l t ; C o l u m n s \ S u m   o f   t o t _ c h g & a m p ; g t ; - & a m p ; l t ; M e a s u r e s \ t o t _ c h g & a m p ; g t ; \ C O L U M N & l t ; / K e y & g t ; & l t ; / D i a g r a m O b j e c t K e y & g t ; & l t ; D i a g r a m O b j e c t K e y & g t ; & l t ; K e y & g t ; L i n k s \ & a m p ; l t ; C o l u m n s \ S u m   o f   t o t _ c h g & a m p ; g t ; - & a m p ; l t ; M e a s u r e s \ t o t _ c h g & a m p ; g t ; \ M E A S U R E & l t ; / K e y & g t ; & l t ; / D i a g r a m O b j e c t K e y & g t ; & l t ; D i a g r a m O b j e c t K e y & g t ; & l t ; K e y & g t ; L i n k s \ & a m p ; l t ; C o l u m n s \ S u m   o f   e c m a d & a m p ; g t ; - & a m p ; l t ; M e a s u r e s \ e c m a d & a m p ; g t ; & l t ; / K e y & g t ; & l t ; / D i a g r a m O b j e c t K e y & g t ; & l t ; D i a g r a m O b j e c t K e y & g t ; & l t ; K e y & g t ; L i n k s \ & a m p ; l t ; C o l u m n s \ S u m   o f   e c m a d & a m p ; g t ; - & a m p ; l t ; M e a s u r e s \ e c m a d & a m p ; g t ; \ C O L U M N & l t ; / K e y & g t ; & l t ; / D i a g r a m O b j e c t K e y & g t ; & l t ; D i a g r a m O b j e c t K e y & g t ; & l t ; K e y & g t ; L i n k s \ & a m p ; l t ; C o l u m n s \ S u m   o f   e c m a d & a m p ; g t ; - & a m p ; l t ; M e a s u r e s \ e c m a d & a m p ; g t ; \ M E A S U R E & l t ; / K e y & g t ; & l t ; / D i a g r a m O b j e c t K e y & g t ; & l t ; D i a g r a m O b j e c t K e y & g t ; & l t ; K e y & g t ; L i n k s \ & a m p ; l t ; C o l u m n s \ S u m   o f   C M I & a m p ; g t ; - & a m p ; l t ; M e a s u r e s \ C M I & a m p ; g t ; & l t ; / K e y & g t ; & l t ; / D i a g r a m O b j e c t K e y & g t ; & l t ; D i a g r a m O b j e c t K e y & g t ; & l t ; K e y & g t ; L i n k s \ & a m p ; l t ; C o l u m n s \ S u m   o f   C M I & a m p ; g t ; - & a m p ; l t ; M e a s u r e s \ C M I & a m p ; g t ; \ C O L U M N & l t ; / K e y & g t ; & l t ; / D i a g r a m O b j e c t K e y & g t ; & l t ; D i a g r a m O b j e c t K e y & g t ; & l t ; K e y & g t ; L i n k s \ & a m p ; l t ; C o l u m n s \ S u m   o f   C M I & a m p ; g t ; - & a m p ; l t ; M e a s u r e s \ C M I & a m p ; g t ; \ M E A S U R E & l t ; / K e y & g t ; & l t ; / D i a g r a m O b j e c t K e y & g t ; & l t ; D i a g r a m O b j e c t K e y & g t ; & l t ; K e y & g t ; L i n k s \ & a m p ; l t ; C o l u m n s \ A v e r a g e   o f   C M I & a m p ; g t ; - & a m p ; l t ; M e a s u r e s \ C M I & a m p ; g t ; & l t ; / K e y & g t ; & l t ; / D i a g r a m O b j e c t K e y & g t ; & l t ; D i a g r a m O b j e c t K e y & g t ; & l t ; K e y & g t ; L i n k s \ & a m p ; l t ; C o l u m n s \ A v e r a g e   o f   C M I & a m p ; g t ; - & a m p ; l t ; M e a s u r e s \ C M I & a m p ; g t ; \ C O L U M N & l t ; / K e y & g t ; & l t ; / D i a g r a m O b j e c t K e y & g t ; & l t ; D i a g r a m O b j e c t K e y & g t ; & l t ; K e y & g t ; L i n k s \ & a m p ; l t ; C o l u m n s \ A v e r a g e   o f   C M I & a m p ; g t ; - & a m p ; l t ; M e a s u r e s \ C M I & a m p ; g t ; \ M E A S U R E & l t ; / K e y & g t ; & l t ; / D i a g r a m O b j e c t K e y & g t ; & l t ; D i a g r a m O b j e c t K e y & g t ; & l t ; K e y & g t ; L i n k s \ & a m p ; l t ; C o l u m n s \ S u m   o f   K A I S E R _ P A T & a m p ; g t ; - & a m p ; l t ; M e a s u r e s \ K A I S E R _ P A T & a m p ; g t ; & l t ; / K e y & g t ; & l t ; / D i a g r a m O b j e c t K e y & g t ; & l t ; D i a g r a m O b j e c t K e y & g t ; & l t ; K e y & g t ; L i n k s \ & a m p ; l t ; C o l u m n s \ S u m   o f   K A I S E R _ P A T & a m p ; g t ; - & a m p ; l t ; M e a s u r e s \ K A I S E R _ P A T & a m p ; g t ; \ C O L U M N & l t ; / K e y & g t ; & l t ; / D i a g r a m O b j e c t K e y & g t ; & l t ; D i a g r a m O b j e c t K e y & g t ; & l t ; K e y & g t ; L i n k s \ & a m p ; l t ; C o l u m n s \ S u m   o f   K A I S E R _ P A T & a m p ; g t ; - & a m p ; l t ; M e a s u r e s \ K A I S E R _ P A T & a m p ; g t ; \ M E A S U R E & l t ; / K e y & g t ; & l t ; / D i a g r a m O b j e c t K e y & g t ; & l t ; D i a g r a m O b j e c t K e y & g t ; & l t ; K e y & g t ; L i n k s \ & a m p ; l t ; C o l u m n s \ S u m   o f   Y E A R & a m p ; g t ; - & a m p ; l t ; M e a s u r e s \ Y E A R & a m p ; g t ; & l t ; / K e y & g t ; & l t ; / D i a g r a m O b j e c t K e y & g t ; & l t ; D i a g r a m O b j e c t K e y & g t ; & l t ; K e y & g t ; L i n k s \ & a m p ; l t ; C o l u m n s \ S u m   o f   Y E A R & a m p ; g t ; - & a m p ; l t ; M e a s u r e s \ Y E A R & a m p ; g t ; \ C O L U M N & l t ; / K e y & g t ; & l t ; / D i a g r a m O b j e c t K e y & g t ; & l t ; D i a g r a m O b j e c t K e y & g t ; & l t ; K e y & g t ; L i n k s \ & a m p ; l t ; C o l u m n s \ S u m   o f   Y E A R & a m p ; g t ; - & a m p ; l t ; M e a s u r e s \ Y E A R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& g t ; & l t ; M e a s u r e G r i d T e x t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h a r g e   P e r   E c m a d & l t ; / K e y & g t ; & l t ; / a : K e y & g t ; & l t ; a : V a l u e 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h a r g e   P e r   E c m a d \ T a g I n f o \ F o r m u l a & l t ; / K e y & g t ; & l t ; / a : K e y & g t ; & l t ; a : V a l u e 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h a r g e   P e r   E c m a d \ T a g I n f o \ V a l u e & l t ; / K e y & g t ; & l t ; / a : K e y & g t ; & l t ; a : V a l u e 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 F Y E A R & l t ; / K e y & g t ; & l t ; / a : K e y & g t ; & l t ; a : V a l u e 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 F Y E A R \ T a g I n f o \ F o r m u l a & l t ; / K e y & g t ; & l t ; / a : K e y & g t ; & l t ; a : V a l u e 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 F Y E A R \ T a g I n f o \ V a l u e & l t ; / K e y & g t ; & l t ; / a : K e y & g t ; & l t ; a : V a l u e 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 a p r _ e a p g & l t ; / K e y & g t ; & l t ; / a : K e y & g t ; & l t ; a : V a l u e 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 a p r _ e a p g \ T a g I n f o \ F o r m u l a & l t ; / K e y & g t ; & l t ; / a : K e y & g t ; & l t ; a : V a l u e 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 a p r _ e a p g \ T a g I n f o \ V a l u e & l t ; / K e y & g t ; & l t ; / a : K e y & g t ; & l t ; a : V a l u e 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 c o u n t & l t ; / K e y & g t ; & l t ; / a : K e y & g t ; & l t ; a : V a l u e 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 t o t _ c h g & l t ; / K e y & g t ; & l t ; / a : K e y & g t ; & l t ; a : V a l u e 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 t o t _ c h g \ T a g I n f o \ F o r m u l a & l t ; / K e y & g t ; & l t ; / a : K e y & g t ; & l t ; a : V a l u e 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 t o t _ c h g \ T a g I n f o \ V a l u e & l t ; / K e y & g t ; & l t ; / a : K e y & g t ; & l t ; a : V a l u e 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 e c m a d & l t ; / K e y & g t ; & l t ; / a : K e y & g t ; & l t ; a : V a l u e 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 e c m a d \ T a g I n f o \ F o r m u l a & l t ; / K e y & g t ; & l t ; / a : K e y & g t ; & l t ; a : V a l u e 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 e c m a d \ T a g I n f o \ V a l u e & l t ; / K e y & g t ; & l t ; / a : K e y & g t ; & l t ; a : V a l u e 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 C M I & l t ; / K e y & g t ; & l t ; / a : K e y & g t ; & l t ; a : V a l u e 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 C M I \ T a g I n f o \ F o r m u l a & l t ; / K e y & g t ; & l t ; / a : K e y & g t ; & l t ; a : V a l u e 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 C M I \ T a g I n f o \ V a l u e & l t ; / K e y & g t ; & l t ; / a : K e y & g t ; & l t ; a : V a l u e 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 C M I & l t ; / K e y & g t ; & l t ; / a : K e y & g t ; & l t ; a : V a l u e 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 C M I \ T a g I n f o \ F o r m u l a & l t ; / K e y & g t ; & l t ; / a : K e y & g t ; & l t ; a : V a l u e 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 C M I \ T a g I n f o \ V a l u e & l t ; / K e y & g t ; & l t ; / a : K e y & g t ; & l t ; a : V a l u e 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 K A I S E R _ P A T & l t ; / K e y & g t ; & l t ; / a : K e y & g t ; & l t ; a : V a l u e 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 K A I S E R _ P A T \ T a g I n f o \ F o r m u l a & l t ; / K e y & g t ; & l t ; / a : K e y & g t ; & l t ; a : V a l u e 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 K A I S E R _ P A T \ T a g I n f o \ V a l u e & l t ; / K e y & g t ; & l t ; / a : K e y & g t ; & l t ; a : V a l u e 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e r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I D E N T _ S T A T U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S P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s p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_ C A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E A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_ e a p g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C L U S I O N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_ c h g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c m a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v c h a r g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M I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U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i c a l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_ O n c _ D r u g s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c o u n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t o t _ c h g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e c m a d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t o t w e i g h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w e i g h t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a v c h a r g e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f C M I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y e a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e   M i x   I n d e x & l t ; / K e y & g t ; & l t ; / a : K e y & g t ; & l t ; a : V a l u e 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S _ C O U N T Y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i p c o d e 2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s s t a t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v _ 2 4 _ F l a g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i p c i t y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i p n a m e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g n a m e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A I S E R _ T Y P E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A I S E R _ P A T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 F Y E A R & a m p ; g t ; - & a m p ; l t ; M e a s u r e s \ F Y E A R & a m p ; g t ; & l t ; / K e y & g t ; & l t ; / a : K e y & g t ; & l t ; a : V a l u e 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 F Y E A R & a m p ; g t ; - & a m p ; l t ; M e a s u r e s \ F Y E A R & a m p ; g t ; \ C O L U M N & l t ; / K e y & g t ; & l t ; / a : K e y & g t ; & l t ; a : V a l u e 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 F Y E A R & a m p ; g t ; - & a m p ; l t ; M e a s u r e s \ F Y E A R & a m p ; g t ; \ M E A S U R E & l t ; / K e y & g t ; & l t ; / a : K e y & g t ; & l t ; a : V a l u e 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 a p r _ e a p g & a m p ; g t ; - & a m p ; l t ; M e a s u r e s \ a p r _ e a p g & a m p ; g t ; & l t ; / K e y & g t ; & l t ; / a : K e y & g t ; & l t ; a : V a l u e 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 a p r _ e a p g & a m p ; g t ; - & a m p ; l t ; M e a s u r e s \ a p r _ e a p g & a m p ; g t ; \ C O L U M N & l t ; / K e y & g t ; & l t ; / a : K e y & g t ; & l t ; a : V a l u e 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 a p r _ e a p g & a m p ; g t ; - & a m p ; l t ; M e a s u r e s \ a p r _ e a p g & a m p ; g t ; \ M E A S U R E & l t ; / K e y & g t ; & l t ; / a : K e y & g t ; & l t ; a : V a l u e 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 c o u n t & a m p ; g t ; - & a m p ; l t ; M e a s u r e s \ c o u n t & a m p ; g t ; & l t ; / K e y & g t ; & l t ; / a : K e y & g t ; & l t ; a : V a l u e 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 c o u n t & a m p ; g t ; - & a m p ; l t ; M e a s u r e s \ c o u n t & a m p ; g t ; \ C O L U M N & l t ; / K e y & g t ; & l t ; / a : K e y & g t ; & l t ; a : V a l u e 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 c o u n t & a m p ; g t ; - & a m p ; l t ; M e a s u r e s \ c o u n t & a m p ; g t ; \ M E A S U R E & l t ; / K e y & g t ; & l t ; / a : K e y & g t ; & l t ; a : V a l u e 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 t o t _ c h g & a m p ; g t ; - & a m p ; l t ; M e a s u r e s \ t o t _ c h g & a m p ; g t ; & l t ; / K e y & g t ; & l t ; / a : K e y & g t ; & l t ; a : V a l u e 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 t o t _ c h g & a m p ; g t ; - & a m p ; l t ; M e a s u r e s \ t o t _ c h g & a m p ; g t ; \ C O L U M N & l t ; / K e y & g t ; & l t ; / a : K e y & g t ; & l t ; a : V a l u e 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 t o t _ c h g & a m p ; g t ; - & a m p ; l t ; M e a s u r e s \ t o t _ c h g & a m p ; g t ; \ M E A S U R E & l t ; / K e y & g t ; & l t ; / a : K e y & g t ; & l t ; a : V a l u e 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 e c m a d & a m p ; g t ; - & a m p ; l t ; M e a s u r e s \ e c m a d & a m p ; g t ; & l t ; / K e y & g t ; & l t ; / a : K e y & g t ; & l t ; a : V a l u e 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 e c m a d & a m p ; g t ; - & a m p ; l t ; M e a s u r e s \ e c m a d & a m p ; g t ; \ C O L U M N & l t ; / K e y & g t ; & l t ; / a : K e y & g t ; & l t ; a : V a l u e 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 e c m a d & a m p ; g t ; - & a m p ; l t ; M e a s u r e s \ e c m a d & a m p ; g t ; \ M E A S U R E & l t ; / K e y & g t ; & l t ; / a : K e y & g t ; & l t ; a : V a l u e 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 C M I & a m p ; g t ; - & a m p ; l t ; M e a s u r e s \ C M I & a m p ; g t ; & l t ; / K e y & g t ; & l t ; / a : K e y & g t ; & l t ; a : V a l u e 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 C M I & a m p ; g t ; - & a m p ; l t ; M e a s u r e s \ C M I & a m p ; g t ; \ C O L U M N & l t ; / K e y & g t ; & l t ; / a : K e y & g t ; & l t ; a : V a l u e 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 C M I & a m p ; g t ; - & a m p ; l t ; M e a s u r e s \ C M I & a m p ; g t ; \ M E A S U R E & l t ; / K e y & g t ; & l t ; / a : K e y & g t ; & l t ; a : V a l u e 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 C M I & a m p ; g t ; - & a m p ; l t ; M e a s u r e s \ C M I & a m p ; g t ; & l t ; / K e y & g t ; & l t ; / a : K e y & g t ; & l t ; a : V a l u e 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 C M I & a m p ; g t ; - & a m p ; l t ; M e a s u r e s \ C M I & a m p ; g t ; \ C O L U M N & l t ; / K e y & g t ; & l t ; / a : K e y & g t ; & l t ; a : V a l u e 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 C M I & a m p ; g t ; - & a m p ; l t ; M e a s u r e s \ C M I & a m p ; g t ; \ M E A S U R E & l t ; / K e y & g t ; & l t ; / a : K e y & g t ; & l t ; a : V a l u e 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 K A I S E R _ P A T & a m p ; g t ; - & a m p ; l t ; M e a s u r e s \ K A I S E R _ P A T & a m p ; g t ; & l t ; / K e y & g t ; & l t ; / a : K e y & g t ; & l t ; a : V a l u e 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 K A I S E R _ P A T & a m p ; g t ; - & a m p ; l t ; M e a s u r e s \ K A I S E R _ P A T & a m p ; g t ; \ C O L U M N & l t ; / K e y & g t ; & l t ; / a : K e y & g t ; & l t ; a : V a l u e 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 K A I S E R _ P A T & a m p ; g t ; - & a m p ; l t ; M e a s u r e s \ K A I S E R _ P A T & a m p ; g t ; \ M E A S U R E & l t ; / K e y & g t ; & l t ; / a : K e y & g t ; & l t ; a : V a l u e 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 Y E A R & a m p ; g t ; - & a m p ; l t ; M e a s u r e s \ Y E A R & a m p ; g t ; & l t ; / K e y & g t ; & l t ; / a : K e y & g t ; & l t ; a : V a l u e 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 Y E A R & a m p ; g t ; - & a m p ; l t ; M e a s u r e s \ Y E A R & a m p ; g t ; \ C O L U M N & l t ; / K e y & g t ; & l t ; / a : K e y & g t ; & l t ; a : V a l u e 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 Y E A R & a m p ; g t ; - & a m p ; l t ; M e a s u r e s \ Y E A R & a m p ; g t ; \ M E A S U R E & l t ; / K e y & g t ; & l t ; / a : K e y & g t ; & l t ; a : V a l u e 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b 2 f 5 8 e b 9 - c 9 8 d - 4 e 2 1 - a 9 d 5 - e 2 1 1 4 5 e 0 5 6 6 8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 P a y e r < / S l i c e r S h e e t N a m e > < S A H o s t H a s h > 1 4 2 8 3 1 7 5 0 4 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r o d t r e n d s _ 4 6 e c 8 8 9 3 - d c f a - 4 c 9 6 - a f 3 c - b 9 d 0 5 b 8 a e 6 0 2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a y e r 2 & l t ; / s t r i n g & g t ; & l t ; / k e y & g t ; & l t ; v a l u e & g t ; & l t ; i n t & g t ; 7 8 & l t ; / i n t & g t ; & l t ; / v a l u e & g t ; & l t ; / i t e m & g t ; & l t ; i t e m & g t ; & l t ; k e y & g t ; & l t ; s t r i n g & g t ; R E S I D E N T _ S T A T U S & l t ; / s t r i n g & g t ; & l t ; / k e y & g t ; & l t ; v a l u e & g t ; & l t ; i n t & g t ; 1 4 6 & l t ; / i n t & g t ; & l t ; / v a l u e & g t ; & l t ; / i t e m & g t ; & l t ; i t e m & g t ; & l t ; k e y & g t ; & l t ; s t r i n g & g t ; H O S P I D & l t ; / s t r i n g & g t ; & l t ; / k e y & g t ; & l t ; v a l u e & g t ; & l t ; i n t & g t ; 8 3 & l t ; / i n t & g t ; & l t ; / v a l u e & g t ; & l t ; / i t e m & g t ; & l t ; i t e m & g t ; & l t ; k e y & g t ; & l t ; s t r i n g & g t ; h o s p n a m e & l t ; / s t r i n g & g t ; & l t ; / k e y & g t ; & l t ; v a l u e & g t ; & l t ; i n t & g t ; 1 0 1 & l t ; / i n t & g t ; & l t ; / v a l u e & g t ; & l t ; / i t e m & g t ; & l t ; i t e m & g t ; & l t ; k e y & g t ; & l t ; s t r i n g & g t ; P R O D _ C A T & l t ; / s t r i n g & g t ; & l t ; / k e y & g t ; & l t ; v a l u e & g t ; & l t ; i n t & g t ; 1 0 1 & l t ; / i n t & g t ; & l t ; / v a l u e & g t ; & l t ; / i t e m & g t ; & l t ; i t e m & g t ; & l t ; k e y & g t ; & l t ; s t r i n g & g t ; M O N T H & l t ; / s t r i n g & g t ; & l t ; / k e y & g t ; & l t ; v a l u e & g t ; & l t ; i n t & g t ; 8 4 & l t ; / i n t & g t ; & l t ; / v a l u e & g t ; & l t ; / i t e m & g t ; & l t ; i t e m & g t ; & l t ; k e y & g t ; & l t ; s t r i n g & g t ; t y p e & l t ; / s t r i n g & g t ; & l t ; / k e y & g t ; & l t ; v a l u e & g t ; & l t ; i n t & g t ; 6 4 & l t ; / i n t & g t ; & l t ; / v a l u e & g t ; & l t ; / i t e m & g t ; & l t ; i t e m & g t ; & l t ; k e y & g t ; & l t ; s t r i n g & g t ; F Y E A R & l t ; / s t r i n g & g t ; & l t ; / k e y & g t ; & l t ; v a l u e & g t ; & l t ; i n t & g t ; 7 4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Q T R & l t ; / s t r i n g & g t ; & l t ; / k e y & g t ; & l t ; v a l u e & g t ; & l t ; i n t & g t ; 6 1 & l t ; / i n t & g t ; & l t ; / v a l u e & g t ; & l t ; / i t e m & g t ; & l t ; i t e m & g t ; & l t ; k e y & g t ; & l t ; s t r i n g & g t ; a p r _ e a p g & l t ; / s t r i n g & g t ; & l t ; / k e y & g t ; & l t ; v a l u e & g t ; & l t ; i n t & g t ; 9 3 & l t ; / i n t & g t ; & l t ; / v a l u e & g t ; & l t ; / i t e m & g t ; & l t ; i t e m & g t ; & l t ; k e y & g t ; & l t ; s t r i n g & g t ; d e s c & l t ; / s t r i n g & g t ; & l t ; / k e y & g t ; & l t ; v a l u e & g t ; & l t ; i n t & g t ; 6 4 & l t ; / i n t & g t ; & l t ; / v a l u e & g t ; & l t ; / i t e m & g t ; & l t ; i t e m & g t ; & l t ; k e y & g t ; & l t ; s t r i n g & g t ; E X C L U S I O N & l t ; / s t r i n g & g t ; & l t ; / k e y & g t ; & l t ; v a l u e & g t ; & l t ; i n t & g t ; 1 0 5 & l t ; / i n t & g t ; & l t ; / v a l u e & g t ; & l t ; / i t e m & g t ; & l t ; i t e m & g t ; & l t ; k e y & g t ; & l t ; s t r i n g & g t ; c o u n t & l t ; / s t r i n g & g t ; & l t ; / k e y & g t ; & l t ; v a l u e & g t ; & l t ; i n t & g t ; 7 1 & l t ; / i n t & g t ; & l t ; / v a l u e & g t ; & l t ; / i t e m & g t ; & l t ; i t e m & g t ; & l t ; k e y & g t ; & l t ; s t r i n g & g t ; t o t _ c h g & l t ; / s t r i n g & g t ; & l t ; / k e y & g t ; & l t ; v a l u e & g t ; & l t ; i n t & g t ; 8 2 & l t ; / i n t & g t ; & l t ; / v a l u e & g t ; & l t ; / i t e m & g t ; & l t ; i t e m & g t ; & l t ; k e y & g t ; & l t ; s t r i n g & g t ; e c m a d & l t ; / s t r i n g & g t ; & l t ; / k e y & g t ; & l t ; v a l u e & g t ; & l t ; i n t & g t ; 7 7 & l t ; / i n t & g t ; & l t ; / v a l u e & g t ; & l t ; / i t e m & g t ; & l t ; i t e m & g t ; & l t ; k e y & g t ; & l t ; s t r i n g & g t ; a v c h a r g e & l t ; / s t r i n g & g t ; & l t ; / k e y & g t ; & l t ; v a l u e & g t ; & l t ; i n t & g t ; 9 1 & l t ; / i n t & g t ; & l t ; / v a l u e & g t ; & l t ; / i t e m & g t ; & l t ; i t e m & g t ; & l t ; k e y & g t ; & l t ; s t r i n g & g t ; C M I & l t ; / s t r i n g & g t ; & l t ; / k e y & g t ; & l t ; v a l u e & g t ; & l t ; i n t & g t ; 6 0 & l t ; / i n t & g t ; & l t ; / v a l u e & g t ; & l t ; / i t e m & g t ; & l t ; i t e m & g t ; & l t ; k e y & g t ; & l t ; s t r i n g & g t ; P A U & l t ; / s t r i n g & g t ; & l t ; / k e y & g t ; & l t ; v a l u e & g t ; & l t ; i n t & g t ; 6 1 & l t ; / i n t & g t ; & l t ; / v a l u e & g t ; & l t ; / i t e m & g t ; & l t ; i t e m & g t ; & l t ; k e y & g t ; & l t ; s t r i n g & g t ; C a t e g o r i c a l & l t ; / s t r i n g & g t ; & l t ; / k e y & g t ; & l t ; v a l u e & g t ; & l t ; i n t & g t ; 1 0 5 & l t ; / i n t & g t ; & l t ; / v a l u e & g t ; & l t ; / i t e m & g t ; & l t ; i t e m & g t ; & l t ; k e y & g t ; & l t ; s t r i n g & g t ; O P _ O n c _ D r u g s & l t ; / s t r i n g & g t ; & l t ; / k e y & g t ; & l t ; v a l u e & g t ; & l t ; i n t & g t ; 1 2 7 & l t ; / i n t & g t ; & l t ; / v a l u e & g t ; & l t ; / i t e m & g t ; & l t ; i t e m & g t ; & l t ; k e y & g t ; & l t ; s t r i n g & g t ; Z i p c o d e 2 & l t ; / s t r i n g & g t ; & l t ; / k e y & g t ; & l t ; v a l u e & g t ; & l t ; i n t & g t ; 9 2 & l t ; / i n t & g t ; & l t ; / v a l u e & g t ; & l t ; / i t e m & g t ; & l t ; i t e m & g t ; & l t ; k e y & g t ; & l t ; s t r i n g & g t ; o r d e r & l t ; / s t r i n g & g t ; & l t ; / k e y & g t ; & l t ; v a l u e & g t ; & l t ; i n t & g t ; 7 0 & l t ; / i n t & g t ; & l t ; / v a l u e & g t ; & l t ; / i t e m & g t ; & l t ; i t e m & g t ; & l t ; k e y & g t ; & l t ; s t r i n g & g t ; d i f c o u n t & l t ; / s t r i n g & g t ; & l t ; / k e y & g t ; & l t ; v a l u e & g t ; & l t ; i n t & g t ; 8 8 & l t ; / i n t & g t ; & l t ; / v a l u e & g t ; & l t ; / i t e m & g t ; & l t ; i t e m & g t ; & l t ; k e y & g t ; & l t ; s t r i n g & g t ; d i f t o t _ c h g & l t ; / s t r i n g & g t ; & l t ; / k e y & g t ; & l t ; v a l u e & g t ; & l t ; i n t & g t ; 9 8 & l t ; / i n t & g t ; & l t ; / v a l u e & g t ; & l t ; / i t e m & g t ; & l t ; i t e m & g t ; & l t ; k e y & g t ; & l t ; s t r i n g & g t ; d i f e c m a d & l t ; / s t r i n g & g t ; & l t ; / k e y & g t ; & l t ; v a l u e & g t ; & l t ; i n t & g t ; 9 4 & l t ; / i n t & g t ; & l t ; / v a l u e & g t ; & l t ; / i t e m & g t ; & l t ; i t e m & g t ; & l t ; k e y & g t ; & l t ; s t r i n g & g t ; d i f t o t w e i g h t & l t ; / s t r i n g & g t ; & l t ; / k e y & g t ; & l t ; v a l u e & g t ; & l t ; i n t & g t ; 1 1 3 & l t ; / i n t & g t ; & l t ; / v a l u e & g t ; & l t ; / i t e m & g t ; & l t ; i t e m & g t ; & l t ; k e y & g t ; & l t ; s t r i n g & g t ; t o t w e i g h t & l t ; / s t r i n g & g t ; & l t ; / k e y & g t ; & l t ; v a l u e & g t ; & l t ; i n t & g t ; 9 7 & l t ; / i n t & g t ; & l t ; / v a l u e & g t ; & l t ; / i t e m & g t ; & l t ; i t e m & g t ; & l t ; k e y & g t ; & l t ; s t r i n g & g t ; d i f a v c h a r g e & l t ; / s t r i n g & g t ; & l t ; / k e y & g t ; & l t ; v a l u e & g t ; & l t ; i n t & g t ; 1 0 8 & l t ; / i n t & g t ; & l t ; / v a l u e & g t ; & l t ; / i t e m & g t ; & l t ; i t e m & g t ; & l t ; k e y & g t ; & l t ; s t r i n g & g t ; d i f C M I & l t ; / s t r i n g & g t ; & l t ; / k e y & g t ; & l t ; v a l u e & g t ; & l t ; i n t & g t ; 7 7 & l t ; / i n t & g t ; & l t ; / v a l u e & g t ; & l t ; / i t e m & g t ; & l t ; i t e m & g t ; & l t ; k e y & g t ; & l t ; s t r i n g & g t ; m o n t h y e a r & l t ; / s t r i n g & g t ; & l t ; / k e y & g t ; & l t ; v a l u e & g t ; & l t ; i n t & g t ; 1 0 4 & l t ; / i n t & g t ; & l t ; / v a l u e & g t ; & l t ; / i t e m & g t ; & l t ; i t e m & g t ; & l t ; k e y & g t ; & l t ; s t r i n g & g t ; C a s e   M i x   I n d e x & l t ; / s t r i n g & g t ; & l t ; / k e y & g t ; & l t ; v a l u e & g t ; & l t ; i n t & g t ; 1 5 6 & l t ; / i n t & g t ; & l t ; / v a l u e & g t ; & l t ; / i t e m & g t ; & l t ; i t e m & g t ; & l t ; k e y & g t ; & l t ; s t r i n g & g t ; S A S _ C O U N T Y & l t ; / s t r i n g & g t ; & l t ; / k e y & g t ; & l t ; v a l u e & g t ; & l t ; i n t & g t ; 1 1 7 & l t ; / i n t & g t ; & l t ; / v a l u e & g t ; & l t ; / i t e m & g t ; & l t ; i t e m & g t ; & l t ; k e y & g t ; & l t ; s t r i n g & g t ; s a s s t a t e & l t ; / s t r i n g & g t ; & l t ; / k e y & g t ; & l t ; v a l u e & g t ; & l t ; i n t & g t ; 8 6 & l t ; / i n t & g t ; & l t ; / v a l u e & g t ; & l t ; / i t e m & g t ; & l t ; i t e m & g t ; & l t ; k e y & g t ; & l t ; s t r i n g & g t ; O b v _ 2 4 _ F l a g & l t ; / s t r i n g & g t ; & l t ; / k e y & g t ; & l t ; v a l u e & g t ; & l t ; i n t & g t ; 1 1 4 & l t ; / i n t & g t ; & l t ; / v a l u e & g t ; & l t ; / i t e m & g t ; & l t ; i t e m & g t ; & l t ; k e y & g t ; & l t ; s t r i n g & g t ; z i p c i t y & l t ; / s t r i n g & g t ; & l t ; / k e y & g t ; & l t ; v a l u e & g t ; & l t ; i n t & g t ; 7 6 & l t ; / i n t & g t ; & l t ; / v a l u e & g t ; & l t ; / i t e m & g t ; & l t ; i t e m & g t ; & l t ; k e y & g t ; & l t ; s t r i n g & g t ; z i p n a m e & l t ; / s t r i n g & g t ; & l t ; / k e y & g t ; & l t ; v a l u e & g t ; & l t ; i n t & g t ; 8 9 & l t ; / i n t & g t ; & l t ; / v a l u e & g t ; & l t ; / i t e m & g t ; & l t ; i t e m & g t ; & l t ; k e y & g t ; & l t ; s t r i n g & g t ; D r g n a m e & l t ; / s t r i n g & g t ; & l t ; / k e y & g t ; & l t ; v a l u e & g t ; & l t ; i n t & g t ; 9 2 & l t ; / i n t & g t ; & l t ; / v a l u e & g t ; & l t ; / i t e m & g t ; & l t ; i t e m & g t ; & l t ; k e y & g t ; & l t ; s t r i n g & g t ; K A I S E R _ T Y P E & l t ; / s t r i n g & g t ; & l t ; / k e y & g t ; & l t ; v a l u e & g t ; & l t ; i n t & g t ; 1 1 5 & l t ; / i n t & g t ; & l t ; / v a l u e & g t ; & l t ; / i t e m & g t ; & l t ; i t e m & g t ; & l t ; k e y & g t ; & l t ; s t r i n g & g t ; K A I S E R _ P A T & l t ; / s t r i n g & g t ; & l t ; / k e y & g t ; & l t ; v a l u e & g t ; & l t ; i n t & g t ; 1 0 8 & l t ; / i n t & g t ; & l t ; / v a l u e & g t ; & l t ; / i t e m & g t ; & l t ; / C o l u m n W i d t h s & g t ; & l t ; C o l u m n D i s p l a y I n d e x & g t ; & l t ; i t e m & g t ; & l t ; k e y & g t ; & l t ; s t r i n g & g t ; p a y e r 2 & l t ; / s t r i n g & g t ; & l t ; / k e y & g t ; & l t ; v a l u e & g t ; & l t ; i n t & g t ; 0 & l t ; / i n t & g t ; & l t ; / v a l u e & g t ; & l t ; / i t e m & g t ; & l t ; i t e m & g t ; & l t ; k e y & g t ; & l t ; s t r i n g & g t ; R E S I D E N T _ S T A T U S & l t ; / s t r i n g & g t ; & l t ; / k e y & g t ; & l t ; v a l u e & g t ; & l t ; i n t & g t ; 1 & l t ; / i n t & g t ; & l t ; / v a l u e & g t ; & l t ; / i t e m & g t ; & l t ; i t e m & g t ; & l t ; k e y & g t ; & l t ; s t r i n g & g t ; H O S P I D & l t ; / s t r i n g & g t ; & l t ; / k e y & g t ; & l t ; v a l u e & g t ; & l t ; i n t & g t ; 2 & l t ; / i n t & g t ; & l t ; / v a l u e & g t ; & l t ; / i t e m & g t ; & l t ; i t e m & g t ; & l t ; k e y & g t ; & l t ; s t r i n g & g t ; h o s p n a m e & l t ; / s t r i n g & g t ; & l t ; / k e y & g t ; & l t ; v a l u e & g t ; & l t ; i n t & g t ; 3 & l t ; / i n t & g t ; & l t ; / v a l u e & g t ; & l t ; / i t e m & g t ; & l t ; i t e m & g t ; & l t ; k e y & g t ; & l t ; s t r i n g & g t ; P R O D _ C A T & l t ; / s t r i n g & g t ; & l t ; / k e y & g t ; & l t ; v a l u e & g t ; & l t ; i n t & g t ; 4 & l t ; / i n t & g t ; & l t ; / v a l u e & g t ; & l t ; / i t e m & g t ; & l t ; i t e m & g t ; & l t ; k e y & g t ; & l t ; s t r i n g & g t ; M O N T H & l t ; / s t r i n g & g t ; & l t ; / k e y & g t ; & l t ; v a l u e & g t ; & l t ; i n t & g t ; 5 & l t ; / i n t & g t ; & l t ; / v a l u e & g t ; & l t ; / i t e m & g t ; & l t ; i t e m & g t ; & l t ; k e y & g t ; & l t ; s t r i n g & g t ; t y p e & l t ; / s t r i n g & g t ; & l t ; / k e y & g t ; & l t ; v a l u e & g t ; & l t ; i n t & g t ; 6 & l t ; / i n t & g t ; & l t ; / v a l u e & g t ; & l t ; / i t e m & g t ; & l t ; i t e m & g t ; & l t ; k e y & g t ; & l t ; s t r i n g & g t ; F Y E A R & l t ; / s t r i n g & g t ; & l t ; / k e y & g t ; & l t ; v a l u e & g t ; & l t ; i n t & g t ; 7 & l t ; / i n t & g t ; & l t ; / v a l u e & g t ; & l t ; / i t e m & g t ; & l t ; i t e m & g t ; & l t ; k e y & g t ; & l t ; s t r i n g & g t ; Y E A R & l t ; / s t r i n g & g t ; & l t ; / k e y & g t ; & l t ; v a l u e & g t ; & l t ; i n t & g t ; 8 & l t ; / i n t & g t ; & l t ; / v a l u e & g t ; & l t ; / i t e m & g t ; & l t ; i t e m & g t ; & l t ; k e y & g t ; & l t ; s t r i n g & g t ; Q T R & l t ; / s t r i n g & g t ; & l t ; / k e y & g t ; & l t ; v a l u e & g t ; & l t ; i n t & g t ; 9 & l t ; / i n t & g t ; & l t ; / v a l u e & g t ; & l t ; / i t e m & g t ; & l t ; i t e m & g t ; & l t ; k e y & g t ; & l t ; s t r i n g & g t ; a p r _ e a p g & l t ; / s t r i n g & g t ; & l t ; / k e y & g t ; & l t ; v a l u e & g t ; & l t ; i n t & g t ; 1 0 & l t ; / i n t & g t ; & l t ; / v a l u e & g t ; & l t ; / i t e m & g t ; & l t ; i t e m & g t ; & l t ; k e y & g t ; & l t ; s t r i n g & g t ; d e s c & l t ; / s t r i n g & g t ; & l t ; / k e y & g t ; & l t ; v a l u e & g t ; & l t ; i n t & g t ; 1 1 & l t ; / i n t & g t ; & l t ; / v a l u e & g t ; & l t ; / i t e m & g t ; & l t ; i t e m & g t ; & l t ; k e y & g t ; & l t ; s t r i n g & g t ; E X C L U S I O N & l t ; / s t r i n g & g t ; & l t ; / k e y & g t ; & l t ; v a l u e & g t ; & l t ; i n t & g t ; 1 2 & l t ; / i n t & g t ; & l t ; / v a l u e & g t ; & l t ; / i t e m & g t ; & l t ; i t e m & g t ; & l t ; k e y & g t ; & l t ; s t r i n g & g t ; c o u n t & l t ; / s t r i n g & g t ; & l t ; / k e y & g t ; & l t ; v a l u e & g t ; & l t ; i n t & g t ; 1 3 & l t ; / i n t & g t ; & l t ; / v a l u e & g t ; & l t ; / i t e m & g t ; & l t ; i t e m & g t ; & l t ; k e y & g t ; & l t ; s t r i n g & g t ; t o t _ c h g & l t ; / s t r i n g & g t ; & l t ; / k e y & g t ; & l t ; v a l u e & g t ; & l t ; i n t & g t ; 1 4 & l t ; / i n t & g t ; & l t ; / v a l u e & g t ; & l t ; / i t e m & g t ; & l t ; i t e m & g t ; & l t ; k e y & g t ; & l t ; s t r i n g & g t ; e c m a d & l t ; / s t r i n g & g t ; & l t ; / k e y & g t ; & l t ; v a l u e & g t ; & l t ; i n t & g t ; 1 5 & l t ; / i n t & g t ; & l t ; / v a l u e & g t ; & l t ; / i t e m & g t ; & l t ; i t e m & g t ; & l t ; k e y & g t ; & l t ; s t r i n g & g t ; a v c h a r g e & l t ; / s t r i n g & g t ; & l t ; / k e y & g t ; & l t ; v a l u e & g t ; & l t ; i n t & g t ; 1 6 & l t ; / i n t & g t ; & l t ; / v a l u e & g t ; & l t ; / i t e m & g t ; & l t ; i t e m & g t ; & l t ; k e y & g t ; & l t ; s t r i n g & g t ; C M I & l t ; / s t r i n g & g t ; & l t ; / k e y & g t ; & l t ; v a l u e & g t ; & l t ; i n t & g t ; 1 7 & l t ; / i n t & g t ; & l t ; / v a l u e & g t ; & l t ; / i t e m & g t ; & l t ; i t e m & g t ; & l t ; k e y & g t ; & l t ; s t r i n g & g t ; P A U & l t ; / s t r i n g & g t ; & l t ; / k e y & g t ; & l t ; v a l u e & g t ; & l t ; i n t & g t ; 1 8 & l t ; / i n t & g t ; & l t ; / v a l u e & g t ; & l t ; / i t e m & g t ; & l t ; i t e m & g t ; & l t ; k e y & g t ; & l t ; s t r i n g & g t ; C a t e g o r i c a l & l t ; / s t r i n g & g t ; & l t ; / k e y & g t ; & l t ; v a l u e & g t ; & l t ; i n t & g t ; 1 9 & l t ; / i n t & g t ; & l t ; / v a l u e & g t ; & l t ; / i t e m & g t ; & l t ; i t e m & g t ; & l t ; k e y & g t ; & l t ; s t r i n g & g t ; O P _ O n c _ D r u g s & l t ; / s t r i n g & g t ; & l t ; / k e y & g t ; & l t ; v a l u e & g t ; & l t ; i n t & g t ; 2 0 & l t ; / i n t & g t ; & l t ; / v a l u e & g t ; & l t ; / i t e m & g t ; & l t ; i t e m & g t ; & l t ; k e y & g t ; & l t ; s t r i n g & g t ; Z i p c o d e 2 & l t ; / s t r i n g & g t ; & l t ; / k e y & g t ; & l t ; v a l u e & g t ; & l t ; i n t & g t ; 3 2 & l t ; / i n t & g t ; & l t ; / v a l u e & g t ; & l t ; / i t e m & g t ; & l t ; i t e m & g t ; & l t ; k e y & g t ; & l t ; s t r i n g & g t ; o r d e r & l t ; / s t r i n g & g t ; & l t ; / k e y & g t ; & l t ; v a l u e & g t ; & l t ; i n t & g t ; 2 1 & l t ; / i n t & g t ; & l t ; / v a l u e & g t ; & l t ; / i t e m & g t ; & l t ; i t e m & g t ; & l t ; k e y & g t ; & l t ; s t r i n g & g t ; d i f c o u n t & l t ; / s t r i n g & g t ; & l t ; / k e y & g t ; & l t ; v a l u e & g t ; & l t ; i n t & g t ; 2 2 & l t ; / i n t & g t ; & l t ; / v a l u e & g t ; & l t ; / i t e m & g t ; & l t ; i t e m & g t ; & l t ; k e y & g t ; & l t ; s t r i n g & g t ; d i f t o t _ c h g & l t ; / s t r i n g & g t ; & l t ; / k e y & g t ; & l t ; v a l u e & g t ; & l t ; i n t & g t ; 2 3 & l t ; / i n t & g t ; & l t ; / v a l u e & g t ; & l t ; / i t e m & g t ; & l t ; i t e m & g t ; & l t ; k e y & g t ; & l t ; s t r i n g & g t ; d i f e c m a d & l t ; / s t r i n g & g t ; & l t ; / k e y & g t ; & l t ; v a l u e & g t ; & l t ; i n t & g t ; 2 4 & l t ; / i n t & g t ; & l t ; / v a l u e & g t ; & l t ; / i t e m & g t ; & l t ; i t e m & g t ; & l t ; k e y & g t ; & l t ; s t r i n g & g t ; d i f t o t w e i g h t & l t ; / s t r i n g & g t ; & l t ; / k e y & g t ; & l t ; v a l u e & g t ; & l t ; i n t & g t ; 2 5 & l t ; / i n t & g t ; & l t ; / v a l u e & g t ; & l t ; / i t e m & g t ; & l t ; i t e m & g t ; & l t ; k e y & g t ; & l t ; s t r i n g & g t ; t o t w e i g h t & l t ; / s t r i n g & g t ; & l t ; / k e y & g t ; & l t ; v a l u e & g t ; & l t ; i n t & g t ; 2 6 & l t ; / i n t & g t ; & l t ; / v a l u e & g t ; & l t ; / i t e m & g t ; & l t ; i t e m & g t ; & l t ; k e y & g t ; & l t ; s t r i n g & g t ; d i f a v c h a r g e & l t ; / s t r i n g & g t ; & l t ; / k e y & g t ; & l t ; v a l u e & g t ; & l t ; i n t & g t ; 2 7 & l t ; / i n t & g t ; & l t ; / v a l u e & g t ; & l t ; / i t e m & g t ; & l t ; i t e m & g t ; & l t ; k e y & g t ; & l t ; s t r i n g & g t ; d i f C M I & l t ; / s t r i n g & g t ; & l t ; / k e y & g t ; & l t ; v a l u e & g t ; & l t ; i n t & g t ; 2 8 & l t ; / i n t & g t ; & l t ; / v a l u e & g t ; & l t ; / i t e m & g t ; & l t ; i t e m & g t ; & l t ; k e y & g t ; & l t ; s t r i n g & g t ; m o n t h y e a r & l t ; / s t r i n g & g t ; & l t ; / k e y & g t ; & l t ; v a l u e & g t ; & l t ; i n t & g t ; 2 9 & l t ; / i n t & g t ; & l t ; / v a l u e & g t ; & l t ; / i t e m & g t ; & l t ; i t e m & g t ; & l t ; k e y & g t ; & l t ; s t r i n g & g t ; C a s e   M i x   I n d e x & l t ; / s t r i n g & g t ; & l t ; / k e y & g t ; & l t ; v a l u e & g t ; & l t ; i n t & g t ; 3 0 & l t ; / i n t & g t ; & l t ; / v a l u e & g t ; & l t ; / i t e m & g t ; & l t ; i t e m & g t ; & l t ; k e y & g t ; & l t ; s t r i n g & g t ; S A S _ C O U N T Y & l t ; / s t r i n g & g t ; & l t ; / k e y & g t ; & l t ; v a l u e & g t ; & l t ; i n t & g t ; 3 1 & l t ; / i n t & g t ; & l t ; / v a l u e & g t ; & l t ; / i t e m & g t ; & l t ; i t e m & g t ; & l t ; k e y & g t ; & l t ; s t r i n g & g t ; s a s s t a t e & l t ; / s t r i n g & g t ; & l t ; / k e y & g t ; & l t ; v a l u e & g t ; & l t ; i n t & g t ; 3 3 & l t ; / i n t & g t ; & l t ; / v a l u e & g t ; & l t ; / i t e m & g t ; & l t ; i t e m & g t ; & l t ; k e y & g t ; & l t ; s t r i n g & g t ; O b v _ 2 4 _ F l a g & l t ; / s t r i n g & g t ; & l t ; / k e y & g t ; & l t ; v a l u e & g t ; & l t ; i n t & g t ; 3 4 & l t ; / i n t & g t ; & l t ; / v a l u e & g t ; & l t ; / i t e m & g t ; & l t ; i t e m & g t ; & l t ; k e y & g t ; & l t ; s t r i n g & g t ; z i p c i t y & l t ; / s t r i n g & g t ; & l t ; / k e y & g t ; & l t ; v a l u e & g t ; & l t ; i n t & g t ; 3 5 & l t ; / i n t & g t ; & l t ; / v a l u e & g t ; & l t ; / i t e m & g t ; & l t ; i t e m & g t ; & l t ; k e y & g t ; & l t ; s t r i n g & g t ; z i p n a m e & l t ; / s t r i n g & g t ; & l t ; / k e y & g t ; & l t ; v a l u e & g t ; & l t ; i n t & g t ; 3 6 & l t ; / i n t & g t ; & l t ; / v a l u e & g t ; & l t ; / i t e m & g t ; & l t ; i t e m & g t ; & l t ; k e y & g t ; & l t ; s t r i n g & g t ; D r g n a m e & l t ; / s t r i n g & g t ; & l t ; / k e y & g t ; & l t ; v a l u e & g t ; & l t ; i n t & g t ; 3 7 & l t ; / i n t & g t ; & l t ; / v a l u e & g t ; & l t ; / i t e m & g t ; & l t ; i t e m & g t ; & l t ; k e y & g t ; & l t ; s t r i n g & g t ; K A I S E R _ T Y P E & l t ; / s t r i n g & g t ; & l t ; / k e y & g t ; & l t ; v a l u e & g t ; & l t ; i n t & g t ; 3 8 & l t ; / i n t & g t ; & l t ; / v a l u e & g t ; & l t ; / i t e m & g t ; & l t ; i t e m & g t ; & l t ; k e y & g t ; & l t ; s t r i n g & g t ; K A I S E R _ P A T & l t ; / s t r i n g & g t ; & l t ; / k e y & g t ; & l t ; v a l u e & g t ; & l t ; i n t & g t ; 3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2 5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 p r o d t r e n d s _ 4 6 e c 8 8 9 3 - d c f a - 4 c 9 6 - a f 3 c - b 9 d 0 5 b 8 a e 6 0 2 < / C u s t o m C o n t e n t > < / G e m i n i > 
</file>

<file path=customXml/item2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r o d t r e n d s _ 4 6 e c 8 8 9 3 - d c f a - 4 c 9 6 - a f 3 c - b 9 d 0 5 b 8 a e 6 0 2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5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5 8 b 0 4 2 e b - 2 c 2 f - 4 4 0 3 - a d 9 6 - d f a b a f f f c 2 9 2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 C Y   H o s p i t a l < / S l i c e r S h e e t N a m e > < S A H o s t H a s h > 2 0 2 8 4 4 5 3 5 2 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4 9 b b c 8 8 - 1 b d 3 - 4 e a d - b c 1 f - d f 4 5 f d 2 4 c 8 6 7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 C Y   S e r v i c e l i n e < / S l i c e r S h e e t N a m e > < S A H o s t H a s h > 4 4 7 6 3 2 8 5 6 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8 7 5 7 5 6 8 7 - 2 b 2 5 - 4 4 1 7 - a c 4 e - e d 3 3 4 3 6 e 1 e 2 c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 M D   r e s i d e n t _ i n t l < / S l i c e r S h e e t N a m e > < S A H o s t H a s h > 7 0 7 8 3 1 2 9 6 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2 7 4 6 b c 6 d - 6 3 b 3 - 4 d e b - 8 f 5 e - 6 e 2 d 8 b 4 a b 8 4 c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 5 2 3 9 3 7 0 2 1 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b a a f a 0 3 b - d 6 4 5 - 4 d a f - b 8 6 8 - 4 e 5 0 7 2 b b e a e 4 " > < C u s t o m C o n t e n t > < ! [ C D A T A [ < ? x m l   v e r s i o n = " 1 . 0 "   e n c o d i n g = " u t f - 1 6 " ? > < S e t t i n g s > < C a l c u l a t e d F i e l d s > < i t e m > < M e a s u r e N a m e > C h a r g e   P e r   E c m a d < / M e a s u r e N a m e > < D i s p l a y N a m e > C h a r g e   P e r   E c m a d 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 F Y   S e r v i c e l i n e   ( 2 ) < / S l i c e r S h e e t N a m e > < S A H o s t H a s h > 2 0 4 2 3 6 3 4 5 8 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1DD67907-A037-4009-920E-15851D2947AB}">
  <ds:schemaRefs/>
</ds:datastoreItem>
</file>

<file path=customXml/itemProps10.xml><?xml version="1.0" encoding="utf-8"?>
<ds:datastoreItem xmlns:ds="http://schemas.openxmlformats.org/officeDocument/2006/customXml" ds:itemID="{49043E3B-FA41-4B27-A8BE-0BC8D55B6094}">
  <ds:schemaRefs/>
</ds:datastoreItem>
</file>

<file path=customXml/itemProps11.xml><?xml version="1.0" encoding="utf-8"?>
<ds:datastoreItem xmlns:ds="http://schemas.openxmlformats.org/officeDocument/2006/customXml" ds:itemID="{364D5041-CDF7-4B09-AFDB-787E0D1ED4D0}">
  <ds:schemaRefs/>
</ds:datastoreItem>
</file>

<file path=customXml/itemProps12.xml><?xml version="1.0" encoding="utf-8"?>
<ds:datastoreItem xmlns:ds="http://schemas.openxmlformats.org/officeDocument/2006/customXml" ds:itemID="{7D9CF742-3C78-4518-BFD4-1316A6E68984}">
  <ds:schemaRefs/>
</ds:datastoreItem>
</file>

<file path=customXml/itemProps13.xml><?xml version="1.0" encoding="utf-8"?>
<ds:datastoreItem xmlns:ds="http://schemas.openxmlformats.org/officeDocument/2006/customXml" ds:itemID="{6345724F-BE24-4F31-B4FE-0CB90E6D71B7}">
  <ds:schemaRefs/>
</ds:datastoreItem>
</file>

<file path=customXml/itemProps14.xml><?xml version="1.0" encoding="utf-8"?>
<ds:datastoreItem xmlns:ds="http://schemas.openxmlformats.org/officeDocument/2006/customXml" ds:itemID="{BA97DD9A-8A03-4821-B209-608127C8D400}">
  <ds:schemaRefs/>
</ds:datastoreItem>
</file>

<file path=customXml/itemProps15.xml><?xml version="1.0" encoding="utf-8"?>
<ds:datastoreItem xmlns:ds="http://schemas.openxmlformats.org/officeDocument/2006/customXml" ds:itemID="{78C7CCA4-C123-45EE-BF4B-3BA62EDE852B}">
  <ds:schemaRefs/>
</ds:datastoreItem>
</file>

<file path=customXml/itemProps16.xml><?xml version="1.0" encoding="utf-8"?>
<ds:datastoreItem xmlns:ds="http://schemas.openxmlformats.org/officeDocument/2006/customXml" ds:itemID="{734525A6-6280-4C03-A38F-E3DEDD1D5996}">
  <ds:schemaRefs/>
</ds:datastoreItem>
</file>

<file path=customXml/itemProps17.xml><?xml version="1.0" encoding="utf-8"?>
<ds:datastoreItem xmlns:ds="http://schemas.openxmlformats.org/officeDocument/2006/customXml" ds:itemID="{4E0072AC-5371-4AA6-9D01-6099DF28F936}">
  <ds:schemaRefs/>
</ds:datastoreItem>
</file>

<file path=customXml/itemProps18.xml><?xml version="1.0" encoding="utf-8"?>
<ds:datastoreItem xmlns:ds="http://schemas.openxmlformats.org/officeDocument/2006/customXml" ds:itemID="{968FDBB4-88D0-44ED-A108-E80B3D11581F}">
  <ds:schemaRefs/>
</ds:datastoreItem>
</file>

<file path=customXml/itemProps19.xml><?xml version="1.0" encoding="utf-8"?>
<ds:datastoreItem xmlns:ds="http://schemas.openxmlformats.org/officeDocument/2006/customXml" ds:itemID="{FC9F0ABC-EC97-4E0E-B3E2-ECCA2ED3646A}">
  <ds:schemaRefs/>
</ds:datastoreItem>
</file>

<file path=customXml/itemProps2.xml><?xml version="1.0" encoding="utf-8"?>
<ds:datastoreItem xmlns:ds="http://schemas.openxmlformats.org/officeDocument/2006/customXml" ds:itemID="{24482D0D-4F95-4331-986E-ADD6B2EB667D}">
  <ds:schemaRefs/>
</ds:datastoreItem>
</file>

<file path=customXml/itemProps20.xml><?xml version="1.0" encoding="utf-8"?>
<ds:datastoreItem xmlns:ds="http://schemas.openxmlformats.org/officeDocument/2006/customXml" ds:itemID="{03B76AC3-4E27-4697-AAB2-63F46F6E88C1}">
  <ds:schemaRefs/>
</ds:datastoreItem>
</file>

<file path=customXml/itemProps21.xml><?xml version="1.0" encoding="utf-8"?>
<ds:datastoreItem xmlns:ds="http://schemas.openxmlformats.org/officeDocument/2006/customXml" ds:itemID="{020682D2-42B4-45E8-A0FE-71EEB4E9A8ED}">
  <ds:schemaRefs/>
</ds:datastoreItem>
</file>

<file path=customXml/itemProps22.xml><?xml version="1.0" encoding="utf-8"?>
<ds:datastoreItem xmlns:ds="http://schemas.openxmlformats.org/officeDocument/2006/customXml" ds:itemID="{154875D4-20B9-4F75-BDF4-B00719C02696}">
  <ds:schemaRefs/>
</ds:datastoreItem>
</file>

<file path=customXml/itemProps23.xml><?xml version="1.0" encoding="utf-8"?>
<ds:datastoreItem xmlns:ds="http://schemas.openxmlformats.org/officeDocument/2006/customXml" ds:itemID="{01136BE1-6009-490E-9556-476F10942BA2}">
  <ds:schemaRefs/>
</ds:datastoreItem>
</file>

<file path=customXml/itemProps24.xml><?xml version="1.0" encoding="utf-8"?>
<ds:datastoreItem xmlns:ds="http://schemas.openxmlformats.org/officeDocument/2006/customXml" ds:itemID="{99500EE4-B560-465A-B2C2-16109E243FC5}">
  <ds:schemaRefs/>
</ds:datastoreItem>
</file>

<file path=customXml/itemProps25.xml><?xml version="1.0" encoding="utf-8"?>
<ds:datastoreItem xmlns:ds="http://schemas.openxmlformats.org/officeDocument/2006/customXml" ds:itemID="{AA713BEB-7BC5-4232-8C4C-F1839B3EDFAC}">
  <ds:schemaRefs/>
</ds:datastoreItem>
</file>

<file path=customXml/itemProps26.xml><?xml version="1.0" encoding="utf-8"?>
<ds:datastoreItem xmlns:ds="http://schemas.openxmlformats.org/officeDocument/2006/customXml" ds:itemID="{4EFCD3EC-E4C1-4460-8C52-2BE8756C3955}">
  <ds:schemaRefs/>
</ds:datastoreItem>
</file>

<file path=customXml/itemProps27.xml><?xml version="1.0" encoding="utf-8"?>
<ds:datastoreItem xmlns:ds="http://schemas.openxmlformats.org/officeDocument/2006/customXml" ds:itemID="{817E0907-0468-46AC-A7BC-437DFEDB38C0}"/>
</file>

<file path=customXml/itemProps28.xml><?xml version="1.0" encoding="utf-8"?>
<ds:datastoreItem xmlns:ds="http://schemas.openxmlformats.org/officeDocument/2006/customXml" ds:itemID="{624C093C-8A3E-4683-9069-2D682C96FBAE}"/>
</file>

<file path=customXml/itemProps29.xml><?xml version="1.0" encoding="utf-8"?>
<ds:datastoreItem xmlns:ds="http://schemas.openxmlformats.org/officeDocument/2006/customXml" ds:itemID="{652EA4DA-BDC7-47A4-88A3-27BA09DBB862}"/>
</file>

<file path=customXml/itemProps3.xml><?xml version="1.0" encoding="utf-8"?>
<ds:datastoreItem xmlns:ds="http://schemas.openxmlformats.org/officeDocument/2006/customXml" ds:itemID="{236C8E0F-41C4-43D3-B0EF-E02996649CDC}">
  <ds:schemaRefs/>
</ds:datastoreItem>
</file>

<file path=customXml/itemProps4.xml><?xml version="1.0" encoding="utf-8"?>
<ds:datastoreItem xmlns:ds="http://schemas.openxmlformats.org/officeDocument/2006/customXml" ds:itemID="{C0AB3E15-51B9-4593-828D-6CB119D7288F}">
  <ds:schemaRefs/>
</ds:datastoreItem>
</file>

<file path=customXml/itemProps5.xml><?xml version="1.0" encoding="utf-8"?>
<ds:datastoreItem xmlns:ds="http://schemas.openxmlformats.org/officeDocument/2006/customXml" ds:itemID="{72C96E17-6618-4AB0-B624-5F664A183396}">
  <ds:schemaRefs/>
</ds:datastoreItem>
</file>

<file path=customXml/itemProps6.xml><?xml version="1.0" encoding="utf-8"?>
<ds:datastoreItem xmlns:ds="http://schemas.openxmlformats.org/officeDocument/2006/customXml" ds:itemID="{D948B028-EDA2-4311-BF79-C693F18A56E5}">
  <ds:schemaRefs/>
</ds:datastoreItem>
</file>

<file path=customXml/itemProps7.xml><?xml version="1.0" encoding="utf-8"?>
<ds:datastoreItem xmlns:ds="http://schemas.openxmlformats.org/officeDocument/2006/customXml" ds:itemID="{E1E15529-C69A-464F-A9CF-3D888711B6A5}">
  <ds:schemaRefs/>
</ds:datastoreItem>
</file>

<file path=customXml/itemProps8.xml><?xml version="1.0" encoding="utf-8"?>
<ds:datastoreItem xmlns:ds="http://schemas.openxmlformats.org/officeDocument/2006/customXml" ds:itemID="{32F6022C-3B7D-4D3F-A5EE-780A9CE8181F}">
  <ds:schemaRefs/>
</ds:datastoreItem>
</file>

<file path=customXml/itemProps9.xml><?xml version="1.0" encoding="utf-8"?>
<ds:datastoreItem xmlns:ds="http://schemas.openxmlformats.org/officeDocument/2006/customXml" ds:itemID="{4050E239-ED81-402B-B69B-D09A294FF89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Table of Contents</vt:lpstr>
      <vt:lpstr>Hospital Summary</vt:lpstr>
      <vt:lpstr>Rate Application - REM Cycle I</vt:lpstr>
      <vt:lpstr>Rate Application - REM Cycle II</vt:lpstr>
      <vt:lpstr>Rate Application - ICC Cycle I</vt:lpstr>
      <vt:lpstr>Rate Application - ICC Cycle II</vt:lpstr>
      <vt:lpstr>Rate Application - ICC Correlat</vt:lpstr>
      <vt:lpstr>Rate Application - ICC Summary</vt:lpstr>
      <vt:lpstr>FRA CPC Bell Curve</vt:lpstr>
      <vt:lpstr>FRA Bell Curve</vt:lpstr>
      <vt:lpstr>Integrated Effic - REM Cycle II</vt:lpstr>
      <vt:lpstr>Integrated Effic - REM Summary</vt:lpstr>
      <vt:lpstr>Integrated Effic - ICC Cycle I</vt:lpstr>
      <vt:lpstr>Integrated Effic - ICC Cycle II</vt:lpstr>
      <vt:lpstr>Integrated Effic Bell Curve</vt:lpstr>
      <vt:lpstr>Integrated Effic - ICC Summary</vt:lpstr>
      <vt:lpstr>Capital Methodol - REM Cycle II</vt:lpstr>
      <vt:lpstr>Capital Methodol - REM Summary</vt:lpstr>
      <vt:lpstr>Capital Methodol - ICC Cycle 2</vt:lpstr>
      <vt:lpstr>Capital Methodol - ICC Summary</vt:lpstr>
      <vt:lpstr>Drug Overhead</vt:lpstr>
      <vt:lpstr>LMA</vt:lpstr>
      <vt:lpstr>IME</vt:lpstr>
      <vt:lpstr>RESCMAD</vt:lpstr>
      <vt:lpstr>DSH (Cumulative)</vt:lpstr>
      <vt:lpstr>Rate Application - DSH</vt:lpstr>
      <vt:lpstr>Rate Appl - DSH 18,19,22</vt:lpstr>
      <vt:lpstr>DME22</vt:lpstr>
      <vt:lpstr>Prorated Residents</vt:lpstr>
      <vt:lpstr>PROFIT</vt:lpstr>
      <vt:lpstr>PROFIT (18,19,22)</vt:lpstr>
      <vt:lpstr>PAU Volume</vt:lpstr>
      <vt:lpstr>Variable Input</vt:lpstr>
      <vt:lpstr>Volume</vt:lpstr>
      <vt:lpstr>GBR Revenue for ICC</vt:lpstr>
      <vt:lpstr>GBR Case Mix Reconciliation</vt:lpstr>
      <vt:lpstr>Oncology Drugs &amp; COVID Lab</vt:lpstr>
      <vt:lpstr>Chronic</vt:lpstr>
      <vt:lpstr>Categorical Exclusions &amp; Innova</vt:lpstr>
      <vt:lpstr>vlookup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Johnson</dc:creator>
  <cp:lastModifiedBy>Lynne Diven</cp:lastModifiedBy>
  <dcterms:created xsi:type="dcterms:W3CDTF">2019-04-30T19:45:42Z</dcterms:created>
  <dcterms:modified xsi:type="dcterms:W3CDTF">2023-11-08T16:46:54Z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