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ldiven_hscrc_maryland_gov/Documents/TCOC Workgroup/April Meeting/"/>
    </mc:Choice>
  </mc:AlternateContent>
  <xr:revisionPtr revIDLastSave="0" documentId="8_{C49EADC7-8AE5-48E8-A251-78CB4C10DC50}" xr6:coauthVersionLast="47" xr6:coauthVersionMax="47" xr10:uidLastSave="{00000000-0000-0000-0000-000000000000}"/>
  <bookViews>
    <workbookView xWindow="-96" yWindow="-96" windowWidth="23232" windowHeight="13872" xr2:uid="{8EBCAFE4-C597-476F-B54B-D48C65C39267}"/>
  </bookViews>
  <sheets>
    <sheet name="Sheet1" sheetId="1" r:id="rId1"/>
    <sheet name="$ Trend Bl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H8" i="2" s="1"/>
  <c r="H9" i="2" s="1"/>
  <c r="F8" i="2"/>
  <c r="G8" i="2"/>
  <c r="G9" i="2" s="1"/>
  <c r="F9" i="2"/>
  <c r="AH11" i="1"/>
  <c r="L45" i="1" s="1"/>
  <c r="L54" i="1"/>
  <c r="AK17" i="1"/>
  <c r="AK18" i="1"/>
  <c r="AK19" i="1"/>
  <c r="AK10" i="1"/>
  <c r="AJ17" i="1"/>
  <c r="AJ18" i="1"/>
  <c r="AJ19" i="1"/>
  <c r="AJ10" i="1"/>
  <c r="L44" i="1"/>
  <c r="L55" i="1" s="1"/>
  <c r="L37" i="1"/>
  <c r="L36" i="1"/>
  <c r="M37" i="1"/>
  <c r="M36" i="1"/>
  <c r="L17" i="1"/>
  <c r="L22" i="1"/>
  <c r="M13" i="1"/>
  <c r="M12" i="1"/>
  <c r="L13" i="1"/>
  <c r="L12" i="1"/>
  <c r="L23" i="1" s="1"/>
  <c r="L8" i="1"/>
  <c r="AD9" i="1"/>
  <c r="AA10" i="1"/>
  <c r="AA11" i="1" s="1"/>
  <c r="AA12" i="1" s="1"/>
  <c r="AA13" i="1" s="1"/>
  <c r="AA14" i="1" s="1"/>
  <c r="AA15" i="1" s="1"/>
  <c r="AA16" i="1" s="1"/>
  <c r="AA17" i="1" s="1"/>
  <c r="AA18" i="1" s="1"/>
  <c r="AA19" i="1" s="1"/>
  <c r="AB10" i="1"/>
  <c r="AB11" i="1" s="1"/>
  <c r="AB12" i="1" s="1"/>
  <c r="AB13" i="1" s="1"/>
  <c r="AB14" i="1" s="1"/>
  <c r="AB15" i="1" s="1"/>
  <c r="AB16" i="1" s="1"/>
  <c r="AB17" i="1" s="1"/>
  <c r="AB18" i="1" s="1"/>
  <c r="AB19" i="1" s="1"/>
  <c r="X10" i="1"/>
  <c r="X11" i="1" s="1"/>
  <c r="X12" i="1" s="1"/>
  <c r="X13" i="1" s="1"/>
  <c r="X14" i="1" s="1"/>
  <c r="X15" i="1" s="1"/>
  <c r="X16" i="1" s="1"/>
  <c r="X17" i="1" s="1"/>
  <c r="X18" i="1" s="1"/>
  <c r="X19" i="1" s="1"/>
  <c r="AI11" i="1"/>
  <c r="AI12" i="1" s="1"/>
  <c r="AI13" i="1" s="1"/>
  <c r="AI14" i="1" s="1"/>
  <c r="AI15" i="1" s="1"/>
  <c r="AI16" i="1" s="1"/>
  <c r="AJ16" i="1" s="1"/>
  <c r="V11" i="1"/>
  <c r="V12" i="1" s="1"/>
  <c r="V13" i="1" s="1"/>
  <c r="V14" i="1" s="1"/>
  <c r="V15" i="1" s="1"/>
  <c r="V16" i="1" s="1"/>
  <c r="V17" i="1" s="1"/>
  <c r="V18" i="1" s="1"/>
  <c r="V19" i="1" s="1"/>
  <c r="AK12" i="1" l="1"/>
  <c r="AH12" i="1"/>
  <c r="AH13" i="1" s="1"/>
  <c r="AH14" i="1" s="1"/>
  <c r="AK11" i="1"/>
  <c r="AK14" i="1"/>
  <c r="AK13" i="1"/>
  <c r="L56" i="1"/>
  <c r="L58" i="1" s="1"/>
  <c r="L59" i="1" s="1"/>
  <c r="L60" i="1" s="1"/>
  <c r="AK16" i="1"/>
  <c r="AK15" i="1"/>
  <c r="AD10" i="1"/>
  <c r="AL10" i="1"/>
  <c r="AJ15" i="1"/>
  <c r="AJ13" i="1"/>
  <c r="AJ12" i="1"/>
  <c r="AJ14" i="1"/>
  <c r="AJ11" i="1"/>
  <c r="M45" i="1"/>
  <c r="L49" i="1"/>
  <c r="L38" i="1"/>
  <c r="L40" i="1" s="1"/>
  <c r="L14" i="1"/>
  <c r="L24" i="1"/>
  <c r="L26" i="1" s="1"/>
  <c r="L27" i="1" s="1"/>
  <c r="L28" i="1" s="1"/>
  <c r="L19" i="1" l="1"/>
  <c r="L31" i="1"/>
  <c r="AD11" i="1"/>
  <c r="AE11" i="1" s="1"/>
  <c r="AL11" i="1"/>
  <c r="L46" i="1"/>
  <c r="L51" i="1" s="1"/>
  <c r="AE10" i="1"/>
  <c r="L63" i="1" l="1"/>
  <c r="AD12" i="1"/>
  <c r="AE12" i="1" s="1"/>
  <c r="AL12" i="1"/>
  <c r="AL13" i="1" l="1"/>
  <c r="AD13" i="1"/>
  <c r="AE13" i="1" s="1"/>
  <c r="AL14" i="1" l="1"/>
  <c r="AD14" i="1"/>
  <c r="AE14" i="1" s="1"/>
  <c r="AL15" i="1" l="1"/>
  <c r="AD15" i="1"/>
  <c r="AE15" i="1" s="1"/>
  <c r="AL16" i="1" l="1"/>
  <c r="AD16" i="1"/>
  <c r="AE16" i="1" s="1"/>
  <c r="AL17" i="1" l="1"/>
  <c r="AD17" i="1"/>
  <c r="AE17" i="1" s="1"/>
  <c r="AL18" i="1" l="1"/>
  <c r="AD18" i="1"/>
  <c r="AE18" i="1" s="1"/>
  <c r="AL19" i="1" l="1"/>
  <c r="AD19" i="1"/>
  <c r="AE19" i="1" s="1"/>
</calcChain>
</file>

<file path=xl/sharedStrings.xml><?xml version="1.0" encoding="utf-8"?>
<sst xmlns="http://schemas.openxmlformats.org/spreadsheetml/2006/main" count="119" uniqueCount="92">
  <si>
    <t>Base</t>
  </si>
  <si>
    <t>MD</t>
  </si>
  <si>
    <t>Nation</t>
  </si>
  <si>
    <t>Actuals</t>
  </si>
  <si>
    <t>PMPY</t>
  </si>
  <si>
    <t>Trend</t>
  </si>
  <si>
    <t>Performance</t>
  </si>
  <si>
    <t>Assumed Trend</t>
  </si>
  <si>
    <t>Expenditure</t>
  </si>
  <si>
    <t>Savings</t>
  </si>
  <si>
    <t>Final</t>
  </si>
  <si>
    <t>Cum</t>
  </si>
  <si>
    <t>Nationwide MC FFS Observed</t>
  </si>
  <si>
    <t>Administratively Set</t>
  </si>
  <si>
    <t>Observed Share</t>
  </si>
  <si>
    <t>Maryland Base</t>
  </si>
  <si>
    <t>Blended Trend</t>
  </si>
  <si>
    <t>Assumed Observed Trend</t>
  </si>
  <si>
    <t>Weight</t>
  </si>
  <si>
    <t>Pre-Period Toal Expenditure Target</t>
  </si>
  <si>
    <t>A</t>
  </si>
  <si>
    <t>B</t>
  </si>
  <si>
    <t>C</t>
  </si>
  <si>
    <t>Formulas</t>
  </si>
  <si>
    <t>Actual Observed Trend</t>
  </si>
  <si>
    <t>=B1</t>
  </si>
  <si>
    <t>Difference</t>
  </si>
  <si>
    <t>Greater or Less Than 1%</t>
  </si>
  <si>
    <t>Adjustment</t>
  </si>
  <si>
    <t>E</t>
  </si>
  <si>
    <t>D = B1 X B2 + C1 X C2</t>
  </si>
  <si>
    <t>F = A x (1 + D - E)</t>
  </si>
  <si>
    <t>G</t>
  </si>
  <si>
    <t>H = G - B1</t>
  </si>
  <si>
    <t>I = if H&gt;1% then "Add Trend", if H&lt; 1% then "Lower Trend" Else "No Adj."</t>
  </si>
  <si>
    <t>Step 3 Post Performance Period, Compare Actual to Assumed Trend</t>
  </si>
  <si>
    <t>Apply Trend Share Blend</t>
  </si>
  <si>
    <t>J = Trend is adjusted by 50% of the amount over 1% in either direction</t>
  </si>
  <si>
    <t>K = J * B2</t>
  </si>
  <si>
    <t>Step 2 Calculate Target Prior to Performance Period</t>
  </si>
  <si>
    <t>Step 4 Calculate Final Target</t>
  </si>
  <si>
    <t>Final Total Expenditure Target</t>
  </si>
  <si>
    <t>Savings Component</t>
  </si>
  <si>
    <t>Comp. %</t>
  </si>
  <si>
    <t>L = A x (1 + D - E + K)</t>
  </si>
  <si>
    <t>Element</t>
  </si>
  <si>
    <t>Value</t>
  </si>
  <si>
    <t>YEAR 1</t>
  </si>
  <si>
    <t>YEAR 2</t>
  </si>
  <si>
    <t>Step 1 Adjust Y1 Target to Reflect Actual Trends</t>
  </si>
  <si>
    <t>Y1 Observed Trend</t>
  </si>
  <si>
    <t>Administratively Set Trend</t>
  </si>
  <si>
    <t>Step 1 Calculate Assumed Trend Prior to Performance Period</t>
  </si>
  <si>
    <t>=G</t>
  </si>
  <si>
    <t>=C</t>
  </si>
  <si>
    <t>M = G1 X G2 + C1 X C2</t>
  </si>
  <si>
    <t>Restated Y1 Total Expenditure Target</t>
  </si>
  <si>
    <t>N = A X (1 + M - E)</t>
  </si>
  <si>
    <t>Step 2 Calculate Assumed Y2 Trend Prior to Performance Period</t>
  </si>
  <si>
    <t>Step 3 Calculate Y2 Target Prior to Performance Period</t>
  </si>
  <si>
    <r>
      <t>B</t>
    </r>
    <r>
      <rPr>
        <vertAlign val="superscript"/>
        <sz val="11"/>
        <color theme="1"/>
        <rFont val="Calibri"/>
        <family val="2"/>
        <scheme val="minor"/>
      </rPr>
      <t>y2</t>
    </r>
  </si>
  <si>
    <r>
      <t>C</t>
    </r>
    <r>
      <rPr>
        <vertAlign val="superscript"/>
        <sz val="11"/>
        <color theme="1"/>
        <rFont val="Calibri"/>
        <family val="2"/>
        <scheme val="minor"/>
      </rPr>
      <t>y2</t>
    </r>
  </si>
  <si>
    <r>
      <t>D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 xml:space="preserve"> = B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>1 X B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>2 + C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>1 X C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>2</t>
    </r>
  </si>
  <si>
    <r>
      <t>E</t>
    </r>
    <r>
      <rPr>
        <vertAlign val="superscript"/>
        <sz val="11"/>
        <color theme="1"/>
        <rFont val="Calibri"/>
        <family val="2"/>
        <scheme val="minor"/>
      </rPr>
      <t>Y2</t>
    </r>
  </si>
  <si>
    <r>
      <t>P = N X (1 + D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 xml:space="preserve"> - E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>)</t>
    </r>
  </si>
  <si>
    <t xml:space="preserve">Target </t>
  </si>
  <si>
    <t xml:space="preserve"> CY Blended (Assumed and Admin Set)</t>
  </si>
  <si>
    <t>PY Blended (Actual and Admin Set)</t>
  </si>
  <si>
    <t>Cum. PY including Savings</t>
  </si>
  <si>
    <t>Step 4 Post Performance Period, Compare Actual to Assumed Trend</t>
  </si>
  <si>
    <r>
      <t>G</t>
    </r>
    <r>
      <rPr>
        <vertAlign val="superscript"/>
        <sz val="11"/>
        <color theme="1"/>
        <rFont val="Calibri"/>
        <family val="2"/>
        <scheme val="minor"/>
      </rPr>
      <t>y2</t>
    </r>
  </si>
  <si>
    <r>
      <t>=B1</t>
    </r>
    <r>
      <rPr>
        <vertAlign val="superscript"/>
        <sz val="11"/>
        <color theme="1"/>
        <rFont val="Calibri"/>
        <family val="2"/>
        <scheme val="minor"/>
      </rPr>
      <t>y2</t>
    </r>
  </si>
  <si>
    <r>
      <t>Q = G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 xml:space="preserve"> - B1</t>
    </r>
    <r>
      <rPr>
        <vertAlign val="superscript"/>
        <sz val="11"/>
        <color theme="1"/>
        <rFont val="Calibri"/>
        <family val="2"/>
        <scheme val="minor"/>
      </rPr>
      <t>y2</t>
    </r>
  </si>
  <si>
    <t>R = if Q&gt;1% then "Add Trend", if Q&lt; 1% then "Lower Trend" Else "No Adj."</t>
  </si>
  <si>
    <t>S = Trend is adjusted by 50% of the amount over 1% in either direction</t>
  </si>
  <si>
    <r>
      <t>T = S * B2</t>
    </r>
    <r>
      <rPr>
        <vertAlign val="superscript"/>
        <sz val="11"/>
        <color theme="1"/>
        <rFont val="Calibri"/>
        <family val="2"/>
        <scheme val="minor"/>
      </rPr>
      <t>y2</t>
    </r>
  </si>
  <si>
    <t>No adjustment since assumed observed = actual observed</t>
  </si>
  <si>
    <r>
      <t>U = N X (1 + D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 xml:space="preserve"> - E</t>
    </r>
    <r>
      <rPr>
        <vertAlign val="superscript"/>
        <sz val="11"/>
        <color theme="1"/>
        <rFont val="Calibri"/>
        <family val="2"/>
        <scheme val="minor"/>
      </rPr>
      <t>y2</t>
    </r>
    <r>
      <rPr>
        <sz val="11"/>
        <color theme="1"/>
        <rFont val="Calibri"/>
        <family val="2"/>
        <scheme val="minor"/>
      </rPr>
      <t xml:space="preserve"> + T)</t>
    </r>
  </si>
  <si>
    <t>Note: direclty adjust pre-period target, do not compound</t>
  </si>
  <si>
    <t xml:space="preserve">Does not consider (a) 3-year blended baseline or (b) Percent/Dollar based growth </t>
  </si>
  <si>
    <t>All amounts assumed to be risk adjusted</t>
  </si>
  <si>
    <t>Step Through Examples, years 1 and year 2</t>
  </si>
  <si>
    <t>Summary Level Examples - 10 Year Model</t>
  </si>
  <si>
    <t>Target adjustment reflects only 0.45% of 2% msiss (State largely protected against lower actual trends)</t>
  </si>
  <si>
    <t>Prior year was scored against $10,997 but will use $10,852 going forward</t>
  </si>
  <si>
    <t>to reflect actual Year 1 Trend.  State will need to generate catch up savings.</t>
  </si>
  <si>
    <t>MD at National</t>
  </si>
  <si>
    <t>MD at National with $ Blend</t>
  </si>
  <si>
    <t>Trend Increase</t>
  </si>
  <si>
    <t>Effective Trend</t>
  </si>
  <si>
    <t>Propsoed Ahead Medicare Savings Test with Administrtively Set Trend</t>
  </si>
  <si>
    <t>Placeholder Savings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</si>
</sst>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&quot;$&quot;#,##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/>
    <xf numFmtId="10" fontId="0" fillId="0" borderId="0" xfId="0" applyNumberFormat="1"/>
    <xf numFmtId="166" fontId="0" fillId="0" borderId="0" xfId="1" applyNumberFormat="1" applyFont="1"/>
    <xf numFmtId="10" fontId="0" fillId="2" borderId="0" xfId="0" applyNumberFormat="1" applyFill="1"/>
    <xf numFmtId="166" fontId="0" fillId="2" borderId="0" xfId="1" applyNumberFormat="1" applyFont="1" applyFill="1"/>
    <xf numFmtId="164" fontId="0" fillId="2" borderId="0" xfId="2" applyNumberFormat="1" applyFont="1" applyFill="1"/>
    <xf numFmtId="0" fontId="0" fillId="2" borderId="0" xfId="0" applyFill="1"/>
    <xf numFmtId="165" fontId="0" fillId="0" borderId="0" xfId="0" applyNumberFormat="1"/>
    <xf numFmtId="166" fontId="0" fillId="0" borderId="0" xfId="2" applyNumberFormat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0" fontId="0" fillId="0" borderId="1" xfId="0" applyNumberForma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3" borderId="0" xfId="0" applyFill="1"/>
    <xf numFmtId="0" fontId="5" fillId="0" borderId="0" xfId="0" applyFont="1"/>
    <xf numFmtId="0" fontId="0" fillId="0" borderId="2" xfId="0" applyBorder="1"/>
    <xf numFmtId="0" fontId="0" fillId="0" borderId="2" xfId="0" applyBorder="1" applyAlignment="1">
      <alignment horizontal="left"/>
    </xf>
    <xf numFmtId="164" fontId="0" fillId="2" borderId="1" xfId="2" applyNumberFormat="1" applyFont="1" applyFill="1" applyBorder="1"/>
    <xf numFmtId="10" fontId="0" fillId="0" borderId="0" xfId="2" applyNumberFormat="1" applyFont="1"/>
    <xf numFmtId="167" fontId="0" fillId="0" borderId="0" xfId="3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6FD5-0714-4CED-9543-51884177EB6A}">
  <dimension ref="B1:AL63"/>
  <sheetViews>
    <sheetView tabSelected="1" workbookViewId="0">
      <selection activeCell="O1" sqref="O1"/>
    </sheetView>
  </sheetViews>
  <sheetFormatPr defaultRowHeight="14.4" x14ac:dyDescent="0.55000000000000004"/>
  <cols>
    <col min="2" max="2" width="12.41796875" bestFit="1" customWidth="1"/>
    <col min="5" max="5" width="11.83984375" bestFit="1" customWidth="1"/>
    <col min="10" max="10" width="3.26171875" customWidth="1"/>
    <col min="11" max="11" width="1.83984375" customWidth="1"/>
    <col min="12" max="13" width="12" customWidth="1"/>
    <col min="14" max="14" width="2.15625" customWidth="1"/>
    <col min="15" max="15" width="16.578125" bestFit="1" customWidth="1"/>
    <col min="16" max="21" width="10.83984375" customWidth="1"/>
    <col min="33" max="33" width="9.26171875" customWidth="1"/>
    <col min="36" max="36" width="12" customWidth="1"/>
    <col min="37" max="37" width="10.26171875" customWidth="1"/>
    <col min="38" max="38" width="11.15625" bestFit="1" customWidth="1"/>
  </cols>
  <sheetData>
    <row r="1" spans="2:38" x14ac:dyDescent="0.55000000000000004">
      <c r="B1" s="21" t="s">
        <v>90</v>
      </c>
    </row>
    <row r="2" spans="2:38" x14ac:dyDescent="0.55000000000000004">
      <c r="B2" t="s">
        <v>79</v>
      </c>
    </row>
    <row r="3" spans="2:38" x14ac:dyDescent="0.55000000000000004">
      <c r="B3" t="s">
        <v>80</v>
      </c>
    </row>
    <row r="5" spans="2:38" x14ac:dyDescent="0.55000000000000004">
      <c r="D5" s="21" t="s">
        <v>81</v>
      </c>
      <c r="W5" s="21" t="s">
        <v>82</v>
      </c>
    </row>
    <row r="6" spans="2:38" x14ac:dyDescent="0.55000000000000004">
      <c r="W6" t="s">
        <v>3</v>
      </c>
      <c r="AA6" s="16" t="s">
        <v>42</v>
      </c>
      <c r="AB6" s="5">
        <v>2.5000000000000001E-3</v>
      </c>
      <c r="AD6" t="s">
        <v>10</v>
      </c>
      <c r="AE6" s="1" t="s">
        <v>11</v>
      </c>
      <c r="AF6" s="1"/>
      <c r="AG6" t="s">
        <v>7</v>
      </c>
      <c r="AJ6" s="1"/>
    </row>
    <row r="7" spans="2:38" ht="43.2" x14ac:dyDescent="0.55000000000000004">
      <c r="D7" s="22"/>
      <c r="E7" s="22"/>
      <c r="F7" s="22"/>
      <c r="G7" s="22"/>
      <c r="H7" s="22"/>
      <c r="I7" s="22"/>
      <c r="J7" s="23" t="s">
        <v>45</v>
      </c>
      <c r="K7" s="24"/>
      <c r="L7" s="24" t="s">
        <v>46</v>
      </c>
      <c r="M7" s="24"/>
      <c r="N7" s="24"/>
      <c r="O7" s="25" t="s">
        <v>23</v>
      </c>
      <c r="P7" s="22"/>
      <c r="Q7" s="22"/>
      <c r="R7" s="22"/>
      <c r="S7" s="22"/>
      <c r="W7" s="12" t="s">
        <v>4</v>
      </c>
      <c r="X7" s="12"/>
      <c r="Y7" s="12" t="s">
        <v>5</v>
      </c>
      <c r="Z7" s="12"/>
      <c r="AA7" s="12"/>
      <c r="AB7" s="12" t="s">
        <v>9</v>
      </c>
      <c r="AC7" s="12"/>
      <c r="AD7" s="12" t="s">
        <v>8</v>
      </c>
      <c r="AE7" s="13" t="s">
        <v>5</v>
      </c>
      <c r="AF7" s="13"/>
      <c r="AG7" s="13" t="s">
        <v>12</v>
      </c>
      <c r="AH7" s="13" t="s">
        <v>13</v>
      </c>
      <c r="AI7" s="13" t="s">
        <v>14</v>
      </c>
      <c r="AJ7" s="13" t="s">
        <v>66</v>
      </c>
      <c r="AK7" s="13" t="s">
        <v>67</v>
      </c>
      <c r="AL7" s="13" t="s">
        <v>68</v>
      </c>
    </row>
    <row r="8" spans="2:38" x14ac:dyDescent="0.55000000000000004">
      <c r="D8" s="26" t="s">
        <v>47</v>
      </c>
      <c r="J8" s="16" t="s">
        <v>15</v>
      </c>
      <c r="L8" s="14">
        <f>W9</f>
        <v>10750</v>
      </c>
      <c r="O8" s="17" t="s">
        <v>20</v>
      </c>
      <c r="W8" t="s">
        <v>1</v>
      </c>
      <c r="X8" t="s">
        <v>2</v>
      </c>
      <c r="Y8" t="s">
        <v>1</v>
      </c>
      <c r="Z8" t="s">
        <v>2</v>
      </c>
      <c r="AA8" t="s">
        <v>11</v>
      </c>
      <c r="AB8" t="s">
        <v>43</v>
      </c>
      <c r="AD8" s="12" t="s">
        <v>65</v>
      </c>
      <c r="AE8" s="11"/>
      <c r="AF8" s="11"/>
    </row>
    <row r="9" spans="2:38" x14ac:dyDescent="0.55000000000000004">
      <c r="J9" s="16"/>
      <c r="L9" s="14"/>
      <c r="O9" s="17"/>
      <c r="V9" t="s">
        <v>0</v>
      </c>
      <c r="W9" s="6">
        <v>10750</v>
      </c>
      <c r="X9" s="6">
        <v>10000</v>
      </c>
      <c r="AD9" s="10">
        <f>W9</f>
        <v>10750</v>
      </c>
      <c r="AE9" s="10"/>
      <c r="AF9" s="10"/>
      <c r="AH9" s="9"/>
    </row>
    <row r="10" spans="2:38" x14ac:dyDescent="0.55000000000000004">
      <c r="J10" s="20" t="s">
        <v>52</v>
      </c>
      <c r="L10" s="1">
        <v>1</v>
      </c>
      <c r="M10" s="1">
        <v>2</v>
      </c>
      <c r="N10" s="1"/>
      <c r="O10" s="17"/>
      <c r="U10" t="s">
        <v>6</v>
      </c>
      <c r="V10" s="1">
        <v>1</v>
      </c>
      <c r="W10" s="4"/>
      <c r="X10" s="4">
        <f>X9*(1+Z10)</f>
        <v>10100</v>
      </c>
      <c r="Z10" s="7">
        <v>0.01</v>
      </c>
      <c r="AA10" s="2">
        <f>Z10</f>
        <v>0.01</v>
      </c>
      <c r="AB10" s="3">
        <f>AB6</f>
        <v>2.5000000000000001E-3</v>
      </c>
      <c r="AD10" s="4">
        <f>$W$9*(1+AJ10+AL9-AB10+IF(Z10-AG10&gt;0.01,(Z10-(AG10+0.01))/2*AI10,0)-IF(AG10-Z10&gt;0.01,(AG10-(Z10+0.01))/2*AI10,0))</f>
        <v>10997.250000000002</v>
      </c>
      <c r="AE10" s="2">
        <f t="shared" ref="AE10:AE19" si="0">AD10/$AD$9-1</f>
        <v>2.3000000000000131E-2</v>
      </c>
      <c r="AF10" s="2"/>
      <c r="AG10" s="7">
        <v>0.03</v>
      </c>
      <c r="AH10" s="7">
        <v>0.03</v>
      </c>
      <c r="AI10" s="8">
        <v>0.9</v>
      </c>
      <c r="AJ10" s="2">
        <f t="shared" ref="AJ10:AJ19" si="1">AG10*AI10+AH10*(1-AI10)</f>
        <v>0.03</v>
      </c>
      <c r="AK10" s="2">
        <f>Z10*AI10+AH10*(1-AI10)</f>
        <v>1.2E-2</v>
      </c>
      <c r="AL10" s="15">
        <f>AK10-AB10</f>
        <v>9.4999999999999998E-3</v>
      </c>
    </row>
    <row r="11" spans="2:38" x14ac:dyDescent="0.55000000000000004">
      <c r="J11" s="16"/>
      <c r="L11" s="1" t="s">
        <v>5</v>
      </c>
      <c r="M11" s="1" t="s">
        <v>18</v>
      </c>
      <c r="N11" s="1"/>
      <c r="O11" s="17"/>
      <c r="V11" s="1">
        <f>V10+1</f>
        <v>2</v>
      </c>
      <c r="W11" s="4"/>
      <c r="X11" s="4">
        <f t="shared" ref="X11:X19" si="2">X10*(1+Z11)</f>
        <v>10403</v>
      </c>
      <c r="Z11" s="7">
        <v>0.03</v>
      </c>
      <c r="AA11" s="2">
        <f>(1+AA10)*(1+Z11)-1</f>
        <v>4.0300000000000002E-2</v>
      </c>
      <c r="AB11" s="3">
        <f>AB10</f>
        <v>2.5000000000000001E-3</v>
      </c>
      <c r="AD11" s="4">
        <f>$W$9*(1+AL10)*(1+AJ11-AB11+IF(Z11-AG11&gt;0.01,(Z11-(AG11+0.01))/2*AI11,0)-IF(AG11-Z11&gt;0.01,(AG11-(Z11+0.01))/2*AI11,0))</f>
        <v>11150.558437500002</v>
      </c>
      <c r="AE11" s="2">
        <f t="shared" si="0"/>
        <v>3.7261250000000246E-2</v>
      </c>
      <c r="AF11" s="2"/>
      <c r="AG11" s="7">
        <v>0.03</v>
      </c>
      <c r="AH11" s="7">
        <f>AH10</f>
        <v>0.03</v>
      </c>
      <c r="AI11" s="8">
        <f>AI10-0.1</f>
        <v>0.8</v>
      </c>
      <c r="AJ11" s="2">
        <f t="shared" si="1"/>
        <v>0.03</v>
      </c>
      <c r="AK11" s="2">
        <f t="shared" ref="AK11:AK19" si="3">Z11*AI11+AH11*(1-AI11)</f>
        <v>0.03</v>
      </c>
      <c r="AL11" s="15">
        <f>(1+AL10)*(1+AK11-AB11)-1</f>
        <v>3.7261250000000246E-2</v>
      </c>
    </row>
    <row r="12" spans="2:38" x14ac:dyDescent="0.55000000000000004">
      <c r="J12" s="16" t="s">
        <v>17</v>
      </c>
      <c r="L12" s="3">
        <f>AG10</f>
        <v>0.03</v>
      </c>
      <c r="M12">
        <f>AI10</f>
        <v>0.9</v>
      </c>
      <c r="O12" s="17" t="s">
        <v>21</v>
      </c>
      <c r="V12" s="1">
        <f t="shared" ref="V12:V19" si="4">V11+1</f>
        <v>3</v>
      </c>
      <c r="W12" s="4"/>
      <c r="X12" s="4">
        <f t="shared" si="2"/>
        <v>10715.09</v>
      </c>
      <c r="Z12" s="7">
        <v>0.03</v>
      </c>
      <c r="AA12" s="2">
        <f t="shared" ref="AA12:AA19" si="5">(1+AA11)*(1+Z12)-1</f>
        <v>7.1509000000000045E-2</v>
      </c>
      <c r="AB12" s="3">
        <f t="shared" ref="AB12:AB19" si="6">AB11</f>
        <v>2.5000000000000001E-3</v>
      </c>
      <c r="AD12" s="4">
        <f t="shared" ref="AD12:AD19" si="7">$W$9*(1+AL11)*(1+AJ12-AB12+IF(Z12-AG12&gt;0.01,(Z12-(AG12+0.01))/2*AI12,0)-IF(AG12-Z12&gt;0.01,(AG12-(Z12+0.01))/2*AI12,0))</f>
        <v>11457.198794531254</v>
      </c>
      <c r="AE12" s="2">
        <f t="shared" si="0"/>
        <v>6.5785934375000465E-2</v>
      </c>
      <c r="AF12" s="2"/>
      <c r="AG12" s="7">
        <v>0.03</v>
      </c>
      <c r="AH12" s="7">
        <f t="shared" ref="AH12:AH14" si="8">AH11</f>
        <v>0.03</v>
      </c>
      <c r="AI12" s="8">
        <f t="shared" ref="AI12:AI16" si="9">AI11-0.1</f>
        <v>0.70000000000000007</v>
      </c>
      <c r="AJ12" s="2">
        <f t="shared" si="1"/>
        <v>0.03</v>
      </c>
      <c r="AK12" s="2">
        <f t="shared" si="3"/>
        <v>0.03</v>
      </c>
      <c r="AL12" s="15">
        <f t="shared" ref="AL12:AL19" si="10">(1+AL11)*(1+AK12-AB12)-1</f>
        <v>6.5785934375000243E-2</v>
      </c>
    </row>
    <row r="13" spans="2:38" x14ac:dyDescent="0.55000000000000004">
      <c r="J13" s="16" t="s">
        <v>51</v>
      </c>
      <c r="L13" s="19">
        <f>AH10</f>
        <v>0.03</v>
      </c>
      <c r="M13">
        <f>1-AI10</f>
        <v>9.9999999999999978E-2</v>
      </c>
      <c r="O13" s="17" t="s">
        <v>22</v>
      </c>
      <c r="V13" s="1">
        <f t="shared" si="4"/>
        <v>4</v>
      </c>
      <c r="W13" s="4"/>
      <c r="X13" s="4">
        <f t="shared" si="2"/>
        <v>11036.5427</v>
      </c>
      <c r="Z13" s="7">
        <v>0.03</v>
      </c>
      <c r="AA13" s="2">
        <f t="shared" si="5"/>
        <v>0.10365427000000005</v>
      </c>
      <c r="AB13" s="3">
        <f t="shared" si="6"/>
        <v>2.5000000000000001E-3</v>
      </c>
      <c r="AD13" s="4">
        <f t="shared" si="7"/>
        <v>11772.271761380862</v>
      </c>
      <c r="AE13" s="2">
        <f t="shared" si="0"/>
        <v>9.509504757031273E-2</v>
      </c>
      <c r="AF13" s="2"/>
      <c r="AG13" s="7">
        <v>0.03</v>
      </c>
      <c r="AH13" s="7">
        <f t="shared" si="8"/>
        <v>0.03</v>
      </c>
      <c r="AI13" s="8">
        <f t="shared" si="9"/>
        <v>0.60000000000000009</v>
      </c>
      <c r="AJ13" s="2">
        <f t="shared" si="1"/>
        <v>0.03</v>
      </c>
      <c r="AK13" s="2">
        <f t="shared" si="3"/>
        <v>0.03</v>
      </c>
      <c r="AL13" s="15">
        <f t="shared" si="10"/>
        <v>9.509504757031273E-2</v>
      </c>
    </row>
    <row r="14" spans="2:38" x14ac:dyDescent="0.55000000000000004">
      <c r="J14" s="16" t="s">
        <v>16</v>
      </c>
      <c r="L14" s="3">
        <f>L12*M12+L13*M13</f>
        <v>0.03</v>
      </c>
      <c r="O14" s="17" t="s">
        <v>30</v>
      </c>
      <c r="V14" s="1">
        <f t="shared" si="4"/>
        <v>5</v>
      </c>
      <c r="W14" s="4"/>
      <c r="X14" s="4">
        <f t="shared" si="2"/>
        <v>11367.638981</v>
      </c>
      <c r="Z14" s="7">
        <v>0.03</v>
      </c>
      <c r="AA14" s="2">
        <f t="shared" si="5"/>
        <v>0.13676389810000011</v>
      </c>
      <c r="AB14" s="3">
        <f t="shared" si="6"/>
        <v>2.5000000000000001E-3</v>
      </c>
      <c r="AD14" s="4">
        <f t="shared" si="7"/>
        <v>12096.009234818837</v>
      </c>
      <c r="AE14" s="2">
        <f t="shared" si="0"/>
        <v>0.12521016137849639</v>
      </c>
      <c r="AF14" s="2"/>
      <c r="AG14" s="7">
        <v>0.03</v>
      </c>
      <c r="AH14" s="30">
        <f t="shared" si="8"/>
        <v>0.03</v>
      </c>
      <c r="AI14" s="8">
        <f t="shared" si="9"/>
        <v>0.50000000000000011</v>
      </c>
      <c r="AJ14" s="2">
        <f t="shared" si="1"/>
        <v>0.03</v>
      </c>
      <c r="AK14" s="2">
        <f t="shared" si="3"/>
        <v>0.03</v>
      </c>
      <c r="AL14" s="15">
        <f t="shared" si="10"/>
        <v>0.12521016137849639</v>
      </c>
    </row>
    <row r="15" spans="2:38" x14ac:dyDescent="0.55000000000000004">
      <c r="J15" s="16"/>
      <c r="L15" s="3"/>
      <c r="O15" s="17"/>
      <c r="V15" s="1">
        <f t="shared" si="4"/>
        <v>6</v>
      </c>
      <c r="W15" s="4"/>
      <c r="X15" s="4">
        <f t="shared" si="2"/>
        <v>11822.344540240001</v>
      </c>
      <c r="Z15" s="7">
        <v>0.04</v>
      </c>
      <c r="AA15" s="2">
        <f t="shared" si="5"/>
        <v>0.18223445402400018</v>
      </c>
      <c r="AB15" s="3">
        <f t="shared" si="6"/>
        <v>2.5000000000000001E-3</v>
      </c>
      <c r="AD15" s="4">
        <f t="shared" si="7"/>
        <v>12477.033525715629</v>
      </c>
      <c r="AE15" s="2">
        <f t="shared" si="0"/>
        <v>0.16065428146191896</v>
      </c>
      <c r="AF15" s="2"/>
      <c r="AG15" s="7">
        <v>0.04</v>
      </c>
      <c r="AH15" s="7">
        <v>0.03</v>
      </c>
      <c r="AI15" s="8">
        <f t="shared" si="9"/>
        <v>0.40000000000000013</v>
      </c>
      <c r="AJ15" s="2">
        <f t="shared" si="1"/>
        <v>3.4000000000000002E-2</v>
      </c>
      <c r="AK15" s="2">
        <f t="shared" si="3"/>
        <v>3.4000000000000002E-2</v>
      </c>
      <c r="AL15" s="15">
        <f t="shared" si="10"/>
        <v>0.16065428146191918</v>
      </c>
    </row>
    <row r="16" spans="2:38" x14ac:dyDescent="0.55000000000000004">
      <c r="J16" s="20" t="s">
        <v>39</v>
      </c>
      <c r="O16" s="17"/>
      <c r="V16" s="1">
        <f t="shared" si="4"/>
        <v>7</v>
      </c>
      <c r="W16" s="4"/>
      <c r="X16" s="4">
        <f t="shared" si="2"/>
        <v>12295.238321849602</v>
      </c>
      <c r="Z16" s="7">
        <v>0.04</v>
      </c>
      <c r="AA16" s="2">
        <f t="shared" si="5"/>
        <v>0.2295238321849602</v>
      </c>
      <c r="AB16" s="3">
        <f t="shared" si="6"/>
        <v>2.5000000000000001E-3</v>
      </c>
      <c r="AD16" s="4">
        <f t="shared" si="7"/>
        <v>12857.583048249957</v>
      </c>
      <c r="AE16" s="2">
        <f t="shared" si="0"/>
        <v>0.19605423704650771</v>
      </c>
      <c r="AF16" s="2"/>
      <c r="AG16" s="7">
        <v>0.04</v>
      </c>
      <c r="AH16" s="7">
        <v>0.03</v>
      </c>
      <c r="AI16" s="8">
        <f t="shared" si="9"/>
        <v>0.30000000000000016</v>
      </c>
      <c r="AJ16" s="2">
        <f t="shared" si="1"/>
        <v>3.3000000000000002E-2</v>
      </c>
      <c r="AK16" s="2">
        <f t="shared" si="3"/>
        <v>3.3000000000000002E-2</v>
      </c>
      <c r="AL16" s="15">
        <f t="shared" si="10"/>
        <v>0.19605423704650771</v>
      </c>
    </row>
    <row r="17" spans="4:38" x14ac:dyDescent="0.55000000000000004">
      <c r="J17" s="16" t="s">
        <v>91</v>
      </c>
      <c r="L17" s="3">
        <f>AB6</f>
        <v>2.5000000000000001E-3</v>
      </c>
      <c r="O17" s="17" t="s">
        <v>29</v>
      </c>
      <c r="V17" s="1">
        <f t="shared" si="4"/>
        <v>8</v>
      </c>
      <c r="W17" s="4"/>
      <c r="X17" s="4">
        <f t="shared" si="2"/>
        <v>12787.047854723585</v>
      </c>
      <c r="Z17" s="7">
        <v>0.04</v>
      </c>
      <c r="AA17" s="2">
        <f t="shared" si="5"/>
        <v>0.27870478547235855</v>
      </c>
      <c r="AB17" s="3">
        <f t="shared" si="6"/>
        <v>2.5000000000000001E-3</v>
      </c>
      <c r="AD17" s="4">
        <f t="shared" si="7"/>
        <v>13236.881748173333</v>
      </c>
      <c r="AE17" s="2">
        <f t="shared" si="0"/>
        <v>0.23133783703937993</v>
      </c>
      <c r="AF17" s="2"/>
      <c r="AG17" s="7">
        <v>0.04</v>
      </c>
      <c r="AH17" s="7">
        <v>0.03</v>
      </c>
      <c r="AI17" s="8">
        <v>0.2</v>
      </c>
      <c r="AJ17" s="2">
        <f t="shared" si="1"/>
        <v>3.2000000000000001E-2</v>
      </c>
      <c r="AK17" s="2">
        <f t="shared" si="3"/>
        <v>3.2000000000000001E-2</v>
      </c>
      <c r="AL17" s="15">
        <f t="shared" si="10"/>
        <v>0.23133783703937971</v>
      </c>
    </row>
    <row r="18" spans="4:38" x14ac:dyDescent="0.55000000000000004">
      <c r="O18" s="17"/>
      <c r="V18" s="1">
        <f t="shared" si="4"/>
        <v>9</v>
      </c>
      <c r="W18" s="4"/>
      <c r="X18" s="4">
        <f t="shared" si="2"/>
        <v>13298.529768912529</v>
      </c>
      <c r="Z18" s="7">
        <v>0.04</v>
      </c>
      <c r="AA18" s="2">
        <f t="shared" si="5"/>
        <v>0.32985297689125304</v>
      </c>
      <c r="AB18" s="3">
        <f t="shared" si="6"/>
        <v>2.5000000000000001E-3</v>
      </c>
      <c r="AD18" s="4">
        <f t="shared" si="7"/>
        <v>13627.369759744446</v>
      </c>
      <c r="AE18" s="2">
        <f t="shared" si="0"/>
        <v>0.26766230323204154</v>
      </c>
      <c r="AF18" s="2"/>
      <c r="AG18" s="7">
        <v>0.04</v>
      </c>
      <c r="AH18" s="7">
        <v>0.03</v>
      </c>
      <c r="AI18" s="8">
        <v>0.2</v>
      </c>
      <c r="AJ18" s="2">
        <f t="shared" si="1"/>
        <v>3.2000000000000001E-2</v>
      </c>
      <c r="AK18" s="2">
        <f t="shared" si="3"/>
        <v>3.2000000000000001E-2</v>
      </c>
      <c r="AL18" s="15">
        <f t="shared" si="10"/>
        <v>0.26766230323204154</v>
      </c>
    </row>
    <row r="19" spans="4:38" x14ac:dyDescent="0.55000000000000004">
      <c r="J19" s="16" t="s">
        <v>19</v>
      </c>
      <c r="L19" s="14">
        <f>L8*(1+L14-L17)</f>
        <v>11045.625</v>
      </c>
      <c r="O19" s="17" t="s">
        <v>31</v>
      </c>
      <c r="V19" s="1">
        <f t="shared" si="4"/>
        <v>10</v>
      </c>
      <c r="W19" s="4"/>
      <c r="X19" s="4">
        <f t="shared" si="2"/>
        <v>13830.47095966903</v>
      </c>
      <c r="Z19" s="7">
        <v>0.04</v>
      </c>
      <c r="AA19" s="2">
        <f t="shared" si="5"/>
        <v>0.38304709596690323</v>
      </c>
      <c r="AB19" s="3">
        <f t="shared" si="6"/>
        <v>2.5000000000000001E-3</v>
      </c>
      <c r="AD19" s="4">
        <f t="shared" si="7"/>
        <v>14029.377167656909</v>
      </c>
      <c r="AE19" s="2">
        <f t="shared" si="0"/>
        <v>0.30505834117738684</v>
      </c>
      <c r="AF19" s="2"/>
      <c r="AG19" s="7">
        <v>0.04</v>
      </c>
      <c r="AH19" s="7">
        <v>0.03</v>
      </c>
      <c r="AI19" s="8">
        <v>0.2</v>
      </c>
      <c r="AJ19" s="2">
        <f t="shared" si="1"/>
        <v>3.2000000000000001E-2</v>
      </c>
      <c r="AK19" s="2">
        <f t="shared" si="3"/>
        <v>3.2000000000000001E-2</v>
      </c>
      <c r="AL19" s="15">
        <f t="shared" si="10"/>
        <v>0.30505834117738684</v>
      </c>
    </row>
    <row r="20" spans="4:38" x14ac:dyDescent="0.55000000000000004"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</row>
    <row r="21" spans="4:38" x14ac:dyDescent="0.55000000000000004">
      <c r="J21" s="20" t="s">
        <v>35</v>
      </c>
      <c r="O21" s="17"/>
      <c r="X21" s="2"/>
      <c r="AD21" s="2"/>
      <c r="AE21" s="2"/>
      <c r="AF21" s="2"/>
    </row>
    <row r="22" spans="4:38" x14ac:dyDescent="0.55000000000000004">
      <c r="J22" s="16" t="s">
        <v>24</v>
      </c>
      <c r="L22" s="3">
        <f>Z10</f>
        <v>0.01</v>
      </c>
      <c r="O22" s="17" t="s">
        <v>32</v>
      </c>
    </row>
    <row r="23" spans="4:38" x14ac:dyDescent="0.55000000000000004">
      <c r="J23" s="16" t="s">
        <v>17</v>
      </c>
      <c r="L23" s="19">
        <f>L12</f>
        <v>0.03</v>
      </c>
      <c r="O23" s="18" t="s">
        <v>25</v>
      </c>
    </row>
    <row r="24" spans="4:38" x14ac:dyDescent="0.55000000000000004">
      <c r="J24" s="16" t="s">
        <v>26</v>
      </c>
      <c r="L24" s="3">
        <f>L22-L23</f>
        <v>-1.9999999999999997E-2</v>
      </c>
      <c r="O24" s="17" t="s">
        <v>33</v>
      </c>
    </row>
    <row r="25" spans="4:38" x14ac:dyDescent="0.55000000000000004">
      <c r="O25" s="17"/>
    </row>
    <row r="26" spans="4:38" x14ac:dyDescent="0.55000000000000004">
      <c r="J26" s="16" t="s">
        <v>27</v>
      </c>
      <c r="L26" s="1" t="str">
        <f>IF(L24&gt;1%,"Add Trend",IF(L24&lt;-1%,"Lower Trend","No Adj."))</f>
        <v>Lower Trend</v>
      </c>
      <c r="O26" s="17" t="s">
        <v>34</v>
      </c>
    </row>
    <row r="27" spans="4:38" x14ac:dyDescent="0.55000000000000004">
      <c r="J27" s="16" t="s">
        <v>28</v>
      </c>
      <c r="L27" s="3">
        <f>IF(L26="Add Trend",(L24-1%)*0.5,IF(L26="Lower Trend",(L24+1%)*0.5,0))</f>
        <v>-4.9999999999999984E-3</v>
      </c>
      <c r="O27" s="17" t="s">
        <v>37</v>
      </c>
    </row>
    <row r="28" spans="4:38" x14ac:dyDescent="0.55000000000000004">
      <c r="J28" s="16" t="s">
        <v>36</v>
      </c>
      <c r="L28" s="3">
        <f>L27*M12</f>
        <v>-4.4999999999999988E-3</v>
      </c>
      <c r="O28" s="17" t="s">
        <v>38</v>
      </c>
      <c r="Q28" s="27" t="s">
        <v>83</v>
      </c>
    </row>
    <row r="30" spans="4:38" x14ac:dyDescent="0.55000000000000004">
      <c r="J30" s="20" t="s">
        <v>40</v>
      </c>
      <c r="L30" s="1"/>
      <c r="M30" s="1"/>
      <c r="N30" s="1"/>
      <c r="O30" s="17"/>
    </row>
    <row r="31" spans="4:38" x14ac:dyDescent="0.55000000000000004">
      <c r="J31" s="16" t="s">
        <v>41</v>
      </c>
      <c r="L31" s="14">
        <f>L8*(1+L14-L17+L28)</f>
        <v>10997.250000000002</v>
      </c>
      <c r="N31" s="1"/>
      <c r="O31" s="17" t="s">
        <v>44</v>
      </c>
      <c r="Q31" t="s">
        <v>78</v>
      </c>
    </row>
    <row r="32" spans="4:38" x14ac:dyDescent="0.55000000000000004">
      <c r="J32" s="16"/>
      <c r="L32" s="14"/>
      <c r="N32" s="1"/>
      <c r="O32" s="17"/>
    </row>
    <row r="33" spans="4:19" x14ac:dyDescent="0.55000000000000004">
      <c r="D33" s="22"/>
      <c r="E33" s="22"/>
      <c r="F33" s="22"/>
      <c r="G33" s="22"/>
      <c r="H33" s="22"/>
      <c r="I33" s="22"/>
      <c r="J33" s="23"/>
      <c r="K33" s="24"/>
      <c r="L33" s="24"/>
      <c r="M33" s="24"/>
      <c r="N33" s="24"/>
      <c r="O33" s="25"/>
      <c r="P33" s="22"/>
      <c r="Q33" s="22"/>
      <c r="R33" s="22"/>
      <c r="S33" s="22"/>
    </row>
    <row r="34" spans="4:19" x14ac:dyDescent="0.55000000000000004">
      <c r="D34" s="26" t="s">
        <v>48</v>
      </c>
      <c r="J34" s="20" t="s">
        <v>49</v>
      </c>
      <c r="L34" s="1">
        <v>1</v>
      </c>
      <c r="M34" s="1">
        <v>2</v>
      </c>
      <c r="O34" s="17"/>
    </row>
    <row r="35" spans="4:19" x14ac:dyDescent="0.55000000000000004">
      <c r="J35" s="16"/>
      <c r="L35" s="1" t="s">
        <v>5</v>
      </c>
      <c r="M35" s="1" t="s">
        <v>18</v>
      </c>
      <c r="N35" s="1"/>
      <c r="O35" s="17"/>
    </row>
    <row r="36" spans="4:19" x14ac:dyDescent="0.55000000000000004">
      <c r="J36" s="16" t="s">
        <v>50</v>
      </c>
      <c r="L36" s="3">
        <f>Z10</f>
        <v>0.01</v>
      </c>
      <c r="M36">
        <f>AI10</f>
        <v>0.9</v>
      </c>
      <c r="O36" s="18" t="s">
        <v>53</v>
      </c>
    </row>
    <row r="37" spans="4:19" x14ac:dyDescent="0.55000000000000004">
      <c r="J37" s="16" t="s">
        <v>51</v>
      </c>
      <c r="L37" s="19">
        <f>AH10</f>
        <v>0.03</v>
      </c>
      <c r="M37">
        <f>1-AI10</f>
        <v>9.9999999999999978E-2</v>
      </c>
      <c r="O37" s="18" t="s">
        <v>54</v>
      </c>
    </row>
    <row r="38" spans="4:19" x14ac:dyDescent="0.55000000000000004">
      <c r="L38" s="3">
        <f>L36*M36+L37*M37</f>
        <v>1.2E-2</v>
      </c>
      <c r="O38" s="17" t="s">
        <v>55</v>
      </c>
    </row>
    <row r="40" spans="4:19" x14ac:dyDescent="0.55000000000000004">
      <c r="J40" s="16" t="s">
        <v>56</v>
      </c>
      <c r="L40" s="14">
        <f>L8*(1+L38-L17)</f>
        <v>10852.125</v>
      </c>
      <c r="O40" t="s">
        <v>57</v>
      </c>
      <c r="Q40" s="27" t="s">
        <v>84</v>
      </c>
    </row>
    <row r="41" spans="4:19" x14ac:dyDescent="0.55000000000000004">
      <c r="Q41" s="27" t="s">
        <v>85</v>
      </c>
    </row>
    <row r="42" spans="4:19" x14ac:dyDescent="0.55000000000000004">
      <c r="J42" s="20" t="s">
        <v>58</v>
      </c>
      <c r="L42" s="1">
        <v>1</v>
      </c>
      <c r="M42" s="1">
        <v>2</v>
      </c>
      <c r="N42" s="1"/>
      <c r="O42" s="17"/>
    </row>
    <row r="43" spans="4:19" x14ac:dyDescent="0.55000000000000004">
      <c r="J43" s="16"/>
      <c r="L43" s="1" t="s">
        <v>5</v>
      </c>
      <c r="M43" s="1" t="s">
        <v>18</v>
      </c>
      <c r="N43" s="1"/>
      <c r="O43" s="17"/>
    </row>
    <row r="44" spans="4:19" ht="16.5" x14ac:dyDescent="0.55000000000000004">
      <c r="J44" s="16" t="s">
        <v>17</v>
      </c>
      <c r="L44" s="3">
        <f>AG11</f>
        <v>0.03</v>
      </c>
      <c r="M44">
        <v>0.86</v>
      </c>
      <c r="O44" s="17" t="s">
        <v>60</v>
      </c>
    </row>
    <row r="45" spans="4:19" ht="16.5" x14ac:dyDescent="0.55000000000000004">
      <c r="J45" s="16" t="s">
        <v>51</v>
      </c>
      <c r="L45" s="19">
        <f>AH11</f>
        <v>0.03</v>
      </c>
      <c r="M45">
        <f>1-M44</f>
        <v>0.14000000000000001</v>
      </c>
      <c r="O45" s="17" t="s">
        <v>61</v>
      </c>
    </row>
    <row r="46" spans="4:19" ht="16.5" x14ac:dyDescent="0.55000000000000004">
      <c r="J46" s="16" t="s">
        <v>16</v>
      </c>
      <c r="L46" s="3">
        <f>L44*M44+L45*M45</f>
        <v>0.03</v>
      </c>
      <c r="O46" s="17" t="s">
        <v>62</v>
      </c>
    </row>
    <row r="48" spans="4:19" x14ac:dyDescent="0.55000000000000004">
      <c r="J48" s="20" t="s">
        <v>59</v>
      </c>
    </row>
    <row r="49" spans="4:19" ht="16.5" x14ac:dyDescent="0.55000000000000004">
      <c r="J49" s="16" t="s">
        <v>91</v>
      </c>
      <c r="L49" s="3">
        <f>AB11</f>
        <v>2.5000000000000001E-3</v>
      </c>
      <c r="O49" s="18" t="s">
        <v>63</v>
      </c>
    </row>
    <row r="50" spans="4:19" x14ac:dyDescent="0.55000000000000004">
      <c r="O50" s="17"/>
    </row>
    <row r="51" spans="4:19" ht="16.5" x14ac:dyDescent="0.55000000000000004">
      <c r="J51" s="16" t="s">
        <v>19</v>
      </c>
      <c r="L51" s="14">
        <f>L40*(1+L46-L49)</f>
        <v>11150.558437500002</v>
      </c>
      <c r="O51" s="17" t="s">
        <v>64</v>
      </c>
    </row>
    <row r="52" spans="4:19" x14ac:dyDescent="0.55000000000000004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8"/>
      <c r="Q52" s="28"/>
      <c r="R52" s="28"/>
      <c r="S52" s="28"/>
    </row>
    <row r="53" spans="4:19" x14ac:dyDescent="0.55000000000000004">
      <c r="J53" s="20" t="s">
        <v>69</v>
      </c>
      <c r="O53" s="17"/>
    </row>
    <row r="54" spans="4:19" ht="16.5" x14ac:dyDescent="0.55000000000000004">
      <c r="J54" s="16" t="s">
        <v>24</v>
      </c>
      <c r="L54" s="3">
        <f>Z11</f>
        <v>0.03</v>
      </c>
      <c r="O54" s="17" t="s">
        <v>70</v>
      </c>
    </row>
    <row r="55" spans="4:19" ht="16.5" x14ac:dyDescent="0.55000000000000004">
      <c r="J55" s="16" t="s">
        <v>17</v>
      </c>
      <c r="L55" s="19">
        <f>L44</f>
        <v>0.03</v>
      </c>
      <c r="O55" s="18" t="s">
        <v>71</v>
      </c>
    </row>
    <row r="56" spans="4:19" ht="16.5" x14ac:dyDescent="0.55000000000000004">
      <c r="J56" s="16" t="s">
        <v>26</v>
      </c>
      <c r="L56" s="3">
        <f>L54-L55</f>
        <v>0</v>
      </c>
      <c r="O56" s="17" t="s">
        <v>72</v>
      </c>
    </row>
    <row r="57" spans="4:19" x14ac:dyDescent="0.55000000000000004">
      <c r="O57" s="17"/>
    </row>
    <row r="58" spans="4:19" x14ac:dyDescent="0.55000000000000004">
      <c r="J58" s="16" t="s">
        <v>27</v>
      </c>
      <c r="L58" s="1" t="str">
        <f>IF(L56&gt;1%,"Add Trend",IF(L56&lt;-1%,"Lower Trend","No Adj."))</f>
        <v>No Adj.</v>
      </c>
      <c r="O58" s="17" t="s">
        <v>73</v>
      </c>
    </row>
    <row r="59" spans="4:19" x14ac:dyDescent="0.55000000000000004">
      <c r="J59" s="16" t="s">
        <v>28</v>
      </c>
      <c r="L59" s="3">
        <f>IF(L58="Add Trend",(L56-1%)*0.5,IF(L58="Lower Trend",(L56+1%)*0.5,0))</f>
        <v>0</v>
      </c>
      <c r="O59" s="17" t="s">
        <v>74</v>
      </c>
    </row>
    <row r="60" spans="4:19" ht="16.5" x14ac:dyDescent="0.55000000000000004">
      <c r="J60" s="16" t="s">
        <v>36</v>
      </c>
      <c r="L60" s="3">
        <f>L59*M44</f>
        <v>0</v>
      </c>
      <c r="O60" s="17" t="s">
        <v>75</v>
      </c>
      <c r="Q60" s="27" t="s">
        <v>76</v>
      </c>
    </row>
    <row r="62" spans="4:19" x14ac:dyDescent="0.55000000000000004">
      <c r="J62" s="20" t="s">
        <v>40</v>
      </c>
      <c r="L62" s="1"/>
      <c r="M62" s="1"/>
      <c r="N62" s="1"/>
      <c r="O62" s="17"/>
    </row>
    <row r="63" spans="4:19" ht="16.5" x14ac:dyDescent="0.55000000000000004">
      <c r="J63" s="16" t="s">
        <v>41</v>
      </c>
      <c r="L63" s="14">
        <f>L40*(1+L46-L49+L60)</f>
        <v>11150.558437500002</v>
      </c>
      <c r="N63" s="1"/>
      <c r="O63" s="17" t="s">
        <v>77</v>
      </c>
      <c r="Q63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0B49-16D2-4C54-9373-AA0F668FE874}">
  <dimension ref="E6:H9"/>
  <sheetViews>
    <sheetView workbookViewId="0">
      <selection activeCell="F14" sqref="F14"/>
    </sheetView>
  </sheetViews>
  <sheetFormatPr defaultRowHeight="14.4" x14ac:dyDescent="0.55000000000000004"/>
  <cols>
    <col min="5" max="5" width="14.578125" bestFit="1" customWidth="1"/>
    <col min="6" max="6" width="10.68359375" bestFit="1" customWidth="1"/>
    <col min="7" max="7" width="14.41796875" bestFit="1" customWidth="1"/>
    <col min="8" max="8" width="10.68359375" bestFit="1" customWidth="1"/>
  </cols>
  <sheetData>
    <row r="6" spans="5:8" ht="43.2" x14ac:dyDescent="0.55000000000000004">
      <c r="F6" s="13" t="s">
        <v>2</v>
      </c>
      <c r="G6" s="13" t="s">
        <v>86</v>
      </c>
      <c r="H6" s="13" t="s">
        <v>87</v>
      </c>
    </row>
    <row r="7" spans="5:8" x14ac:dyDescent="0.55000000000000004">
      <c r="E7" t="s">
        <v>0</v>
      </c>
      <c r="F7" s="32">
        <v>10000</v>
      </c>
      <c r="G7" s="32">
        <f>F7*1.1</f>
        <v>11000</v>
      </c>
      <c r="H7" s="32">
        <f>G7</f>
        <v>11000</v>
      </c>
    </row>
    <row r="8" spans="5:8" x14ac:dyDescent="0.55000000000000004">
      <c r="E8" t="s">
        <v>88</v>
      </c>
      <c r="F8" s="32">
        <f>F7*0.03</f>
        <v>300</v>
      </c>
      <c r="G8" s="32">
        <f>G7*0.03</f>
        <v>330</v>
      </c>
      <c r="H8" s="32">
        <f>H7*0.03*0.66667+0.333333*F8</f>
        <v>320.00099999999998</v>
      </c>
    </row>
    <row r="9" spans="5:8" x14ac:dyDescent="0.55000000000000004">
      <c r="E9" t="s">
        <v>89</v>
      </c>
      <c r="F9" s="31">
        <f>F8/F7</f>
        <v>0.03</v>
      </c>
      <c r="G9" s="31">
        <f>G8/G7</f>
        <v>0.03</v>
      </c>
      <c r="H9" s="31">
        <f>H8/H7</f>
        <v>2.9090999999999999E-2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349B40-10D8-498C-AB42-F0BE26A06B3C}"/>
</file>

<file path=customXml/itemProps2.xml><?xml version="1.0" encoding="utf-8"?>
<ds:datastoreItem xmlns:ds="http://schemas.openxmlformats.org/officeDocument/2006/customXml" ds:itemID="{DB631B18-C502-40C3-BEA1-769C78808D60}"/>
</file>

<file path=customXml/itemProps3.xml><?xml version="1.0" encoding="utf-8"?>
<ds:datastoreItem xmlns:ds="http://schemas.openxmlformats.org/officeDocument/2006/customXml" ds:itemID="{E7BE5089-ACB0-4B61-9D9D-7300F3CFC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$ Trend Blend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Henderson</dc:creator>
  <cp:lastModifiedBy>Lynne Diven</cp:lastModifiedBy>
  <dcterms:created xsi:type="dcterms:W3CDTF">2023-08-08T21:14:28Z</dcterms:created>
  <dcterms:modified xsi:type="dcterms:W3CDTF">2024-04-24T11:25:28Z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