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28800" windowHeight="12075" activeTab="2"/>
  </bookViews>
  <sheets>
    <sheet name="Source Readmission Final " sheetId="7" r:id="rId1"/>
    <sheet name="Readmit Attainment" sheetId="6" r:id="rId2"/>
    <sheet name="RRIP Modeling Results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'Readmit Attainment'!$A$3:$F$3</definedName>
    <definedName name="_xlnm._FilterDatabase" localSheetId="2" hidden="1">'RRIP Modeling Results'!$A$3:$P$3</definedName>
    <definedName name="_xlnm._FilterDatabase" localSheetId="0" hidden="1">'Source Readmission Final '!$A$6:$Q$65</definedName>
    <definedName name="AttMaxPenaltyScore" localSheetId="1">'[1]RRIP Results'!$C$70</definedName>
    <definedName name="AttMaxPenaltyScore" localSheetId="0">'[1]RRIP Results'!$C$70</definedName>
    <definedName name="AttMaxPenaltyScore">'RRIP Modeling Results'!$C$69</definedName>
    <definedName name="AttMaxRewardScore" localSheetId="1">'[1]RRIP Results'!$C$69</definedName>
    <definedName name="AttMaxRewardScore" localSheetId="0">'[1]RRIP Results'!$C$69</definedName>
    <definedName name="AttMaxRewardScore">'RRIP Modeling Results'!$C$68</definedName>
    <definedName name="AttTarget" localSheetId="1">'[1]RRIP Results'!$C$68</definedName>
    <definedName name="AttTarget" localSheetId="0">'[1]RRIP Results'!$C$68</definedName>
    <definedName name="AttTarget">'RRIP Modeling Results'!$C$67</definedName>
    <definedName name="finally">[2]finally!$A$1:$AN$76</definedName>
    <definedName name="ImpMaxPenaltyScore" localSheetId="1">'[1]RRIP Results'!$C$67</definedName>
    <definedName name="ImpMaxPenaltyScore" localSheetId="0">'[1]RRIP Results'!$C$67</definedName>
    <definedName name="ImpMaxPenaltyScore">'RRIP Modeling Results'!$C$66</definedName>
    <definedName name="ImpMaxRewardScore" localSheetId="1">'[1]RRIP Results'!$C$66</definedName>
    <definedName name="ImpMaxRewardScore" localSheetId="0">'[1]RRIP Results'!$C$66</definedName>
    <definedName name="ImpMaxRewardScore">'RRIP Modeling Results'!$C$65</definedName>
    <definedName name="imptab17fr2">[2]imptab17fr2!$A$1:$AN$76</definedName>
    <definedName name="ImpTarget" localSheetId="1">'[1]RRIP Results'!$C$65</definedName>
    <definedName name="ImpTarget" localSheetId="0">'[1]RRIP Results'!$C$65</definedName>
    <definedName name="ImpTarget">'RRIP Modeling Results'!$C$64</definedName>
    <definedName name="low">'[3]5.QBR Scaling '!$B$4</definedName>
    <definedName name="MaxPenalty" localSheetId="1">'[1]RRIP Results'!$C$63</definedName>
    <definedName name="MaxPenalty" localSheetId="0">'[1]RRIP Results'!$C$63</definedName>
    <definedName name="MaxPenalty">'RRIP Modeling Results'!$C$62</definedName>
    <definedName name="MaxReward" localSheetId="1">'[1]RRIP Results'!$C$62</definedName>
    <definedName name="MaxReward" localSheetId="0">'[1]RRIP Results'!$C$62</definedName>
    <definedName name="MaxReward">'RRIP Modeling Results'!$C$61</definedName>
    <definedName name="MHAC_Highest_Score">'[4]1.MHAC Scaling'!$G$6</definedName>
    <definedName name="MHAC_Lowest_Score">'[4]1.MHAC Scaling'!$G$4</definedName>
    <definedName name="MHAC_Max_Penalty">'[4]1.MHAC Scaling'!$G$5</definedName>
    <definedName name="MHAC_Max_Reward">'[4]1.MHAC Scaling'!$G$7</definedName>
    <definedName name="MHAC_Penalty_Threshold">'[4]1.MHAC Scaling'!$G$8</definedName>
    <definedName name="MHAC_Reward_Threshold">'[4]1.MHAC Scaling'!$G$9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[2]rfbn_table!$A$1:$H$53</definedName>
    <definedName name="rfbnout">[2]rfbnout!$A$1:$K$53</definedName>
    <definedName name="RRIP_Att_MaxPenalty" localSheetId="0">#REF!</definedName>
    <definedName name="RRIP_Att_MaxPenalty">#REF!</definedName>
    <definedName name="RRIP_Att_MaxPenaltyRate" localSheetId="0">#REF!</definedName>
    <definedName name="RRIP_Att_MaxPenaltyRate">#REF!</definedName>
    <definedName name="RRIP_Att_MaxRewardRate" localSheetId="0">#REF!</definedName>
    <definedName name="RRIP_Att_MaxRewardRate">#REF!</definedName>
    <definedName name="RRIP_Att_Reward" localSheetId="0">#REF!</definedName>
    <definedName name="RRIP_Att_Reward">#REF!</definedName>
    <definedName name="RRIP_AttPenaltyOverUnder" localSheetId="0">#REF!</definedName>
    <definedName name="RRIP_AttPenaltyOverUnder">#REF!</definedName>
    <definedName name="RRIP_AttRewardOverUnder" localSheetId="0">#REF!</definedName>
    <definedName name="RRIP_AttRewardOverUnder">#REF!</definedName>
    <definedName name="RRIP_Imp_MaxPenalty" localSheetId="0">#REF!</definedName>
    <definedName name="RRIP_Imp_MaxPenalty">#REF!</definedName>
    <definedName name="RRIP_Imp_MaxPenaltyOverUnder" localSheetId="0">#REF!</definedName>
    <definedName name="RRIP_Imp_MaxPenaltyOverUnder">#REF!</definedName>
    <definedName name="RRIP_Imp_MaxPenaltyRate" localSheetId="0">#REF!</definedName>
    <definedName name="RRIP_Imp_MaxPenaltyRate">#REF!</definedName>
    <definedName name="RRIP_Imp_MaxReward" localSheetId="0">#REF!</definedName>
    <definedName name="RRIP_Imp_MaxReward">#REF!</definedName>
    <definedName name="RRIP_Imp_MaxRewardOverUnder" localSheetId="0">#REF!</definedName>
    <definedName name="RRIP_Imp_MaxRewardOverUnder">#REF!</definedName>
    <definedName name="RRIP_Imp_MaxRewardRate" localSheetId="0">#REF!</definedName>
    <definedName name="RRIP_Imp_MaxRewardRate">#REF!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4" l="1"/>
  <c r="C50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4" i="4"/>
  <c r="D40" i="4" l="1"/>
  <c r="E40" i="4"/>
  <c r="F40" i="4"/>
  <c r="H40" i="4" s="1"/>
  <c r="G40" i="4"/>
  <c r="K40" i="4"/>
  <c r="D41" i="4"/>
  <c r="E41" i="4"/>
  <c r="F41" i="4"/>
  <c r="H41" i="4" s="1"/>
  <c r="G41" i="4"/>
  <c r="K41" i="4"/>
  <c r="D42" i="4"/>
  <c r="E42" i="4"/>
  <c r="F42" i="4"/>
  <c r="H42" i="4" s="1"/>
  <c r="G42" i="4"/>
  <c r="K42" i="4"/>
  <c r="D43" i="4"/>
  <c r="E43" i="4"/>
  <c r="F43" i="4"/>
  <c r="H43" i="4" s="1"/>
  <c r="G43" i="4"/>
  <c r="K43" i="4"/>
  <c r="D44" i="4"/>
  <c r="E44" i="4"/>
  <c r="F44" i="4"/>
  <c r="H44" i="4" s="1"/>
  <c r="G44" i="4"/>
  <c r="K44" i="4"/>
  <c r="D45" i="4"/>
  <c r="E45" i="4"/>
  <c r="F45" i="4"/>
  <c r="H45" i="4" s="1"/>
  <c r="G45" i="4"/>
  <c r="K45" i="4"/>
  <c r="D46" i="4"/>
  <c r="E46" i="4"/>
  <c r="F46" i="4"/>
  <c r="G46" i="4"/>
  <c r="H46" i="4"/>
  <c r="K46" i="4"/>
  <c r="D47" i="4"/>
  <c r="E47" i="4"/>
  <c r="F47" i="4"/>
  <c r="H47" i="4" s="1"/>
  <c r="G47" i="4"/>
  <c r="K47" i="4"/>
  <c r="D48" i="4"/>
  <c r="E48" i="4"/>
  <c r="F48" i="4"/>
  <c r="H48" i="4" s="1"/>
  <c r="G48" i="4"/>
  <c r="K48" i="4"/>
  <c r="D49" i="4"/>
  <c r="E49" i="4"/>
  <c r="F49" i="4"/>
  <c r="H49" i="4" s="1"/>
  <c r="G49" i="4"/>
  <c r="K49" i="4"/>
  <c r="D50" i="4"/>
  <c r="E50" i="4"/>
  <c r="F50" i="4"/>
  <c r="G50" i="4"/>
  <c r="H50" i="4"/>
  <c r="K50" i="4"/>
  <c r="K39" i="4"/>
  <c r="G39" i="4"/>
  <c r="F39" i="4"/>
  <c r="H39" i="4" s="1"/>
  <c r="E39" i="4"/>
  <c r="D39" i="4"/>
  <c r="E24" i="7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4" i="4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4" i="6"/>
  <c r="I39" i="4"/>
  <c r="I40" i="4"/>
  <c r="I41" i="4"/>
  <c r="I42" i="4"/>
  <c r="I43" i="4"/>
  <c r="I45" i="4"/>
  <c r="I46" i="4"/>
  <c r="I47" i="4"/>
  <c r="I48" i="4"/>
  <c r="I49" i="4"/>
  <c r="I50" i="4"/>
  <c r="I44" i="4" l="1"/>
  <c r="K20" i="4"/>
  <c r="G20" i="4"/>
  <c r="H20" i="4"/>
  <c r="I20" i="4" s="1"/>
  <c r="D24" i="7"/>
  <c r="G24" i="7"/>
  <c r="O25" i="7"/>
  <c r="O24" i="7"/>
  <c r="O20" i="7"/>
  <c r="O21" i="7"/>
  <c r="O22" i="7"/>
  <c r="O23" i="7"/>
  <c r="N24" i="7"/>
  <c r="N23" i="7"/>
  <c r="M24" i="7"/>
  <c r="M23" i="7"/>
  <c r="K23" i="7"/>
  <c r="K24" i="7"/>
  <c r="L24" i="7"/>
  <c r="J24" i="7"/>
  <c r="I24" i="7"/>
  <c r="H24" i="7"/>
  <c r="H23" i="7"/>
  <c r="G23" i="7"/>
  <c r="F24" i="7"/>
  <c r="E23" i="7"/>
  <c r="C24" i="7"/>
  <c r="L23" i="7"/>
  <c r="J23" i="7"/>
  <c r="F23" i="7"/>
  <c r="D23" i="7"/>
  <c r="S2" i="4" l="1"/>
  <c r="E20" i="6" l="1"/>
  <c r="J20" i="4" s="1"/>
  <c r="L20" i="4" s="1"/>
  <c r="E51" i="6" l="1"/>
  <c r="J50" i="4" s="1"/>
  <c r="L50" i="4" s="1"/>
  <c r="M50" i="4" s="1"/>
  <c r="N50" i="4" s="1"/>
  <c r="E50" i="6"/>
  <c r="J49" i="4" s="1"/>
  <c r="L49" i="4" s="1"/>
  <c r="M49" i="4" s="1"/>
  <c r="N49" i="4" s="1"/>
  <c r="E49" i="6"/>
  <c r="J48" i="4" s="1"/>
  <c r="L48" i="4" s="1"/>
  <c r="M48" i="4" s="1"/>
  <c r="N48" i="4" s="1"/>
  <c r="E48" i="6"/>
  <c r="J47" i="4" s="1"/>
  <c r="L47" i="4" s="1"/>
  <c r="M47" i="4" s="1"/>
  <c r="N47" i="4" s="1"/>
  <c r="E47" i="6"/>
  <c r="J46" i="4" s="1"/>
  <c r="L46" i="4" s="1"/>
  <c r="M46" i="4" s="1"/>
  <c r="N46" i="4" s="1"/>
  <c r="E46" i="6"/>
  <c r="J45" i="4" s="1"/>
  <c r="L45" i="4" s="1"/>
  <c r="M45" i="4" s="1"/>
  <c r="N45" i="4" s="1"/>
  <c r="E45" i="6"/>
  <c r="J44" i="4" s="1"/>
  <c r="L44" i="4" s="1"/>
  <c r="E44" i="6"/>
  <c r="J43" i="4" s="1"/>
  <c r="L43" i="4" s="1"/>
  <c r="M43" i="4" s="1"/>
  <c r="N43" i="4" s="1"/>
  <c r="E43" i="6"/>
  <c r="J42" i="4" s="1"/>
  <c r="L42" i="4" s="1"/>
  <c r="M42" i="4" s="1"/>
  <c r="N42" i="4" s="1"/>
  <c r="E41" i="6"/>
  <c r="J41" i="4" s="1"/>
  <c r="L41" i="4" s="1"/>
  <c r="M41" i="4" s="1"/>
  <c r="N41" i="4" s="1"/>
  <c r="E40" i="6"/>
  <c r="J40" i="4" s="1"/>
  <c r="L40" i="4" s="1"/>
  <c r="M40" i="4" s="1"/>
  <c r="N40" i="4" s="1"/>
  <c r="E39" i="6"/>
  <c r="J39" i="4" s="1"/>
  <c r="L39" i="4" s="1"/>
  <c r="M39" i="4" s="1"/>
  <c r="N39" i="4" s="1"/>
  <c r="E38" i="6"/>
  <c r="E37" i="6"/>
  <c r="J37" i="4" s="1"/>
  <c r="E36" i="6"/>
  <c r="J36" i="4" s="1"/>
  <c r="E35" i="6"/>
  <c r="J35" i="4" s="1"/>
  <c r="E34" i="6"/>
  <c r="J34" i="4" s="1"/>
  <c r="E33" i="6"/>
  <c r="J33" i="4" s="1"/>
  <c r="E32" i="6"/>
  <c r="J32" i="4" s="1"/>
  <c r="E31" i="6"/>
  <c r="J31" i="4" s="1"/>
  <c r="E30" i="6"/>
  <c r="J30" i="4" s="1"/>
  <c r="E29" i="6"/>
  <c r="J29" i="4" s="1"/>
  <c r="E28" i="6"/>
  <c r="J28" i="4" s="1"/>
  <c r="E27" i="6"/>
  <c r="J27" i="4" s="1"/>
  <c r="E26" i="6"/>
  <c r="J26" i="4" s="1"/>
  <c r="E25" i="6"/>
  <c r="J25" i="4" s="1"/>
  <c r="E24" i="6"/>
  <c r="J24" i="4" s="1"/>
  <c r="E23" i="6"/>
  <c r="J23" i="4" s="1"/>
  <c r="E22" i="6"/>
  <c r="J22" i="4" s="1"/>
  <c r="E21" i="6"/>
  <c r="J21" i="4" s="1"/>
  <c r="E19" i="6"/>
  <c r="J18" i="4" s="1"/>
  <c r="E18" i="6"/>
  <c r="J17" i="4" s="1"/>
  <c r="E17" i="6"/>
  <c r="J16" i="4" s="1"/>
  <c r="E16" i="6"/>
  <c r="J15" i="4" s="1"/>
  <c r="E15" i="6"/>
  <c r="E14" i="6"/>
  <c r="J14" i="4" s="1"/>
  <c r="E13" i="6"/>
  <c r="J13" i="4" s="1"/>
  <c r="E12" i="6"/>
  <c r="J12" i="4" s="1"/>
  <c r="E11" i="6"/>
  <c r="J11" i="4" s="1"/>
  <c r="E10" i="6"/>
  <c r="J10" i="4" s="1"/>
  <c r="E9" i="6"/>
  <c r="J9" i="4" s="1"/>
  <c r="E8" i="6"/>
  <c r="J8" i="4" s="1"/>
  <c r="E7" i="6"/>
  <c r="J7" i="4" s="1"/>
  <c r="E6" i="6"/>
  <c r="J6" i="4" s="1"/>
  <c r="E5" i="6"/>
  <c r="J5" i="4" s="1"/>
  <c r="E4" i="6"/>
  <c r="J4" i="4" s="1"/>
  <c r="M44" i="4" l="1"/>
  <c r="N44" i="4" s="1"/>
  <c r="P41" i="4"/>
  <c r="O41" i="4"/>
  <c r="O49" i="4"/>
  <c r="P49" i="4"/>
  <c r="O42" i="4"/>
  <c r="P42" i="4"/>
  <c r="O46" i="4"/>
  <c r="P46" i="4"/>
  <c r="O50" i="4"/>
  <c r="P50" i="4"/>
  <c r="O39" i="4"/>
  <c r="P39" i="4"/>
  <c r="O43" i="4"/>
  <c r="P43" i="4"/>
  <c r="P47" i="4"/>
  <c r="O47" i="4"/>
  <c r="P40" i="4"/>
  <c r="O40" i="4"/>
  <c r="P48" i="4"/>
  <c r="O48" i="4"/>
  <c r="O45" i="4"/>
  <c r="P45" i="4"/>
  <c r="H4" i="4"/>
  <c r="P44" i="4" l="1"/>
  <c r="O44" i="4"/>
  <c r="M20" i="4"/>
  <c r="G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N20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4" i="4"/>
  <c r="O20" i="4" l="1"/>
  <c r="P20" i="4"/>
  <c r="L11" i="4"/>
  <c r="M11" i="4" s="1"/>
  <c r="L5" i="4"/>
  <c r="M5" i="4" s="1"/>
  <c r="L26" i="4"/>
  <c r="M26" i="4" s="1"/>
  <c r="L6" i="4"/>
  <c r="L4" i="4"/>
  <c r="M4" i="4" s="1"/>
  <c r="L18" i="4"/>
  <c r="M18" i="4" s="1"/>
  <c r="L33" i="4"/>
  <c r="M33" i="4" s="1"/>
  <c r="L12" i="4"/>
  <c r="M12" i="4" s="1"/>
  <c r="L32" i="4"/>
  <c r="M32" i="4" s="1"/>
  <c r="L24" i="4"/>
  <c r="M24" i="4" s="1"/>
  <c r="L27" i="4"/>
  <c r="M27" i="4" s="1"/>
  <c r="L23" i="4"/>
  <c r="M23" i="4" s="1"/>
  <c r="L17" i="4"/>
  <c r="M17" i="4" s="1"/>
  <c r="L31" i="4"/>
  <c r="M31" i="4" s="1"/>
  <c r="L16" i="4"/>
  <c r="M16" i="4" s="1"/>
  <c r="L34" i="4"/>
  <c r="M34" i="4" s="1"/>
  <c r="L35" i="4"/>
  <c r="M35" i="4" s="1"/>
  <c r="L7" i="4"/>
  <c r="M7" i="4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I36" i="4"/>
  <c r="I35" i="4"/>
  <c r="I34" i="4"/>
  <c r="I32" i="4"/>
  <c r="I31" i="4"/>
  <c r="I29" i="4"/>
  <c r="I28" i="4"/>
  <c r="I27" i="4"/>
  <c r="I26" i="4"/>
  <c r="I24" i="4"/>
  <c r="I23" i="4"/>
  <c r="I18" i="4"/>
  <c r="I17" i="4"/>
  <c r="I15" i="4"/>
  <c r="I13" i="4"/>
  <c r="I12" i="4"/>
  <c r="I11" i="4"/>
  <c r="I10" i="4"/>
  <c r="I8" i="4"/>
  <c r="I7" i="4"/>
  <c r="I4" i="4"/>
  <c r="L37" i="4"/>
  <c r="L36" i="4"/>
  <c r="M36" i="4" s="1"/>
  <c r="L30" i="4"/>
  <c r="L29" i="4"/>
  <c r="M29" i="4" s="1"/>
  <c r="L28" i="4"/>
  <c r="M28" i="4" s="1"/>
  <c r="L25" i="4"/>
  <c r="M25" i="4" s="1"/>
  <c r="L22" i="4"/>
  <c r="L21" i="4"/>
  <c r="M21" i="4" s="1"/>
  <c r="L15" i="4"/>
  <c r="M15" i="4" s="1"/>
  <c r="L14" i="4"/>
  <c r="L13" i="4"/>
  <c r="M13" i="4" s="1"/>
  <c r="L10" i="4"/>
  <c r="M10" i="4" s="1"/>
  <c r="L9" i="4"/>
  <c r="L8" i="4"/>
  <c r="M8" i="4" s="1"/>
  <c r="N17" i="4" l="1"/>
  <c r="O17" i="4" s="1"/>
  <c r="N8" i="4"/>
  <c r="P8" i="4" s="1"/>
  <c r="N35" i="4"/>
  <c r="P35" i="4" s="1"/>
  <c r="N4" i="4"/>
  <c r="P4" i="4" s="1"/>
  <c r="N15" i="4"/>
  <c r="P15" i="4" s="1"/>
  <c r="N32" i="4"/>
  <c r="P32" i="4" s="1"/>
  <c r="N23" i="4"/>
  <c r="P23" i="4" s="1"/>
  <c r="N12" i="4"/>
  <c r="O12" i="4" s="1"/>
  <c r="N10" i="4"/>
  <c r="O10" i="4" s="1"/>
  <c r="N7" i="4"/>
  <c r="P7" i="4" s="1"/>
  <c r="N27" i="4"/>
  <c r="O27" i="4" s="1"/>
  <c r="N11" i="4"/>
  <c r="N24" i="4"/>
  <c r="O24" i="4" s="1"/>
  <c r="N18" i="4"/>
  <c r="N28" i="4"/>
  <c r="O28" i="4" s="1"/>
  <c r="N36" i="4"/>
  <c r="N31" i="4"/>
  <c r="N26" i="4"/>
  <c r="P26" i="4" s="1"/>
  <c r="N29" i="4"/>
  <c r="N13" i="4"/>
  <c r="O13" i="4" s="1"/>
  <c r="C52" i="4"/>
  <c r="I33" i="4"/>
  <c r="N33" i="4" s="1"/>
  <c r="I16" i="4"/>
  <c r="N16" i="4" s="1"/>
  <c r="I21" i="4"/>
  <c r="N21" i="4" s="1"/>
  <c r="M37" i="4"/>
  <c r="I37" i="4"/>
  <c r="M9" i="4"/>
  <c r="I9" i="4"/>
  <c r="I5" i="4"/>
  <c r="N34" i="4"/>
  <c r="I25" i="4"/>
  <c r="N25" i="4" s="1"/>
  <c r="M30" i="4"/>
  <c r="I30" i="4"/>
  <c r="M22" i="4"/>
  <c r="I22" i="4"/>
  <c r="M14" i="4"/>
  <c r="I14" i="4"/>
  <c r="M6" i="4"/>
  <c r="I6" i="4"/>
  <c r="O8" i="4" l="1"/>
  <c r="O35" i="4"/>
  <c r="O15" i="4"/>
  <c r="P17" i="4"/>
  <c r="P12" i="4"/>
  <c r="P10" i="4"/>
  <c r="O4" i="4"/>
  <c r="O26" i="4"/>
  <c r="O7" i="4"/>
  <c r="O32" i="4"/>
  <c r="O23" i="4"/>
  <c r="P24" i="4"/>
  <c r="P27" i="4"/>
  <c r="N37" i="4"/>
  <c r="O37" i="4" s="1"/>
  <c r="M54" i="4"/>
  <c r="P28" i="4"/>
  <c r="P11" i="4"/>
  <c r="O11" i="4"/>
  <c r="N6" i="4"/>
  <c r="P6" i="4" s="1"/>
  <c r="N22" i="4"/>
  <c r="O22" i="4" s="1"/>
  <c r="O31" i="4"/>
  <c r="P31" i="4"/>
  <c r="O18" i="4"/>
  <c r="P18" i="4"/>
  <c r="P36" i="4"/>
  <c r="O36" i="4"/>
  <c r="M53" i="4"/>
  <c r="N9" i="4"/>
  <c r="P9" i="4" s="1"/>
  <c r="M52" i="4"/>
  <c r="P33" i="4"/>
  <c r="O33" i="4"/>
  <c r="P29" i="4"/>
  <c r="O29" i="4"/>
  <c r="N14" i="4"/>
  <c r="N30" i="4"/>
  <c r="O25" i="4"/>
  <c r="P25" i="4"/>
  <c r="N5" i="4"/>
  <c r="O16" i="4"/>
  <c r="P16" i="4"/>
  <c r="P34" i="4"/>
  <c r="O34" i="4"/>
  <c r="P13" i="4"/>
  <c r="P21" i="4"/>
  <c r="O21" i="4"/>
  <c r="P37" i="4" l="1"/>
  <c r="P22" i="4"/>
  <c r="O6" i="4"/>
  <c r="O9" i="4"/>
  <c r="O14" i="4"/>
  <c r="P14" i="4"/>
  <c r="P5" i="4"/>
  <c r="O5" i="4"/>
  <c r="O30" i="4"/>
  <c r="P30" i="4"/>
  <c r="I54" i="4" l="1"/>
  <c r="I53" i="4"/>
  <c r="I52" i="4"/>
  <c r="N52" i="4" l="1"/>
  <c r="N54" i="4"/>
  <c r="N53" i="4"/>
</calcChain>
</file>

<file path=xl/sharedStrings.xml><?xml version="1.0" encoding="utf-8"?>
<sst xmlns="http://schemas.openxmlformats.org/spreadsheetml/2006/main" count="256" uniqueCount="235">
  <si>
    <t>A</t>
  </si>
  <si>
    <t>B</t>
  </si>
  <si>
    <t>C</t>
  </si>
  <si>
    <t>D</t>
  </si>
  <si>
    <t>E = D/C</t>
  </si>
  <si>
    <t>F</t>
  </si>
  <si>
    <t>G = D/F</t>
  </si>
  <si>
    <t>I</t>
  </si>
  <si>
    <t>J</t>
  </si>
  <si>
    <t>K = J/I</t>
  </si>
  <si>
    <t>L</t>
  </si>
  <si>
    <t>M = J/L</t>
  </si>
  <si>
    <t>O = N/H - 1</t>
  </si>
  <si>
    <t>Hospital ID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</si>
  <si>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</si>
  <si>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</si>
  <si>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</si>
  <si>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</si>
  <si>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</si>
  <si>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</si>
  <si>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Johns Hopkins</t>
  </si>
  <si>
    <t>McCready</t>
  </si>
  <si>
    <t>Atlantic General</t>
  </si>
  <si>
    <t>Levindale</t>
  </si>
  <si>
    <t xml:space="preserve"> </t>
  </si>
  <si>
    <t>STATEWIDE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</si>
  <si>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</si>
  <si>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</si>
  <si>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</si>
  <si>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</si>
  <si>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</si>
  <si>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</si>
  <si>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HospName</t>
  </si>
  <si>
    <t>Out-of-State (OOS) Ratio</t>
  </si>
  <si>
    <t>Notes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</si>
  <si>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</si>
  <si>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</si>
  <si>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</si>
  <si>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</si>
  <si>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</si>
  <si>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</si>
  <si>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</si>
  <si>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</si>
  <si>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</si>
  <si>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</si>
  <si>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</si>
  <si>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</si>
  <si>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</si>
  <si>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</si>
  <si>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</si>
  <si>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</si>
  <si>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</si>
  <si>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</si>
  <si>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</si>
  <si>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</si>
  <si>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</si>
  <si>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</si>
  <si>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</si>
  <si>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</si>
  <si>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</si>
  <si>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</si>
  <si>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</si>
  <si>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</si>
  <si>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</si>
  <si>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</si>
  <si>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MCCREADY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</si>
  <si>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</si>
  <si>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</si>
  <si>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</si>
  <si>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</si>
  <si>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</si>
  <si>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</si>
  <si>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</si>
  <si>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</si>
  <si>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</si>
  <si>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</si>
  <si>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</si>
  <si>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</si>
  <si>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Improvement Scaling</t>
  </si>
  <si>
    <t>Attainment Scaling</t>
  </si>
  <si>
    <t>Final Adjustment</t>
  </si>
  <si>
    <t>HOSPITAL ID</t>
  </si>
  <si>
    <t>HOSPITAL NAME</t>
  </si>
  <si>
    <t>UNION HOSPITAL  OF CECIL COUNT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</si>
  <si>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</si>
  <si>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</si>
  <si>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</si>
  <si>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</si>
  <si>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</si>
  <si>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ImpMaxRewardScore</t>
  </si>
  <si>
    <t>ImpMaxPenaltyScore</t>
  </si>
  <si>
    <t>AttMaxRewardScore</t>
  </si>
  <si>
    <t>AttMaxPenaltyScore</t>
  </si>
  <si>
    <t>ImpTarget</t>
  </si>
  <si>
    <t>AttTarget</t>
  </si>
  <si>
    <t>210001 - MERITUS</t>
  </si>
  <si>
    <t>210002 - UNIVERSITY OF MARYLAND</t>
  </si>
  <si>
    <t>210003 - PRINCE GEORGE</t>
  </si>
  <si>
    <t>210004 - HOLY CROSS</t>
  </si>
  <si>
    <t>210005 - FREDERICK MEMORIAL</t>
  </si>
  <si>
    <t>210006 - HARFORD</t>
  </si>
  <si>
    <t>210008 - MERCY</t>
  </si>
  <si>
    <t>210009 - JOHNS HOPKINS</t>
  </si>
  <si>
    <t>210010 - DORCHESTER</t>
  </si>
  <si>
    <t>210011 - ST. AGNES</t>
  </si>
  <si>
    <t>210012 - SINAI</t>
  </si>
  <si>
    <t>210013 - BON SECOURS</t>
  </si>
  <si>
    <t>210015 - FRANKLIN SQUARE</t>
  </si>
  <si>
    <t>210016 - WASHINGTON ADVENTIST</t>
  </si>
  <si>
    <t>210017 - GARRETT COUNTY</t>
  </si>
  <si>
    <t>210018 - MONTGOMERY GENERAL</t>
  </si>
  <si>
    <t>210022 - SUBURBAN</t>
  </si>
  <si>
    <t>210023 - ANNE ARUNDEL</t>
  </si>
  <si>
    <t>210024 - UNION MEMORIAL</t>
  </si>
  <si>
    <t>210027 - WESTERN MARYLAND HEALTH SYSTEM</t>
  </si>
  <si>
    <t>210028 - ST. MARY</t>
  </si>
  <si>
    <t>210029 - HOPKINS BAYVIEW MED CTR</t>
  </si>
  <si>
    <t>210030 - CHESTERTOWN</t>
  </si>
  <si>
    <t>210032 - UNION HOSPITAL OF CECIL COUNT</t>
  </si>
  <si>
    <t>210033 - CARROLL COUNTY</t>
  </si>
  <si>
    <t>210034 - HARBOR</t>
  </si>
  <si>
    <t>210035 - CHARLES REGIONAL</t>
  </si>
  <si>
    <t>210037 - EASTON</t>
  </si>
  <si>
    <t>210038 - UMMC MIDTOWN</t>
  </si>
  <si>
    <t>210039 - CALVERT</t>
  </si>
  <si>
    <t>210040 - NORTHWEST</t>
  </si>
  <si>
    <t>210043 - BALTIMORE WASHINGTON MEDICAL CENTER</t>
  </si>
  <si>
    <t>210044 - G.B.M.C.</t>
  </si>
  <si>
    <t>210045 - MCCREADY</t>
  </si>
  <si>
    <t>210048 - HOWARD COUNTY</t>
  </si>
  <si>
    <t>210049 - UPPER CHESAPEAKE HEALTH</t>
  </si>
  <si>
    <t>210051 - DOCTORS COMMUNITY</t>
  </si>
  <si>
    <t>210055 - LAUREL REGIONAL</t>
  </si>
  <si>
    <t>210056 - GOOD SAMARITAN</t>
  </si>
  <si>
    <t>210057 - SHADY GROVE</t>
  </si>
  <si>
    <t>210058 - REHAB &amp; ORTHO</t>
  </si>
  <si>
    <t>210060 - FT. WASHINGTON</t>
  </si>
  <si>
    <t>210061 - ATLANTIC GENERAL</t>
  </si>
  <si>
    <t>210062 - SOUTHERN MARYLAND</t>
  </si>
  <si>
    <t>210063 - UM ST. JOSEPH</t>
  </si>
  <si>
    <t>210064 - LEVINDALE</t>
  </si>
  <si>
    <t>210065 - HOLY CROSS GERMANTOWN</t>
  </si>
  <si>
    <t>Case-Mix Adjusted Rate with OOS Adjustment</t>
  </si>
  <si>
    <t>Change in Case-mix Adjusted Rate from CY2016</t>
  </si>
  <si>
    <t>WASHINGTON ADVENTIST</t>
  </si>
  <si>
    <t>Hospitals</t>
  </si>
  <si>
    <t>Meritus</t>
  </si>
  <si>
    <t>UMMC</t>
  </si>
  <si>
    <t>UM-PGHC</t>
  </si>
  <si>
    <t>Holy Cross</t>
  </si>
  <si>
    <t>Frederick</t>
  </si>
  <si>
    <t>UM-Harford</t>
  </si>
  <si>
    <t>Mercy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</si>
  <si>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</si>
  <si>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</si>
  <si>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</si>
  <si>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</si>
  <si>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</si>
  <si>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</si>
  <si>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</si>
  <si>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</si>
  <si>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</si>
  <si>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</si>
  <si>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</si>
  <si>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</si>
  <si>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</si>
  <si>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</si>
  <si>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</si>
  <si>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</si>
  <si>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</si>
  <si>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</si>
  <si>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</si>
  <si>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</si>
  <si>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</si>
  <si>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</si>
  <si>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</si>
  <si>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</si>
  <si>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</si>
  <si>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</si>
  <si>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</si>
  <si>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</si>
  <si>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</si>
  <si>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</si>
  <si>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</si>
  <si>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MedStar Southern MD</t>
  </si>
  <si>
    <t>UM-St. Joe</t>
  </si>
  <si>
    <t>HC-Germantown</t>
  </si>
  <si>
    <t>Target</t>
  </si>
  <si>
    <t>% Revenue Adjustment</t>
  </si>
  <si>
    <t>$ Revenue Adjustment</t>
  </si>
  <si>
    <t xml:space="preserve">$ Better of Attainment or Improvement </t>
  </si>
  <si>
    <t>Revenue Adjustment Based on Improvement or Attainment</t>
  </si>
  <si>
    <t>Target (top 25th %)</t>
  </si>
  <si>
    <t>Results Used from:</t>
  </si>
  <si>
    <t>Date Updated:</t>
  </si>
  <si>
    <t>Scaling:</t>
  </si>
  <si>
    <t>RY21</t>
  </si>
  <si>
    <t>BWMC</t>
  </si>
  <si>
    <t>CY 2016 Case Mix Adjusted Readmission Rate (RY 2021 Base)</t>
  </si>
  <si>
    <t>CY 2019 Case Mix Adjusted Readmission Rate (RY 2021 Performance)</t>
  </si>
  <si>
    <t>CY16-CY19% Change in Case Mix Adjusted Rate</t>
  </si>
  <si>
    <t>CY2016 Base Year YTD Rates and CY2019 YTD Performance Period by Hospital, All Payers</t>
  </si>
  <si>
    <t>H = D/F * 11.99%</t>
  </si>
  <si>
    <t>N = J/L * 11.99%</t>
  </si>
  <si>
    <t>Mt. Washington Peds</t>
  </si>
  <si>
    <t>Sheppard Pratt</t>
  </si>
  <si>
    <t>Brook Lane</t>
  </si>
  <si>
    <t>Risk Adjusted Readmission Rate is calculated by multiplying the observed-to-expected Readmission Ratio (columns H &amp; N) by 11.99% , the statewide unadjusted rate for all 12 months of CY2016 Base Period and not just CY2016 (YTD).</t>
  </si>
  <si>
    <t>See Tab 3 'CY2016 Readmit Rates' for inputs used to calculate the final CY2016 statewide unadjusted rate of 11.99% (Percent Readmissions Grand Total, column E).</t>
  </si>
  <si>
    <t>Data for rehabilitation hospitals (213028 and 213029) are not presented because rehabilitation admission cannot be a readmission and are not eligible for readmission, but that the data from   the rehabilitation hospitals is used when calculating</t>
  </si>
  <si>
    <t>eligible admissions and readmissions for acute care hospitals.</t>
  </si>
  <si>
    <t>CYTD 2019 Case Mix Adjusted Rate with Out-of-State Adjustment</t>
  </si>
  <si>
    <t>Grace Medical center</t>
  </si>
  <si>
    <t>Adventist White Oak</t>
  </si>
  <si>
    <t>ChristianaCare, Union</t>
  </si>
  <si>
    <t>For this YTD comparison, the same number of months are included for both Base Period and Performance Period, for instance Jan-Dec CY2016 (Base Period YTD) and Jan-Dec CY2019 (Performance Period YTD).</t>
  </si>
  <si>
    <t>(January-December Readmissions + January discharge data to determine December Readmissions)</t>
  </si>
  <si>
    <t>Based on CMMI Data OCT2018-SEP2019</t>
  </si>
  <si>
    <t>RY 21 Final % Revenue Adjustment</t>
  </si>
  <si>
    <t>CY2016 Base Period (YTD, Jan-Dec 2016)</t>
  </si>
  <si>
    <t>CY2019 Performance Period (YTD, Jan-Dec 2019)</t>
  </si>
  <si>
    <r>
      <t>RRIP </t>
    </r>
    <r>
      <rPr>
        <sz val="12"/>
        <color rgb="FF222222"/>
        <rFont val="Arial"/>
        <family val="2"/>
      </rPr>
      <t>(FINAL): M:\CPBM\Quality\RRIP\RY2021\IP_SP_Psych V36\Performance\Tables\RY21_IP_PSYCH_Readmissions_CY19-01 to CY19-12 created 2020-04-03</t>
    </r>
  </si>
  <si>
    <t>FILE PATH:</t>
  </si>
  <si>
    <t>Peninsula &amp; McCready</t>
  </si>
  <si>
    <t>PENINSULA &amp; McCready</t>
  </si>
  <si>
    <t>RRIP assesses hospitals on the better of improvement or attainment.  For improvement, the case-mix adjusted readmission rate is used (column F).  For attainment, the case-mix adjusted readmission rate is adjusted to account for out of state readmissions to ensure fairness to non-border hospitals.  Medicare data from CMMI is used to calculate an out of state ratio (column E).  This ratio is multipled by the case-mix-adjusted rate to get the case-mix adjusted rate with out of state adjustment (column G).Please note that for the Penninsula &amp; McCready combination, the out of state ratio was not combined. A combined OOS will not produce a better attainment value. This report provides on-going preliminary Medicare readmission numbers for attainment.</t>
  </si>
  <si>
    <t>210019*</t>
  </si>
  <si>
    <t>*A combined OOS ratio was not calculated for 210019 since McCready would only have a small impact and PRMC would still receive an improvement reward</t>
  </si>
  <si>
    <t>*Performance results for Peninsula Regional Medical Center revenue adjustments are combined with McCready performance results</t>
  </si>
  <si>
    <t>*Revenue adjustments for Peninsula Regional Medical Center are based on combined performance results and estimated IP revenue for Peninsula and McCready</t>
  </si>
  <si>
    <t>210019 - PENINSULA REGIONAL*</t>
  </si>
  <si>
    <t>RY 2022 Readmission Reduction Incentive Program (RY22 scaling)</t>
  </si>
  <si>
    <t>**Based on 051121 Revenue</t>
  </si>
  <si>
    <t>RY 21 Permanent Inpatient Revenue**</t>
  </si>
  <si>
    <t>RY 2021 Results were used for RY 2022 due to the COVID-19 Public Health 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</si>
</sst>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###,###,###,##0"/>
    <numFmt numFmtId="165" formatCode="\ ##0.00%"/>
    <numFmt numFmtId="166" formatCode="\ #,##0.000"/>
    <numFmt numFmtId="167" formatCode="0.0%"/>
    <numFmt numFmtId="168" formatCode="0.000000000000000%"/>
    <numFmt numFmtId="169" formatCode="&quot;$&quot;#,##0"/>
    <numFmt numFmtId="170" formatCode="0.0000%"/>
    <numFmt numFmtId="171" formatCode="_(&quot;$&quot;* #,##0_);_(&quot;$&quot;* \(#,##0\);_(&quot;$&quot;* &quot;-&quot;??_);_(@_)"/>
    <numFmt numFmtId="172" formatCode="[$-10409]0.00%"/>
    <numFmt numFmtId="173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2"/>
      <color indexed="8"/>
      <name val="Arial, Helvetica, sans-serif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i/>
      <sz val="11"/>
      <color rgb="FFFF0000"/>
      <name val="Arial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3"/>
    <xf numFmtId="0" fontId="2" fillId="6" borderId="3" xfId="3" applyFont="1" applyFill="1" applyBorder="1" applyAlignment="1">
      <alignment horizontal="center" vertical="center" wrapText="1"/>
    </xf>
    <xf numFmtId="0" fontId="6" fillId="0" borderId="3" xfId="3" applyBorder="1"/>
    <xf numFmtId="0" fontId="7" fillId="0" borderId="3" xfId="3" applyFont="1" applyBorder="1"/>
    <xf numFmtId="0" fontId="3" fillId="2" borderId="8" xfId="0" applyNumberFormat="1" applyFont="1" applyFill="1" applyBorder="1" applyAlignment="1" applyProtection="1">
      <alignment horizontal="left"/>
    </xf>
    <xf numFmtId="0" fontId="8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right"/>
    </xf>
    <xf numFmtId="0" fontId="11" fillId="0" borderId="3" xfId="0" applyNumberFormat="1" applyFont="1" applyFill="1" applyBorder="1" applyAlignment="1" applyProtection="1">
      <alignment horizontal="left"/>
    </xf>
    <xf numFmtId="169" fontId="4" fillId="0" borderId="3" xfId="0" applyNumberFormat="1" applyFont="1" applyBorder="1" applyAlignment="1">
      <alignment horizontal="right"/>
    </xf>
    <xf numFmtId="10" fontId="8" fillId="0" borderId="3" xfId="2" applyNumberFormat="1" applyFont="1" applyFill="1" applyBorder="1" applyAlignment="1" applyProtection="1"/>
    <xf numFmtId="170" fontId="8" fillId="0" borderId="3" xfId="2" applyNumberFormat="1" applyFont="1" applyFill="1" applyBorder="1" applyAlignment="1" applyProtection="1"/>
    <xf numFmtId="167" fontId="11" fillId="2" borderId="3" xfId="2" applyNumberFormat="1" applyFont="1" applyFill="1" applyBorder="1" applyAlignment="1" applyProtection="1"/>
    <xf numFmtId="10" fontId="8" fillId="2" borderId="3" xfId="2" applyNumberFormat="1" applyFont="1" applyFill="1" applyBorder="1" applyAlignment="1" applyProtection="1"/>
    <xf numFmtId="169" fontId="11" fillId="0" borderId="8" xfId="1" applyNumberFormat="1" applyFont="1" applyFill="1" applyBorder="1" applyAlignment="1" applyProtection="1"/>
    <xf numFmtId="10" fontId="11" fillId="0" borderId="3" xfId="2" applyNumberFormat="1" applyFont="1" applyFill="1" applyBorder="1" applyAlignment="1" applyProtection="1"/>
    <xf numFmtId="169" fontId="11" fillId="0" borderId="3" xfId="1" applyNumberFormat="1" applyFont="1" applyFill="1" applyBorder="1" applyAlignment="1" applyProtection="1"/>
    <xf numFmtId="10" fontId="8" fillId="2" borderId="0" xfId="2" applyNumberFormat="1" applyFont="1" applyFill="1" applyBorder="1" applyAlignment="1" applyProtection="1"/>
    <xf numFmtId="168" fontId="8" fillId="2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9" fontId="4" fillId="0" borderId="3" xfId="0" applyNumberFormat="1" applyFont="1" applyFill="1" applyBorder="1" applyAlignment="1">
      <alignment horizontal="right"/>
    </xf>
    <xf numFmtId="10" fontId="8" fillId="0" borderId="3" xfId="5" applyNumberFormat="1" applyFont="1" applyFill="1" applyBorder="1" applyAlignment="1" applyProtection="1"/>
    <xf numFmtId="10" fontId="11" fillId="0" borderId="8" xfId="2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169" fontId="3" fillId="0" borderId="3" xfId="0" applyNumberFormat="1" applyFont="1" applyBorder="1" applyAlignment="1">
      <alignment horizontal="right"/>
    </xf>
    <xf numFmtId="167" fontId="10" fillId="2" borderId="3" xfId="2" applyNumberFormat="1" applyFont="1" applyFill="1" applyBorder="1" applyAlignment="1" applyProtection="1"/>
    <xf numFmtId="171" fontId="9" fillId="2" borderId="8" xfId="0" applyNumberFormat="1" applyFont="1" applyFill="1" applyBorder="1" applyAlignment="1" applyProtection="1"/>
    <xf numFmtId="169" fontId="10" fillId="0" borderId="8" xfId="1" applyNumberFormat="1" applyFont="1" applyFill="1" applyBorder="1" applyAlignment="1" applyProtection="1"/>
    <xf numFmtId="0" fontId="8" fillId="2" borderId="3" xfId="0" applyNumberFormat="1" applyFont="1" applyFill="1" applyBorder="1" applyAlignment="1" applyProtection="1"/>
    <xf numFmtId="0" fontId="8" fillId="2" borderId="8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0" fontId="8" fillId="0" borderId="3" xfId="0" applyFont="1" applyBorder="1"/>
    <xf numFmtId="0" fontId="10" fillId="0" borderId="3" xfId="0" applyNumberFormat="1" applyFont="1" applyFill="1" applyBorder="1" applyAlignment="1" applyProtection="1">
      <alignment horizontal="right"/>
    </xf>
    <xf numFmtId="10" fontId="12" fillId="0" borderId="3" xfId="5" applyNumberFormat="1" applyFont="1" applyFill="1" applyBorder="1" applyAlignment="1" applyProtection="1"/>
    <xf numFmtId="167" fontId="11" fillId="0" borderId="3" xfId="2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169" fontId="4" fillId="0" borderId="0" xfId="0" applyNumberFormat="1" applyFont="1" applyBorder="1" applyAlignment="1">
      <alignment horizontal="right"/>
    </xf>
    <xf numFmtId="10" fontId="12" fillId="2" borderId="0" xfId="5" applyNumberFormat="1" applyFont="1" applyFill="1" applyBorder="1" applyAlignment="1" applyProtection="1"/>
    <xf numFmtId="167" fontId="11" fillId="2" borderId="0" xfId="2" applyNumberFormat="1" applyFont="1" applyFill="1" applyBorder="1" applyAlignment="1" applyProtection="1"/>
    <xf numFmtId="167" fontId="8" fillId="2" borderId="0" xfId="2" applyNumberFormat="1" applyFont="1" applyFill="1" applyBorder="1" applyAlignment="1" applyProtection="1"/>
    <xf numFmtId="0" fontId="8" fillId="2" borderId="13" xfId="0" applyNumberFormat="1" applyFont="1" applyFill="1" applyBorder="1" applyAlignment="1" applyProtection="1"/>
    <xf numFmtId="10" fontId="8" fillId="2" borderId="13" xfId="2" applyNumberFormat="1" applyFont="1" applyFill="1" applyBorder="1" applyAlignment="1" applyProtection="1"/>
    <xf numFmtId="10" fontId="14" fillId="12" borderId="3" xfId="2" applyNumberFormat="1" applyFont="1" applyFill="1" applyBorder="1" applyAlignment="1" applyProtection="1">
      <alignment horizontal="center" wrapText="1"/>
    </xf>
    <xf numFmtId="0" fontId="15" fillId="0" borderId="3" xfId="0" applyNumberFormat="1" applyFont="1" applyFill="1" applyBorder="1" applyAlignment="1" applyProtection="1">
      <alignment horizontal="left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10" fillId="0" borderId="3" xfId="0" applyNumberFormat="1" applyFont="1" applyFill="1" applyBorder="1" applyAlignment="1" applyProtection="1">
      <alignment wrapText="1"/>
    </xf>
    <xf numFmtId="0" fontId="8" fillId="2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14" fillId="12" borderId="8" xfId="0" applyFont="1" applyFill="1" applyBorder="1" applyAlignment="1">
      <alignment wrapText="1"/>
    </xf>
    <xf numFmtId="0" fontId="16" fillId="7" borderId="3" xfId="0" applyNumberFormat="1" applyFont="1" applyFill="1" applyBorder="1" applyAlignment="1" applyProtection="1">
      <alignment horizontal="center" vertical="center" wrapText="1"/>
    </xf>
    <xf numFmtId="0" fontId="16" fillId="10" borderId="3" xfId="0" applyNumberFormat="1" applyFont="1" applyFill="1" applyBorder="1" applyAlignment="1" applyProtection="1">
      <alignment horizontal="center" vertical="center" wrapText="1"/>
    </xf>
    <xf numFmtId="10" fontId="16" fillId="10" borderId="3" xfId="0" applyNumberFormat="1" applyFont="1" applyFill="1" applyBorder="1" applyAlignment="1" applyProtection="1">
      <alignment horizontal="center" vertical="center" wrapText="1"/>
    </xf>
    <xf numFmtId="0" fontId="16" fillId="11" borderId="3" xfId="0" applyNumberFormat="1" applyFont="1" applyFill="1" applyBorder="1" applyAlignment="1" applyProtection="1">
      <alignment horizontal="center" vertical="center" wrapText="1"/>
    </xf>
    <xf numFmtId="0" fontId="16" fillId="8" borderId="3" xfId="0" applyNumberFormat="1" applyFont="1" applyFill="1" applyBorder="1" applyAlignment="1" applyProtection="1">
      <alignment horizontal="center" vertical="center" wrapText="1"/>
    </xf>
    <xf numFmtId="0" fontId="16" fillId="9" borderId="3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wrapText="1"/>
    </xf>
    <xf numFmtId="0" fontId="18" fillId="10" borderId="3" xfId="0" applyNumberFormat="1" applyFont="1" applyFill="1" applyBorder="1" applyAlignment="1" applyProtection="1">
      <alignment horizontal="center" vertical="center" wrapText="1"/>
    </xf>
    <xf numFmtId="167" fontId="14" fillId="15" borderId="3" xfId="2" applyNumberFormat="1" applyFont="1" applyFill="1" applyBorder="1" applyAlignment="1" applyProtection="1">
      <alignment horizontal="center" wrapText="1"/>
    </xf>
    <xf numFmtId="10" fontId="14" fillId="15" borderId="3" xfId="2" applyNumberFormat="1" applyFont="1" applyFill="1" applyBorder="1" applyAlignment="1" applyProtection="1">
      <alignment horizontal="center" wrapText="1"/>
    </xf>
    <xf numFmtId="0" fontId="19" fillId="0" borderId="0" xfId="0" applyFont="1"/>
    <xf numFmtId="0" fontId="17" fillId="0" borderId="0" xfId="0" applyFont="1"/>
    <xf numFmtId="10" fontId="6" fillId="0" borderId="3" xfId="5" applyNumberFormat="1" applyBorder="1"/>
    <xf numFmtId="10" fontId="6" fillId="13" borderId="3" xfId="3" applyNumberFormat="1" applyFill="1" applyBorder="1" applyAlignment="1">
      <alignment horizontal="center" vertical="center" wrapText="1"/>
    </xf>
    <xf numFmtId="0" fontId="6" fillId="13" borderId="3" xfId="3" applyFill="1" applyBorder="1" applyAlignment="1">
      <alignment horizontal="center" vertical="center" wrapText="1"/>
    </xf>
    <xf numFmtId="10" fontId="4" fillId="0" borderId="3" xfId="2" applyNumberFormat="1" applyFont="1" applyFill="1" applyBorder="1" applyAlignment="1" applyProtection="1"/>
    <xf numFmtId="0" fontId="0" fillId="16" borderId="0" xfId="0" applyNumberFormat="1" applyFont="1" applyFill="1" applyBorder="1" applyAlignment="1" applyProtection="1"/>
    <xf numFmtId="0" fontId="23" fillId="2" borderId="2" xfId="0" applyNumberFormat="1" applyFont="1" applyFill="1" applyBorder="1" applyAlignment="1" applyProtection="1">
      <alignment horizontal="right" wrapText="1"/>
    </xf>
    <xf numFmtId="0" fontId="23" fillId="2" borderId="2" xfId="0" applyNumberFormat="1" applyFont="1" applyFill="1" applyBorder="1" applyAlignment="1" applyProtection="1">
      <alignment horizontal="left" wrapText="1"/>
    </xf>
    <xf numFmtId="164" fontId="23" fillId="2" borderId="2" xfId="0" applyNumberFormat="1" applyFont="1" applyFill="1" applyBorder="1" applyAlignment="1" applyProtection="1">
      <alignment horizontal="right" wrapText="1"/>
    </xf>
    <xf numFmtId="165" fontId="23" fillId="2" borderId="2" xfId="0" applyNumberFormat="1" applyFont="1" applyFill="1" applyBorder="1" applyAlignment="1" applyProtection="1">
      <alignment horizontal="right" wrapText="1"/>
    </xf>
    <xf numFmtId="166" fontId="23" fillId="2" borderId="2" xfId="0" applyNumberFormat="1" applyFont="1" applyFill="1" applyBorder="1" applyAlignment="1" applyProtection="1">
      <alignment horizontal="right" wrapText="1"/>
    </xf>
    <xf numFmtId="0" fontId="24" fillId="5" borderId="2" xfId="0" applyNumberFormat="1" applyFont="1" applyFill="1" applyBorder="1" applyAlignment="1" applyProtection="1">
      <alignment horizontal="right" wrapText="1"/>
    </xf>
    <xf numFmtId="0" fontId="24" fillId="5" borderId="2" xfId="0" applyNumberFormat="1" applyFont="1" applyFill="1" applyBorder="1" applyAlignment="1" applyProtection="1">
      <alignment horizontal="left" wrapText="1"/>
    </xf>
    <xf numFmtId="164" fontId="24" fillId="5" borderId="2" xfId="0" applyNumberFormat="1" applyFont="1" applyFill="1" applyBorder="1" applyAlignment="1" applyProtection="1">
      <alignment horizontal="right" wrapText="1"/>
    </xf>
    <xf numFmtId="165" fontId="24" fillId="5" borderId="2" xfId="0" applyNumberFormat="1" applyFont="1" applyFill="1" applyBorder="1" applyAlignment="1" applyProtection="1">
      <alignment horizontal="right" wrapText="1"/>
    </xf>
    <xf numFmtId="166" fontId="24" fillId="5" borderId="2" xfId="0" applyNumberFormat="1" applyFont="1" applyFill="1" applyBorder="1" applyAlignment="1" applyProtection="1">
      <alignment horizontal="right" wrapText="1"/>
    </xf>
    <xf numFmtId="0" fontId="22" fillId="2" borderId="0" xfId="0" applyNumberFormat="1" applyFont="1" applyFill="1" applyBorder="1" applyAlignment="1" applyProtection="1">
      <alignment horizontal="left"/>
    </xf>
    <xf numFmtId="0" fontId="21" fillId="0" borderId="0" xfId="3" applyFont="1"/>
    <xf numFmtId="0" fontId="20" fillId="0" borderId="0" xfId="3" applyFont="1"/>
    <xf numFmtId="2" fontId="0" fillId="0" borderId="3" xfId="0" applyNumberFormat="1" applyBorder="1"/>
    <xf numFmtId="172" fontId="6" fillId="0" borderId="14" xfId="4" applyNumberFormat="1" applyBorder="1" applyAlignment="1">
      <alignment vertical="top" wrapText="1" readingOrder="1"/>
    </xf>
    <xf numFmtId="14" fontId="8" fillId="2" borderId="0" xfId="0" applyNumberFormat="1" applyFont="1" applyFill="1" applyBorder="1" applyAlignment="1" applyProtection="1"/>
    <xf numFmtId="0" fontId="25" fillId="0" borderId="0" xfId="0" applyFont="1"/>
    <xf numFmtId="14" fontId="17" fillId="2" borderId="0" xfId="0" applyNumberFormat="1" applyFont="1" applyFill="1" applyBorder="1" applyAlignment="1" applyProtection="1">
      <alignment wrapText="1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3" fontId="8" fillId="2" borderId="0" xfId="0" applyNumberFormat="1" applyFont="1" applyFill="1" applyBorder="1" applyAlignment="1" applyProtection="1"/>
    <xf numFmtId="173" fontId="8" fillId="2" borderId="0" xfId="6" applyNumberFormat="1" applyFont="1" applyFill="1" applyBorder="1" applyAlignment="1" applyProtection="1"/>
    <xf numFmtId="173" fontId="8" fillId="2" borderId="0" xfId="6" applyNumberFormat="1" applyFont="1" applyFill="1" applyBorder="1" applyAlignment="1" applyProtection="1">
      <alignment horizontal="right"/>
    </xf>
    <xf numFmtId="173" fontId="8" fillId="2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2" fontId="0" fillId="0" borderId="3" xfId="0" applyNumberFormat="1" applyFont="1" applyBorder="1"/>
    <xf numFmtId="0" fontId="6" fillId="0" borderId="3" xfId="3" applyFont="1" applyBorder="1"/>
    <xf numFmtId="172" fontId="6" fillId="0" borderId="14" xfId="4" applyNumberFormat="1" applyFont="1" applyBorder="1" applyAlignment="1">
      <alignment vertical="top" wrapText="1" readingOrder="1"/>
    </xf>
    <xf numFmtId="10" fontId="6" fillId="0" borderId="3" xfId="5" applyNumberFormat="1" applyFont="1" applyBorder="1"/>
    <xf numFmtId="0" fontId="11" fillId="0" borderId="2" xfId="0" applyNumberFormat="1" applyFont="1" applyFill="1" applyBorder="1" applyAlignment="1" applyProtection="1">
      <alignment horizontal="left" wrapText="1"/>
    </xf>
    <xf numFmtId="0" fontId="23" fillId="0" borderId="2" xfId="0" applyNumberFormat="1" applyFont="1" applyFill="1" applyBorder="1" applyAlignment="1" applyProtection="1">
      <alignment horizontal="right" wrapText="1"/>
    </xf>
    <xf numFmtId="0" fontId="23" fillId="0" borderId="2" xfId="0" applyNumberFormat="1" applyFont="1" applyFill="1" applyBorder="1" applyAlignment="1" applyProtection="1">
      <alignment horizontal="left" wrapText="1"/>
    </xf>
    <xf numFmtId="164" fontId="23" fillId="0" borderId="2" xfId="0" applyNumberFormat="1" applyFont="1" applyFill="1" applyBorder="1" applyAlignment="1" applyProtection="1">
      <alignment horizontal="right" wrapText="1"/>
    </xf>
    <xf numFmtId="165" fontId="23" fillId="0" borderId="2" xfId="0" applyNumberFormat="1" applyFont="1" applyFill="1" applyBorder="1" applyAlignment="1" applyProtection="1">
      <alignment horizontal="right" wrapText="1"/>
    </xf>
    <xf numFmtId="166" fontId="23" fillId="0" borderId="2" xfId="0" applyNumberFormat="1" applyFont="1" applyFill="1" applyBorder="1" applyAlignment="1" applyProtection="1">
      <alignment horizontal="right" wrapText="1"/>
    </xf>
    <xf numFmtId="10" fontId="8" fillId="0" borderId="0" xfId="2" applyNumberFormat="1" applyFont="1" applyFill="1" applyBorder="1" applyAlignment="1" applyProtection="1"/>
    <xf numFmtId="169" fontId="8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5" fillId="14" borderId="1" xfId="0" applyNumberFormat="1" applyFont="1" applyFill="1" applyBorder="1" applyAlignment="1" applyProtection="1">
      <alignment horizontal="center" vertical="center" wrapText="1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6" fillId="0" borderId="4" xfId="3" applyBorder="1" applyAlignment="1">
      <alignment horizontal="left" vertical="top" wrapText="1"/>
    </xf>
    <xf numFmtId="0" fontId="6" fillId="0" borderId="5" xfId="3" applyBorder="1" applyAlignment="1">
      <alignment horizontal="left" vertical="top" wrapText="1"/>
    </xf>
    <xf numFmtId="0" fontId="6" fillId="0" borderId="6" xfId="3" applyBorder="1" applyAlignment="1">
      <alignment horizontal="left" vertical="top" wrapText="1"/>
    </xf>
    <xf numFmtId="0" fontId="6" fillId="0" borderId="0" xfId="3" applyAlignment="1">
      <alignment horizontal="left" wrapText="1"/>
    </xf>
    <xf numFmtId="0" fontId="9" fillId="8" borderId="8" xfId="0" applyNumberFormat="1" applyFont="1" applyFill="1" applyBorder="1" applyAlignment="1" applyProtection="1">
      <alignment horizontal="center"/>
    </xf>
    <xf numFmtId="0" fontId="9" fillId="8" borderId="9" xfId="0" applyNumberFormat="1" applyFont="1" applyFill="1" applyBorder="1" applyAlignment="1" applyProtection="1">
      <alignment horizontal="center"/>
    </xf>
    <xf numFmtId="0" fontId="9" fillId="8" borderId="10" xfId="0" applyNumberFormat="1" applyFont="1" applyFill="1" applyBorder="1" applyAlignment="1" applyProtection="1">
      <alignment horizontal="center"/>
    </xf>
    <xf numFmtId="0" fontId="13" fillId="0" borderId="0" xfId="0" applyFont="1" applyFill="1" applyAlignment="1">
      <alignment horizontal="left"/>
    </xf>
    <xf numFmtId="0" fontId="9" fillId="9" borderId="11" xfId="0" applyNumberFormat="1" applyFont="1" applyFill="1" applyBorder="1" applyAlignment="1" applyProtection="1">
      <alignment horizontal="center"/>
    </xf>
    <xf numFmtId="0" fontId="9" fillId="9" borderId="7" xfId="0" applyNumberFormat="1" applyFont="1" applyFill="1" applyBorder="1" applyAlignment="1" applyProtection="1">
      <alignment horizontal="center"/>
    </xf>
    <xf numFmtId="0" fontId="9" fillId="9" borderId="12" xfId="0" applyNumberFormat="1" applyFont="1" applyFill="1" applyBorder="1" applyAlignment="1" applyProtection="1">
      <alignment horizontal="center"/>
    </xf>
    <xf numFmtId="0" fontId="9" fillId="7" borderId="13" xfId="0" applyNumberFormat="1" applyFont="1" applyFill="1" applyBorder="1" applyAlignment="1" applyProtection="1">
      <alignment horizontal="center"/>
    </xf>
    <xf numFmtId="0" fontId="9" fillId="7" borderId="0" xfId="0" applyNumberFormat="1" applyFont="1" applyFill="1" applyBorder="1" applyAlignment="1" applyProtection="1">
      <alignment horizontal="center"/>
    </xf>
    <xf numFmtId="0" fontId="27" fillId="2" borderId="9" xfId="0" applyNumberFormat="1" applyFont="1" applyFill="1" applyBorder="1" applyAlignment="1" applyProtection="1">
      <alignment horizontal="center" vertical="center"/>
    </xf>
    <xf numFmtId="0" fontId="27" fillId="2" borderId="10" xfId="0" applyNumberFormat="1" applyFont="1" applyFill="1" applyBorder="1" applyAlignment="1" applyProtection="1">
      <alignment horizontal="center" vertical="center"/>
    </xf>
  </cellXfs>
  <cellStyles count="7">
    <cellStyle name="Comma" xfId="6" builtinId="3"/>
    <cellStyle name="Currency" xfId="1" builtinId="4"/>
    <cellStyle name="Normal" xfId="0" builtinId="0"/>
    <cellStyle name="Normal 2" xfId="3"/>
    <cellStyle name="Normal 2 2 2" xfId="4"/>
    <cellStyle name="Percent" xfId="2" builtinId="5"/>
    <cellStyle name="Percent 2 3" xfId="5"/>
  </cellStyles>
  <dxfs count="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RRIP%20Scal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admission Final"/>
      <sheetName val="Readmit Attainment"/>
      <sheetName val="RRIP Results"/>
    </sheetNames>
    <sheetDataSet>
      <sheetData sheetId="0"/>
      <sheetData sheetId="1"/>
      <sheetData sheetId="2">
        <row r="62">
          <cell r="C62">
            <v>0.01</v>
          </cell>
        </row>
        <row r="63">
          <cell r="C63">
            <v>-0.02</v>
          </cell>
        </row>
        <row r="65">
          <cell r="C65">
            <v>-0.14299999999999999</v>
          </cell>
        </row>
        <row r="66">
          <cell r="C66">
            <v>-0.248</v>
          </cell>
        </row>
        <row r="67">
          <cell r="C67">
            <v>6.7000000000000004E-2</v>
          </cell>
        </row>
        <row r="68">
          <cell r="C68">
            <v>0.107</v>
          </cell>
        </row>
        <row r="69">
          <cell r="C69">
            <v>0.10199999999999999</v>
          </cell>
        </row>
        <row r="70">
          <cell r="C70">
            <v>0.11700000000000001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2">
          <cell r="A2" t="str">
            <v>Hospital ID</v>
          </cell>
        </row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72"/>
  <sheetViews>
    <sheetView topLeftCell="D1" zoomScaleNormal="100" workbookViewId="0">
      <pane ySplit="6" topLeftCell="A7" activePane="bottomLeft" state="frozen"/>
      <selection pane="bottomLeft" activeCell="B24" sqref="B24:O24"/>
    </sheetView>
  </sheetViews>
  <sheetFormatPr defaultColWidth="9.140625" defaultRowHeight="15"/>
  <cols>
    <col min="1" max="1" width="12.85546875" style="68" bestFit="1" customWidth="1"/>
    <col min="2" max="2" width="25.7109375" style="68" bestFit="1" customWidth="1"/>
    <col min="3" max="15" width="20.5703125" style="68" bestFit="1" customWidth="1"/>
    <col min="16" max="16384" width="9.140625" style="68"/>
  </cols>
  <sheetData>
    <row r="1" spans="1:16" ht="14.1" customHeight="1">
      <c r="A1" s="107" t="s">
        <v>201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68" t="s">
        <v>222</v>
      </c>
    </row>
    <row r="2" spans="1:16" ht="14.1" customHeight="1">
      <c r="A2" s="108" t="s">
        <v>216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85" t="s">
        <v>221</v>
      </c>
    </row>
    <row r="3" spans="1:16" ht="12.95" customHeight="1"/>
    <row r="4" spans="1:16" ht="12.95" customHeight="1">
      <c r="A4" s="109" t="s">
        <v>145</v>
      </c>
      <c r="B4" s="110"/>
      <c r="C4" s="111" t="s">
        <v>219</v>
      </c>
      <c r="D4" s="111"/>
      <c r="E4" s="111"/>
      <c r="F4" s="111"/>
      <c r="G4" s="111"/>
      <c r="H4" s="112"/>
      <c r="I4" s="113" t="s">
        <v>220</v>
      </c>
      <c r="J4" s="113"/>
      <c r="K4" s="113"/>
      <c r="L4" s="113"/>
      <c r="M4" s="113"/>
      <c r="N4" s="113"/>
      <c r="O4" s="114"/>
    </row>
    <row r="5" spans="1:16" ht="12.95" customHeight="1">
      <c r="A5" s="87" t="s">
        <v>0</v>
      </c>
      <c r="B5" s="87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8" t="s">
        <v>6</v>
      </c>
      <c r="H5" s="88" t="s">
        <v>202</v>
      </c>
      <c r="I5" s="89" t="s">
        <v>7</v>
      </c>
      <c r="J5" s="89" t="s">
        <v>8</v>
      </c>
      <c r="K5" s="89" t="s">
        <v>9</v>
      </c>
      <c r="L5" s="89" t="s">
        <v>10</v>
      </c>
      <c r="M5" s="89" t="s">
        <v>11</v>
      </c>
      <c r="N5" s="89" t="s">
        <v>203</v>
      </c>
      <c r="O5" s="89" t="s">
        <v>12</v>
      </c>
    </row>
    <row r="6" spans="1:16" ht="39" customHeight="1">
      <c r="A6" s="87" t="s">
        <v>81</v>
      </c>
      <c r="B6" s="87" t="s">
        <v>82</v>
      </c>
      <c r="C6" s="88" t="s">
        <v>14</v>
      </c>
      <c r="D6" s="88" t="s">
        <v>15</v>
      </c>
      <c r="E6" s="88" t="s">
        <v>16</v>
      </c>
      <c r="F6" s="88" t="s">
        <v>17</v>
      </c>
      <c r="G6" s="88" t="s">
        <v>18</v>
      </c>
      <c r="H6" s="88" t="s">
        <v>19</v>
      </c>
      <c r="I6" s="89" t="s">
        <v>14</v>
      </c>
      <c r="J6" s="89" t="s">
        <v>15</v>
      </c>
      <c r="K6" s="89" t="s">
        <v>16</v>
      </c>
      <c r="L6" s="89" t="s">
        <v>17</v>
      </c>
      <c r="M6" s="89" t="s">
        <v>18</v>
      </c>
      <c r="N6" s="89" t="s">
        <v>19</v>
      </c>
      <c r="O6" s="89" t="s">
        <v>143</v>
      </c>
    </row>
    <row r="7" spans="1:16" ht="15" customHeight="1">
      <c r="A7" s="69">
        <v>210001</v>
      </c>
      <c r="B7" s="70" t="s">
        <v>146</v>
      </c>
      <c r="C7" s="71">
        <v>13810</v>
      </c>
      <c r="D7" s="71">
        <v>1551</v>
      </c>
      <c r="E7" s="72">
        <v>0.1123</v>
      </c>
      <c r="F7" s="71">
        <v>1631.7988</v>
      </c>
      <c r="G7" s="73">
        <v>0.95048480000000002</v>
      </c>
      <c r="H7" s="72">
        <v>0.114</v>
      </c>
      <c r="I7" s="71">
        <v>13598</v>
      </c>
      <c r="J7" s="71">
        <v>1514</v>
      </c>
      <c r="K7" s="72">
        <v>0.1113</v>
      </c>
      <c r="L7" s="71">
        <v>1758.6902</v>
      </c>
      <c r="M7" s="73">
        <v>0.86086790000000002</v>
      </c>
      <c r="N7" s="72">
        <v>0.1033</v>
      </c>
      <c r="O7" s="72">
        <v>-9.3899999999999997E-2</v>
      </c>
    </row>
    <row r="8" spans="1:16" ht="15" customHeight="1">
      <c r="A8" s="69">
        <v>210002</v>
      </c>
      <c r="B8" s="70" t="s">
        <v>147</v>
      </c>
      <c r="C8" s="71">
        <v>22527</v>
      </c>
      <c r="D8" s="71">
        <v>3288</v>
      </c>
      <c r="E8" s="72">
        <v>0.14599999999999999</v>
      </c>
      <c r="F8" s="71">
        <v>2966.3465999999999</v>
      </c>
      <c r="G8" s="73">
        <v>1.1084342</v>
      </c>
      <c r="H8" s="72">
        <v>0.13289999999999999</v>
      </c>
      <c r="I8" s="71">
        <v>21964</v>
      </c>
      <c r="J8" s="71">
        <v>3089</v>
      </c>
      <c r="K8" s="72">
        <v>0.1406</v>
      </c>
      <c r="L8" s="71">
        <v>2980.6547</v>
      </c>
      <c r="M8" s="73">
        <v>1.0363495</v>
      </c>
      <c r="N8" s="72">
        <v>0.12429999999999999</v>
      </c>
      <c r="O8" s="72">
        <v>-6.4699999999999994E-2</v>
      </c>
    </row>
    <row r="9" spans="1:16" ht="15" customHeight="1">
      <c r="A9" s="69">
        <v>210003</v>
      </c>
      <c r="B9" s="70" t="s">
        <v>148</v>
      </c>
      <c r="C9" s="71">
        <v>10639</v>
      </c>
      <c r="D9" s="71">
        <v>1218</v>
      </c>
      <c r="E9" s="72">
        <v>0.1145</v>
      </c>
      <c r="F9" s="71">
        <v>1317.3013000000001</v>
      </c>
      <c r="G9" s="73">
        <v>0.92461760000000004</v>
      </c>
      <c r="H9" s="72">
        <v>0.1109</v>
      </c>
      <c r="I9" s="71">
        <v>9496</v>
      </c>
      <c r="J9" s="71">
        <v>1107</v>
      </c>
      <c r="K9" s="72">
        <v>0.1166</v>
      </c>
      <c r="L9" s="71">
        <v>1314.49</v>
      </c>
      <c r="M9" s="73">
        <v>0.84215169999999995</v>
      </c>
      <c r="N9" s="72">
        <v>0.10100000000000001</v>
      </c>
      <c r="O9" s="72">
        <v>-8.9300000000000004E-2</v>
      </c>
    </row>
    <row r="10" spans="1:16" ht="15" customHeight="1">
      <c r="A10" s="69">
        <v>210004</v>
      </c>
      <c r="B10" s="70" t="s">
        <v>149</v>
      </c>
      <c r="C10" s="71">
        <v>24181</v>
      </c>
      <c r="D10" s="71">
        <v>2108</v>
      </c>
      <c r="E10" s="72">
        <v>8.72E-2</v>
      </c>
      <c r="F10" s="71">
        <v>2133.6098999999999</v>
      </c>
      <c r="G10" s="73">
        <v>0.98799689999999996</v>
      </c>
      <c r="H10" s="72">
        <v>0.11849999999999999</v>
      </c>
      <c r="I10" s="71">
        <v>23434</v>
      </c>
      <c r="J10" s="71">
        <v>1964</v>
      </c>
      <c r="K10" s="72">
        <v>8.3799999999999999E-2</v>
      </c>
      <c r="L10" s="71">
        <v>2107.9063000000001</v>
      </c>
      <c r="M10" s="73">
        <v>0.93173019999999995</v>
      </c>
      <c r="N10" s="72">
        <v>0.11169999999999999</v>
      </c>
      <c r="O10" s="72">
        <v>-5.74E-2</v>
      </c>
    </row>
    <row r="11" spans="1:16" ht="15" customHeight="1">
      <c r="A11" s="69">
        <v>210005</v>
      </c>
      <c r="B11" s="70" t="s">
        <v>150</v>
      </c>
      <c r="C11" s="71">
        <v>14246</v>
      </c>
      <c r="D11" s="71">
        <v>1405</v>
      </c>
      <c r="E11" s="72">
        <v>9.8599999999999993E-2</v>
      </c>
      <c r="F11" s="71">
        <v>1678.2183</v>
      </c>
      <c r="G11" s="73">
        <v>0.83719739999999998</v>
      </c>
      <c r="H11" s="72">
        <v>0.1004</v>
      </c>
      <c r="I11" s="71">
        <v>13785</v>
      </c>
      <c r="J11" s="71">
        <v>1418</v>
      </c>
      <c r="K11" s="72">
        <v>0.10290000000000001</v>
      </c>
      <c r="L11" s="71">
        <v>1649.8889999999999</v>
      </c>
      <c r="M11" s="73">
        <v>0.85945170000000004</v>
      </c>
      <c r="N11" s="72">
        <v>0.1031</v>
      </c>
      <c r="O11" s="72">
        <v>2.69E-2</v>
      </c>
    </row>
    <row r="12" spans="1:16" ht="15" customHeight="1">
      <c r="A12" s="69">
        <v>210006</v>
      </c>
      <c r="B12" s="70" t="s">
        <v>151</v>
      </c>
      <c r="C12" s="71">
        <v>4069</v>
      </c>
      <c r="D12" s="71">
        <v>649</v>
      </c>
      <c r="E12" s="72">
        <v>0.1595</v>
      </c>
      <c r="F12" s="71">
        <v>605.55514000000005</v>
      </c>
      <c r="G12" s="73">
        <v>1.0717439</v>
      </c>
      <c r="H12" s="72">
        <v>0.1285</v>
      </c>
      <c r="I12" s="71">
        <v>3623</v>
      </c>
      <c r="J12" s="71">
        <v>499</v>
      </c>
      <c r="K12" s="72">
        <v>0.13769999999999999</v>
      </c>
      <c r="L12" s="71">
        <v>567.14327000000003</v>
      </c>
      <c r="M12" s="73">
        <v>0.87984819999999997</v>
      </c>
      <c r="N12" s="72">
        <v>0.1055</v>
      </c>
      <c r="O12" s="72">
        <v>-0.17899999999999999</v>
      </c>
    </row>
    <row r="13" spans="1:16" ht="15" customHeight="1">
      <c r="A13" s="69">
        <v>210008</v>
      </c>
      <c r="B13" s="70" t="s">
        <v>152</v>
      </c>
      <c r="C13" s="71">
        <v>12709</v>
      </c>
      <c r="D13" s="71">
        <v>1052</v>
      </c>
      <c r="E13" s="72">
        <v>8.2799999999999999E-2</v>
      </c>
      <c r="F13" s="71">
        <v>1003.673</v>
      </c>
      <c r="G13" s="73">
        <v>1.0481501</v>
      </c>
      <c r="H13" s="72">
        <v>0.12570000000000001</v>
      </c>
      <c r="I13" s="71">
        <v>12309</v>
      </c>
      <c r="J13" s="71">
        <v>1052</v>
      </c>
      <c r="K13" s="72">
        <v>8.5500000000000007E-2</v>
      </c>
      <c r="L13" s="71">
        <v>1060.2575999999999</v>
      </c>
      <c r="M13" s="73">
        <v>0.99221170000000003</v>
      </c>
      <c r="N13" s="72">
        <v>0.11899999999999999</v>
      </c>
      <c r="O13" s="72">
        <v>-5.33E-2</v>
      </c>
    </row>
    <row r="14" spans="1:16" ht="15" customHeight="1">
      <c r="A14" s="69">
        <v>210009</v>
      </c>
      <c r="B14" s="70" t="s">
        <v>20</v>
      </c>
      <c r="C14" s="71">
        <v>39573</v>
      </c>
      <c r="D14" s="71">
        <v>5742</v>
      </c>
      <c r="E14" s="72">
        <v>0.14510000000000001</v>
      </c>
      <c r="F14" s="71">
        <v>5189.8581999999997</v>
      </c>
      <c r="G14" s="73">
        <v>1.1063886000000001</v>
      </c>
      <c r="H14" s="72">
        <v>0.13270000000000001</v>
      </c>
      <c r="I14" s="71">
        <v>36822</v>
      </c>
      <c r="J14" s="71">
        <v>5419</v>
      </c>
      <c r="K14" s="72">
        <v>0.1472</v>
      </c>
      <c r="L14" s="71">
        <v>5062.7969000000003</v>
      </c>
      <c r="M14" s="73">
        <v>1.070357</v>
      </c>
      <c r="N14" s="72">
        <v>0.12839999999999999</v>
      </c>
      <c r="O14" s="72">
        <v>-3.2399999999999998E-2</v>
      </c>
    </row>
    <row r="15" spans="1:16" ht="15" customHeight="1">
      <c r="A15" s="69">
        <v>210010</v>
      </c>
      <c r="B15" s="70" t="s">
        <v>153</v>
      </c>
      <c r="C15" s="71">
        <v>2197</v>
      </c>
      <c r="D15" s="71">
        <v>341</v>
      </c>
      <c r="E15" s="72">
        <v>0.1552</v>
      </c>
      <c r="F15" s="71">
        <v>320.48867999999999</v>
      </c>
      <c r="G15" s="73">
        <v>1.0640000999999999</v>
      </c>
      <c r="H15" s="72">
        <v>0.12759999999999999</v>
      </c>
      <c r="I15" s="71">
        <v>1183</v>
      </c>
      <c r="J15" s="71">
        <v>143</v>
      </c>
      <c r="K15" s="72">
        <v>0.12089999999999999</v>
      </c>
      <c r="L15" s="71">
        <v>191.29549</v>
      </c>
      <c r="M15" s="73">
        <v>0.74753460000000005</v>
      </c>
      <c r="N15" s="72">
        <v>8.9700000000000002E-2</v>
      </c>
      <c r="O15" s="72">
        <v>-0.29699999999999999</v>
      </c>
    </row>
    <row r="16" spans="1:16" ht="15" customHeight="1">
      <c r="A16" s="69">
        <v>210011</v>
      </c>
      <c r="B16" s="70" t="s">
        <v>154</v>
      </c>
      <c r="C16" s="71">
        <v>14783</v>
      </c>
      <c r="D16" s="71">
        <v>1797</v>
      </c>
      <c r="E16" s="72">
        <v>0.1216</v>
      </c>
      <c r="F16" s="71">
        <v>1750.1197</v>
      </c>
      <c r="G16" s="73">
        <v>1.0267869000000001</v>
      </c>
      <c r="H16" s="72">
        <v>0.1232</v>
      </c>
      <c r="I16" s="71">
        <v>11829</v>
      </c>
      <c r="J16" s="71">
        <v>1454</v>
      </c>
      <c r="K16" s="72">
        <v>0.1229</v>
      </c>
      <c r="L16" s="71">
        <v>1501.5128999999999</v>
      </c>
      <c r="M16" s="73">
        <v>0.96835660000000001</v>
      </c>
      <c r="N16" s="72">
        <v>0.11609999999999999</v>
      </c>
      <c r="O16" s="72">
        <v>-5.7599999999999998E-2</v>
      </c>
    </row>
    <row r="17" spans="1:15" ht="15" customHeight="1">
      <c r="A17" s="69">
        <v>210012</v>
      </c>
      <c r="B17" s="70" t="s">
        <v>155</v>
      </c>
      <c r="C17" s="71">
        <v>15608</v>
      </c>
      <c r="D17" s="71">
        <v>2079</v>
      </c>
      <c r="E17" s="72">
        <v>0.13320000000000001</v>
      </c>
      <c r="F17" s="71">
        <v>1993.9138</v>
      </c>
      <c r="G17" s="73">
        <v>1.042673</v>
      </c>
      <c r="H17" s="72">
        <v>0.12509999999999999</v>
      </c>
      <c r="I17" s="71">
        <v>12588</v>
      </c>
      <c r="J17" s="71">
        <v>1427</v>
      </c>
      <c r="K17" s="72">
        <v>0.1134</v>
      </c>
      <c r="L17" s="71">
        <v>1643.5451</v>
      </c>
      <c r="M17" s="73">
        <v>0.86824509999999999</v>
      </c>
      <c r="N17" s="72">
        <v>0.1041</v>
      </c>
      <c r="O17" s="72">
        <v>-0.16789999999999999</v>
      </c>
    </row>
    <row r="18" spans="1:15" ht="15" customHeight="1">
      <c r="A18" s="69">
        <v>210013</v>
      </c>
      <c r="B18" s="70" t="s">
        <v>212</v>
      </c>
      <c r="C18" s="71">
        <v>3474</v>
      </c>
      <c r="D18" s="71">
        <v>807</v>
      </c>
      <c r="E18" s="72">
        <v>0.23230000000000001</v>
      </c>
      <c r="F18" s="71">
        <v>605.99985000000004</v>
      </c>
      <c r="G18" s="73">
        <v>1.3316835</v>
      </c>
      <c r="H18" s="72">
        <v>0.15970000000000001</v>
      </c>
      <c r="I18" s="71">
        <v>2566</v>
      </c>
      <c r="J18" s="71">
        <v>591</v>
      </c>
      <c r="K18" s="72">
        <v>0.2303</v>
      </c>
      <c r="L18" s="71">
        <v>442.74498</v>
      </c>
      <c r="M18" s="73">
        <v>1.3348542000000001</v>
      </c>
      <c r="N18" s="72">
        <v>0.16009999999999999</v>
      </c>
      <c r="O18" s="72">
        <v>2.5000000000000001E-3</v>
      </c>
    </row>
    <row r="19" spans="1:15" ht="15" customHeight="1">
      <c r="A19" s="69">
        <v>210015</v>
      </c>
      <c r="B19" s="70" t="s">
        <v>156</v>
      </c>
      <c r="C19" s="71">
        <v>19094</v>
      </c>
      <c r="D19" s="71">
        <v>2615</v>
      </c>
      <c r="E19" s="72">
        <v>0.13700000000000001</v>
      </c>
      <c r="F19" s="71">
        <v>2392.5569999999998</v>
      </c>
      <c r="G19" s="73">
        <v>1.0929728999999999</v>
      </c>
      <c r="H19" s="72">
        <v>0.13109999999999999</v>
      </c>
      <c r="I19" s="71">
        <v>17545</v>
      </c>
      <c r="J19" s="71">
        <v>2409</v>
      </c>
      <c r="K19" s="72">
        <v>0.13730000000000001</v>
      </c>
      <c r="L19" s="71">
        <v>2350.7858000000001</v>
      </c>
      <c r="M19" s="73">
        <v>1.0247637000000001</v>
      </c>
      <c r="N19" s="72">
        <v>0.1229</v>
      </c>
      <c r="O19" s="72">
        <v>-6.25E-2</v>
      </c>
    </row>
    <row r="20" spans="1:15" ht="15" customHeight="1">
      <c r="A20" s="69">
        <v>210016</v>
      </c>
      <c r="B20" s="70" t="s">
        <v>213</v>
      </c>
      <c r="C20" s="71">
        <v>9094</v>
      </c>
      <c r="D20" s="71">
        <v>1037</v>
      </c>
      <c r="E20" s="72">
        <v>0.114</v>
      </c>
      <c r="F20" s="71">
        <v>1099.7351000000001</v>
      </c>
      <c r="G20" s="73">
        <v>0.94295430000000002</v>
      </c>
      <c r="H20" s="72">
        <v>0.11310000000000001</v>
      </c>
      <c r="I20" s="71">
        <v>8664</v>
      </c>
      <c r="J20" s="71">
        <v>801</v>
      </c>
      <c r="K20" s="72">
        <v>9.2499999999999999E-2</v>
      </c>
      <c r="L20" s="71">
        <v>995.50332000000003</v>
      </c>
      <c r="M20" s="73">
        <v>0.8046181</v>
      </c>
      <c r="N20" s="72">
        <v>9.6500000000000002E-2</v>
      </c>
      <c r="O20" s="72">
        <f t="shared" ref="O20:O25" si="0">N20/H20-1</f>
        <v>-0.14677276746242263</v>
      </c>
    </row>
    <row r="21" spans="1:15" ht="15" customHeight="1">
      <c r="A21" s="69">
        <v>210017</v>
      </c>
      <c r="B21" s="70" t="s">
        <v>157</v>
      </c>
      <c r="C21" s="71">
        <v>1963</v>
      </c>
      <c r="D21" s="71">
        <v>104</v>
      </c>
      <c r="E21" s="72">
        <v>5.2999999999999999E-2</v>
      </c>
      <c r="F21" s="71">
        <v>208.95366999999999</v>
      </c>
      <c r="G21" s="73">
        <v>0.49771799999999999</v>
      </c>
      <c r="H21" s="72">
        <v>5.9700000000000003E-2</v>
      </c>
      <c r="I21" s="71">
        <v>1457</v>
      </c>
      <c r="J21" s="71">
        <v>70</v>
      </c>
      <c r="K21" s="72">
        <v>4.8000000000000001E-2</v>
      </c>
      <c r="L21" s="71">
        <v>179.78462999999999</v>
      </c>
      <c r="M21" s="73">
        <v>0.3893548</v>
      </c>
      <c r="N21" s="72">
        <v>4.6699999999999998E-2</v>
      </c>
      <c r="O21" s="72">
        <f t="shared" si="0"/>
        <v>-0.21775544388609724</v>
      </c>
    </row>
    <row r="22" spans="1:15" ht="15" customHeight="1">
      <c r="A22" s="69">
        <v>210018</v>
      </c>
      <c r="B22" s="70" t="s">
        <v>158</v>
      </c>
      <c r="C22" s="71">
        <v>6473</v>
      </c>
      <c r="D22" s="71">
        <v>785</v>
      </c>
      <c r="E22" s="72">
        <v>0.12130000000000001</v>
      </c>
      <c r="F22" s="71">
        <v>837.06165999999996</v>
      </c>
      <c r="G22" s="73">
        <v>0.93780430000000004</v>
      </c>
      <c r="H22" s="72">
        <v>0.1125</v>
      </c>
      <c r="I22" s="71">
        <v>5379</v>
      </c>
      <c r="J22" s="71">
        <v>595</v>
      </c>
      <c r="K22" s="72">
        <v>0.1106</v>
      </c>
      <c r="L22" s="71">
        <v>729.12013000000002</v>
      </c>
      <c r="M22" s="73">
        <v>0.81605209999999995</v>
      </c>
      <c r="N22" s="72">
        <v>9.7900000000000001E-2</v>
      </c>
      <c r="O22" s="72">
        <f t="shared" si="0"/>
        <v>-0.12977777777777777</v>
      </c>
    </row>
    <row r="23" spans="1:15" ht="15" customHeight="1">
      <c r="A23" s="69" t="s">
        <v>226</v>
      </c>
      <c r="B23" s="70" t="s">
        <v>159</v>
      </c>
      <c r="C23" s="71">
        <v>15235</v>
      </c>
      <c r="D23" s="71">
        <f>1610</f>
        <v>1610</v>
      </c>
      <c r="E23" s="72">
        <f>D23/C23</f>
        <v>0.10567771578601903</v>
      </c>
      <c r="F23" s="71">
        <f>1802.7939</f>
        <v>1802.7938999999999</v>
      </c>
      <c r="G23" s="73">
        <f>D23/F23</f>
        <v>0.89305826916765141</v>
      </c>
      <c r="H23" s="72">
        <f>G23*$E$59</f>
        <v>0.10707768647320141</v>
      </c>
      <c r="I23" s="71">
        <v>13653</v>
      </c>
      <c r="J23" s="71">
        <f>1348</f>
        <v>1348</v>
      </c>
      <c r="K23" s="72">
        <f>J23/I23</f>
        <v>9.8732879220684105E-2</v>
      </c>
      <c r="L23" s="71">
        <f>1722</f>
        <v>1722</v>
      </c>
      <c r="M23" s="73">
        <f>J23/L23</f>
        <v>0.78281068524970965</v>
      </c>
      <c r="N23" s="72">
        <f>M23*$H$59</f>
        <v>9.3859001161440192E-2</v>
      </c>
      <c r="O23" s="72">
        <f t="shared" si="0"/>
        <v>-0.12344948557577862</v>
      </c>
    </row>
    <row r="24" spans="1:15" s="94" customFormat="1" ht="15" customHeight="1">
      <c r="A24" s="100">
        <v>210019</v>
      </c>
      <c r="B24" s="101" t="s">
        <v>223</v>
      </c>
      <c r="C24" s="102">
        <f>C23+C42</f>
        <v>15496</v>
      </c>
      <c r="D24" s="102">
        <f>D23+D42</f>
        <v>1646</v>
      </c>
      <c r="E24" s="103">
        <f>D24/C24</f>
        <v>0.10622096024780589</v>
      </c>
      <c r="F24" s="102">
        <f>F23+F42</f>
        <v>1835.9125629999999</v>
      </c>
      <c r="G24" s="104">
        <f>D24/F24</f>
        <v>0.89655685851962885</v>
      </c>
      <c r="H24" s="103">
        <f>G24*$E$59</f>
        <v>0.10749716733650351</v>
      </c>
      <c r="I24" s="102">
        <f>I23+I42</f>
        <v>13784</v>
      </c>
      <c r="J24" s="102">
        <f>J23+J42</f>
        <v>1364</v>
      </c>
      <c r="K24" s="103">
        <f>J24/I24</f>
        <v>9.8955310504933253E-2</v>
      </c>
      <c r="L24" s="102">
        <f>L23+L42</f>
        <v>1738.2048830000001</v>
      </c>
      <c r="M24" s="104">
        <f>J24/L24</f>
        <v>0.78471762065576933</v>
      </c>
      <c r="N24" s="103">
        <f>M24*$H$59</f>
        <v>9.4087642716626743E-2</v>
      </c>
      <c r="O24" s="103">
        <f t="shared" si="0"/>
        <v>-0.12474305092989368</v>
      </c>
    </row>
    <row r="25" spans="1:15" ht="15" customHeight="1">
      <c r="A25" s="69">
        <v>210022</v>
      </c>
      <c r="B25" s="70" t="s">
        <v>160</v>
      </c>
      <c r="C25" s="71">
        <v>12106</v>
      </c>
      <c r="D25" s="71">
        <v>1438</v>
      </c>
      <c r="E25" s="72">
        <v>0.1188</v>
      </c>
      <c r="F25" s="71">
        <v>1491.6618000000001</v>
      </c>
      <c r="G25" s="73">
        <v>0.96402549999999998</v>
      </c>
      <c r="H25" s="72">
        <v>0.11559999999999999</v>
      </c>
      <c r="I25" s="71">
        <v>11941</v>
      </c>
      <c r="J25" s="71">
        <v>1324</v>
      </c>
      <c r="K25" s="72">
        <v>0.1109</v>
      </c>
      <c r="L25" s="71">
        <v>1595.2972</v>
      </c>
      <c r="M25" s="73">
        <v>0.82993939999999999</v>
      </c>
      <c r="N25" s="72">
        <v>9.9500000000000005E-2</v>
      </c>
      <c r="O25" s="72">
        <f t="shared" si="0"/>
        <v>-0.13927335640138405</v>
      </c>
    </row>
    <row r="26" spans="1:15" ht="15" customHeight="1">
      <c r="A26" s="69">
        <v>210023</v>
      </c>
      <c r="B26" s="70" t="s">
        <v>161</v>
      </c>
      <c r="C26" s="71">
        <v>24687</v>
      </c>
      <c r="D26" s="71">
        <v>2087</v>
      </c>
      <c r="E26" s="72">
        <v>8.4500000000000006E-2</v>
      </c>
      <c r="F26" s="71">
        <v>2174.5844000000002</v>
      </c>
      <c r="G26" s="73">
        <v>0.95972360000000001</v>
      </c>
      <c r="H26" s="72">
        <v>0.11509999999999999</v>
      </c>
      <c r="I26" s="71">
        <v>23483</v>
      </c>
      <c r="J26" s="71">
        <v>2254</v>
      </c>
      <c r="K26" s="72">
        <v>9.6000000000000002E-2</v>
      </c>
      <c r="L26" s="71">
        <v>2370.9288000000001</v>
      </c>
      <c r="M26" s="73">
        <v>0.95068229999999998</v>
      </c>
      <c r="N26" s="72">
        <v>0.114</v>
      </c>
      <c r="O26" s="72">
        <v>-9.5999999999999992E-3</v>
      </c>
    </row>
    <row r="27" spans="1:15" ht="15" customHeight="1">
      <c r="A27" s="69">
        <v>210024</v>
      </c>
      <c r="B27" s="70" t="s">
        <v>162</v>
      </c>
      <c r="C27" s="71">
        <v>10235</v>
      </c>
      <c r="D27" s="71">
        <v>1434</v>
      </c>
      <c r="E27" s="72">
        <v>0.1401</v>
      </c>
      <c r="F27" s="71">
        <v>1314.3706999999999</v>
      </c>
      <c r="G27" s="73">
        <v>1.0910164</v>
      </c>
      <c r="H27" s="72">
        <v>0.13089999999999999</v>
      </c>
      <c r="I27" s="71">
        <v>9585</v>
      </c>
      <c r="J27" s="71">
        <v>1177</v>
      </c>
      <c r="K27" s="72">
        <v>0.12280000000000001</v>
      </c>
      <c r="L27" s="71">
        <v>1232.5246</v>
      </c>
      <c r="M27" s="73">
        <v>0.95495050000000004</v>
      </c>
      <c r="N27" s="72">
        <v>0.1145</v>
      </c>
      <c r="O27" s="72">
        <v>-0.12529999999999999</v>
      </c>
    </row>
    <row r="28" spans="1:15" ht="15" customHeight="1">
      <c r="A28" s="69">
        <v>210027</v>
      </c>
      <c r="B28" s="70" t="s">
        <v>163</v>
      </c>
      <c r="C28" s="71">
        <v>10375</v>
      </c>
      <c r="D28" s="71">
        <v>1279</v>
      </c>
      <c r="E28" s="72">
        <v>0.12330000000000001</v>
      </c>
      <c r="F28" s="71">
        <v>1349.3536999999999</v>
      </c>
      <c r="G28" s="73">
        <v>0.94786119999999996</v>
      </c>
      <c r="H28" s="72">
        <v>0.1137</v>
      </c>
      <c r="I28" s="71">
        <v>9392</v>
      </c>
      <c r="J28" s="71">
        <v>1126</v>
      </c>
      <c r="K28" s="72">
        <v>0.11990000000000001</v>
      </c>
      <c r="L28" s="71">
        <v>1297.5174999999999</v>
      </c>
      <c r="M28" s="73">
        <v>0.867811</v>
      </c>
      <c r="N28" s="72">
        <v>0.1041</v>
      </c>
      <c r="O28" s="72">
        <v>-8.4400000000000003E-2</v>
      </c>
    </row>
    <row r="29" spans="1:15" ht="15" customHeight="1">
      <c r="A29" s="69">
        <v>210028</v>
      </c>
      <c r="B29" s="70" t="s">
        <v>164</v>
      </c>
      <c r="C29" s="71">
        <v>7412</v>
      </c>
      <c r="D29" s="71">
        <v>744</v>
      </c>
      <c r="E29" s="72">
        <v>0.1004</v>
      </c>
      <c r="F29" s="71">
        <v>813.44120999999996</v>
      </c>
      <c r="G29" s="73">
        <v>0.91463280000000002</v>
      </c>
      <c r="H29" s="72">
        <v>0.10970000000000001</v>
      </c>
      <c r="I29" s="71">
        <v>6427</v>
      </c>
      <c r="J29" s="71">
        <v>640</v>
      </c>
      <c r="K29" s="72">
        <v>9.9599999999999994E-2</v>
      </c>
      <c r="L29" s="71">
        <v>756.62053000000003</v>
      </c>
      <c r="M29" s="73">
        <v>0.84586660000000002</v>
      </c>
      <c r="N29" s="72">
        <v>0.10150000000000001</v>
      </c>
      <c r="O29" s="72">
        <v>-7.4700000000000003E-2</v>
      </c>
    </row>
    <row r="30" spans="1:15" ht="15" customHeight="1">
      <c r="A30" s="69">
        <v>210029</v>
      </c>
      <c r="B30" s="70" t="s">
        <v>165</v>
      </c>
      <c r="C30" s="71">
        <v>17440</v>
      </c>
      <c r="D30" s="71">
        <v>2736</v>
      </c>
      <c r="E30" s="72">
        <v>0.15690000000000001</v>
      </c>
      <c r="F30" s="71">
        <v>2242.4841000000001</v>
      </c>
      <c r="G30" s="73">
        <v>1.2200755000000001</v>
      </c>
      <c r="H30" s="72">
        <v>0.14630000000000001</v>
      </c>
      <c r="I30" s="71">
        <v>16710</v>
      </c>
      <c r="J30" s="71">
        <v>2383</v>
      </c>
      <c r="K30" s="72">
        <v>0.1426</v>
      </c>
      <c r="L30" s="71">
        <v>2214.2908000000002</v>
      </c>
      <c r="M30" s="73">
        <v>1.0761911</v>
      </c>
      <c r="N30" s="72">
        <v>0.12909999999999999</v>
      </c>
      <c r="O30" s="72">
        <v>-0.1176</v>
      </c>
    </row>
    <row r="31" spans="1:15" ht="15" customHeight="1">
      <c r="A31" s="69">
        <v>210030</v>
      </c>
      <c r="B31" s="70" t="s">
        <v>166</v>
      </c>
      <c r="C31" s="71">
        <v>1437</v>
      </c>
      <c r="D31" s="71">
        <v>221</v>
      </c>
      <c r="E31" s="72">
        <v>0.15379999999999999</v>
      </c>
      <c r="F31" s="71">
        <v>187.40859</v>
      </c>
      <c r="G31" s="73">
        <v>1.1792415999999999</v>
      </c>
      <c r="H31" s="72">
        <v>0.1414</v>
      </c>
      <c r="I31" s="71">
        <v>590</v>
      </c>
      <c r="J31" s="71">
        <v>52</v>
      </c>
      <c r="K31" s="72">
        <v>8.8099999999999998E-2</v>
      </c>
      <c r="L31" s="71">
        <v>95.446842000000004</v>
      </c>
      <c r="M31" s="73">
        <v>0.54480589999999995</v>
      </c>
      <c r="N31" s="72">
        <v>6.5299999999999997E-2</v>
      </c>
      <c r="O31" s="72">
        <v>-0.53820000000000001</v>
      </c>
    </row>
    <row r="32" spans="1:15" ht="15" customHeight="1">
      <c r="A32" s="69">
        <v>210032</v>
      </c>
      <c r="B32" s="70" t="s">
        <v>214</v>
      </c>
      <c r="C32" s="71">
        <v>5308</v>
      </c>
      <c r="D32" s="71">
        <v>593</v>
      </c>
      <c r="E32" s="72">
        <v>0.11169999999999999</v>
      </c>
      <c r="F32" s="71">
        <v>676.59429</v>
      </c>
      <c r="G32" s="73">
        <v>0.87644840000000002</v>
      </c>
      <c r="H32" s="72">
        <v>0.1051</v>
      </c>
      <c r="I32" s="71">
        <v>4430</v>
      </c>
      <c r="J32" s="71">
        <v>532</v>
      </c>
      <c r="K32" s="72">
        <v>0.1201</v>
      </c>
      <c r="L32" s="71">
        <v>605.38107000000002</v>
      </c>
      <c r="M32" s="73">
        <v>0.87878529999999999</v>
      </c>
      <c r="N32" s="72">
        <v>0.10539999999999999</v>
      </c>
      <c r="O32" s="72">
        <v>2.8999999999999998E-3</v>
      </c>
    </row>
    <row r="33" spans="1:15" ht="15" customHeight="1">
      <c r="A33" s="69">
        <v>210033</v>
      </c>
      <c r="B33" s="70" t="s">
        <v>167</v>
      </c>
      <c r="C33" s="71">
        <v>9126</v>
      </c>
      <c r="D33" s="71">
        <v>1078</v>
      </c>
      <c r="E33" s="72">
        <v>0.1181</v>
      </c>
      <c r="F33" s="71">
        <v>1119.5583999999999</v>
      </c>
      <c r="G33" s="73">
        <v>0.96287959999999995</v>
      </c>
      <c r="H33" s="72">
        <v>0.11550000000000001</v>
      </c>
      <c r="I33" s="71">
        <v>9517</v>
      </c>
      <c r="J33" s="71">
        <v>1189</v>
      </c>
      <c r="K33" s="72">
        <v>0.1249</v>
      </c>
      <c r="L33" s="71">
        <v>1221.0145</v>
      </c>
      <c r="M33" s="73">
        <v>0.97378039999999999</v>
      </c>
      <c r="N33" s="72">
        <v>0.1168</v>
      </c>
      <c r="O33" s="72">
        <v>1.1299999999999999E-2</v>
      </c>
    </row>
    <row r="34" spans="1:15" ht="15" customHeight="1">
      <c r="A34" s="69">
        <v>210034</v>
      </c>
      <c r="B34" s="70" t="s">
        <v>168</v>
      </c>
      <c r="C34" s="71">
        <v>6236</v>
      </c>
      <c r="D34" s="71">
        <v>758</v>
      </c>
      <c r="E34" s="72">
        <v>0.1216</v>
      </c>
      <c r="F34" s="71">
        <v>727.59591999999998</v>
      </c>
      <c r="G34" s="73">
        <v>1.041787</v>
      </c>
      <c r="H34" s="72">
        <v>0.1249</v>
      </c>
      <c r="I34" s="71">
        <v>6387</v>
      </c>
      <c r="J34" s="71">
        <v>910</v>
      </c>
      <c r="K34" s="72">
        <v>0.14249999999999999</v>
      </c>
      <c r="L34" s="71">
        <v>827.18605000000002</v>
      </c>
      <c r="M34" s="73">
        <v>1.1001152999999999</v>
      </c>
      <c r="N34" s="72">
        <v>0.13189999999999999</v>
      </c>
      <c r="O34" s="72">
        <v>5.6000000000000001E-2</v>
      </c>
    </row>
    <row r="35" spans="1:15" ht="15" customHeight="1">
      <c r="A35" s="69">
        <v>210035</v>
      </c>
      <c r="B35" s="70" t="s">
        <v>169</v>
      </c>
      <c r="C35" s="71">
        <v>5941</v>
      </c>
      <c r="D35" s="71">
        <v>620</v>
      </c>
      <c r="E35" s="72">
        <v>0.10440000000000001</v>
      </c>
      <c r="F35" s="71">
        <v>749.43764999999996</v>
      </c>
      <c r="G35" s="73">
        <v>0.82728699999999999</v>
      </c>
      <c r="H35" s="72">
        <v>9.9199999999999997E-2</v>
      </c>
      <c r="I35" s="71">
        <v>5775</v>
      </c>
      <c r="J35" s="71">
        <v>654</v>
      </c>
      <c r="K35" s="72">
        <v>0.1132</v>
      </c>
      <c r="L35" s="71">
        <v>802.41291999999999</v>
      </c>
      <c r="M35" s="73">
        <v>0.81504169999999998</v>
      </c>
      <c r="N35" s="72">
        <v>9.7799999999999998E-2</v>
      </c>
      <c r="O35" s="72">
        <v>-1.41E-2</v>
      </c>
    </row>
    <row r="36" spans="1:15" ht="15" customHeight="1">
      <c r="A36" s="69">
        <v>210037</v>
      </c>
      <c r="B36" s="70" t="s">
        <v>170</v>
      </c>
      <c r="C36" s="71">
        <v>6599</v>
      </c>
      <c r="D36" s="71">
        <v>652</v>
      </c>
      <c r="E36" s="72">
        <v>9.8799999999999999E-2</v>
      </c>
      <c r="F36" s="71">
        <v>710.09852999999998</v>
      </c>
      <c r="G36" s="73">
        <v>0.91818239999999995</v>
      </c>
      <c r="H36" s="72">
        <v>0.1101</v>
      </c>
      <c r="I36" s="71">
        <v>5038</v>
      </c>
      <c r="J36" s="71">
        <v>426</v>
      </c>
      <c r="K36" s="72">
        <v>8.4599999999999995E-2</v>
      </c>
      <c r="L36" s="71">
        <v>589.49784</v>
      </c>
      <c r="M36" s="73">
        <v>0.72264899999999999</v>
      </c>
      <c r="N36" s="72">
        <v>8.6699999999999999E-2</v>
      </c>
      <c r="O36" s="72">
        <v>-0.21249999999999999</v>
      </c>
    </row>
    <row r="37" spans="1:15" ht="15" customHeight="1">
      <c r="A37" s="69">
        <v>210038</v>
      </c>
      <c r="B37" s="70" t="s">
        <v>171</v>
      </c>
      <c r="C37" s="71">
        <v>3914</v>
      </c>
      <c r="D37" s="71">
        <v>826</v>
      </c>
      <c r="E37" s="72">
        <v>0.21099999999999999</v>
      </c>
      <c r="F37" s="71">
        <v>649.04301999999996</v>
      </c>
      <c r="G37" s="73">
        <v>1.2726428999999999</v>
      </c>
      <c r="H37" s="72">
        <v>0.15260000000000001</v>
      </c>
      <c r="I37" s="71">
        <v>4266</v>
      </c>
      <c r="J37" s="71">
        <v>838</v>
      </c>
      <c r="K37" s="72">
        <v>0.19639999999999999</v>
      </c>
      <c r="L37" s="71">
        <v>711.21135000000004</v>
      </c>
      <c r="M37" s="73">
        <v>1.1782714000000001</v>
      </c>
      <c r="N37" s="72">
        <v>0.14130000000000001</v>
      </c>
      <c r="O37" s="72">
        <v>-7.3999999999999996E-2</v>
      </c>
    </row>
    <row r="38" spans="1:15" ht="15" customHeight="1">
      <c r="A38" s="69">
        <v>210039</v>
      </c>
      <c r="B38" s="70" t="s">
        <v>172</v>
      </c>
      <c r="C38" s="71">
        <v>4944</v>
      </c>
      <c r="D38" s="71">
        <v>470</v>
      </c>
      <c r="E38" s="72">
        <v>9.5100000000000004E-2</v>
      </c>
      <c r="F38" s="71">
        <v>608.11983999999995</v>
      </c>
      <c r="G38" s="73">
        <v>0.77287399999999995</v>
      </c>
      <c r="H38" s="72">
        <v>9.2700000000000005E-2</v>
      </c>
      <c r="I38" s="71">
        <v>5342</v>
      </c>
      <c r="J38" s="71">
        <v>641</v>
      </c>
      <c r="K38" s="72">
        <v>0.12</v>
      </c>
      <c r="L38" s="71">
        <v>724.05569000000003</v>
      </c>
      <c r="M38" s="73">
        <v>0.88529100000000005</v>
      </c>
      <c r="N38" s="72">
        <v>0.1062</v>
      </c>
      <c r="O38" s="72">
        <v>0.14560000000000001</v>
      </c>
    </row>
    <row r="39" spans="1:15" ht="15" customHeight="1">
      <c r="A39" s="69">
        <v>210040</v>
      </c>
      <c r="B39" s="70" t="s">
        <v>173</v>
      </c>
      <c r="C39" s="71">
        <v>9976</v>
      </c>
      <c r="D39" s="71">
        <v>1557</v>
      </c>
      <c r="E39" s="72">
        <v>0.15609999999999999</v>
      </c>
      <c r="F39" s="71">
        <v>1465.6059</v>
      </c>
      <c r="G39" s="73">
        <v>1.0623593</v>
      </c>
      <c r="H39" s="72">
        <v>0.12740000000000001</v>
      </c>
      <c r="I39" s="71">
        <v>7933</v>
      </c>
      <c r="J39" s="71">
        <v>1025</v>
      </c>
      <c r="K39" s="72">
        <v>0.12920000000000001</v>
      </c>
      <c r="L39" s="71">
        <v>1256.7716</v>
      </c>
      <c r="M39" s="73">
        <v>0.81558169999999997</v>
      </c>
      <c r="N39" s="72">
        <v>9.7799999999999998E-2</v>
      </c>
      <c r="O39" s="72">
        <v>-0.23230000000000001</v>
      </c>
    </row>
    <row r="40" spans="1:15" ht="15" customHeight="1">
      <c r="A40" s="69">
        <v>210043</v>
      </c>
      <c r="B40" s="70" t="s">
        <v>174</v>
      </c>
      <c r="C40" s="71">
        <v>15411</v>
      </c>
      <c r="D40" s="71">
        <v>2193</v>
      </c>
      <c r="E40" s="72">
        <v>0.14230000000000001</v>
      </c>
      <c r="F40" s="71">
        <v>2054.2089999999998</v>
      </c>
      <c r="G40" s="73">
        <v>1.0675642000000001</v>
      </c>
      <c r="H40" s="72">
        <v>0.128</v>
      </c>
      <c r="I40" s="71">
        <v>16279</v>
      </c>
      <c r="J40" s="71">
        <v>2113</v>
      </c>
      <c r="K40" s="72">
        <v>0.1298</v>
      </c>
      <c r="L40" s="71">
        <v>2306.7692999999999</v>
      </c>
      <c r="M40" s="73">
        <v>0.91599969999999997</v>
      </c>
      <c r="N40" s="72">
        <v>0.1099</v>
      </c>
      <c r="O40" s="72">
        <v>-0.1414</v>
      </c>
    </row>
    <row r="41" spans="1:15" ht="15" customHeight="1">
      <c r="A41" s="69">
        <v>210044</v>
      </c>
      <c r="B41" s="70" t="s">
        <v>175</v>
      </c>
      <c r="C41" s="71">
        <v>15055</v>
      </c>
      <c r="D41" s="71">
        <v>1228</v>
      </c>
      <c r="E41" s="72">
        <v>8.1600000000000006E-2</v>
      </c>
      <c r="F41" s="71">
        <v>1354.8262999999999</v>
      </c>
      <c r="G41" s="73">
        <v>0.90638920000000001</v>
      </c>
      <c r="H41" s="72">
        <v>0.1087</v>
      </c>
      <c r="I41" s="71">
        <v>16176</v>
      </c>
      <c r="J41" s="71">
        <v>1393</v>
      </c>
      <c r="K41" s="72">
        <v>8.6099999999999996E-2</v>
      </c>
      <c r="L41" s="71">
        <v>1580.7427</v>
      </c>
      <c r="M41" s="73">
        <v>0.88123130000000005</v>
      </c>
      <c r="N41" s="72">
        <v>0.1057</v>
      </c>
      <c r="O41" s="72">
        <v>-2.76E-2</v>
      </c>
    </row>
    <row r="42" spans="1:15" ht="15" customHeight="1">
      <c r="A42" s="69">
        <v>210045</v>
      </c>
      <c r="B42" s="70" t="s">
        <v>21</v>
      </c>
      <c r="C42" s="71">
        <v>261</v>
      </c>
      <c r="D42" s="71">
        <v>36</v>
      </c>
      <c r="E42" s="72">
        <v>0.13789999999999999</v>
      </c>
      <c r="F42" s="71">
        <v>33.118662999999998</v>
      </c>
      <c r="G42" s="73">
        <v>1.0870004</v>
      </c>
      <c r="H42" s="72">
        <v>0.13039999999999999</v>
      </c>
      <c r="I42" s="71">
        <v>131</v>
      </c>
      <c r="J42" s="71">
        <v>16</v>
      </c>
      <c r="K42" s="72">
        <v>0.1221</v>
      </c>
      <c r="L42" s="71">
        <v>16.204882999999999</v>
      </c>
      <c r="M42" s="73">
        <v>0.98735669999999998</v>
      </c>
      <c r="N42" s="72">
        <v>0.11840000000000001</v>
      </c>
      <c r="O42" s="72">
        <v>-9.1999999999999998E-2</v>
      </c>
    </row>
    <row r="43" spans="1:15" ht="15" customHeight="1">
      <c r="A43" s="69">
        <v>210048</v>
      </c>
      <c r="B43" s="70" t="s">
        <v>176</v>
      </c>
      <c r="C43" s="71">
        <v>15976</v>
      </c>
      <c r="D43" s="71">
        <v>1683</v>
      </c>
      <c r="E43" s="72">
        <v>0.1053</v>
      </c>
      <c r="F43" s="71">
        <v>1728.4074000000001</v>
      </c>
      <c r="G43" s="73">
        <v>0.97372879999999995</v>
      </c>
      <c r="H43" s="72">
        <v>0.1168</v>
      </c>
      <c r="I43" s="71">
        <v>13618</v>
      </c>
      <c r="J43" s="71">
        <v>1471</v>
      </c>
      <c r="K43" s="72">
        <v>0.108</v>
      </c>
      <c r="L43" s="71">
        <v>1612.3661</v>
      </c>
      <c r="M43" s="73">
        <v>0.91232380000000002</v>
      </c>
      <c r="N43" s="72">
        <v>0.1094</v>
      </c>
      <c r="O43" s="72">
        <v>-6.3399999999999998E-2</v>
      </c>
    </row>
    <row r="44" spans="1:15" ht="15" customHeight="1">
      <c r="A44" s="69">
        <v>210049</v>
      </c>
      <c r="B44" s="70" t="s">
        <v>177</v>
      </c>
      <c r="C44" s="71">
        <v>10625</v>
      </c>
      <c r="D44" s="71">
        <v>1179</v>
      </c>
      <c r="E44" s="72">
        <v>0.111</v>
      </c>
      <c r="F44" s="71">
        <v>1256.7088000000001</v>
      </c>
      <c r="G44" s="73">
        <v>0.93816480000000002</v>
      </c>
      <c r="H44" s="72">
        <v>0.1125</v>
      </c>
      <c r="I44" s="71">
        <v>9870</v>
      </c>
      <c r="J44" s="71">
        <v>1168</v>
      </c>
      <c r="K44" s="72">
        <v>0.1183</v>
      </c>
      <c r="L44" s="71">
        <v>1253.9664</v>
      </c>
      <c r="M44" s="73">
        <v>0.93144439999999995</v>
      </c>
      <c r="N44" s="72">
        <v>0.11169999999999999</v>
      </c>
      <c r="O44" s="72">
        <v>-7.1000000000000004E-3</v>
      </c>
    </row>
    <row r="45" spans="1:15" ht="15" customHeight="1">
      <c r="A45" s="69">
        <v>210051</v>
      </c>
      <c r="B45" s="70" t="s">
        <v>178</v>
      </c>
      <c r="C45" s="71">
        <v>9233</v>
      </c>
      <c r="D45" s="71">
        <v>1333</v>
      </c>
      <c r="E45" s="72">
        <v>0.1444</v>
      </c>
      <c r="F45" s="71">
        <v>1352.5307</v>
      </c>
      <c r="G45" s="73">
        <v>0.98555990000000004</v>
      </c>
      <c r="H45" s="72">
        <v>0.1182</v>
      </c>
      <c r="I45" s="71">
        <v>9870</v>
      </c>
      <c r="J45" s="71">
        <v>1069</v>
      </c>
      <c r="K45" s="72">
        <v>0.10829999999999999</v>
      </c>
      <c r="L45" s="71">
        <v>1491.6759</v>
      </c>
      <c r="M45" s="73">
        <v>0.71664360000000005</v>
      </c>
      <c r="N45" s="72">
        <v>8.5999999999999993E-2</v>
      </c>
      <c r="O45" s="72">
        <v>-0.27239999999999998</v>
      </c>
    </row>
    <row r="46" spans="1:15" ht="15" customHeight="1">
      <c r="A46" s="69">
        <v>210055</v>
      </c>
      <c r="B46" s="70" t="s">
        <v>179</v>
      </c>
      <c r="C46" s="71">
        <v>3228</v>
      </c>
      <c r="D46" s="71">
        <v>520</v>
      </c>
      <c r="E46" s="72">
        <v>0.16109999999999999</v>
      </c>
      <c r="F46" s="71">
        <v>501.57754</v>
      </c>
      <c r="G46" s="73">
        <v>1.036729</v>
      </c>
      <c r="H46" s="72">
        <v>0.12429999999999999</v>
      </c>
      <c r="I46" s="71" t="s">
        <v>24</v>
      </c>
      <c r="J46" s="71" t="s">
        <v>24</v>
      </c>
      <c r="K46" s="72" t="s">
        <v>24</v>
      </c>
      <c r="L46" s="71" t="s">
        <v>24</v>
      </c>
      <c r="M46" s="73" t="s">
        <v>24</v>
      </c>
      <c r="N46" s="72" t="s">
        <v>24</v>
      </c>
      <c r="O46" s="72" t="s">
        <v>24</v>
      </c>
    </row>
    <row r="47" spans="1:15" ht="15" customHeight="1">
      <c r="A47" s="69">
        <v>210056</v>
      </c>
      <c r="B47" s="70" t="s">
        <v>180</v>
      </c>
      <c r="C47" s="71">
        <v>7424</v>
      </c>
      <c r="D47" s="71">
        <v>1152</v>
      </c>
      <c r="E47" s="72">
        <v>0.1552</v>
      </c>
      <c r="F47" s="71">
        <v>1125.752</v>
      </c>
      <c r="G47" s="73">
        <v>1.0233159999999999</v>
      </c>
      <c r="H47" s="72">
        <v>0.1227</v>
      </c>
      <c r="I47" s="71">
        <v>6397</v>
      </c>
      <c r="J47" s="71">
        <v>1106</v>
      </c>
      <c r="K47" s="72">
        <v>0.1729</v>
      </c>
      <c r="L47" s="71">
        <v>1047.0921000000001</v>
      </c>
      <c r="M47" s="73">
        <v>1.0562585</v>
      </c>
      <c r="N47" s="72">
        <v>0.12670000000000001</v>
      </c>
      <c r="O47" s="72">
        <v>3.2599999999999997E-2</v>
      </c>
    </row>
    <row r="48" spans="1:15" ht="15" customHeight="1">
      <c r="A48" s="69">
        <v>210057</v>
      </c>
      <c r="B48" s="70" t="s">
        <v>181</v>
      </c>
      <c r="C48" s="71">
        <v>18993</v>
      </c>
      <c r="D48" s="71">
        <v>1704</v>
      </c>
      <c r="E48" s="72">
        <v>8.9700000000000002E-2</v>
      </c>
      <c r="F48" s="71">
        <v>1961.3588</v>
      </c>
      <c r="G48" s="73">
        <v>0.86878549999999999</v>
      </c>
      <c r="H48" s="72">
        <v>0.1042</v>
      </c>
      <c r="I48" s="71">
        <v>17091</v>
      </c>
      <c r="J48" s="71">
        <v>1415</v>
      </c>
      <c r="K48" s="72">
        <v>8.2799999999999999E-2</v>
      </c>
      <c r="L48" s="71">
        <v>1811.4999</v>
      </c>
      <c r="M48" s="73">
        <v>0.7811207</v>
      </c>
      <c r="N48" s="72">
        <v>9.3700000000000006E-2</v>
      </c>
      <c r="O48" s="72">
        <v>-0.1008</v>
      </c>
    </row>
    <row r="49" spans="1:15" ht="15" customHeight="1">
      <c r="A49" s="69">
        <v>210058</v>
      </c>
      <c r="B49" s="70" t="s">
        <v>182</v>
      </c>
      <c r="C49" s="71">
        <v>582</v>
      </c>
      <c r="D49" s="71">
        <v>38</v>
      </c>
      <c r="E49" s="72">
        <v>6.5299999999999997E-2</v>
      </c>
      <c r="F49" s="71">
        <v>45.532713000000001</v>
      </c>
      <c r="G49" s="73">
        <v>0.8345648</v>
      </c>
      <c r="H49" s="72">
        <v>0.10009999999999999</v>
      </c>
      <c r="I49" s="71">
        <v>405</v>
      </c>
      <c r="J49" s="71">
        <v>32</v>
      </c>
      <c r="K49" s="72">
        <v>7.9000000000000001E-2</v>
      </c>
      <c r="L49" s="71">
        <v>35.998655999999997</v>
      </c>
      <c r="M49" s="73">
        <v>0.88892210000000005</v>
      </c>
      <c r="N49" s="72">
        <v>0.1066</v>
      </c>
      <c r="O49" s="72">
        <v>6.4899999999999999E-2</v>
      </c>
    </row>
    <row r="50" spans="1:15" ht="15" customHeight="1">
      <c r="A50" s="69">
        <v>210060</v>
      </c>
      <c r="B50" s="70" t="s">
        <v>183</v>
      </c>
      <c r="C50" s="71">
        <v>2141</v>
      </c>
      <c r="D50" s="71">
        <v>247</v>
      </c>
      <c r="E50" s="72">
        <v>0.1154</v>
      </c>
      <c r="F50" s="71">
        <v>309.39899000000003</v>
      </c>
      <c r="G50" s="73">
        <v>0.79832190000000003</v>
      </c>
      <c r="H50" s="72">
        <v>9.5699999999999993E-2</v>
      </c>
      <c r="I50" s="71">
        <v>1686</v>
      </c>
      <c r="J50" s="71">
        <v>201</v>
      </c>
      <c r="K50" s="72">
        <v>0.1192</v>
      </c>
      <c r="L50" s="71">
        <v>255.40101000000001</v>
      </c>
      <c r="M50" s="73">
        <v>0.78699770000000002</v>
      </c>
      <c r="N50" s="72">
        <v>9.4399999999999998E-2</v>
      </c>
      <c r="O50" s="72">
        <v>-1.3599999999999999E-2</v>
      </c>
    </row>
    <row r="51" spans="1:15" ht="15" customHeight="1">
      <c r="A51" s="69">
        <v>210061</v>
      </c>
      <c r="B51" s="70" t="s">
        <v>22</v>
      </c>
      <c r="C51" s="71">
        <v>3019</v>
      </c>
      <c r="D51" s="71">
        <v>302</v>
      </c>
      <c r="E51" s="72">
        <v>0.1</v>
      </c>
      <c r="F51" s="71">
        <v>405.92835000000002</v>
      </c>
      <c r="G51" s="73">
        <v>0.74397369999999996</v>
      </c>
      <c r="H51" s="72">
        <v>8.9200000000000002E-2</v>
      </c>
      <c r="I51" s="71">
        <v>2580</v>
      </c>
      <c r="J51" s="71">
        <v>273</v>
      </c>
      <c r="K51" s="72">
        <v>0.10580000000000001</v>
      </c>
      <c r="L51" s="71">
        <v>359.62164000000001</v>
      </c>
      <c r="M51" s="73">
        <v>0.75913120000000001</v>
      </c>
      <c r="N51" s="72">
        <v>9.0999999999999998E-2</v>
      </c>
      <c r="O51" s="72">
        <v>2.0199999999999999E-2</v>
      </c>
    </row>
    <row r="52" spans="1:15" ht="15" customHeight="1">
      <c r="A52" s="69">
        <v>210062</v>
      </c>
      <c r="B52" s="70" t="s">
        <v>184</v>
      </c>
      <c r="C52" s="71">
        <v>9773</v>
      </c>
      <c r="D52" s="71">
        <v>1222</v>
      </c>
      <c r="E52" s="72">
        <v>0.125</v>
      </c>
      <c r="F52" s="71">
        <v>1279.0949000000001</v>
      </c>
      <c r="G52" s="73">
        <v>0.95536310000000002</v>
      </c>
      <c r="H52" s="72">
        <v>0.11459999999999999</v>
      </c>
      <c r="I52" s="71">
        <v>9713</v>
      </c>
      <c r="J52" s="71">
        <v>1053</v>
      </c>
      <c r="K52" s="72">
        <v>0.1084</v>
      </c>
      <c r="L52" s="71">
        <v>1307.0287000000001</v>
      </c>
      <c r="M52" s="73">
        <v>0.80564420000000003</v>
      </c>
      <c r="N52" s="72">
        <v>9.6600000000000005E-2</v>
      </c>
      <c r="O52" s="72">
        <v>-0.15709999999999999</v>
      </c>
    </row>
    <row r="53" spans="1:15" ht="15" customHeight="1">
      <c r="A53" s="69">
        <v>210063</v>
      </c>
      <c r="B53" s="70" t="s">
        <v>185</v>
      </c>
      <c r="C53" s="71">
        <v>14401</v>
      </c>
      <c r="D53" s="71">
        <v>1344</v>
      </c>
      <c r="E53" s="72">
        <v>9.3299999999999994E-2</v>
      </c>
      <c r="F53" s="71">
        <v>1450.1285</v>
      </c>
      <c r="G53" s="73">
        <v>0.92681440000000004</v>
      </c>
      <c r="H53" s="72">
        <v>0.11119999999999999</v>
      </c>
      <c r="I53" s="71">
        <v>13154</v>
      </c>
      <c r="J53" s="71">
        <v>1269</v>
      </c>
      <c r="K53" s="72">
        <v>9.6500000000000002E-2</v>
      </c>
      <c r="L53" s="71">
        <v>1425.3698999999999</v>
      </c>
      <c r="M53" s="73">
        <v>0.89029519999999995</v>
      </c>
      <c r="N53" s="72">
        <v>0.10680000000000001</v>
      </c>
      <c r="O53" s="72">
        <v>-3.9600000000000003E-2</v>
      </c>
    </row>
    <row r="54" spans="1:15" ht="15" customHeight="1">
      <c r="A54" s="69">
        <v>210064</v>
      </c>
      <c r="B54" s="70" t="s">
        <v>23</v>
      </c>
      <c r="C54" s="71">
        <v>1121</v>
      </c>
      <c r="D54" s="71">
        <v>156</v>
      </c>
      <c r="E54" s="72">
        <v>0.13919999999999999</v>
      </c>
      <c r="F54" s="71">
        <v>170.75261</v>
      </c>
      <c r="G54" s="73">
        <v>0.91360240000000004</v>
      </c>
      <c r="H54" s="72">
        <v>0.1096</v>
      </c>
      <c r="I54" s="71">
        <v>959</v>
      </c>
      <c r="J54" s="71">
        <v>121</v>
      </c>
      <c r="K54" s="72">
        <v>0.12620000000000001</v>
      </c>
      <c r="L54" s="71">
        <v>142.65209999999999</v>
      </c>
      <c r="M54" s="73">
        <v>0.84821749999999996</v>
      </c>
      <c r="N54" s="72">
        <v>0.1017</v>
      </c>
      <c r="O54" s="72">
        <v>-7.2099999999999997E-2</v>
      </c>
    </row>
    <row r="55" spans="1:15" ht="15" customHeight="1">
      <c r="A55" s="69">
        <v>210065</v>
      </c>
      <c r="B55" s="70" t="s">
        <v>186</v>
      </c>
      <c r="C55" s="71">
        <v>4344</v>
      </c>
      <c r="D55" s="71">
        <v>487</v>
      </c>
      <c r="E55" s="72">
        <v>0.11210000000000001</v>
      </c>
      <c r="F55" s="71">
        <v>511.47604999999999</v>
      </c>
      <c r="G55" s="73">
        <v>0.95214620000000005</v>
      </c>
      <c r="H55" s="72">
        <v>0.1142</v>
      </c>
      <c r="I55" s="71">
        <v>4688</v>
      </c>
      <c r="J55" s="71">
        <v>499</v>
      </c>
      <c r="K55" s="72">
        <v>0.10639999999999999</v>
      </c>
      <c r="L55" s="71">
        <v>553.70746999999994</v>
      </c>
      <c r="M55" s="73">
        <v>0.9011979</v>
      </c>
      <c r="N55" s="72">
        <v>0.1081</v>
      </c>
      <c r="O55" s="72">
        <v>-5.3400000000000003E-2</v>
      </c>
    </row>
    <row r="56" spans="1:15" ht="15" customHeight="1">
      <c r="A56" s="69">
        <v>213300</v>
      </c>
      <c r="B56" s="70" t="s">
        <v>204</v>
      </c>
      <c r="C56" s="71">
        <v>476</v>
      </c>
      <c r="D56" s="71">
        <v>28</v>
      </c>
      <c r="E56" s="72">
        <v>5.8799999999999998E-2</v>
      </c>
      <c r="F56" s="71">
        <v>56.778559000000001</v>
      </c>
      <c r="G56" s="73">
        <v>0.49314390000000002</v>
      </c>
      <c r="H56" s="72">
        <v>5.91E-2</v>
      </c>
      <c r="I56" s="71">
        <v>175</v>
      </c>
      <c r="J56" s="71">
        <v>17</v>
      </c>
      <c r="K56" s="72">
        <v>9.7100000000000006E-2</v>
      </c>
      <c r="L56" s="71">
        <v>26.487248999999998</v>
      </c>
      <c r="M56" s="73">
        <v>0.64181829999999995</v>
      </c>
      <c r="N56" s="72">
        <v>7.6999999999999999E-2</v>
      </c>
      <c r="O56" s="72">
        <v>0.3029</v>
      </c>
    </row>
    <row r="57" spans="1:15" ht="15" customHeight="1">
      <c r="A57" s="69">
        <v>214000</v>
      </c>
      <c r="B57" s="70" t="s">
        <v>205</v>
      </c>
      <c r="C57" s="71">
        <v>8622</v>
      </c>
      <c r="D57" s="71">
        <v>1204</v>
      </c>
      <c r="E57" s="72">
        <v>0.1396</v>
      </c>
      <c r="F57" s="71">
        <v>1293.6327000000001</v>
      </c>
      <c r="G57" s="73">
        <v>0.9307124</v>
      </c>
      <c r="H57" s="72">
        <v>0.1116</v>
      </c>
      <c r="I57" s="71">
        <v>7686</v>
      </c>
      <c r="J57" s="71">
        <v>962</v>
      </c>
      <c r="K57" s="72">
        <v>0.12520000000000001</v>
      </c>
      <c r="L57" s="71">
        <v>1165.6190999999999</v>
      </c>
      <c r="M57" s="73">
        <v>0.8253125</v>
      </c>
      <c r="N57" s="72">
        <v>9.9000000000000005E-2</v>
      </c>
      <c r="O57" s="72">
        <v>-0.1129</v>
      </c>
    </row>
    <row r="58" spans="1:15" ht="15" customHeight="1">
      <c r="A58" s="69">
        <v>214003</v>
      </c>
      <c r="B58" s="70" t="s">
        <v>206</v>
      </c>
      <c r="C58" s="71">
        <v>1333</v>
      </c>
      <c r="D58" s="71">
        <v>121</v>
      </c>
      <c r="E58" s="72">
        <v>9.0800000000000006E-2</v>
      </c>
      <c r="F58" s="71">
        <v>151.93894</v>
      </c>
      <c r="G58" s="73">
        <v>0.79637259999999999</v>
      </c>
      <c r="H58" s="72">
        <v>9.5500000000000002E-2</v>
      </c>
      <c r="I58" s="71">
        <v>1630</v>
      </c>
      <c r="J58" s="71">
        <v>182</v>
      </c>
      <c r="K58" s="72">
        <v>0.11169999999999999</v>
      </c>
      <c r="L58" s="71">
        <v>202.33909</v>
      </c>
      <c r="M58" s="73">
        <v>0.89948019999999995</v>
      </c>
      <c r="N58" s="72">
        <v>0.1079</v>
      </c>
      <c r="O58" s="72">
        <v>0.1298</v>
      </c>
    </row>
    <row r="59" spans="1:15" ht="15" customHeight="1">
      <c r="A59" s="74" t="s">
        <v>24</v>
      </c>
      <c r="B59" s="75" t="s">
        <v>25</v>
      </c>
      <c r="C59" s="76">
        <v>507429</v>
      </c>
      <c r="D59" s="76">
        <v>60858</v>
      </c>
      <c r="E59" s="77">
        <v>0.11990000000000001</v>
      </c>
      <c r="F59" s="76">
        <v>60860.493999999999</v>
      </c>
      <c r="G59" s="78">
        <v>0.99995900000000004</v>
      </c>
      <c r="H59" s="77">
        <v>0.11990000000000001</v>
      </c>
      <c r="I59" s="76">
        <v>468819</v>
      </c>
      <c r="J59" s="76">
        <v>54431</v>
      </c>
      <c r="K59" s="77">
        <v>0.11609999999999999</v>
      </c>
      <c r="L59" s="76">
        <v>59152.883999999998</v>
      </c>
      <c r="M59" s="78">
        <v>0.92017490000000002</v>
      </c>
      <c r="N59" s="77">
        <v>0.1104</v>
      </c>
      <c r="O59" s="77">
        <v>-7.9200000000000007E-2</v>
      </c>
    </row>
    <row r="60" spans="1:15" ht="12.95" customHeight="1"/>
    <row r="61" spans="1:15" s="79" customFormat="1" ht="12" customHeight="1">
      <c r="A61" s="79" t="s">
        <v>26</v>
      </c>
    </row>
    <row r="62" spans="1:15" s="79" customFormat="1" ht="12" customHeight="1">
      <c r="A62" s="79" t="s">
        <v>27</v>
      </c>
    </row>
    <row r="63" spans="1:15" s="79" customFormat="1" ht="12" customHeight="1">
      <c r="A63" s="79" t="s">
        <v>28</v>
      </c>
    </row>
    <row r="64" spans="1:15" s="79" customFormat="1" ht="12" customHeight="1">
      <c r="A64" s="79" t="s">
        <v>207</v>
      </c>
    </row>
    <row r="65" spans="1:1" s="79" customFormat="1" ht="12" customHeight="1">
      <c r="A65" s="79" t="s">
        <v>208</v>
      </c>
    </row>
    <row r="66" spans="1:1" s="79" customFormat="1" ht="12" customHeight="1">
      <c r="A66" s="79" t="s">
        <v>215</v>
      </c>
    </row>
    <row r="67" spans="1:1" s="79" customFormat="1" ht="12" customHeight="1">
      <c r="A67" s="79" t="s">
        <v>29</v>
      </c>
    </row>
    <row r="68" spans="1:1" s="79" customFormat="1" ht="12" customHeight="1">
      <c r="A68" s="79" t="s">
        <v>30</v>
      </c>
    </row>
    <row r="69" spans="1:1" s="79" customFormat="1" ht="12" customHeight="1">
      <c r="A69" s="79" t="s">
        <v>209</v>
      </c>
    </row>
    <row r="70" spans="1:1" s="79" customFormat="1" ht="12" customHeight="1">
      <c r="A70" s="79" t="s">
        <v>210</v>
      </c>
    </row>
    <row r="71" spans="1:1" ht="12.95" customHeight="1"/>
    <row r="72" spans="1:1">
      <c r="A72" s="68" t="s">
        <v>228</v>
      </c>
    </row>
  </sheetData>
  <autoFilter ref="A6:Q65"/>
  <mergeCells count="5">
    <mergeCell ref="A1:O1"/>
    <mergeCell ref="A2:O2"/>
    <mergeCell ref="A4:B4"/>
    <mergeCell ref="C4:H4"/>
    <mergeCell ref="I4:O4"/>
  </mergeCells>
  <printOptions horizontalCentered="1"/>
  <pageMargins left="0.25" right="0.25" top="0.75" bottom="0.75" header="0.3" footer="0.3"/>
  <pageSetup scale="33" orientation="landscape" r:id="rId1"/>
  <ignoredErrors>
    <ignoredError sqref="E24 K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3"/>
  <sheetViews>
    <sheetView workbookViewId="0">
      <pane xSplit="2" ySplit="3" topLeftCell="C9" activePane="bottomRight" state="frozen"/>
      <selection activeCell="H33" sqref="H33"/>
      <selection pane="topRight" activeCell="H33" sqref="H33"/>
      <selection pane="bottomLeft" activeCell="H33" sqref="H33"/>
      <selection pane="bottomRight" activeCell="D13" sqref="D13"/>
    </sheetView>
  </sheetViews>
  <sheetFormatPr defaultColWidth="8.85546875" defaultRowHeight="15"/>
  <cols>
    <col min="1" max="1" width="8.85546875" style="1"/>
    <col min="2" max="2" width="44" style="1" customWidth="1"/>
    <col min="3" max="4" width="16.42578125" style="1" customWidth="1"/>
    <col min="5" max="5" width="17" style="1" customWidth="1"/>
    <col min="6" max="6" width="65.28515625" style="1" customWidth="1"/>
    <col min="7" max="16384" width="8.85546875" style="1"/>
  </cols>
  <sheetData>
    <row r="1" spans="1:6" ht="21">
      <c r="A1" s="80" t="s">
        <v>31</v>
      </c>
    </row>
    <row r="2" spans="1:6" ht="15.75">
      <c r="A2" s="81" t="s">
        <v>217</v>
      </c>
      <c r="F2"/>
    </row>
    <row r="3" spans="1:6" ht="60">
      <c r="A3" s="66" t="s">
        <v>13</v>
      </c>
      <c r="B3" s="66" t="s">
        <v>32</v>
      </c>
      <c r="C3" s="66" t="s">
        <v>33</v>
      </c>
      <c r="D3" s="65" t="s">
        <v>19</v>
      </c>
      <c r="E3" s="66" t="s">
        <v>142</v>
      </c>
      <c r="F3" s="2" t="s">
        <v>34</v>
      </c>
    </row>
    <row r="4" spans="1:6" ht="15" customHeight="1">
      <c r="A4" s="4">
        <v>210001</v>
      </c>
      <c r="B4" s="3" t="s">
        <v>95</v>
      </c>
      <c r="C4" s="82">
        <v>1.0512820512820513</v>
      </c>
      <c r="D4" s="83">
        <f>VLOOKUP(A4,'Source Readmission Final '!A4:O59,14,FALSE)</f>
        <v>0.1033</v>
      </c>
      <c r="E4" s="64">
        <f t="shared" ref="E4:E41" si="0">D4*C4</f>
        <v>0.10859743589743591</v>
      </c>
      <c r="F4" s="115" t="s">
        <v>225</v>
      </c>
    </row>
    <row r="5" spans="1:6">
      <c r="A5" s="4">
        <v>210002</v>
      </c>
      <c r="B5" s="3" t="s">
        <v>96</v>
      </c>
      <c r="C5" s="82">
        <v>1.0413080895008606</v>
      </c>
      <c r="D5" s="83">
        <f>VLOOKUP(A5,'Source Readmission Final '!A5:O60,14,FALSE)</f>
        <v>0.12429999999999999</v>
      </c>
      <c r="E5" s="64">
        <f t="shared" si="0"/>
        <v>0.12943459552495698</v>
      </c>
      <c r="F5" s="116"/>
    </row>
    <row r="6" spans="1:6">
      <c r="A6" s="4">
        <v>210003</v>
      </c>
      <c r="B6" s="3" t="s">
        <v>97</v>
      </c>
      <c r="C6" s="82">
        <v>1.1963048498845266</v>
      </c>
      <c r="D6" s="83">
        <f>VLOOKUP(A6,'Source Readmission Final '!A6:O61,14,FALSE)</f>
        <v>0.10100000000000001</v>
      </c>
      <c r="E6" s="64">
        <f t="shared" si="0"/>
        <v>0.1208267898383372</v>
      </c>
      <c r="F6" s="116"/>
    </row>
    <row r="7" spans="1:6">
      <c r="A7" s="4">
        <v>210004</v>
      </c>
      <c r="B7" s="3" t="s">
        <v>98</v>
      </c>
      <c r="C7" s="82">
        <v>1.0852713178294573</v>
      </c>
      <c r="D7" s="83">
        <f>VLOOKUP(A7,'Source Readmission Final '!A7:O62,14,FALSE)</f>
        <v>0.11169999999999999</v>
      </c>
      <c r="E7" s="64">
        <f t="shared" si="0"/>
        <v>0.12122480620155038</v>
      </c>
      <c r="F7" s="116"/>
    </row>
    <row r="8" spans="1:6">
      <c r="A8" s="4">
        <v>210005</v>
      </c>
      <c r="B8" s="3" t="s">
        <v>99</v>
      </c>
      <c r="C8" s="82">
        <v>1.0478873239436619</v>
      </c>
      <c r="D8" s="83">
        <f>VLOOKUP(A8,'Source Readmission Final '!A8:O63,14,FALSE)</f>
        <v>0.1031</v>
      </c>
      <c r="E8" s="64">
        <f t="shared" si="0"/>
        <v>0.10803718309859155</v>
      </c>
      <c r="F8" s="116"/>
    </row>
    <row r="9" spans="1:6">
      <c r="A9" s="4">
        <v>210006</v>
      </c>
      <c r="B9" s="3" t="s">
        <v>100</v>
      </c>
      <c r="C9" s="82">
        <v>1.0357142857142858</v>
      </c>
      <c r="D9" s="83">
        <f>VLOOKUP(A9,'Source Readmission Final '!A9:O64,14,FALSE)</f>
        <v>0.1055</v>
      </c>
      <c r="E9" s="64">
        <f t="shared" si="0"/>
        <v>0.10926785714285715</v>
      </c>
      <c r="F9" s="116"/>
    </row>
    <row r="10" spans="1:6">
      <c r="A10" s="4">
        <v>210008</v>
      </c>
      <c r="B10" s="3" t="s">
        <v>101</v>
      </c>
      <c r="C10" s="82">
        <v>1.0277777777777777</v>
      </c>
      <c r="D10" s="83">
        <f>VLOOKUP(A10,'Source Readmission Final '!A10:O65,14,FALSE)</f>
        <v>0.11899999999999999</v>
      </c>
      <c r="E10" s="64">
        <f t="shared" si="0"/>
        <v>0.12230555555555554</v>
      </c>
      <c r="F10" s="116"/>
    </row>
    <row r="11" spans="1:6">
      <c r="A11" s="4">
        <v>210009</v>
      </c>
      <c r="B11" s="3" t="s">
        <v>102</v>
      </c>
      <c r="C11" s="82">
        <v>1.0689075630252101</v>
      </c>
      <c r="D11" s="83">
        <f>VLOOKUP(A11,'Source Readmission Final '!A11:O66,14,FALSE)</f>
        <v>0.12839999999999999</v>
      </c>
      <c r="E11" s="64">
        <f t="shared" si="0"/>
        <v>0.13724773109243696</v>
      </c>
      <c r="F11" s="116"/>
    </row>
    <row r="12" spans="1:6">
      <c r="A12" s="4">
        <v>210010</v>
      </c>
      <c r="B12" s="3" t="s">
        <v>103</v>
      </c>
      <c r="C12" s="82">
        <v>1.0557377049180328</v>
      </c>
      <c r="D12" s="83">
        <f>VLOOKUP(A12,'Source Readmission Final '!A12:O67,14,FALSE)</f>
        <v>8.9700000000000002E-2</v>
      </c>
      <c r="E12" s="64">
        <f t="shared" si="0"/>
        <v>9.4699672131147536E-2</v>
      </c>
      <c r="F12" s="116"/>
    </row>
    <row r="13" spans="1:6">
      <c r="A13" s="4">
        <v>210011</v>
      </c>
      <c r="B13" s="3" t="s">
        <v>104</v>
      </c>
      <c r="C13" s="82">
        <v>1.0057471264367817</v>
      </c>
      <c r="D13" s="83">
        <f>VLOOKUP(A13,'Source Readmission Final '!A13:O68,14,FALSE)</f>
        <v>0.11609999999999999</v>
      </c>
      <c r="E13" s="64">
        <f t="shared" si="0"/>
        <v>0.11676724137931034</v>
      </c>
      <c r="F13" s="116"/>
    </row>
    <row r="14" spans="1:6">
      <c r="A14" s="4">
        <v>210012</v>
      </c>
      <c r="B14" s="3" t="s">
        <v>105</v>
      </c>
      <c r="C14" s="82">
        <v>1.0101302460202606</v>
      </c>
      <c r="D14" s="83">
        <f>VLOOKUP(A14,'Source Readmission Final '!A14:O69,14,FALSE)</f>
        <v>0.1041</v>
      </c>
      <c r="E14" s="64">
        <f t="shared" si="0"/>
        <v>0.10515455861070913</v>
      </c>
      <c r="F14" s="116"/>
    </row>
    <row r="15" spans="1:6">
      <c r="A15" s="4">
        <v>210013</v>
      </c>
      <c r="B15" s="3" t="s">
        <v>106</v>
      </c>
      <c r="C15" s="82">
        <v>1.0125</v>
      </c>
      <c r="D15" s="83">
        <f>VLOOKUP(A15,'Source Readmission Final '!A15:O70,14,FALSE)</f>
        <v>0.16009999999999999</v>
      </c>
      <c r="E15" s="64">
        <f t="shared" si="0"/>
        <v>0.16210124999999997</v>
      </c>
      <c r="F15" s="116"/>
    </row>
    <row r="16" spans="1:6">
      <c r="A16" s="4">
        <v>210015</v>
      </c>
      <c r="B16" s="3" t="s">
        <v>107</v>
      </c>
      <c r="C16" s="82">
        <v>1.0067170445004199</v>
      </c>
      <c r="D16" s="83">
        <f>VLOOKUP(A16,'Source Readmission Final '!A16:O71,14,FALSE)</f>
        <v>0.1229</v>
      </c>
      <c r="E16" s="64">
        <f t="shared" si="0"/>
        <v>0.12372552476910159</v>
      </c>
      <c r="F16" s="116"/>
    </row>
    <row r="17" spans="1:6">
      <c r="A17" s="4">
        <v>210016</v>
      </c>
      <c r="B17" s="3" t="s">
        <v>108</v>
      </c>
      <c r="C17" s="82">
        <v>1.1620879120879122</v>
      </c>
      <c r="D17" s="83">
        <f>VLOOKUP(A17,'Source Readmission Final '!A17:O72,14,FALSE)</f>
        <v>9.6500000000000002E-2</v>
      </c>
      <c r="E17" s="64">
        <f t="shared" si="0"/>
        <v>0.11214148351648352</v>
      </c>
      <c r="F17" s="117"/>
    </row>
    <row r="18" spans="1:6">
      <c r="A18" s="4">
        <v>210017</v>
      </c>
      <c r="B18" s="3" t="s">
        <v>109</v>
      </c>
      <c r="C18" s="82">
        <v>1.6756756756756757</v>
      </c>
      <c r="D18" s="83">
        <f>VLOOKUP(A18,'Source Readmission Final '!A18:O73,14,FALSE)</f>
        <v>4.6699999999999998E-2</v>
      </c>
      <c r="E18" s="64">
        <f t="shared" si="0"/>
        <v>7.8254054054054056E-2</v>
      </c>
      <c r="F18"/>
    </row>
    <row r="19" spans="1:6">
      <c r="A19" s="4">
        <v>210018</v>
      </c>
      <c r="B19" s="3" t="s">
        <v>110</v>
      </c>
      <c r="C19" s="82">
        <v>1.0709677419354839</v>
      </c>
      <c r="D19" s="83">
        <f>VLOOKUP(A19,'Source Readmission Final '!A19:O74,14,FALSE)</f>
        <v>9.7900000000000001E-2</v>
      </c>
      <c r="E19" s="64">
        <f t="shared" si="0"/>
        <v>0.10484774193548388</v>
      </c>
      <c r="F19"/>
    </row>
    <row r="20" spans="1:6">
      <c r="A20" s="4">
        <v>210019</v>
      </c>
      <c r="B20" s="96" t="s">
        <v>230</v>
      </c>
      <c r="C20" s="95">
        <v>1.08</v>
      </c>
      <c r="D20" s="97">
        <f>VLOOKUP(A20,'Source Readmission Final '!A20:O75,14,FALSE)</f>
        <v>9.4087642716626743E-2</v>
      </c>
      <c r="E20" s="98">
        <f>D20*C20</f>
        <v>0.10161465413395689</v>
      </c>
      <c r="F20"/>
    </row>
    <row r="21" spans="1:6">
      <c r="A21" s="4">
        <v>210022</v>
      </c>
      <c r="B21" s="3" t="s">
        <v>111</v>
      </c>
      <c r="C21" s="82">
        <v>1.1080669710806696</v>
      </c>
      <c r="D21" s="83">
        <f>VLOOKUP(A21,'Source Readmission Final '!A22:O77,14,FALSE)</f>
        <v>9.9500000000000005E-2</v>
      </c>
      <c r="E21" s="64">
        <f t="shared" si="0"/>
        <v>0.11025266362252664</v>
      </c>
      <c r="F21"/>
    </row>
    <row r="22" spans="1:6">
      <c r="A22" s="4">
        <v>210023</v>
      </c>
      <c r="B22" s="3" t="s">
        <v>112</v>
      </c>
      <c r="C22" s="82">
        <v>1.0343450479233227</v>
      </c>
      <c r="D22" s="83">
        <f>VLOOKUP(A22,'Source Readmission Final '!A23:O78,14,FALSE)</f>
        <v>0.114</v>
      </c>
      <c r="E22" s="64">
        <f t="shared" si="0"/>
        <v>0.11791533546325879</v>
      </c>
      <c r="F22"/>
    </row>
    <row r="23" spans="1:6">
      <c r="A23" s="4">
        <v>210024</v>
      </c>
      <c r="B23" s="3" t="s">
        <v>113</v>
      </c>
      <c r="C23" s="82">
        <v>1.0129032258064516</v>
      </c>
      <c r="D23" s="83">
        <f>VLOOKUP(A23,'Source Readmission Final '!A24:O79,14,FALSE)</f>
        <v>0.1145</v>
      </c>
      <c r="E23" s="64">
        <f t="shared" si="0"/>
        <v>0.11597741935483871</v>
      </c>
      <c r="F23"/>
    </row>
    <row r="24" spans="1:6">
      <c r="A24" s="4">
        <v>210027</v>
      </c>
      <c r="B24" s="3" t="s">
        <v>114</v>
      </c>
      <c r="C24" s="82">
        <v>1.1440261865793782</v>
      </c>
      <c r="D24" s="83">
        <f>VLOOKUP(A24,'Source Readmission Final '!A25:O80,14,FALSE)</f>
        <v>0.1041</v>
      </c>
      <c r="E24" s="64">
        <f t="shared" si="0"/>
        <v>0.11909312602291326</v>
      </c>
      <c r="F24"/>
    </row>
    <row r="25" spans="1:6">
      <c r="A25" s="4">
        <v>210028</v>
      </c>
      <c r="B25" s="3" t="s">
        <v>115</v>
      </c>
      <c r="C25" s="82">
        <v>1.168421052631579</v>
      </c>
      <c r="D25" s="83">
        <f>VLOOKUP(A25,'Source Readmission Final '!A26:O81,14,FALSE)</f>
        <v>0.10150000000000001</v>
      </c>
      <c r="E25" s="64">
        <f t="shared" si="0"/>
        <v>0.11859473684210528</v>
      </c>
      <c r="F25"/>
    </row>
    <row r="26" spans="1:6">
      <c r="A26" s="4">
        <v>210029</v>
      </c>
      <c r="B26" s="3" t="s">
        <v>116</v>
      </c>
      <c r="C26" s="82">
        <v>1.0198275862068966</v>
      </c>
      <c r="D26" s="83">
        <f>VLOOKUP(A26,'Source Readmission Final '!A27:O82,14,FALSE)</f>
        <v>0.12909999999999999</v>
      </c>
      <c r="E26" s="64">
        <f t="shared" si="0"/>
        <v>0.13165974137931036</v>
      </c>
      <c r="F26"/>
    </row>
    <row r="27" spans="1:6">
      <c r="A27" s="4">
        <v>210030</v>
      </c>
      <c r="B27" s="3" t="s">
        <v>117</v>
      </c>
      <c r="C27" s="82">
        <v>1.1612903225806452</v>
      </c>
      <c r="D27" s="83">
        <f>VLOOKUP(A27,'Source Readmission Final '!A28:O83,14,FALSE)</f>
        <v>6.5299999999999997E-2</v>
      </c>
      <c r="E27" s="64">
        <f t="shared" si="0"/>
        <v>7.5832258064516128E-2</v>
      </c>
      <c r="F27"/>
    </row>
    <row r="28" spans="1:6">
      <c r="A28" s="4">
        <v>210032</v>
      </c>
      <c r="B28" s="3" t="s">
        <v>118</v>
      </c>
      <c r="C28" s="82">
        <v>1.2248062015503876</v>
      </c>
      <c r="D28" s="83">
        <f>VLOOKUP(A28,'Source Readmission Final '!A29:O84,14,FALSE)</f>
        <v>0.10539999999999999</v>
      </c>
      <c r="E28" s="64">
        <f t="shared" si="0"/>
        <v>0.12909457364341084</v>
      </c>
      <c r="F28"/>
    </row>
    <row r="29" spans="1:6">
      <c r="A29" s="4">
        <v>210033</v>
      </c>
      <c r="B29" s="3" t="s">
        <v>119</v>
      </c>
      <c r="C29" s="82">
        <v>1.0154929577464789</v>
      </c>
      <c r="D29" s="83">
        <f>VLOOKUP(A29,'Source Readmission Final '!A30:O85,14,FALSE)</f>
        <v>0.1168</v>
      </c>
      <c r="E29" s="64">
        <f t="shared" si="0"/>
        <v>0.11860957746478873</v>
      </c>
      <c r="F29"/>
    </row>
    <row r="30" spans="1:6">
      <c r="A30" s="4">
        <v>210034</v>
      </c>
      <c r="B30" s="3" t="s">
        <v>120</v>
      </c>
      <c r="C30" s="82">
        <v>1.0058309037900874</v>
      </c>
      <c r="D30" s="83">
        <f>VLOOKUP(A30,'Source Readmission Final '!A31:O86,14,FALSE)</f>
        <v>0.13189999999999999</v>
      </c>
      <c r="E30" s="64">
        <f t="shared" si="0"/>
        <v>0.13266909620991252</v>
      </c>
      <c r="F30"/>
    </row>
    <row r="31" spans="1:6">
      <c r="A31" s="4">
        <v>210035</v>
      </c>
      <c r="B31" s="3" t="s">
        <v>121</v>
      </c>
      <c r="C31" s="82">
        <v>1.1825613079019073</v>
      </c>
      <c r="D31" s="83">
        <f>VLOOKUP(A31,'Source Readmission Final '!A32:O87,14,FALSE)</f>
        <v>9.7799999999999998E-2</v>
      </c>
      <c r="E31" s="64">
        <f t="shared" si="0"/>
        <v>0.11565449591280653</v>
      </c>
      <c r="F31"/>
    </row>
    <row r="32" spans="1:6">
      <c r="A32" s="4">
        <v>210037</v>
      </c>
      <c r="B32" s="3" t="s">
        <v>122</v>
      </c>
      <c r="C32" s="82">
        <v>1.0557377049180328</v>
      </c>
      <c r="D32" s="83">
        <f>VLOOKUP(A32,'Source Readmission Final '!A33:O88,14,FALSE)</f>
        <v>8.6699999999999999E-2</v>
      </c>
      <c r="E32" s="64">
        <f t="shared" si="0"/>
        <v>9.1532459016393439E-2</v>
      </c>
      <c r="F32"/>
    </row>
    <row r="33" spans="1:6">
      <c r="A33" s="4">
        <v>210038</v>
      </c>
      <c r="B33" s="3" t="s">
        <v>123</v>
      </c>
      <c r="C33" s="82">
        <v>1.014018691588785</v>
      </c>
      <c r="D33" s="83">
        <f>VLOOKUP(A33,'Source Readmission Final '!A34:O89,14,FALSE)</f>
        <v>0.14130000000000001</v>
      </c>
      <c r="E33" s="64">
        <f t="shared" si="0"/>
        <v>0.14328084112149533</v>
      </c>
      <c r="F33"/>
    </row>
    <row r="34" spans="1:6">
      <c r="A34" s="4">
        <v>210039</v>
      </c>
      <c r="B34" s="3" t="s">
        <v>124</v>
      </c>
      <c r="C34" s="82">
        <v>1.1098265895953756</v>
      </c>
      <c r="D34" s="83">
        <f>VLOOKUP(A34,'Source Readmission Final '!A35:O90,14,FALSE)</f>
        <v>0.1062</v>
      </c>
      <c r="E34" s="64">
        <f t="shared" si="0"/>
        <v>0.1178635838150289</v>
      </c>
      <c r="F34"/>
    </row>
    <row r="35" spans="1:6">
      <c r="A35" s="4">
        <v>210040</v>
      </c>
      <c r="B35" s="3" t="s">
        <v>125</v>
      </c>
      <c r="C35" s="82">
        <v>1.0193236714975846</v>
      </c>
      <c r="D35" s="83">
        <f>VLOOKUP(A35,'Source Readmission Final '!A36:O91,14,FALSE)</f>
        <v>9.7799999999999998E-2</v>
      </c>
      <c r="E35" s="64">
        <f t="shared" si="0"/>
        <v>9.9689855072463779E-2</v>
      </c>
      <c r="F35"/>
    </row>
    <row r="36" spans="1:6">
      <c r="A36" s="4">
        <v>210043</v>
      </c>
      <c r="B36" s="3" t="s">
        <v>126</v>
      </c>
      <c r="C36" s="82">
        <v>1.0158730158730158</v>
      </c>
      <c r="D36" s="83">
        <f>VLOOKUP(A36,'Source Readmission Final '!A37:O92,14,FALSE)</f>
        <v>0.1099</v>
      </c>
      <c r="E36" s="64">
        <f t="shared" si="0"/>
        <v>0.11164444444444444</v>
      </c>
      <c r="F36"/>
    </row>
    <row r="37" spans="1:6">
      <c r="A37" s="4">
        <v>210044</v>
      </c>
      <c r="B37" s="3" t="s">
        <v>127</v>
      </c>
      <c r="C37" s="82">
        <v>1.0156028368794325</v>
      </c>
      <c r="D37" s="83">
        <f>VLOOKUP(A37,'Source Readmission Final '!A38:O93,14,FALSE)</f>
        <v>0.1057</v>
      </c>
      <c r="E37" s="64">
        <f t="shared" si="0"/>
        <v>0.10734921985815603</v>
      </c>
      <c r="F37"/>
    </row>
    <row r="38" spans="1:6">
      <c r="A38" s="4">
        <v>210045</v>
      </c>
      <c r="B38" s="3" t="s">
        <v>128</v>
      </c>
      <c r="C38" s="95">
        <v>1</v>
      </c>
      <c r="D38" s="83">
        <f>VLOOKUP(A38,'Source Readmission Final '!A39:O94,14,FALSE)</f>
        <v>0.11840000000000001</v>
      </c>
      <c r="E38" s="64">
        <f t="shared" si="0"/>
        <v>0.11840000000000001</v>
      </c>
      <c r="F38"/>
    </row>
    <row r="39" spans="1:6">
      <c r="A39" s="4">
        <v>210048</v>
      </c>
      <c r="B39" s="3" t="s">
        <v>129</v>
      </c>
      <c r="C39" s="82">
        <v>1.0162500000000001</v>
      </c>
      <c r="D39" s="83">
        <f>VLOOKUP(A39,'Source Readmission Final '!A40:O95,14,FALSE)</f>
        <v>0.1094</v>
      </c>
      <c r="E39" s="64">
        <f t="shared" si="0"/>
        <v>0.11117775000000001</v>
      </c>
      <c r="F39"/>
    </row>
    <row r="40" spans="1:6">
      <c r="A40" s="4">
        <v>210049</v>
      </c>
      <c r="B40" s="3" t="s">
        <v>130</v>
      </c>
      <c r="C40" s="82">
        <v>1.0259146341463414</v>
      </c>
      <c r="D40" s="83">
        <f>VLOOKUP(A40,'Source Readmission Final '!A41:O96,14,FALSE)</f>
        <v>0.11169999999999999</v>
      </c>
      <c r="E40" s="64">
        <f t="shared" si="0"/>
        <v>0.11459466463414633</v>
      </c>
      <c r="F40"/>
    </row>
    <row r="41" spans="1:6">
      <c r="A41" s="4">
        <v>210051</v>
      </c>
      <c r="B41" s="3" t="s">
        <v>131</v>
      </c>
      <c r="C41" s="82">
        <v>1.1947483588621444</v>
      </c>
      <c r="D41" s="83">
        <f>VLOOKUP(A41,'Source Readmission Final '!A42:O97,14,FALSE)</f>
        <v>8.5999999999999993E-2</v>
      </c>
      <c r="E41" s="64">
        <f t="shared" si="0"/>
        <v>0.10274835886214441</v>
      </c>
      <c r="F41"/>
    </row>
    <row r="42" spans="1:6">
      <c r="A42" s="4">
        <v>210055</v>
      </c>
      <c r="B42" s="3" t="s">
        <v>132</v>
      </c>
      <c r="C42" s="82">
        <v>1.0625</v>
      </c>
      <c r="D42" s="83" t="str">
        <f>VLOOKUP(A42,'Source Readmission Final '!A43:O98,14,FALSE)</f>
        <v xml:space="preserve"> </v>
      </c>
      <c r="E42" s="64"/>
      <c r="F42"/>
    </row>
    <row r="43" spans="1:6">
      <c r="A43" s="4">
        <v>210056</v>
      </c>
      <c r="B43" s="3" t="s">
        <v>133</v>
      </c>
      <c r="C43" s="82">
        <v>1.0060606060606061</v>
      </c>
      <c r="D43" s="83">
        <f>VLOOKUP(A43,'Source Readmission Final '!A44:O99,14,FALSE)</f>
        <v>0.12670000000000001</v>
      </c>
      <c r="E43" s="64">
        <f t="shared" ref="E43:E51" si="1">D43*C43</f>
        <v>0.1274678787878788</v>
      </c>
      <c r="F43"/>
    </row>
    <row r="44" spans="1:6">
      <c r="A44" s="4">
        <v>210057</v>
      </c>
      <c r="B44" s="3" t="s">
        <v>134</v>
      </c>
      <c r="C44" s="82">
        <v>1.0520446096654275</v>
      </c>
      <c r="D44" s="83">
        <f>VLOOKUP(A44,'Source Readmission Final '!A45:O100,14,FALSE)</f>
        <v>9.3700000000000006E-2</v>
      </c>
      <c r="E44" s="64">
        <f t="shared" si="1"/>
        <v>9.8576579925650554E-2</v>
      </c>
      <c r="F44"/>
    </row>
    <row r="45" spans="1:6">
      <c r="A45" s="4">
        <v>210058</v>
      </c>
      <c r="B45" s="3" t="s">
        <v>135</v>
      </c>
      <c r="C45" s="82">
        <v>1</v>
      </c>
      <c r="D45" s="83">
        <f>VLOOKUP(A45,'Source Readmission Final '!A46:O101,14,FALSE)</f>
        <v>0.1066</v>
      </c>
      <c r="E45" s="64">
        <f t="shared" si="1"/>
        <v>0.1066</v>
      </c>
      <c r="F45"/>
    </row>
    <row r="46" spans="1:6">
      <c r="A46" s="4">
        <v>210060</v>
      </c>
      <c r="B46" s="3" t="s">
        <v>136</v>
      </c>
      <c r="C46" s="82">
        <v>1.4188034188034189</v>
      </c>
      <c r="D46" s="83">
        <f>VLOOKUP(A46,'Source Readmission Final '!A47:O102,14,FALSE)</f>
        <v>9.4399999999999998E-2</v>
      </c>
      <c r="E46" s="64">
        <f t="shared" si="1"/>
        <v>0.13393504273504273</v>
      </c>
      <c r="F46"/>
    </row>
    <row r="47" spans="1:6">
      <c r="A47" s="4">
        <v>210061</v>
      </c>
      <c r="B47" s="3" t="s">
        <v>137</v>
      </c>
      <c r="C47" s="82">
        <v>1.1010638297872339</v>
      </c>
      <c r="D47" s="83">
        <f>VLOOKUP(A47,'Source Readmission Final '!A48:O103,14,FALSE)</f>
        <v>9.0999999999999998E-2</v>
      </c>
      <c r="E47" s="64">
        <f t="shared" si="1"/>
        <v>0.10019680851063828</v>
      </c>
      <c r="F47"/>
    </row>
    <row r="48" spans="1:6">
      <c r="A48" s="4">
        <v>210062</v>
      </c>
      <c r="B48" s="3" t="s">
        <v>138</v>
      </c>
      <c r="C48" s="82">
        <v>1.2863436123348018</v>
      </c>
      <c r="D48" s="83">
        <f>VLOOKUP(A48,'Source Readmission Final '!A49:O104,14,FALSE)</f>
        <v>9.6600000000000005E-2</v>
      </c>
      <c r="E48" s="64">
        <f t="shared" si="1"/>
        <v>0.12426079295154185</v>
      </c>
      <c r="F48"/>
    </row>
    <row r="49" spans="1:6">
      <c r="A49" s="4">
        <v>210063</v>
      </c>
      <c r="B49" s="3" t="s">
        <v>139</v>
      </c>
      <c r="C49" s="82">
        <v>1.0136363636363637</v>
      </c>
      <c r="D49" s="83">
        <f>VLOOKUP(A49,'Source Readmission Final '!A50:O105,14,FALSE)</f>
        <v>0.10680000000000001</v>
      </c>
      <c r="E49" s="64">
        <f t="shared" si="1"/>
        <v>0.10825636363636365</v>
      </c>
      <c r="F49"/>
    </row>
    <row r="50" spans="1:6">
      <c r="A50" s="4">
        <v>210064</v>
      </c>
      <c r="B50" s="3" t="s">
        <v>140</v>
      </c>
      <c r="C50" s="82">
        <v>1</v>
      </c>
      <c r="D50" s="83">
        <f>VLOOKUP(A50,'Source Readmission Final '!A51:O106,14,FALSE)</f>
        <v>0.1017</v>
      </c>
      <c r="E50" s="64">
        <f t="shared" si="1"/>
        <v>0.1017</v>
      </c>
      <c r="F50"/>
    </row>
    <row r="51" spans="1:6">
      <c r="A51" s="4">
        <v>210065</v>
      </c>
      <c r="B51" s="3" t="s">
        <v>141</v>
      </c>
      <c r="C51" s="82">
        <v>1.0598802395209581</v>
      </c>
      <c r="D51" s="83">
        <f>VLOOKUP(A51,'Source Readmission Final '!A52:O107,14,FALSE)</f>
        <v>0.1081</v>
      </c>
      <c r="E51" s="64">
        <f t="shared" si="1"/>
        <v>0.11457305389221557</v>
      </c>
      <c r="F51"/>
    </row>
    <row r="53" spans="1:6" ht="35.25" customHeight="1">
      <c r="A53" s="118" t="s">
        <v>227</v>
      </c>
      <c r="B53" s="118"/>
      <c r="C53" s="118"/>
      <c r="D53" s="118"/>
      <c r="E53" s="118"/>
    </row>
  </sheetData>
  <autoFilter ref="A3:F3"/>
  <mergeCells count="2">
    <mergeCell ref="F4:F17"/>
    <mergeCell ref="A53:E5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69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21" sqref="A21:XFD21"/>
    </sheetView>
  </sheetViews>
  <sheetFormatPr defaultColWidth="9.28515625" defaultRowHeight="15"/>
  <cols>
    <col min="1" max="1" width="10" style="6" customWidth="1"/>
    <col min="2" max="2" width="41.42578125" style="7" customWidth="1"/>
    <col min="3" max="3" width="18.7109375" style="6" bestFit="1" customWidth="1"/>
    <col min="4" max="4" width="16.7109375" style="6" customWidth="1"/>
    <col min="5" max="6" width="17.140625" style="6" customWidth="1"/>
    <col min="7" max="7" width="8.7109375" style="6" customWidth="1"/>
    <col min="8" max="8" width="12.5703125" style="6" customWidth="1"/>
    <col min="9" max="9" width="15" style="6" customWidth="1"/>
    <col min="10" max="10" width="16" style="6" customWidth="1"/>
    <col min="11" max="11" width="9.140625" style="6" customWidth="1"/>
    <col min="12" max="12" width="13" style="6" customWidth="1"/>
    <col min="13" max="13" width="16.140625" style="6" customWidth="1"/>
    <col min="14" max="14" width="18" style="42" customWidth="1"/>
    <col min="15" max="15" width="13.140625" style="6" customWidth="1"/>
    <col min="16" max="16" width="14.5703125" style="6" customWidth="1"/>
    <col min="17" max="17" width="10.28515625" style="6" bestFit="1" customWidth="1"/>
    <col min="18" max="18" width="28.140625" style="6" bestFit="1" customWidth="1"/>
    <col min="19" max="19" width="10.5703125" style="6" bestFit="1" customWidth="1"/>
    <col min="20" max="16384" width="9.28515625" style="6"/>
  </cols>
  <sheetData>
    <row r="1" spans="1:19" ht="15.75">
      <c r="A1" s="5" t="s">
        <v>231</v>
      </c>
    </row>
    <row r="2" spans="1:19" ht="18.75" customHeight="1">
      <c r="A2" s="128" t="s">
        <v>234</v>
      </c>
      <c r="B2" s="128"/>
      <c r="C2" s="128"/>
      <c r="D2" s="128"/>
      <c r="E2" s="128"/>
      <c r="F2" s="129"/>
      <c r="G2" s="119" t="s">
        <v>78</v>
      </c>
      <c r="H2" s="120"/>
      <c r="I2" s="121"/>
      <c r="J2" s="123" t="s">
        <v>79</v>
      </c>
      <c r="K2" s="124"/>
      <c r="L2" s="124"/>
      <c r="M2" s="125"/>
      <c r="N2" s="126" t="s">
        <v>80</v>
      </c>
      <c r="O2" s="127"/>
      <c r="P2" s="127"/>
      <c r="R2" s="62" t="s">
        <v>193</v>
      </c>
      <c r="S2" s="6" t="e">
        <f>#REF!</f>
        <v>#REF!</v>
      </c>
    </row>
    <row r="3" spans="1:19" s="58" customFormat="1" ht="90">
      <c r="A3" s="59" t="s">
        <v>81</v>
      </c>
      <c r="B3" s="53" t="s">
        <v>82</v>
      </c>
      <c r="C3" s="54" t="s">
        <v>233</v>
      </c>
      <c r="D3" s="55" t="s">
        <v>198</v>
      </c>
      <c r="E3" s="55" t="s">
        <v>199</v>
      </c>
      <c r="F3" s="55" t="s">
        <v>200</v>
      </c>
      <c r="G3" s="56" t="s">
        <v>187</v>
      </c>
      <c r="H3" s="56" t="s">
        <v>188</v>
      </c>
      <c r="I3" s="56" t="s">
        <v>189</v>
      </c>
      <c r="J3" s="57" t="s">
        <v>211</v>
      </c>
      <c r="K3" s="57" t="s">
        <v>192</v>
      </c>
      <c r="L3" s="57" t="s">
        <v>188</v>
      </c>
      <c r="M3" s="57" t="s">
        <v>189</v>
      </c>
      <c r="N3" s="52" t="s">
        <v>190</v>
      </c>
      <c r="O3" s="52" t="s">
        <v>218</v>
      </c>
      <c r="P3" s="52" t="s">
        <v>191</v>
      </c>
      <c r="R3" s="63" t="s">
        <v>194</v>
      </c>
      <c r="S3" s="86">
        <v>43958</v>
      </c>
    </row>
    <row r="4" spans="1:19">
      <c r="A4" s="8">
        <v>210001</v>
      </c>
      <c r="B4" s="46" t="s">
        <v>35</v>
      </c>
      <c r="C4" s="10">
        <f>VLOOKUP($A4,'[5]Source Revenue'!$A$3:$D$48,4,FALSE)</f>
        <v>222942288.61879441</v>
      </c>
      <c r="D4" s="67">
        <f>VLOOKUP(A4,'Source Readmission Final '!A4:O59,8,FALSE)</f>
        <v>0.114</v>
      </c>
      <c r="E4" s="11">
        <f>VLOOKUP(A4,'Source Readmission Final '!A4:O59,14,FALSE)</f>
        <v>0.1033</v>
      </c>
      <c r="F4" s="11">
        <f>VLOOKUP(A4,'Source Readmission Final '!A4:Q59,15,FALSE)</f>
        <v>-9.3899999999999997E-2</v>
      </c>
      <c r="G4" s="13">
        <f>ImpTarget</f>
        <v>-3.9E-2</v>
      </c>
      <c r="H4" s="14">
        <f t="shared" ref="H4:H37" si="0">ROUND(IF(F4&lt;=ImpMaxRewardScore,MaxReward,IF(F4&gt;=ImpMaxPenaltyScore,MaxPenalty,IF(F4&lt;=ImpTarget,MaxReward*((F4-ImpTarget)/(ImpMaxRewardScore-ImpTarget)),MaxPenalty*((F4-ImpTarget)/(ImpMaxPenaltyScore-ImpTarget))))),4)</f>
        <v>5.1999999999999998E-3</v>
      </c>
      <c r="I4" s="15">
        <f t="shared" ref="I4:I37" si="1">ROUND($C4*H4,0)</f>
        <v>1159300</v>
      </c>
      <c r="J4" s="11">
        <f>VLOOKUP(A4,'Readmit Attainment'!A:G,5,FALSE)</f>
        <v>0.10859743589743591</v>
      </c>
      <c r="K4" s="16">
        <f t="shared" ref="K4:K50" si="2">AttTarget</f>
        <v>0.11119999999999999</v>
      </c>
      <c r="L4" s="14">
        <f t="shared" ref="L4:L37" si="3">ROUND(IF(J4&lt;=AttMaxRewardScore,MaxReward,IF(J4&gt;=AttMaxPenaltyScore,MaxPenalty,IF(J4&lt;=AttTarget,MaxReward*((J4-AttTarget)/(AttMaxRewardScore-AttTarget)),MaxPenalty*((J4-AttTarget)/(AttMaxPenaltyScore-AttTarget))))),4)</f>
        <v>1.1999999999999999E-3</v>
      </c>
      <c r="M4" s="15">
        <f>$C4*L4</f>
        <v>267530.74634255329</v>
      </c>
      <c r="N4" s="17">
        <f t="shared" ref="N4:N37" si="4">MAX(I4,M4)</f>
        <v>1159300</v>
      </c>
      <c r="O4" s="11">
        <f t="shared" ref="O4:O37" si="5">N4/C4</f>
        <v>5.200000444878671E-3</v>
      </c>
      <c r="P4" s="9" t="str">
        <f>IF(N4=M4,"Att",IF(N4=I4,"Imp"))</f>
        <v>Imp</v>
      </c>
      <c r="Q4" s="18"/>
      <c r="R4" s="19" t="s">
        <v>195</v>
      </c>
      <c r="S4" s="6" t="s">
        <v>196</v>
      </c>
    </row>
    <row r="5" spans="1:19">
      <c r="A5" s="8">
        <v>210002</v>
      </c>
      <c r="B5" s="46" t="s">
        <v>36</v>
      </c>
      <c r="C5" s="10">
        <f>VLOOKUP($A5,'[5]Source Revenue'!$A$3:$D$48,4,FALSE)</f>
        <v>1271576136.5717785</v>
      </c>
      <c r="D5" s="67">
        <f>VLOOKUP(A5,'Source Readmission Final '!A5:O60,8,FALSE)</f>
        <v>0.13289999999999999</v>
      </c>
      <c r="E5" s="11">
        <f>VLOOKUP(A5,'Source Readmission Final '!A5:O60,14,FALSE)</f>
        <v>0.12429999999999999</v>
      </c>
      <c r="F5" s="11">
        <f>VLOOKUP(A5,'Source Readmission Final '!A5:Q60,15,FALSE)</f>
        <v>-6.4699999999999994E-2</v>
      </c>
      <c r="G5" s="13">
        <f t="shared" ref="G5:G50" si="6">ImpTarget</f>
        <v>-3.9E-2</v>
      </c>
      <c r="H5" s="14">
        <f t="shared" si="0"/>
        <v>2.3999999999999998E-3</v>
      </c>
      <c r="I5" s="15">
        <f t="shared" si="1"/>
        <v>3051783</v>
      </c>
      <c r="J5" s="11">
        <f>VLOOKUP(A5,'Readmit Attainment'!A:G,5,FALSE)</f>
        <v>0.12943459552495698</v>
      </c>
      <c r="K5" s="16">
        <f t="shared" si="2"/>
        <v>0.11119999999999999</v>
      </c>
      <c r="L5" s="14">
        <f t="shared" si="3"/>
        <v>-8.3999999999999995E-3</v>
      </c>
      <c r="M5" s="15">
        <f>$C5*L5</f>
        <v>-10681239.547202939</v>
      </c>
      <c r="N5" s="17">
        <f t="shared" si="4"/>
        <v>3051783</v>
      </c>
      <c r="O5" s="11">
        <f t="shared" si="5"/>
        <v>2.4000002140868513E-3</v>
      </c>
      <c r="P5" s="9" t="str">
        <f t="shared" ref="P5:P37" si="7">IF(N5=M5,"Att",IF(N5=I5,"Imp"))</f>
        <v>Imp</v>
      </c>
      <c r="Q5" s="18"/>
      <c r="R5" s="63" t="s">
        <v>194</v>
      </c>
      <c r="S5" s="84">
        <v>43936</v>
      </c>
    </row>
    <row r="6" spans="1:19">
      <c r="A6" s="8">
        <v>210003</v>
      </c>
      <c r="B6" s="46" t="s">
        <v>37</v>
      </c>
      <c r="C6" s="10">
        <f>VLOOKUP($A6,'[5]Source Revenue'!$A$3:$D$48,4,FALSE)</f>
        <v>269543915.13831061</v>
      </c>
      <c r="D6" s="67">
        <f>VLOOKUP(A6,'Source Readmission Final '!A6:O61,8,FALSE)</f>
        <v>0.1109</v>
      </c>
      <c r="E6" s="11">
        <f>VLOOKUP(A6,'Source Readmission Final '!A6:O61,14,FALSE)</f>
        <v>0.10100000000000001</v>
      </c>
      <c r="F6" s="11">
        <f>VLOOKUP(A6,'Source Readmission Final '!A6:Q61,15,FALSE)</f>
        <v>-8.9300000000000004E-2</v>
      </c>
      <c r="G6" s="13">
        <f t="shared" si="6"/>
        <v>-3.9E-2</v>
      </c>
      <c r="H6" s="14">
        <f t="shared" si="0"/>
        <v>4.7999999999999996E-3</v>
      </c>
      <c r="I6" s="15">
        <f t="shared" si="1"/>
        <v>1293811</v>
      </c>
      <c r="J6" s="11">
        <f>VLOOKUP(A6,'Readmit Attainment'!A:G,5,FALSE)</f>
        <v>0.1208267898383372</v>
      </c>
      <c r="K6" s="16">
        <f t="shared" si="2"/>
        <v>0.11119999999999999</v>
      </c>
      <c r="L6" s="14">
        <f t="shared" si="3"/>
        <v>-4.4000000000000003E-3</v>
      </c>
      <c r="M6" s="15">
        <f>$C6*L6</f>
        <v>-1185993.2266085667</v>
      </c>
      <c r="N6" s="17">
        <f t="shared" si="4"/>
        <v>1293811</v>
      </c>
      <c r="O6" s="11">
        <f t="shared" si="5"/>
        <v>4.8000007692108682E-3</v>
      </c>
      <c r="P6" s="9" t="str">
        <f t="shared" si="7"/>
        <v>Imp</v>
      </c>
      <c r="Q6" s="18"/>
      <c r="R6" s="19"/>
    </row>
    <row r="7" spans="1:19">
      <c r="A7" s="8">
        <v>210004</v>
      </c>
      <c r="B7" s="46" t="s">
        <v>38</v>
      </c>
      <c r="C7" s="10">
        <f>VLOOKUP($A7,'[5]Source Revenue'!$A$3:$D$48,4,FALSE)</f>
        <v>373528293.45975751</v>
      </c>
      <c r="D7" s="67">
        <f>VLOOKUP(A7,'Source Readmission Final '!A7:O62,8,FALSE)</f>
        <v>0.11849999999999999</v>
      </c>
      <c r="E7" s="11">
        <f>VLOOKUP(A7,'Source Readmission Final '!A7:O62,14,FALSE)</f>
        <v>0.11169999999999999</v>
      </c>
      <c r="F7" s="11">
        <f>VLOOKUP(A7,'Source Readmission Final '!A7:Q62,15,FALSE)</f>
        <v>-5.74E-2</v>
      </c>
      <c r="G7" s="13">
        <f t="shared" si="6"/>
        <v>-3.9E-2</v>
      </c>
      <c r="H7" s="14">
        <f t="shared" si="0"/>
        <v>1.8E-3</v>
      </c>
      <c r="I7" s="15">
        <f t="shared" si="1"/>
        <v>672351</v>
      </c>
      <c r="J7" s="11">
        <f>VLOOKUP(A7,'Readmit Attainment'!A:G,5,FALSE)</f>
        <v>0.12122480620155038</v>
      </c>
      <c r="K7" s="16">
        <f t="shared" si="2"/>
        <v>0.11119999999999999</v>
      </c>
      <c r="L7" s="14">
        <f t="shared" si="3"/>
        <v>-4.5999999999999999E-3</v>
      </c>
      <c r="M7" s="15">
        <f t="shared" ref="M7:M37" si="8">ROUND($C7*L7,0)</f>
        <v>-1718230</v>
      </c>
      <c r="N7" s="17">
        <f t="shared" si="4"/>
        <v>672351</v>
      </c>
      <c r="O7" s="11">
        <f t="shared" si="5"/>
        <v>1.8000001921472555E-3</v>
      </c>
      <c r="P7" s="9" t="str">
        <f t="shared" si="7"/>
        <v>Imp</v>
      </c>
      <c r="Q7" s="18"/>
    </row>
    <row r="8" spans="1:19" s="20" customFormat="1">
      <c r="A8" s="8">
        <v>210005</v>
      </c>
      <c r="B8" s="46" t="s">
        <v>39</v>
      </c>
      <c r="C8" s="10">
        <f>VLOOKUP($A8,'[5]Source Revenue'!$A$3:$D$48,4,FALSE)</f>
        <v>244237398.84285268</v>
      </c>
      <c r="D8" s="67">
        <f>VLOOKUP(A8,'Source Readmission Final '!A8:O63,8,FALSE)</f>
        <v>0.1004</v>
      </c>
      <c r="E8" s="11">
        <f>VLOOKUP(A8,'Source Readmission Final '!A8:O63,14,FALSE)</f>
        <v>0.1031</v>
      </c>
      <c r="F8" s="11">
        <f>VLOOKUP(A8,'Source Readmission Final '!A8:Q63,15,FALSE)</f>
        <v>2.69E-2</v>
      </c>
      <c r="G8" s="35">
        <f t="shared" si="6"/>
        <v>-3.9E-2</v>
      </c>
      <c r="H8" s="11">
        <f t="shared" si="0"/>
        <v>-6.3E-3</v>
      </c>
      <c r="I8" s="15">
        <f t="shared" si="1"/>
        <v>-1538696</v>
      </c>
      <c r="J8" s="11">
        <f>VLOOKUP(A8,'Readmit Attainment'!A:G,5,FALSE)</f>
        <v>0.10803718309859155</v>
      </c>
      <c r="K8" s="16">
        <f t="shared" si="2"/>
        <v>0.11119999999999999</v>
      </c>
      <c r="L8" s="11">
        <f t="shared" si="3"/>
        <v>1.5E-3</v>
      </c>
      <c r="M8" s="15">
        <f t="shared" si="8"/>
        <v>366356</v>
      </c>
      <c r="N8" s="17">
        <f t="shared" si="4"/>
        <v>366356</v>
      </c>
      <c r="O8" s="11">
        <f t="shared" si="5"/>
        <v>1.4999995976689915E-3</v>
      </c>
      <c r="P8" s="9" t="str">
        <f t="shared" si="7"/>
        <v>Att</v>
      </c>
      <c r="Q8" s="18"/>
    </row>
    <row r="9" spans="1:19">
      <c r="A9" s="8">
        <v>210006</v>
      </c>
      <c r="B9" s="46" t="s">
        <v>40</v>
      </c>
      <c r="C9" s="10">
        <f>VLOOKUP($A9,'[5]Source Revenue'!$A$3:$D$48,4,FALSE)</f>
        <v>55815137.523051143</v>
      </c>
      <c r="D9" s="67">
        <f>VLOOKUP(A9,'Source Readmission Final '!A9:O64,8,FALSE)</f>
        <v>0.1285</v>
      </c>
      <c r="E9" s="11">
        <f>VLOOKUP(A9,'Source Readmission Final '!A9:O64,14,FALSE)</f>
        <v>0.1055</v>
      </c>
      <c r="F9" s="11">
        <f>VLOOKUP(A9,'Source Readmission Final '!A9:Q64,15,FALSE)</f>
        <v>-0.17899999999999999</v>
      </c>
      <c r="G9" s="13">
        <f t="shared" si="6"/>
        <v>-3.9E-2</v>
      </c>
      <c r="H9" s="14">
        <f t="shared" si="0"/>
        <v>0.01</v>
      </c>
      <c r="I9" s="15">
        <f t="shared" si="1"/>
        <v>558151</v>
      </c>
      <c r="J9" s="11">
        <f>VLOOKUP(A9,'Readmit Attainment'!A:G,5,FALSE)</f>
        <v>0.10926785714285715</v>
      </c>
      <c r="K9" s="16">
        <f t="shared" si="2"/>
        <v>0.11119999999999999</v>
      </c>
      <c r="L9" s="14">
        <f t="shared" si="3"/>
        <v>8.9999999999999998E-4</v>
      </c>
      <c r="M9" s="15">
        <f t="shared" si="8"/>
        <v>50234</v>
      </c>
      <c r="N9" s="17">
        <f t="shared" si="4"/>
        <v>558151</v>
      </c>
      <c r="O9" s="11">
        <f t="shared" si="5"/>
        <v>9.9999932772626195E-3</v>
      </c>
      <c r="P9" s="9" t="str">
        <f t="shared" si="7"/>
        <v>Imp</v>
      </c>
      <c r="Q9" s="18"/>
    </row>
    <row r="10" spans="1:19">
      <c r="A10" s="8">
        <v>210008</v>
      </c>
      <c r="B10" s="46" t="s">
        <v>41</v>
      </c>
      <c r="C10" s="10">
        <f>VLOOKUP($A10,'[5]Source Revenue'!$A$3:$D$48,4,FALSE)</f>
        <v>258013944.83043659</v>
      </c>
      <c r="D10" s="67">
        <f>VLOOKUP(A10,'Source Readmission Final '!A10:O65,8,FALSE)</f>
        <v>0.12570000000000001</v>
      </c>
      <c r="E10" s="11">
        <f>VLOOKUP(A10,'Source Readmission Final '!A10:O65,14,FALSE)</f>
        <v>0.11899999999999999</v>
      </c>
      <c r="F10" s="11">
        <f>VLOOKUP(A10,'Source Readmission Final '!A10:Q65,15,FALSE)</f>
        <v>-5.33E-2</v>
      </c>
      <c r="G10" s="13">
        <f t="shared" si="6"/>
        <v>-3.9E-2</v>
      </c>
      <c r="H10" s="14">
        <f t="shared" si="0"/>
        <v>1.4E-3</v>
      </c>
      <c r="I10" s="15">
        <f t="shared" si="1"/>
        <v>361220</v>
      </c>
      <c r="J10" s="11">
        <f>VLOOKUP(A10,'Readmit Attainment'!A:G,5,FALSE)</f>
        <v>0.12230555555555554</v>
      </c>
      <c r="K10" s="16">
        <f t="shared" si="2"/>
        <v>0.11119999999999999</v>
      </c>
      <c r="L10" s="14">
        <f t="shared" si="3"/>
        <v>-5.1000000000000004E-3</v>
      </c>
      <c r="M10" s="15">
        <f t="shared" si="8"/>
        <v>-1315871</v>
      </c>
      <c r="N10" s="17">
        <f t="shared" si="4"/>
        <v>361220</v>
      </c>
      <c r="O10" s="11">
        <f t="shared" si="5"/>
        <v>1.4000018496573474E-3</v>
      </c>
      <c r="P10" s="9" t="str">
        <f t="shared" si="7"/>
        <v>Imp</v>
      </c>
      <c r="Q10" s="18"/>
    </row>
    <row r="11" spans="1:19" s="20" customFormat="1">
      <c r="A11" s="8">
        <v>210009</v>
      </c>
      <c r="B11" s="46" t="s">
        <v>42</v>
      </c>
      <c r="C11" s="10">
        <f>VLOOKUP($A11,'[5]Source Revenue'!$A$3:$D$48,4,FALSE)</f>
        <v>1587043061.9839094</v>
      </c>
      <c r="D11" s="67">
        <f>VLOOKUP(A11,'Source Readmission Final '!A11:O66,8,FALSE)</f>
        <v>0.13270000000000001</v>
      </c>
      <c r="E11" s="11">
        <f>VLOOKUP(A11,'Source Readmission Final '!A11:O66,14,FALSE)</f>
        <v>0.12839999999999999</v>
      </c>
      <c r="F11" s="11">
        <f>VLOOKUP(A11,'Source Readmission Final '!A11:Q66,15,FALSE)</f>
        <v>-3.2399999999999998E-2</v>
      </c>
      <c r="G11" s="13">
        <f t="shared" si="6"/>
        <v>-3.9E-2</v>
      </c>
      <c r="H11" s="14">
        <f t="shared" si="0"/>
        <v>-5.9999999999999995E-4</v>
      </c>
      <c r="I11" s="15">
        <f t="shared" si="1"/>
        <v>-952226</v>
      </c>
      <c r="J11" s="11">
        <f>VLOOKUP(A11,'Readmit Attainment'!A:G,5,FALSE)</f>
        <v>0.13724773109243696</v>
      </c>
      <c r="K11" s="16">
        <f t="shared" si="2"/>
        <v>0.11119999999999999</v>
      </c>
      <c r="L11" s="14">
        <f t="shared" si="3"/>
        <v>-1.2E-2</v>
      </c>
      <c r="M11" s="15">
        <f t="shared" si="8"/>
        <v>-19044517</v>
      </c>
      <c r="N11" s="17">
        <f t="shared" si="4"/>
        <v>-952226</v>
      </c>
      <c r="O11" s="11">
        <f t="shared" si="5"/>
        <v>-6.0000010258679068E-4</v>
      </c>
      <c r="P11" s="9" t="str">
        <f t="shared" si="7"/>
        <v>Imp</v>
      </c>
      <c r="Q11" s="18"/>
    </row>
    <row r="12" spans="1:19">
      <c r="A12" s="8">
        <v>210010</v>
      </c>
      <c r="B12" s="46" t="s">
        <v>43</v>
      </c>
      <c r="C12" s="10">
        <f>VLOOKUP($A12,'[5]Source Revenue'!$A$3:$D$48,4,FALSE)</f>
        <v>20738558.079102673</v>
      </c>
      <c r="D12" s="67">
        <f>VLOOKUP(A12,'Source Readmission Final '!A12:O67,8,FALSE)</f>
        <v>0.12759999999999999</v>
      </c>
      <c r="E12" s="11">
        <f>VLOOKUP(A12,'Source Readmission Final '!A12:O67,14,FALSE)</f>
        <v>8.9700000000000002E-2</v>
      </c>
      <c r="F12" s="11">
        <f>VLOOKUP(A12,'Source Readmission Final '!A12:Q67,15,FALSE)</f>
        <v>-0.29699999999999999</v>
      </c>
      <c r="G12" s="13">
        <f t="shared" si="6"/>
        <v>-3.9E-2</v>
      </c>
      <c r="H12" s="14">
        <f t="shared" si="0"/>
        <v>0.01</v>
      </c>
      <c r="I12" s="15">
        <f t="shared" si="1"/>
        <v>207386</v>
      </c>
      <c r="J12" s="11">
        <f>VLOOKUP(A12,'Readmit Attainment'!A:G,5,FALSE)</f>
        <v>9.4699672131147536E-2</v>
      </c>
      <c r="K12" s="16">
        <f t="shared" si="2"/>
        <v>0.11119999999999999</v>
      </c>
      <c r="L12" s="14">
        <f t="shared" si="3"/>
        <v>7.6E-3</v>
      </c>
      <c r="M12" s="15">
        <f t="shared" si="8"/>
        <v>157613</v>
      </c>
      <c r="N12" s="17">
        <f t="shared" si="4"/>
        <v>207386</v>
      </c>
      <c r="O12" s="11">
        <f t="shared" si="5"/>
        <v>1.000002021398844E-2</v>
      </c>
      <c r="P12" s="9" t="str">
        <f t="shared" si="7"/>
        <v>Imp</v>
      </c>
      <c r="Q12" s="18"/>
    </row>
    <row r="13" spans="1:19">
      <c r="A13" s="8">
        <v>210011</v>
      </c>
      <c r="B13" s="46" t="s">
        <v>44</v>
      </c>
      <c r="C13" s="10">
        <f>VLOOKUP($A13,'[5]Source Revenue'!$A$3:$D$48,4,FALSE)</f>
        <v>256553892.83696544</v>
      </c>
      <c r="D13" s="67">
        <f>VLOOKUP(A13,'Source Readmission Final '!A13:O68,8,FALSE)</f>
        <v>0.1232</v>
      </c>
      <c r="E13" s="11">
        <f>VLOOKUP(A13,'Source Readmission Final '!A13:O68,14,FALSE)</f>
        <v>0.11609999999999999</v>
      </c>
      <c r="F13" s="11">
        <f>VLOOKUP(A13,'Source Readmission Final '!A13:Q68,15,FALSE)</f>
        <v>-5.7599999999999998E-2</v>
      </c>
      <c r="G13" s="13">
        <f t="shared" si="6"/>
        <v>-3.9E-2</v>
      </c>
      <c r="H13" s="14">
        <f t="shared" si="0"/>
        <v>1.8E-3</v>
      </c>
      <c r="I13" s="15">
        <f t="shared" si="1"/>
        <v>461797</v>
      </c>
      <c r="J13" s="11">
        <f>VLOOKUP(A13,'Readmit Attainment'!A:G,5,FALSE)</f>
        <v>0.11676724137931034</v>
      </c>
      <c r="K13" s="16">
        <f t="shared" si="2"/>
        <v>0.11119999999999999</v>
      </c>
      <c r="L13" s="14">
        <f t="shared" si="3"/>
        <v>-2.5999999999999999E-3</v>
      </c>
      <c r="M13" s="15">
        <f t="shared" si="8"/>
        <v>-667040</v>
      </c>
      <c r="N13" s="17">
        <f t="shared" si="4"/>
        <v>461797</v>
      </c>
      <c r="O13" s="11">
        <f t="shared" si="5"/>
        <v>1.7999999723000196E-3</v>
      </c>
      <c r="P13" s="9" t="str">
        <f t="shared" si="7"/>
        <v>Imp</v>
      </c>
      <c r="Q13" s="18"/>
    </row>
    <row r="14" spans="1:19">
      <c r="A14" s="8">
        <v>210012</v>
      </c>
      <c r="B14" s="46" t="s">
        <v>45</v>
      </c>
      <c r="C14" s="10">
        <f>VLOOKUP($A14,'[5]Source Revenue'!$A$3:$D$48,4,FALSE)</f>
        <v>458234633.19732326</v>
      </c>
      <c r="D14" s="67">
        <f>VLOOKUP(A14,'Source Readmission Final '!A14:O69,8,FALSE)</f>
        <v>0.12509999999999999</v>
      </c>
      <c r="E14" s="11">
        <f>VLOOKUP(A14,'Source Readmission Final '!A14:O69,14,FALSE)</f>
        <v>0.1041</v>
      </c>
      <c r="F14" s="11">
        <f>VLOOKUP(A14,'Source Readmission Final '!A14:Q69,15,FALSE)</f>
        <v>-0.16789999999999999</v>
      </c>
      <c r="G14" s="13">
        <f t="shared" si="6"/>
        <v>-3.9E-2</v>
      </c>
      <c r="H14" s="14">
        <f t="shared" si="0"/>
        <v>0.01</v>
      </c>
      <c r="I14" s="15">
        <f t="shared" si="1"/>
        <v>4582346</v>
      </c>
      <c r="J14" s="11">
        <f>VLOOKUP(A14,'Readmit Attainment'!A:G,5,FALSE)</f>
        <v>0.10515455861070913</v>
      </c>
      <c r="K14" s="16">
        <f t="shared" si="2"/>
        <v>0.11119999999999999</v>
      </c>
      <c r="L14" s="14">
        <f t="shared" si="3"/>
        <v>2.8E-3</v>
      </c>
      <c r="M14" s="15">
        <f t="shared" si="8"/>
        <v>1283057</v>
      </c>
      <c r="N14" s="17">
        <f t="shared" si="4"/>
        <v>4582346</v>
      </c>
      <c r="O14" s="11">
        <f t="shared" si="5"/>
        <v>9.9999992755387557E-3</v>
      </c>
      <c r="P14" s="9" t="str">
        <f t="shared" si="7"/>
        <v>Imp</v>
      </c>
      <c r="Q14" s="18"/>
    </row>
    <row r="15" spans="1:19">
      <c r="A15" s="8">
        <v>210015</v>
      </c>
      <c r="B15" s="46" t="s">
        <v>46</v>
      </c>
      <c r="C15" s="10">
        <f>VLOOKUP($A15,'[5]Source Revenue'!$A$3:$D$48,4,FALSE)</f>
        <v>316861032.09519595</v>
      </c>
      <c r="D15" s="67">
        <f>VLOOKUP(A15,'Source Readmission Final '!A16:O71,8,FALSE)</f>
        <v>0.13109999999999999</v>
      </c>
      <c r="E15" s="11">
        <f>VLOOKUP(A15,'Source Readmission Final '!A16:O71,14,FALSE)</f>
        <v>0.1229</v>
      </c>
      <c r="F15" s="11">
        <f>VLOOKUP(A15,'Source Readmission Final '!A16:Q71,15,FALSE)</f>
        <v>-6.25E-2</v>
      </c>
      <c r="G15" s="13">
        <f t="shared" si="6"/>
        <v>-3.9E-2</v>
      </c>
      <c r="H15" s="14">
        <f t="shared" si="0"/>
        <v>2.2000000000000001E-3</v>
      </c>
      <c r="I15" s="15">
        <f t="shared" si="1"/>
        <v>697094</v>
      </c>
      <c r="J15" s="11">
        <f>VLOOKUP(A15,'Readmit Attainment'!A:G,5,FALSE)</f>
        <v>0.12372552476910159</v>
      </c>
      <c r="K15" s="16">
        <f t="shared" si="2"/>
        <v>0.11119999999999999</v>
      </c>
      <c r="L15" s="14">
        <f t="shared" si="3"/>
        <v>-5.7999999999999996E-3</v>
      </c>
      <c r="M15" s="15">
        <f t="shared" si="8"/>
        <v>-1837794</v>
      </c>
      <c r="N15" s="17">
        <f t="shared" si="4"/>
        <v>697094</v>
      </c>
      <c r="O15" s="11">
        <f t="shared" si="5"/>
        <v>2.1999991459680942E-3</v>
      </c>
      <c r="P15" s="9" t="str">
        <f t="shared" si="7"/>
        <v>Imp</v>
      </c>
      <c r="Q15" s="18"/>
      <c r="R15" s="90"/>
    </row>
    <row r="16" spans="1:19">
      <c r="A16" s="8">
        <v>210016</v>
      </c>
      <c r="B16" s="45" t="s">
        <v>144</v>
      </c>
      <c r="C16" s="10">
        <f>VLOOKUP($A16,'[5]Source Revenue'!$A$3:$D$48,4,FALSE)</f>
        <v>185424414.83927244</v>
      </c>
      <c r="D16" s="67">
        <f>VLOOKUP(A16,'Source Readmission Final '!A17:O72,8,FALSE)</f>
        <v>0.11310000000000001</v>
      </c>
      <c r="E16" s="11">
        <f>VLOOKUP(A16,'Source Readmission Final '!A17:O72,14,FALSE)</f>
        <v>9.6500000000000002E-2</v>
      </c>
      <c r="F16" s="11">
        <f>VLOOKUP(A16,'Source Readmission Final '!A17:Q72,15,FALSE)</f>
        <v>-0.14677276746242263</v>
      </c>
      <c r="G16" s="13">
        <f t="shared" si="6"/>
        <v>-3.9E-2</v>
      </c>
      <c r="H16" s="14">
        <f t="shared" si="0"/>
        <v>0.01</v>
      </c>
      <c r="I16" s="15">
        <f t="shared" si="1"/>
        <v>1854244</v>
      </c>
      <c r="J16" s="11">
        <f>VLOOKUP(A16,'Readmit Attainment'!A:G,5,FALSE)</f>
        <v>0.11214148351648352</v>
      </c>
      <c r="K16" s="16">
        <f t="shared" si="2"/>
        <v>0.11119999999999999</v>
      </c>
      <c r="L16" s="14">
        <f t="shared" si="3"/>
        <v>-4.0000000000000002E-4</v>
      </c>
      <c r="M16" s="15">
        <f t="shared" si="8"/>
        <v>-74170</v>
      </c>
      <c r="N16" s="17">
        <f t="shared" si="4"/>
        <v>1854244</v>
      </c>
      <c r="O16" s="11">
        <f t="shared" si="5"/>
        <v>9.9999991997131304E-3</v>
      </c>
      <c r="P16" s="45" t="str">
        <f t="shared" si="7"/>
        <v>Imp</v>
      </c>
      <c r="Q16" s="18"/>
      <c r="R16" s="92"/>
    </row>
    <row r="17" spans="1:18">
      <c r="A17" s="8">
        <v>210017</v>
      </c>
      <c r="B17" s="46" t="s">
        <v>47</v>
      </c>
      <c r="C17" s="10">
        <f>VLOOKUP($A17,'[5]Source Revenue'!$A$3:$D$48,4,FALSE)</f>
        <v>23914574.735805068</v>
      </c>
      <c r="D17" s="67">
        <f>VLOOKUP(A17,'Source Readmission Final '!A18:O73,8,FALSE)</f>
        <v>5.9700000000000003E-2</v>
      </c>
      <c r="E17" s="11">
        <f>VLOOKUP(A17,'Source Readmission Final '!A18:O73,14,FALSE)</f>
        <v>4.6699999999999998E-2</v>
      </c>
      <c r="F17" s="11">
        <f>VLOOKUP(A17,'Source Readmission Final '!A18:Q73,15,FALSE)</f>
        <v>-0.21775544388609724</v>
      </c>
      <c r="G17" s="13">
        <f t="shared" si="6"/>
        <v>-3.9E-2</v>
      </c>
      <c r="H17" s="14">
        <f t="shared" si="0"/>
        <v>0.01</v>
      </c>
      <c r="I17" s="15">
        <f t="shared" si="1"/>
        <v>239146</v>
      </c>
      <c r="J17" s="11">
        <f>VLOOKUP(A17,'Readmit Attainment'!A:G,5,FALSE)</f>
        <v>7.8254054054054056E-2</v>
      </c>
      <c r="K17" s="16">
        <f t="shared" si="2"/>
        <v>0.11119999999999999</v>
      </c>
      <c r="L17" s="14">
        <f t="shared" si="3"/>
        <v>0.01</v>
      </c>
      <c r="M17" s="15">
        <f t="shared" si="8"/>
        <v>239146</v>
      </c>
      <c r="N17" s="17">
        <f t="shared" si="4"/>
        <v>239146</v>
      </c>
      <c r="O17" s="11">
        <f t="shared" si="5"/>
        <v>1.000001056435049E-2</v>
      </c>
      <c r="P17" s="9" t="str">
        <f t="shared" si="7"/>
        <v>Att</v>
      </c>
      <c r="Q17" s="18"/>
      <c r="R17" s="91"/>
    </row>
    <row r="18" spans="1:18">
      <c r="A18" s="8">
        <v>210018</v>
      </c>
      <c r="B18" s="46" t="s">
        <v>48</v>
      </c>
      <c r="C18" s="10">
        <f>VLOOKUP($A18,'[5]Source Revenue'!$A$3:$D$48,4,FALSE)</f>
        <v>86153639.315474749</v>
      </c>
      <c r="D18" s="67">
        <f>VLOOKUP(A18,'Source Readmission Final '!A19:O74,8,FALSE)</f>
        <v>0.1125</v>
      </c>
      <c r="E18" s="11">
        <f>VLOOKUP(A18,'Source Readmission Final '!A19:O74,14,FALSE)</f>
        <v>9.7900000000000001E-2</v>
      </c>
      <c r="F18" s="11">
        <f>VLOOKUP(A18,'Source Readmission Final '!A19:Q74,15,FALSE)</f>
        <v>-0.12977777777777777</v>
      </c>
      <c r="G18" s="13">
        <f t="shared" si="6"/>
        <v>-3.9E-2</v>
      </c>
      <c r="H18" s="14">
        <f t="shared" si="0"/>
        <v>8.6E-3</v>
      </c>
      <c r="I18" s="15">
        <f t="shared" si="1"/>
        <v>740921</v>
      </c>
      <c r="J18" s="11">
        <f>VLOOKUP(A18,'Readmit Attainment'!A:G,5,FALSE)</f>
        <v>0.10484774193548388</v>
      </c>
      <c r="K18" s="16">
        <f t="shared" si="2"/>
        <v>0.11119999999999999</v>
      </c>
      <c r="L18" s="14">
        <f t="shared" si="3"/>
        <v>2.8999999999999998E-3</v>
      </c>
      <c r="M18" s="15">
        <f t="shared" si="8"/>
        <v>249846</v>
      </c>
      <c r="N18" s="17">
        <f t="shared" si="4"/>
        <v>740921</v>
      </c>
      <c r="O18" s="11">
        <f t="shared" si="5"/>
        <v>8.5999965397505519E-3</v>
      </c>
      <c r="P18" s="9" t="str">
        <f t="shared" si="7"/>
        <v>Imp</v>
      </c>
      <c r="Q18" s="18"/>
      <c r="R18" s="93"/>
    </row>
    <row r="19" spans="1:18" s="20" customFormat="1">
      <c r="A19" s="8" t="s">
        <v>226</v>
      </c>
      <c r="B19" s="46" t="s">
        <v>49</v>
      </c>
      <c r="C19" s="21"/>
      <c r="D19" s="67"/>
      <c r="E19" s="11"/>
      <c r="F19" s="11"/>
      <c r="G19" s="35"/>
      <c r="H19" s="11"/>
      <c r="I19" s="15"/>
      <c r="J19" s="11"/>
      <c r="K19" s="16"/>
      <c r="L19" s="11"/>
      <c r="M19" s="15"/>
      <c r="N19" s="17"/>
      <c r="O19" s="11"/>
      <c r="P19" s="9"/>
      <c r="Q19" s="105"/>
      <c r="R19" s="106"/>
    </row>
    <row r="20" spans="1:18">
      <c r="A20" s="8">
        <v>210019</v>
      </c>
      <c r="B20" s="99" t="s">
        <v>224</v>
      </c>
      <c r="C20" s="10">
        <f>VLOOKUP($A20,'[5]Source Revenue'!$A$3:$D$48,4,FALSE)</f>
        <v>269011864.61793453</v>
      </c>
      <c r="D20" s="67">
        <f>VLOOKUP(A20,'Source Readmission Final '!A21:O76,8,FALSE)</f>
        <v>0.10749716733650351</v>
      </c>
      <c r="E20" s="11">
        <f>VLOOKUP(A20,'Source Readmission Final '!A21:O76,14,FALSE)</f>
        <v>9.4087642716626743E-2</v>
      </c>
      <c r="F20" s="11">
        <f>VLOOKUP(A20,'Source Readmission Final '!A21:Q76,15,FALSE)</f>
        <v>-0.12474305092989368</v>
      </c>
      <c r="G20" s="13">
        <f t="shared" si="6"/>
        <v>-3.9E-2</v>
      </c>
      <c r="H20" s="14">
        <f t="shared" si="0"/>
        <v>8.2000000000000007E-3</v>
      </c>
      <c r="I20" s="15">
        <f>ROUND($C20*H20,0)</f>
        <v>2205897</v>
      </c>
      <c r="J20" s="11">
        <f>VLOOKUP(A20,'Readmit Attainment'!A:G,5,FALSE)</f>
        <v>0.10161465413395689</v>
      </c>
      <c r="K20" s="16">
        <f t="shared" si="2"/>
        <v>0.11119999999999999</v>
      </c>
      <c r="L20" s="14">
        <f t="shared" si="3"/>
        <v>4.4000000000000003E-3</v>
      </c>
      <c r="M20" s="15">
        <f t="shared" si="8"/>
        <v>1183652</v>
      </c>
      <c r="N20" s="17">
        <f t="shared" si="4"/>
        <v>2205897</v>
      </c>
      <c r="O20" s="11">
        <f t="shared" ref="O20" si="9">N20/C20</f>
        <v>8.1999989224747997E-3</v>
      </c>
      <c r="P20" s="9" t="str">
        <f t="shared" ref="P20" si="10">IF(N20=M20,"Att",IF(N20=I20,"Imp"))</f>
        <v>Imp</v>
      </c>
      <c r="Q20" s="18"/>
    </row>
    <row r="21" spans="1:18">
      <c r="A21" s="8">
        <v>210022</v>
      </c>
      <c r="B21" s="46" t="s">
        <v>50</v>
      </c>
      <c r="C21" s="10">
        <f>VLOOKUP($A21,'[5]Source Revenue'!$A$3:$D$48,4,FALSE)</f>
        <v>229587236.49850145</v>
      </c>
      <c r="D21" s="67">
        <f>VLOOKUP(A21,'Source Readmission Final '!A22:O77,8,FALSE)</f>
        <v>0.11559999999999999</v>
      </c>
      <c r="E21" s="11">
        <f>VLOOKUP(A21,'Source Readmission Final '!A22:O77,14,FALSE)</f>
        <v>9.9500000000000005E-2</v>
      </c>
      <c r="F21" s="11">
        <f>VLOOKUP(A21,'Source Readmission Final '!A22:Q77,15,FALSE)</f>
        <v>-0.13927335640138405</v>
      </c>
      <c r="G21" s="13">
        <f t="shared" si="6"/>
        <v>-3.9E-2</v>
      </c>
      <c r="H21" s="14">
        <f t="shared" si="0"/>
        <v>9.4999999999999998E-3</v>
      </c>
      <c r="I21" s="15">
        <f t="shared" si="1"/>
        <v>2181079</v>
      </c>
      <c r="J21" s="11">
        <f>VLOOKUP(A21,'Readmit Attainment'!A:G,5,FALSE)</f>
        <v>0.11025266362252664</v>
      </c>
      <c r="K21" s="16">
        <f t="shared" si="2"/>
        <v>0.11119999999999999</v>
      </c>
      <c r="L21" s="14">
        <f t="shared" si="3"/>
        <v>4.0000000000000002E-4</v>
      </c>
      <c r="M21" s="15">
        <f t="shared" si="8"/>
        <v>91835</v>
      </c>
      <c r="N21" s="17">
        <f t="shared" si="4"/>
        <v>2181079</v>
      </c>
      <c r="O21" s="11">
        <f t="shared" si="5"/>
        <v>9.5000011031285535E-3</v>
      </c>
      <c r="P21" s="9" t="str">
        <f t="shared" si="7"/>
        <v>Imp</v>
      </c>
      <c r="Q21" s="18"/>
    </row>
    <row r="22" spans="1:18">
      <c r="A22" s="8">
        <v>210023</v>
      </c>
      <c r="B22" s="46" t="s">
        <v>51</v>
      </c>
      <c r="C22" s="10">
        <f>VLOOKUP($A22,'[5]Source Revenue'!$A$3:$D$48,4,FALSE)</f>
        <v>336444291.11954707</v>
      </c>
      <c r="D22" s="67">
        <f>VLOOKUP(A22,'Source Readmission Final '!A23:O78,8,FALSE)</f>
        <v>0.11509999999999999</v>
      </c>
      <c r="E22" s="11">
        <f>VLOOKUP(A22,'Source Readmission Final '!A23:O78,14,FALSE)</f>
        <v>0.114</v>
      </c>
      <c r="F22" s="11">
        <f>VLOOKUP(A22,'Source Readmission Final '!A23:Q78,15,FALSE)</f>
        <v>-9.5999999999999992E-3</v>
      </c>
      <c r="G22" s="13">
        <f t="shared" si="6"/>
        <v>-3.9E-2</v>
      </c>
      <c r="H22" s="14">
        <f t="shared" si="0"/>
        <v>-2.8E-3</v>
      </c>
      <c r="I22" s="15">
        <f t="shared" si="1"/>
        <v>-942044</v>
      </c>
      <c r="J22" s="11">
        <f>VLOOKUP(A22,'Readmit Attainment'!A:G,5,FALSE)</f>
        <v>0.11791533546325879</v>
      </c>
      <c r="K22" s="16">
        <f t="shared" si="2"/>
        <v>0.11119999999999999</v>
      </c>
      <c r="L22" s="14">
        <f t="shared" si="3"/>
        <v>-3.0999999999999999E-3</v>
      </c>
      <c r="M22" s="15">
        <f t="shared" si="8"/>
        <v>-1042977</v>
      </c>
      <c r="N22" s="17">
        <f t="shared" si="4"/>
        <v>-942044</v>
      </c>
      <c r="O22" s="11">
        <f t="shared" si="5"/>
        <v>-2.7999999550156378E-3</v>
      </c>
      <c r="P22" s="9" t="str">
        <f t="shared" si="7"/>
        <v>Imp</v>
      </c>
      <c r="Q22" s="18"/>
    </row>
    <row r="23" spans="1:18">
      <c r="A23" s="8">
        <v>210024</v>
      </c>
      <c r="B23" s="46" t="s">
        <v>52</v>
      </c>
      <c r="C23" s="10">
        <f>VLOOKUP($A23,'[5]Source Revenue'!$A$3:$D$48,4,FALSE)</f>
        <v>264819463.41190135</v>
      </c>
      <c r="D23" s="67">
        <f>VLOOKUP(A23,'Source Readmission Final '!A24:O79,8,FALSE)</f>
        <v>0.13089999999999999</v>
      </c>
      <c r="E23" s="11">
        <f>VLOOKUP(A23,'Source Readmission Final '!A24:O79,14,FALSE)</f>
        <v>0.1145</v>
      </c>
      <c r="F23" s="11">
        <f>VLOOKUP(A23,'Source Readmission Final '!A24:Q79,15,FALSE)</f>
        <v>-0.12529999999999999</v>
      </c>
      <c r="G23" s="13">
        <f t="shared" si="6"/>
        <v>-3.9E-2</v>
      </c>
      <c r="H23" s="14">
        <f t="shared" si="0"/>
        <v>8.2000000000000007E-3</v>
      </c>
      <c r="I23" s="15">
        <f t="shared" si="1"/>
        <v>2171520</v>
      </c>
      <c r="J23" s="11">
        <f>VLOOKUP(A23,'Readmit Attainment'!A:G,5,FALSE)</f>
        <v>0.11597741935483871</v>
      </c>
      <c r="K23" s="16">
        <f t="shared" si="2"/>
        <v>0.11119999999999999</v>
      </c>
      <c r="L23" s="14">
        <f t="shared" si="3"/>
        <v>-2.2000000000000001E-3</v>
      </c>
      <c r="M23" s="15">
        <f t="shared" si="8"/>
        <v>-582603</v>
      </c>
      <c r="N23" s="17">
        <f t="shared" si="4"/>
        <v>2171520</v>
      </c>
      <c r="O23" s="11">
        <f t="shared" si="5"/>
        <v>8.2000015105476148E-3</v>
      </c>
      <c r="P23" s="9" t="str">
        <f t="shared" si="7"/>
        <v>Imp</v>
      </c>
      <c r="Q23" s="18"/>
    </row>
    <row r="24" spans="1:18" ht="30">
      <c r="A24" s="8">
        <v>210027</v>
      </c>
      <c r="B24" s="46" t="s">
        <v>53</v>
      </c>
      <c r="C24" s="10">
        <f>VLOOKUP($A24,'[5]Source Revenue'!$A$3:$D$48,4,FALSE)</f>
        <v>180822231.00700095</v>
      </c>
      <c r="D24" s="67">
        <f>VLOOKUP(A24,'Source Readmission Final '!A25:O80,8,FALSE)</f>
        <v>0.1137</v>
      </c>
      <c r="E24" s="11">
        <f>VLOOKUP(A24,'Source Readmission Final '!A25:O80,14,FALSE)</f>
        <v>0.1041</v>
      </c>
      <c r="F24" s="11">
        <f>VLOOKUP(A24,'Source Readmission Final '!A25:Q80,15,FALSE)</f>
        <v>-8.4400000000000003E-2</v>
      </c>
      <c r="G24" s="13">
        <f t="shared" si="6"/>
        <v>-3.9E-2</v>
      </c>
      <c r="H24" s="14">
        <f t="shared" si="0"/>
        <v>4.3E-3</v>
      </c>
      <c r="I24" s="15">
        <f t="shared" si="1"/>
        <v>777536</v>
      </c>
      <c r="J24" s="11">
        <f>VLOOKUP(A24,'Readmit Attainment'!A:G,5,FALSE)</f>
        <v>0.11909312602291326</v>
      </c>
      <c r="K24" s="16">
        <f t="shared" si="2"/>
        <v>0.11119999999999999</v>
      </c>
      <c r="L24" s="14">
        <f t="shared" si="3"/>
        <v>-3.5999999999999999E-3</v>
      </c>
      <c r="M24" s="15">
        <f t="shared" si="8"/>
        <v>-650960</v>
      </c>
      <c r="N24" s="17">
        <f t="shared" si="4"/>
        <v>777536</v>
      </c>
      <c r="O24" s="11">
        <f t="shared" si="5"/>
        <v>4.3000022490038625E-3</v>
      </c>
      <c r="P24" s="9" t="str">
        <f t="shared" si="7"/>
        <v>Imp</v>
      </c>
      <c r="Q24" s="18"/>
    </row>
    <row r="25" spans="1:18">
      <c r="A25" s="8">
        <v>210028</v>
      </c>
      <c r="B25" s="46" t="s">
        <v>54</v>
      </c>
      <c r="C25" s="10">
        <f>VLOOKUP($A25,'[5]Source Revenue'!$A$3:$D$48,4,FALSE)</f>
        <v>81526292.799159527</v>
      </c>
      <c r="D25" s="67">
        <f>VLOOKUP(A25,'Source Readmission Final '!A26:O81,8,FALSE)</f>
        <v>0.10970000000000001</v>
      </c>
      <c r="E25" s="11">
        <f>VLOOKUP(A25,'Source Readmission Final '!A26:O81,14,FALSE)</f>
        <v>0.10150000000000001</v>
      </c>
      <c r="F25" s="11">
        <f>VLOOKUP(A25,'Source Readmission Final '!A26:Q81,15,FALSE)</f>
        <v>-7.4700000000000003E-2</v>
      </c>
      <c r="G25" s="13">
        <f t="shared" si="6"/>
        <v>-3.9E-2</v>
      </c>
      <c r="H25" s="14">
        <f t="shared" si="0"/>
        <v>3.3999999999999998E-3</v>
      </c>
      <c r="I25" s="15">
        <f t="shared" si="1"/>
        <v>277189</v>
      </c>
      <c r="J25" s="11">
        <f>VLOOKUP(A25,'Readmit Attainment'!A:G,5,FALSE)</f>
        <v>0.11859473684210528</v>
      </c>
      <c r="K25" s="16">
        <f t="shared" si="2"/>
        <v>0.11119999999999999</v>
      </c>
      <c r="L25" s="14">
        <f t="shared" si="3"/>
        <v>-3.3999999999999998E-3</v>
      </c>
      <c r="M25" s="15">
        <f t="shared" si="8"/>
        <v>-277189</v>
      </c>
      <c r="N25" s="17">
        <f t="shared" si="4"/>
        <v>277189</v>
      </c>
      <c r="O25" s="11">
        <f t="shared" si="5"/>
        <v>3.3999951485940449E-3</v>
      </c>
      <c r="P25" s="9" t="str">
        <f t="shared" si="7"/>
        <v>Imp</v>
      </c>
      <c r="Q25" s="18"/>
    </row>
    <row r="26" spans="1:18">
      <c r="A26" s="8">
        <v>210029</v>
      </c>
      <c r="B26" s="46" t="s">
        <v>55</v>
      </c>
      <c r="C26" s="10">
        <f>VLOOKUP($A26,'[5]Source Revenue'!$A$3:$D$48,4,FALSE)</f>
        <v>399822341.81158066</v>
      </c>
      <c r="D26" s="67">
        <f>VLOOKUP(A26,'Source Readmission Final '!A27:O82,8,FALSE)</f>
        <v>0.14630000000000001</v>
      </c>
      <c r="E26" s="11">
        <f>VLOOKUP(A26,'Source Readmission Final '!A27:O82,14,FALSE)</f>
        <v>0.12909999999999999</v>
      </c>
      <c r="F26" s="11">
        <f>VLOOKUP(A26,'Source Readmission Final '!A27:Q82,15,FALSE)</f>
        <v>-0.1176</v>
      </c>
      <c r="G26" s="13">
        <f t="shared" si="6"/>
        <v>-3.9E-2</v>
      </c>
      <c r="H26" s="14">
        <f t="shared" si="0"/>
        <v>7.4999999999999997E-3</v>
      </c>
      <c r="I26" s="15">
        <f t="shared" si="1"/>
        <v>2998668</v>
      </c>
      <c r="J26" s="11">
        <f>VLOOKUP(A26,'Readmit Attainment'!A:G,5,FALSE)</f>
        <v>0.13165974137931036</v>
      </c>
      <c r="K26" s="16">
        <f t="shared" si="2"/>
        <v>0.11119999999999999</v>
      </c>
      <c r="L26" s="14">
        <f t="shared" si="3"/>
        <v>-9.4000000000000004E-3</v>
      </c>
      <c r="M26" s="15">
        <f t="shared" si="8"/>
        <v>-3758330</v>
      </c>
      <c r="N26" s="17">
        <f t="shared" si="4"/>
        <v>2998668</v>
      </c>
      <c r="O26" s="11">
        <f t="shared" si="5"/>
        <v>7.5000010915176555E-3</v>
      </c>
      <c r="P26" s="9" t="str">
        <f t="shared" si="7"/>
        <v>Imp</v>
      </c>
      <c r="Q26" s="18"/>
    </row>
    <row r="27" spans="1:18">
      <c r="A27" s="8">
        <v>210030</v>
      </c>
      <c r="B27" s="46" t="s">
        <v>56</v>
      </c>
      <c r="C27" s="10">
        <f>VLOOKUP($A27,'[5]Source Revenue'!$A$3:$D$48,4,FALSE)</f>
        <v>12988646.39517409</v>
      </c>
      <c r="D27" s="67">
        <f>VLOOKUP(A27,'Source Readmission Final '!A28:O83,8,FALSE)</f>
        <v>0.1414</v>
      </c>
      <c r="E27" s="11">
        <f>VLOOKUP(A27,'Source Readmission Final '!A28:O83,14,FALSE)</f>
        <v>6.5299999999999997E-2</v>
      </c>
      <c r="F27" s="11">
        <f>VLOOKUP(A27,'Source Readmission Final '!A28:Q83,15,FALSE)</f>
        <v>-0.53820000000000001</v>
      </c>
      <c r="G27" s="13">
        <f t="shared" si="6"/>
        <v>-3.9E-2</v>
      </c>
      <c r="H27" s="14">
        <f t="shared" si="0"/>
        <v>0.01</v>
      </c>
      <c r="I27" s="15">
        <f t="shared" si="1"/>
        <v>129886</v>
      </c>
      <c r="J27" s="11">
        <f>VLOOKUP(A27,'Readmit Attainment'!A:G,5,FALSE)</f>
        <v>7.5832258064516128E-2</v>
      </c>
      <c r="K27" s="16">
        <f t="shared" si="2"/>
        <v>0.11119999999999999</v>
      </c>
      <c r="L27" s="14">
        <f t="shared" si="3"/>
        <v>0.01</v>
      </c>
      <c r="M27" s="15">
        <f t="shared" si="8"/>
        <v>129886</v>
      </c>
      <c r="N27" s="17">
        <f t="shared" si="4"/>
        <v>129886</v>
      </c>
      <c r="O27" s="11">
        <f t="shared" si="5"/>
        <v>9.9999642802085162E-3</v>
      </c>
      <c r="P27" s="9" t="str">
        <f t="shared" si="7"/>
        <v>Att</v>
      </c>
      <c r="Q27" s="18"/>
    </row>
    <row r="28" spans="1:18">
      <c r="A28" s="8">
        <v>210032</v>
      </c>
      <c r="B28" s="46" t="s">
        <v>83</v>
      </c>
      <c r="C28" s="10">
        <f>VLOOKUP($A28,'[5]Source Revenue'!$A$3:$D$48,4,FALSE)</f>
        <v>69919320.660108939</v>
      </c>
      <c r="D28" s="67">
        <f>VLOOKUP(A28,'Source Readmission Final '!A29:O84,8,FALSE)</f>
        <v>0.1051</v>
      </c>
      <c r="E28" s="11">
        <f>VLOOKUP(A28,'Source Readmission Final '!A29:O84,14,FALSE)</f>
        <v>0.10539999999999999</v>
      </c>
      <c r="F28" s="11">
        <f>VLOOKUP(A28,'Source Readmission Final '!A29:Q84,15,FALSE)</f>
        <v>2.8999999999999998E-3</v>
      </c>
      <c r="G28" s="13">
        <f t="shared" si="6"/>
        <v>-3.9E-2</v>
      </c>
      <c r="H28" s="14">
        <f t="shared" si="0"/>
        <v>-4.0000000000000001E-3</v>
      </c>
      <c r="I28" s="15">
        <f t="shared" si="1"/>
        <v>-279677</v>
      </c>
      <c r="J28" s="11">
        <f>VLOOKUP(A28,'Readmit Attainment'!A:G,5,FALSE)</f>
        <v>0.12909457364341084</v>
      </c>
      <c r="K28" s="16">
        <f t="shared" si="2"/>
        <v>0.11119999999999999</v>
      </c>
      <c r="L28" s="14">
        <f t="shared" si="3"/>
        <v>-8.2000000000000007E-3</v>
      </c>
      <c r="M28" s="15">
        <f t="shared" si="8"/>
        <v>-573338</v>
      </c>
      <c r="N28" s="17">
        <f t="shared" si="4"/>
        <v>-279677</v>
      </c>
      <c r="O28" s="11">
        <f t="shared" si="5"/>
        <v>-3.9999959576203963E-3</v>
      </c>
      <c r="P28" s="9" t="str">
        <f t="shared" si="7"/>
        <v>Imp</v>
      </c>
      <c r="Q28" s="18"/>
    </row>
    <row r="29" spans="1:18">
      <c r="A29" s="8">
        <v>210033</v>
      </c>
      <c r="B29" s="46" t="s">
        <v>57</v>
      </c>
      <c r="C29" s="10">
        <f>VLOOKUP($A29,'[5]Source Revenue'!$A$3:$D$48,4,FALSE)</f>
        <v>152896196.32988572</v>
      </c>
      <c r="D29" s="67">
        <f>VLOOKUP(A29,'Source Readmission Final '!A30:O85,8,FALSE)</f>
        <v>0.11550000000000001</v>
      </c>
      <c r="E29" s="11">
        <f>VLOOKUP(A29,'Source Readmission Final '!A30:O85,14,FALSE)</f>
        <v>0.1168</v>
      </c>
      <c r="F29" s="11">
        <f>VLOOKUP(A29,'Source Readmission Final '!A30:Q85,15,FALSE)</f>
        <v>1.1299999999999999E-2</v>
      </c>
      <c r="G29" s="13">
        <f t="shared" si="6"/>
        <v>-3.9E-2</v>
      </c>
      <c r="H29" s="14">
        <f t="shared" si="0"/>
        <v>-4.7999999999999996E-3</v>
      </c>
      <c r="I29" s="15">
        <f t="shared" si="1"/>
        <v>-733902</v>
      </c>
      <c r="J29" s="11">
        <f>VLOOKUP(A29,'Readmit Attainment'!A:G,5,FALSE)</f>
        <v>0.11860957746478873</v>
      </c>
      <c r="K29" s="16">
        <f t="shared" si="2"/>
        <v>0.11119999999999999</v>
      </c>
      <c r="L29" s="14">
        <f t="shared" si="3"/>
        <v>-3.3999999999999998E-3</v>
      </c>
      <c r="M29" s="15">
        <f t="shared" si="8"/>
        <v>-519847</v>
      </c>
      <c r="N29" s="17">
        <f t="shared" si="4"/>
        <v>-519847</v>
      </c>
      <c r="O29" s="11">
        <f t="shared" si="5"/>
        <v>-3.3999995583826603E-3</v>
      </c>
      <c r="P29" s="9" t="str">
        <f t="shared" si="7"/>
        <v>Att</v>
      </c>
      <c r="Q29" s="18"/>
    </row>
    <row r="30" spans="1:18">
      <c r="A30" s="8">
        <v>210034</v>
      </c>
      <c r="B30" s="46" t="s">
        <v>58</v>
      </c>
      <c r="C30" s="10">
        <f>VLOOKUP($A30,'[5]Source Revenue'!$A$3:$D$48,4,FALSE)</f>
        <v>124192093.77876332</v>
      </c>
      <c r="D30" s="67">
        <f>VLOOKUP(A30,'Source Readmission Final '!A31:O86,8,FALSE)</f>
        <v>0.1249</v>
      </c>
      <c r="E30" s="11">
        <f>VLOOKUP(A30,'Source Readmission Final '!A31:O86,14,FALSE)</f>
        <v>0.13189999999999999</v>
      </c>
      <c r="F30" s="11">
        <f>VLOOKUP(A30,'Source Readmission Final '!A31:Q86,15,FALSE)</f>
        <v>5.6000000000000001E-2</v>
      </c>
      <c r="G30" s="13">
        <f t="shared" si="6"/>
        <v>-3.9E-2</v>
      </c>
      <c r="H30" s="14">
        <f t="shared" si="0"/>
        <v>-8.9999999999999993E-3</v>
      </c>
      <c r="I30" s="15">
        <f t="shared" si="1"/>
        <v>-1117729</v>
      </c>
      <c r="J30" s="11">
        <f>VLOOKUP(A30,'Readmit Attainment'!A:G,5,FALSE)</f>
        <v>0.13266909620991252</v>
      </c>
      <c r="K30" s="16">
        <f t="shared" si="2"/>
        <v>0.11119999999999999</v>
      </c>
      <c r="L30" s="14">
        <f t="shared" si="3"/>
        <v>-9.9000000000000008E-3</v>
      </c>
      <c r="M30" s="15">
        <f t="shared" si="8"/>
        <v>-1229502</v>
      </c>
      <c r="N30" s="17">
        <f t="shared" si="4"/>
        <v>-1117729</v>
      </c>
      <c r="O30" s="11">
        <f t="shared" si="5"/>
        <v>-9.0000012560471875E-3</v>
      </c>
      <c r="P30" s="9" t="str">
        <f t="shared" si="7"/>
        <v>Imp</v>
      </c>
      <c r="Q30" s="18"/>
    </row>
    <row r="31" spans="1:18">
      <c r="A31" s="8">
        <v>210035</v>
      </c>
      <c r="B31" s="46" t="s">
        <v>59</v>
      </c>
      <c r="C31" s="10">
        <f>VLOOKUP($A31,'[5]Source Revenue'!$A$3:$D$48,4,FALSE)</f>
        <v>84646522.387098521</v>
      </c>
      <c r="D31" s="67">
        <f>VLOOKUP(A31,'Source Readmission Final '!A32:O87,8,FALSE)</f>
        <v>9.9199999999999997E-2</v>
      </c>
      <c r="E31" s="11">
        <f>VLOOKUP(A31,'Source Readmission Final '!A32:O87,14,FALSE)</f>
        <v>9.7799999999999998E-2</v>
      </c>
      <c r="F31" s="11">
        <f>VLOOKUP(A31,'Source Readmission Final '!A32:Q87,15,FALSE)</f>
        <v>-1.41E-2</v>
      </c>
      <c r="G31" s="13">
        <f t="shared" si="6"/>
        <v>-3.9E-2</v>
      </c>
      <c r="H31" s="14">
        <f t="shared" si="0"/>
        <v>-2.3999999999999998E-3</v>
      </c>
      <c r="I31" s="15">
        <f t="shared" si="1"/>
        <v>-203152</v>
      </c>
      <c r="J31" s="11">
        <f>VLOOKUP(A31,'Readmit Attainment'!A:G,5,FALSE)</f>
        <v>0.11565449591280653</v>
      </c>
      <c r="K31" s="16">
        <f t="shared" si="2"/>
        <v>0.11119999999999999</v>
      </c>
      <c r="L31" s="14">
        <f t="shared" si="3"/>
        <v>-2E-3</v>
      </c>
      <c r="M31" s="15">
        <f t="shared" si="8"/>
        <v>-169293</v>
      </c>
      <c r="N31" s="17">
        <f t="shared" si="4"/>
        <v>-169293</v>
      </c>
      <c r="O31" s="11">
        <f t="shared" si="5"/>
        <v>-1.9999994710450499E-3</v>
      </c>
      <c r="P31" s="9" t="str">
        <f t="shared" si="7"/>
        <v>Att</v>
      </c>
      <c r="Q31" s="18"/>
    </row>
    <row r="32" spans="1:18">
      <c r="A32" s="8">
        <v>210037</v>
      </c>
      <c r="B32" s="46" t="s">
        <v>60</v>
      </c>
      <c r="C32" s="10">
        <f>VLOOKUP($A32,'[5]Source Revenue'!$A$3:$D$48,4,FALSE)</f>
        <v>113470110.88857365</v>
      </c>
      <c r="D32" s="67">
        <f>VLOOKUP(A32,'Source Readmission Final '!A33:O88,8,FALSE)</f>
        <v>0.1101</v>
      </c>
      <c r="E32" s="11">
        <f>VLOOKUP(A32,'Source Readmission Final '!A33:O88,14,FALSE)</f>
        <v>8.6699999999999999E-2</v>
      </c>
      <c r="F32" s="11">
        <f>VLOOKUP(A32,'Source Readmission Final '!A33:Q88,15,FALSE)</f>
        <v>-0.21249999999999999</v>
      </c>
      <c r="G32" s="13">
        <f t="shared" si="6"/>
        <v>-3.9E-2</v>
      </c>
      <c r="H32" s="14">
        <f t="shared" si="0"/>
        <v>0.01</v>
      </c>
      <c r="I32" s="15">
        <f t="shared" si="1"/>
        <v>1134701</v>
      </c>
      <c r="J32" s="11">
        <f>VLOOKUP(A32,'Readmit Attainment'!A:G,5,FALSE)</f>
        <v>9.1532459016393439E-2</v>
      </c>
      <c r="K32" s="16">
        <f t="shared" si="2"/>
        <v>0.11119999999999999</v>
      </c>
      <c r="L32" s="14">
        <f t="shared" si="3"/>
        <v>8.9999999999999993E-3</v>
      </c>
      <c r="M32" s="15">
        <f t="shared" si="8"/>
        <v>1021231</v>
      </c>
      <c r="N32" s="17">
        <f t="shared" si="4"/>
        <v>1134701</v>
      </c>
      <c r="O32" s="11">
        <f t="shared" si="5"/>
        <v>9.9999990404016029E-3</v>
      </c>
      <c r="P32" s="9" t="str">
        <f t="shared" si="7"/>
        <v>Imp</v>
      </c>
      <c r="Q32" s="18"/>
    </row>
    <row r="33" spans="1:17">
      <c r="A33" s="8">
        <v>210038</v>
      </c>
      <c r="B33" s="46" t="s">
        <v>61</v>
      </c>
      <c r="C33" s="10">
        <f>VLOOKUP($A33,'[5]Source Revenue'!$A$3:$D$48,4,FALSE)</f>
        <v>110314477.03361738</v>
      </c>
      <c r="D33" s="67">
        <f>VLOOKUP(A33,'Source Readmission Final '!A34:O89,8,FALSE)</f>
        <v>0.15260000000000001</v>
      </c>
      <c r="E33" s="11">
        <f>VLOOKUP(A33,'Source Readmission Final '!A34:O89,14,FALSE)</f>
        <v>0.14130000000000001</v>
      </c>
      <c r="F33" s="11">
        <f>VLOOKUP(A33,'Source Readmission Final '!A34:Q89,15,FALSE)</f>
        <v>-7.3999999999999996E-2</v>
      </c>
      <c r="G33" s="13">
        <f t="shared" si="6"/>
        <v>-3.9E-2</v>
      </c>
      <c r="H33" s="14">
        <f t="shared" si="0"/>
        <v>3.3E-3</v>
      </c>
      <c r="I33" s="15">
        <f t="shared" si="1"/>
        <v>364038</v>
      </c>
      <c r="J33" s="11">
        <f>VLOOKUP(A33,'Readmit Attainment'!A:G,5,FALSE)</f>
        <v>0.14328084112149533</v>
      </c>
      <c r="K33" s="16">
        <f t="shared" si="2"/>
        <v>0.11119999999999999</v>
      </c>
      <c r="L33" s="14">
        <f t="shared" si="3"/>
        <v>-1.47E-2</v>
      </c>
      <c r="M33" s="15">
        <f t="shared" si="8"/>
        <v>-1621623</v>
      </c>
      <c r="N33" s="17">
        <f t="shared" si="4"/>
        <v>364038</v>
      </c>
      <c r="O33" s="11">
        <f t="shared" si="5"/>
        <v>3.30000204677635E-3</v>
      </c>
      <c r="P33" s="9" t="str">
        <f t="shared" si="7"/>
        <v>Imp</v>
      </c>
      <c r="Q33" s="18"/>
    </row>
    <row r="34" spans="1:17">
      <c r="A34" s="8">
        <v>210039</v>
      </c>
      <c r="B34" s="46" t="s">
        <v>62</v>
      </c>
      <c r="C34" s="10">
        <f>VLOOKUP($A34,'[5]Source Revenue'!$A$3:$D$48,4,FALSE)</f>
        <v>74688612.289266676</v>
      </c>
      <c r="D34" s="67">
        <f>VLOOKUP(A34,'Source Readmission Final '!A35:O90,8,FALSE)</f>
        <v>9.2700000000000005E-2</v>
      </c>
      <c r="E34" s="11">
        <f>VLOOKUP(A34,'Source Readmission Final '!A35:O90,14,FALSE)</f>
        <v>0.1062</v>
      </c>
      <c r="F34" s="11">
        <f>VLOOKUP(A34,'Source Readmission Final '!A35:Q90,15,FALSE)</f>
        <v>0.14560000000000001</v>
      </c>
      <c r="G34" s="13">
        <f t="shared" si="6"/>
        <v>-3.9E-2</v>
      </c>
      <c r="H34" s="14">
        <f t="shared" si="0"/>
        <v>-1.7600000000000001E-2</v>
      </c>
      <c r="I34" s="15">
        <f t="shared" si="1"/>
        <v>-1314520</v>
      </c>
      <c r="J34" s="11">
        <f>VLOOKUP(A34,'Readmit Attainment'!A:G,5,FALSE)</f>
        <v>0.1178635838150289</v>
      </c>
      <c r="K34" s="16">
        <f t="shared" si="2"/>
        <v>0.11119999999999999</v>
      </c>
      <c r="L34" s="14">
        <f t="shared" si="3"/>
        <v>-3.0999999999999999E-3</v>
      </c>
      <c r="M34" s="15">
        <f t="shared" si="8"/>
        <v>-231535</v>
      </c>
      <c r="N34" s="17">
        <f t="shared" si="4"/>
        <v>-231535</v>
      </c>
      <c r="O34" s="11">
        <f t="shared" si="5"/>
        <v>-3.1000040421593606E-3</v>
      </c>
      <c r="P34" s="9" t="str">
        <f t="shared" si="7"/>
        <v>Att</v>
      </c>
      <c r="Q34" s="18"/>
    </row>
    <row r="35" spans="1:17">
      <c r="A35" s="8">
        <v>210040</v>
      </c>
      <c r="B35" s="46" t="s">
        <v>63</v>
      </c>
      <c r="C35" s="10">
        <f>VLOOKUP($A35,'[5]Source Revenue'!$A$3:$D$48,4,FALSE)</f>
        <v>143228363.93238115</v>
      </c>
      <c r="D35" s="67">
        <f>VLOOKUP(A35,'Source Readmission Final '!A36:O91,8,FALSE)</f>
        <v>0.12740000000000001</v>
      </c>
      <c r="E35" s="11">
        <f>VLOOKUP(A35,'Source Readmission Final '!A36:O91,14,FALSE)</f>
        <v>9.7799999999999998E-2</v>
      </c>
      <c r="F35" s="11">
        <f>VLOOKUP(A35,'Source Readmission Final '!A36:Q91,15,FALSE)</f>
        <v>-0.23230000000000001</v>
      </c>
      <c r="G35" s="13">
        <f t="shared" si="6"/>
        <v>-3.9E-2</v>
      </c>
      <c r="H35" s="14">
        <f t="shared" si="0"/>
        <v>0.01</v>
      </c>
      <c r="I35" s="15">
        <f t="shared" si="1"/>
        <v>1432284</v>
      </c>
      <c r="J35" s="11">
        <f>VLOOKUP(A35,'Readmit Attainment'!A:G,5,FALSE)</f>
        <v>9.9689855072463779E-2</v>
      </c>
      <c r="K35" s="16">
        <f t="shared" si="2"/>
        <v>0.11119999999999999</v>
      </c>
      <c r="L35" s="14">
        <f t="shared" si="3"/>
        <v>5.3E-3</v>
      </c>
      <c r="M35" s="15">
        <f t="shared" si="8"/>
        <v>759110</v>
      </c>
      <c r="N35" s="17">
        <f t="shared" si="4"/>
        <v>1432284</v>
      </c>
      <c r="O35" s="11">
        <f t="shared" si="5"/>
        <v>1.0000002518189683E-2</v>
      </c>
      <c r="P35" s="9" t="str">
        <f t="shared" si="7"/>
        <v>Imp</v>
      </c>
      <c r="Q35" s="18"/>
    </row>
    <row r="36" spans="1:17">
      <c r="A36" s="8">
        <v>210043</v>
      </c>
      <c r="B36" s="46" t="s">
        <v>197</v>
      </c>
      <c r="C36" s="10">
        <f>VLOOKUP($A36,'[5]Source Revenue'!$A$3:$D$48,4,FALSE)</f>
        <v>275202797.22764188</v>
      </c>
      <c r="D36" s="67">
        <f>VLOOKUP(A36,'Source Readmission Final '!A37:O92,8,FALSE)</f>
        <v>0.128</v>
      </c>
      <c r="E36" s="11">
        <f>VLOOKUP(A36,'Source Readmission Final '!A37:O92,14,FALSE)</f>
        <v>0.1099</v>
      </c>
      <c r="F36" s="11">
        <f>VLOOKUP(A36,'Source Readmission Final '!A37:Q92,15,FALSE)</f>
        <v>-0.1414</v>
      </c>
      <c r="G36" s="13">
        <f t="shared" si="6"/>
        <v>-3.9E-2</v>
      </c>
      <c r="H36" s="14">
        <f t="shared" si="0"/>
        <v>9.7999999999999997E-3</v>
      </c>
      <c r="I36" s="15">
        <f t="shared" si="1"/>
        <v>2696987</v>
      </c>
      <c r="J36" s="11">
        <f>VLOOKUP(A36,'Readmit Attainment'!A:G,5,FALSE)</f>
        <v>0.11164444444444444</v>
      </c>
      <c r="K36" s="16">
        <f t="shared" si="2"/>
        <v>0.11119999999999999</v>
      </c>
      <c r="L36" s="14">
        <f t="shared" si="3"/>
        <v>-2.0000000000000001E-4</v>
      </c>
      <c r="M36" s="15">
        <f t="shared" si="8"/>
        <v>-55041</v>
      </c>
      <c r="N36" s="17">
        <f t="shared" si="4"/>
        <v>2696987</v>
      </c>
      <c r="O36" s="11">
        <f t="shared" si="5"/>
        <v>9.7999984999029999E-3</v>
      </c>
      <c r="P36" s="9" t="str">
        <f t="shared" si="7"/>
        <v>Imp</v>
      </c>
      <c r="Q36" s="18"/>
    </row>
    <row r="37" spans="1:17">
      <c r="A37" s="8">
        <v>210044</v>
      </c>
      <c r="B37" s="46" t="s">
        <v>64</v>
      </c>
      <c r="C37" s="10">
        <f>VLOOKUP($A37,'[5]Source Revenue'!$A$3:$D$48,4,FALSE)</f>
        <v>255702198.09939551</v>
      </c>
      <c r="D37" s="67">
        <f>VLOOKUP(A37,'Source Readmission Final '!A38:O93,8,FALSE)</f>
        <v>0.1087</v>
      </c>
      <c r="E37" s="11">
        <f>VLOOKUP(A37,'Source Readmission Final '!A38:O93,14,FALSE)</f>
        <v>0.1057</v>
      </c>
      <c r="F37" s="11">
        <f>VLOOKUP(A37,'Source Readmission Final '!A38:Q93,15,FALSE)</f>
        <v>-2.76E-2</v>
      </c>
      <c r="G37" s="13">
        <f t="shared" si="6"/>
        <v>-3.9E-2</v>
      </c>
      <c r="H37" s="14">
        <f t="shared" si="0"/>
        <v>-1.1000000000000001E-3</v>
      </c>
      <c r="I37" s="15">
        <f t="shared" si="1"/>
        <v>-281272</v>
      </c>
      <c r="J37" s="11">
        <f>VLOOKUP(A37,'Readmit Attainment'!A:G,5,FALSE)</f>
        <v>0.10734921985815603</v>
      </c>
      <c r="K37" s="16">
        <f t="shared" si="2"/>
        <v>0.11119999999999999</v>
      </c>
      <c r="L37" s="14">
        <f t="shared" si="3"/>
        <v>1.8E-3</v>
      </c>
      <c r="M37" s="15">
        <f t="shared" si="8"/>
        <v>460264</v>
      </c>
      <c r="N37" s="17">
        <f t="shared" si="4"/>
        <v>460264</v>
      </c>
      <c r="O37" s="11">
        <f t="shared" si="5"/>
        <v>1.8000001698111646E-3</v>
      </c>
      <c r="P37" s="9" t="str">
        <f t="shared" si="7"/>
        <v>Att</v>
      </c>
      <c r="Q37" s="18"/>
    </row>
    <row r="38" spans="1:17">
      <c r="A38" s="8">
        <v>210045</v>
      </c>
      <c r="B38" s="46" t="s">
        <v>65</v>
      </c>
      <c r="C38" s="10">
        <f>VLOOKUP($A38,'[5]Source Revenue'!$A$3:$D$48,4,FALSE)</f>
        <v>0</v>
      </c>
      <c r="D38" s="11"/>
      <c r="E38" s="11"/>
      <c r="F38" s="11"/>
      <c r="G38" s="13"/>
      <c r="H38" s="14"/>
      <c r="I38" s="15"/>
      <c r="J38" s="11"/>
      <c r="K38" s="16"/>
      <c r="L38" s="14"/>
      <c r="M38" s="15"/>
      <c r="N38" s="17"/>
      <c r="O38" s="11"/>
      <c r="P38" s="9"/>
      <c r="Q38" s="18"/>
    </row>
    <row r="39" spans="1:17">
      <c r="A39" s="8">
        <v>210048</v>
      </c>
      <c r="B39" s="46" t="s">
        <v>66</v>
      </c>
      <c r="C39" s="10">
        <f>VLOOKUP($A39,'[5]Source Revenue'!$A$3:$D$48,4,FALSE)</f>
        <v>191102019.8599062</v>
      </c>
      <c r="D39" s="67">
        <f>VLOOKUP(A39,'Source Readmission Final '!A40:O95,8,FALSE)</f>
        <v>0.1168</v>
      </c>
      <c r="E39" s="11">
        <f>VLOOKUP(A39,'Source Readmission Final '!A40:O95,14,FALSE)</f>
        <v>0.1094</v>
      </c>
      <c r="F39" s="11">
        <f>VLOOKUP(A39,'Source Readmission Final '!A40:Q95,15,FALSE)</f>
        <v>-6.3399999999999998E-2</v>
      </c>
      <c r="G39" s="13">
        <f t="shared" si="6"/>
        <v>-3.9E-2</v>
      </c>
      <c r="H39" s="14">
        <f t="shared" ref="H39" si="11">ROUND(IF(F39&lt;=ImpMaxRewardScore,MaxReward,IF(F39&gt;=ImpMaxPenaltyScore,MaxPenalty,IF(F39&lt;=ImpTarget,MaxReward*((F39-ImpTarget)/(ImpMaxRewardScore-ImpTarget)),MaxPenalty*((F39-ImpTarget)/(ImpMaxPenaltyScore-ImpTarget))))),4)</f>
        <v>2.3E-3</v>
      </c>
      <c r="I39" s="15">
        <f t="shared" ref="I39" si="12">ROUND($C39*H39,0)</f>
        <v>439535</v>
      </c>
      <c r="J39" s="11">
        <f>VLOOKUP(A39,'Readmit Attainment'!A:G,5,FALSE)</f>
        <v>0.11117775000000001</v>
      </c>
      <c r="K39" s="16">
        <f t="shared" si="2"/>
        <v>0.11119999999999999</v>
      </c>
      <c r="L39" s="14">
        <f t="shared" ref="L39" si="13">ROUND(IF(J39&lt;=AttMaxRewardScore,MaxReward,IF(J39&gt;=AttMaxPenaltyScore,MaxPenalty,IF(J39&lt;=AttTarget,MaxReward*((J39-AttTarget)/(AttMaxRewardScore-AttTarget)),MaxPenalty*((J39-AttTarget)/(AttMaxPenaltyScore-AttTarget))))),4)</f>
        <v>0</v>
      </c>
      <c r="M39" s="15">
        <f t="shared" ref="M39" si="14">ROUND($C39*L39,0)</f>
        <v>0</v>
      </c>
      <c r="N39" s="17">
        <f t="shared" ref="N39" si="15">MAX(I39,M39)</f>
        <v>439535</v>
      </c>
      <c r="O39" s="11">
        <f t="shared" ref="O39" si="16">N39/C39</f>
        <v>2.3000018540997947E-3</v>
      </c>
      <c r="P39" s="9" t="str">
        <f t="shared" ref="P39" si="17">IF(N39=M39,"Att",IF(N39=I39,"Imp"))</f>
        <v>Imp</v>
      </c>
      <c r="Q39" s="18"/>
    </row>
    <row r="40" spans="1:17">
      <c r="A40" s="8">
        <v>210049</v>
      </c>
      <c r="B40" s="46" t="s">
        <v>67</v>
      </c>
      <c r="C40" s="10">
        <f>VLOOKUP($A40,'[5]Source Revenue'!$A$3:$D$48,4,FALSE)</f>
        <v>164404574.21441871</v>
      </c>
      <c r="D40" s="67">
        <f>VLOOKUP(A40,'Source Readmission Final '!A41:O96,8,FALSE)</f>
        <v>0.1125</v>
      </c>
      <c r="E40" s="11">
        <f>VLOOKUP(A40,'Source Readmission Final '!A41:O96,14,FALSE)</f>
        <v>0.11169999999999999</v>
      </c>
      <c r="F40" s="11">
        <f>VLOOKUP(A40,'Source Readmission Final '!A41:Q96,15,FALSE)</f>
        <v>-7.1000000000000004E-3</v>
      </c>
      <c r="G40" s="13">
        <f t="shared" si="6"/>
        <v>-3.9E-2</v>
      </c>
      <c r="H40" s="14">
        <f t="shared" ref="H40:H50" si="18">ROUND(IF(F40&lt;=ImpMaxRewardScore,MaxReward,IF(F40&gt;=ImpMaxPenaltyScore,MaxPenalty,IF(F40&lt;=ImpTarget,MaxReward*((F40-ImpTarget)/(ImpMaxRewardScore-ImpTarget)),MaxPenalty*((F40-ImpTarget)/(ImpMaxPenaltyScore-ImpTarget))))),4)</f>
        <v>-3.0000000000000001E-3</v>
      </c>
      <c r="I40" s="15">
        <f t="shared" ref="I40:I50" si="19">ROUND($C40*H40,0)</f>
        <v>-493214</v>
      </c>
      <c r="J40" s="11">
        <f>VLOOKUP(A40,'Readmit Attainment'!A:G,5,FALSE)</f>
        <v>0.11459466463414633</v>
      </c>
      <c r="K40" s="16">
        <f t="shared" si="2"/>
        <v>0.11119999999999999</v>
      </c>
      <c r="L40" s="14">
        <f t="shared" ref="L40:L50" si="20">ROUND(IF(J40&lt;=AttMaxRewardScore,MaxReward,IF(J40&gt;=AttMaxPenaltyScore,MaxPenalty,IF(J40&lt;=AttTarget,MaxReward*((J40-AttTarget)/(AttMaxRewardScore-AttTarget)),MaxPenalty*((J40-AttTarget)/(AttMaxPenaltyScore-AttTarget))))),4)</f>
        <v>-1.6000000000000001E-3</v>
      </c>
      <c r="M40" s="15">
        <f t="shared" ref="M40:M50" si="21">ROUND($C40*L40,0)</f>
        <v>-263047</v>
      </c>
      <c r="N40" s="17">
        <f t="shared" ref="N40:N50" si="22">MAX(I40,M40)</f>
        <v>-263047</v>
      </c>
      <c r="O40" s="11">
        <f t="shared" ref="O40:O50" si="23">N40/C40</f>
        <v>-1.5999980612274843E-3</v>
      </c>
      <c r="P40" s="9" t="str">
        <f t="shared" ref="P40:P50" si="24">IF(N40=M40,"Att",IF(N40=I40,"Imp"))</f>
        <v>Att</v>
      </c>
      <c r="Q40" s="18"/>
    </row>
    <row r="41" spans="1:17">
      <c r="A41" s="8">
        <v>210051</v>
      </c>
      <c r="B41" s="46" t="s">
        <v>68</v>
      </c>
      <c r="C41" s="10">
        <f>VLOOKUP($A41,'[5]Source Revenue'!$A$3:$D$48,4,FALSE)</f>
        <v>155306460.53440878</v>
      </c>
      <c r="D41" s="67">
        <f>VLOOKUP(A41,'Source Readmission Final '!A42:O97,8,FALSE)</f>
        <v>0.1182</v>
      </c>
      <c r="E41" s="11">
        <f>VLOOKUP(A41,'Source Readmission Final '!A42:O97,14,FALSE)</f>
        <v>8.5999999999999993E-2</v>
      </c>
      <c r="F41" s="11">
        <f>VLOOKUP(A41,'Source Readmission Final '!A42:Q97,15,FALSE)</f>
        <v>-0.27239999999999998</v>
      </c>
      <c r="G41" s="13">
        <f t="shared" si="6"/>
        <v>-3.9E-2</v>
      </c>
      <c r="H41" s="14">
        <f t="shared" si="18"/>
        <v>0.01</v>
      </c>
      <c r="I41" s="15">
        <f t="shared" si="19"/>
        <v>1553065</v>
      </c>
      <c r="J41" s="11">
        <f>VLOOKUP(A41,'Readmit Attainment'!A:G,5,FALSE)</f>
        <v>0.10274835886214441</v>
      </c>
      <c r="K41" s="16">
        <f t="shared" si="2"/>
        <v>0.11119999999999999</v>
      </c>
      <c r="L41" s="14">
        <f t="shared" si="20"/>
        <v>3.8999999999999998E-3</v>
      </c>
      <c r="M41" s="15">
        <f t="shared" si="21"/>
        <v>605695</v>
      </c>
      <c r="N41" s="17">
        <f t="shared" si="22"/>
        <v>1553065</v>
      </c>
      <c r="O41" s="11">
        <f t="shared" si="23"/>
        <v>1.0000002541142918E-2</v>
      </c>
      <c r="P41" s="9" t="str">
        <f t="shared" si="24"/>
        <v>Imp</v>
      </c>
      <c r="Q41" s="18"/>
    </row>
    <row r="42" spans="1:17">
      <c r="A42" s="8">
        <v>210056</v>
      </c>
      <c r="B42" s="46" t="s">
        <v>69</v>
      </c>
      <c r="C42" s="10">
        <f>VLOOKUP($A42,'[5]Source Revenue'!$A$3:$D$48,4,FALSE)</f>
        <v>165766811.65883392</v>
      </c>
      <c r="D42" s="67">
        <f>VLOOKUP(A42,'Source Readmission Final '!A43:O98,8,FALSE)</f>
        <v>0.1227</v>
      </c>
      <c r="E42" s="11">
        <f>VLOOKUP(A42,'Source Readmission Final '!A43:O98,14,FALSE)</f>
        <v>0.12670000000000001</v>
      </c>
      <c r="F42" s="11">
        <f>VLOOKUP(A42,'Source Readmission Final '!A43:Q98,15,FALSE)</f>
        <v>3.2599999999999997E-2</v>
      </c>
      <c r="G42" s="13">
        <f t="shared" si="6"/>
        <v>-3.9E-2</v>
      </c>
      <c r="H42" s="14">
        <f t="shared" si="18"/>
        <v>-6.7999999999999996E-3</v>
      </c>
      <c r="I42" s="15">
        <f t="shared" si="19"/>
        <v>-1127214</v>
      </c>
      <c r="J42" s="11">
        <f>VLOOKUP(A42,'Readmit Attainment'!A:G,5,FALSE)</f>
        <v>0.1274678787878788</v>
      </c>
      <c r="K42" s="16">
        <f t="shared" si="2"/>
        <v>0.11119999999999999</v>
      </c>
      <c r="L42" s="14">
        <f t="shared" si="20"/>
        <v>-7.4999999999999997E-3</v>
      </c>
      <c r="M42" s="15">
        <f t="shared" si="21"/>
        <v>-1243251</v>
      </c>
      <c r="N42" s="17">
        <f t="shared" si="22"/>
        <v>-1127214</v>
      </c>
      <c r="O42" s="11">
        <f t="shared" si="23"/>
        <v>-6.7999980739204217E-3</v>
      </c>
      <c r="P42" s="9" t="str">
        <f t="shared" si="24"/>
        <v>Imp</v>
      </c>
      <c r="Q42" s="18"/>
    </row>
    <row r="43" spans="1:17">
      <c r="A43" s="8">
        <v>210057</v>
      </c>
      <c r="B43" s="46" t="s">
        <v>70</v>
      </c>
      <c r="C43" s="10">
        <f>VLOOKUP($A43,'[5]Source Revenue'!$A$3:$D$48,4,FALSE)</f>
        <v>289663225.6363765</v>
      </c>
      <c r="D43" s="67">
        <f>VLOOKUP(A43,'Source Readmission Final '!A44:O99,8,FALSE)</f>
        <v>0.1042</v>
      </c>
      <c r="E43" s="11">
        <f>VLOOKUP(A43,'Source Readmission Final '!A44:O99,14,FALSE)</f>
        <v>9.3700000000000006E-2</v>
      </c>
      <c r="F43" s="11">
        <f>VLOOKUP(A43,'Source Readmission Final '!A44:Q99,15,FALSE)</f>
        <v>-0.1008</v>
      </c>
      <c r="G43" s="13">
        <f t="shared" si="6"/>
        <v>-3.9E-2</v>
      </c>
      <c r="H43" s="14">
        <f t="shared" si="18"/>
        <v>5.8999999999999999E-3</v>
      </c>
      <c r="I43" s="15">
        <f t="shared" si="19"/>
        <v>1709013</v>
      </c>
      <c r="J43" s="11">
        <f>VLOOKUP(A43,'Readmit Attainment'!A:G,5,FALSE)</f>
        <v>9.8576579925650554E-2</v>
      </c>
      <c r="K43" s="16">
        <f t="shared" si="2"/>
        <v>0.11119999999999999</v>
      </c>
      <c r="L43" s="14">
        <f t="shared" si="20"/>
        <v>5.7999999999999996E-3</v>
      </c>
      <c r="M43" s="15">
        <f t="shared" si="21"/>
        <v>1680047</v>
      </c>
      <c r="N43" s="17">
        <f t="shared" si="22"/>
        <v>1709013</v>
      </c>
      <c r="O43" s="11">
        <f t="shared" si="23"/>
        <v>5.8999998921001407E-3</v>
      </c>
      <c r="P43" s="9" t="str">
        <f t="shared" si="24"/>
        <v>Imp</v>
      </c>
      <c r="Q43" s="18"/>
    </row>
    <row r="44" spans="1:17">
      <c r="A44" s="8">
        <v>210058</v>
      </c>
      <c r="B44" s="46" t="s">
        <v>71</v>
      </c>
      <c r="C44" s="10">
        <f>VLOOKUP($A44,'[5]Source Revenue'!$A$3:$D$48,4,FALSE)</f>
        <v>75225637.132790893</v>
      </c>
      <c r="D44" s="67">
        <f>VLOOKUP(A44,'Source Readmission Final '!A45:O100,8,FALSE)</f>
        <v>0.10009999999999999</v>
      </c>
      <c r="E44" s="11">
        <f>VLOOKUP(A44,'Source Readmission Final '!A45:O100,14,FALSE)</f>
        <v>0.1066</v>
      </c>
      <c r="F44" s="11">
        <f>VLOOKUP(A44,'Source Readmission Final '!A45:Q100,15,FALSE)</f>
        <v>6.4899999999999999E-2</v>
      </c>
      <c r="G44" s="13">
        <f t="shared" si="6"/>
        <v>-3.9E-2</v>
      </c>
      <c r="H44" s="14">
        <f t="shared" si="18"/>
        <v>-9.9000000000000008E-3</v>
      </c>
      <c r="I44" s="15">
        <f t="shared" si="19"/>
        <v>-744734</v>
      </c>
      <c r="J44" s="11">
        <f>VLOOKUP(A44,'Readmit Attainment'!A:G,5,FALSE)</f>
        <v>0.1066</v>
      </c>
      <c r="K44" s="16">
        <f t="shared" si="2"/>
        <v>0.11119999999999999</v>
      </c>
      <c r="L44" s="14">
        <f t="shared" si="20"/>
        <v>2.0999999999999999E-3</v>
      </c>
      <c r="M44" s="15">
        <f>ROUND($C44*L44,0)*0.16</f>
        <v>25275.84</v>
      </c>
      <c r="N44" s="17">
        <f t="shared" si="22"/>
        <v>25275.84</v>
      </c>
      <c r="O44" s="11">
        <f t="shared" si="23"/>
        <v>3.3600034460834428E-4</v>
      </c>
      <c r="P44" s="9" t="str">
        <f t="shared" si="24"/>
        <v>Att</v>
      </c>
      <c r="Q44" s="18"/>
    </row>
    <row r="45" spans="1:17">
      <c r="A45" s="8">
        <v>210060</v>
      </c>
      <c r="B45" s="46" t="s">
        <v>72</v>
      </c>
      <c r="C45" s="10">
        <f>VLOOKUP($A45,'[5]Source Revenue'!$A$3:$D$48,4,FALSE)</f>
        <v>22162896.046017453</v>
      </c>
      <c r="D45" s="67">
        <f>VLOOKUP(A45,'Source Readmission Final '!A46:O101,8,FALSE)</f>
        <v>9.5699999999999993E-2</v>
      </c>
      <c r="E45" s="11">
        <f>VLOOKUP(A45,'Source Readmission Final '!A46:O101,14,FALSE)</f>
        <v>9.4399999999999998E-2</v>
      </c>
      <c r="F45" s="11">
        <f>VLOOKUP(A45,'Source Readmission Final '!A46:Q101,15,FALSE)</f>
        <v>-1.3599999999999999E-2</v>
      </c>
      <c r="G45" s="13">
        <f t="shared" si="6"/>
        <v>-3.9E-2</v>
      </c>
      <c r="H45" s="14">
        <f t="shared" si="18"/>
        <v>-2.3999999999999998E-3</v>
      </c>
      <c r="I45" s="15">
        <f t="shared" si="19"/>
        <v>-53191</v>
      </c>
      <c r="J45" s="11">
        <f>VLOOKUP(A45,'Readmit Attainment'!A:G,5,FALSE)</f>
        <v>0.13393504273504273</v>
      </c>
      <c r="K45" s="16">
        <f t="shared" si="2"/>
        <v>0.11119999999999999</v>
      </c>
      <c r="L45" s="14">
        <f t="shared" si="20"/>
        <v>-1.0500000000000001E-2</v>
      </c>
      <c r="M45" s="15">
        <f t="shared" si="21"/>
        <v>-232710</v>
      </c>
      <c r="N45" s="17">
        <f t="shared" si="22"/>
        <v>-53191</v>
      </c>
      <c r="O45" s="11">
        <f t="shared" si="23"/>
        <v>-2.4000022329914833E-3</v>
      </c>
      <c r="P45" s="9" t="str">
        <f t="shared" si="24"/>
        <v>Imp</v>
      </c>
      <c r="Q45" s="18"/>
    </row>
    <row r="46" spans="1:17">
      <c r="A46" s="8">
        <v>210061</v>
      </c>
      <c r="B46" s="46" t="s">
        <v>73</v>
      </c>
      <c r="C46" s="10">
        <f>VLOOKUP($A46,'[5]Source Revenue'!$A$3:$D$48,4,FALSE)</f>
        <v>41947865.092794336</v>
      </c>
      <c r="D46" s="67">
        <f>VLOOKUP(A46,'Source Readmission Final '!A47:O102,8,FALSE)</f>
        <v>8.9200000000000002E-2</v>
      </c>
      <c r="E46" s="11">
        <f>VLOOKUP(A46,'Source Readmission Final '!A47:O102,14,FALSE)</f>
        <v>9.0999999999999998E-2</v>
      </c>
      <c r="F46" s="11">
        <f>VLOOKUP(A46,'Source Readmission Final '!A47:Q102,15,FALSE)</f>
        <v>2.0199999999999999E-2</v>
      </c>
      <c r="G46" s="13">
        <f t="shared" si="6"/>
        <v>-3.9E-2</v>
      </c>
      <c r="H46" s="14">
        <f t="shared" si="18"/>
        <v>-5.5999999999999999E-3</v>
      </c>
      <c r="I46" s="15">
        <f t="shared" si="19"/>
        <v>-234908</v>
      </c>
      <c r="J46" s="11">
        <f>VLOOKUP(A46,'Readmit Attainment'!A:G,5,FALSE)</f>
        <v>0.10019680851063828</v>
      </c>
      <c r="K46" s="16">
        <f t="shared" si="2"/>
        <v>0.11119999999999999</v>
      </c>
      <c r="L46" s="14">
        <f t="shared" si="20"/>
        <v>5.0000000000000001E-3</v>
      </c>
      <c r="M46" s="15">
        <f t="shared" si="21"/>
        <v>209739</v>
      </c>
      <c r="N46" s="17">
        <f t="shared" si="22"/>
        <v>209739</v>
      </c>
      <c r="O46" s="11">
        <f t="shared" si="23"/>
        <v>4.9999922412267955E-3</v>
      </c>
      <c r="P46" s="9" t="str">
        <f t="shared" si="24"/>
        <v>Att</v>
      </c>
      <c r="Q46" s="18"/>
    </row>
    <row r="47" spans="1:17">
      <c r="A47" s="8">
        <v>210062</v>
      </c>
      <c r="B47" s="46" t="s">
        <v>74</v>
      </c>
      <c r="C47" s="10">
        <f>VLOOKUP($A47,'[5]Source Revenue'!$A$3:$D$48,4,FALSE)</f>
        <v>180154191.81562009</v>
      </c>
      <c r="D47" s="67">
        <f>VLOOKUP(A47,'Source Readmission Final '!A48:O103,8,FALSE)</f>
        <v>0.11459999999999999</v>
      </c>
      <c r="E47" s="11">
        <f>VLOOKUP(A47,'Source Readmission Final '!A48:O103,14,FALSE)</f>
        <v>9.6600000000000005E-2</v>
      </c>
      <c r="F47" s="11">
        <f>VLOOKUP(A47,'Source Readmission Final '!A48:Q103,15,FALSE)</f>
        <v>-0.15709999999999999</v>
      </c>
      <c r="G47" s="13">
        <f t="shared" si="6"/>
        <v>-3.9E-2</v>
      </c>
      <c r="H47" s="14">
        <f t="shared" si="18"/>
        <v>0.01</v>
      </c>
      <c r="I47" s="15">
        <f t="shared" si="19"/>
        <v>1801542</v>
      </c>
      <c r="J47" s="11">
        <f>VLOOKUP(A47,'Readmit Attainment'!A:G,5,FALSE)</f>
        <v>0.12426079295154185</v>
      </c>
      <c r="K47" s="16">
        <f t="shared" si="2"/>
        <v>0.11119999999999999</v>
      </c>
      <c r="L47" s="14">
        <f t="shared" si="20"/>
        <v>-6.0000000000000001E-3</v>
      </c>
      <c r="M47" s="15">
        <f t="shared" si="21"/>
        <v>-1080925</v>
      </c>
      <c r="N47" s="17">
        <f t="shared" si="22"/>
        <v>1801542</v>
      </c>
      <c r="O47" s="11">
        <f t="shared" si="23"/>
        <v>1.0000000454298611E-2</v>
      </c>
      <c r="P47" s="9" t="str">
        <f t="shared" si="24"/>
        <v>Imp</v>
      </c>
      <c r="Q47" s="18"/>
    </row>
    <row r="48" spans="1:17" s="20" customFormat="1">
      <c r="A48" s="8">
        <v>210063</v>
      </c>
      <c r="B48" s="46" t="s">
        <v>75</v>
      </c>
      <c r="C48" s="10">
        <f>VLOOKUP($A48,'[5]Source Revenue'!$A$3:$D$48,4,FALSE)</f>
        <v>258277670.2911014</v>
      </c>
      <c r="D48" s="67">
        <f>VLOOKUP(A48,'Source Readmission Final '!A49:O104,8,FALSE)</f>
        <v>0.11119999999999999</v>
      </c>
      <c r="E48" s="11">
        <f>VLOOKUP(A48,'Source Readmission Final '!A49:O104,14,FALSE)</f>
        <v>0.10680000000000001</v>
      </c>
      <c r="F48" s="11">
        <f>VLOOKUP(A48,'Source Readmission Final '!A49:Q104,15,FALSE)</f>
        <v>-3.9600000000000003E-2</v>
      </c>
      <c r="G48" s="13">
        <f t="shared" si="6"/>
        <v>-3.9E-2</v>
      </c>
      <c r="H48" s="14">
        <f t="shared" si="18"/>
        <v>1E-4</v>
      </c>
      <c r="I48" s="15">
        <f t="shared" si="19"/>
        <v>25828</v>
      </c>
      <c r="J48" s="11">
        <f>VLOOKUP(A48,'Readmit Attainment'!A:G,5,FALSE)</f>
        <v>0.10825636363636365</v>
      </c>
      <c r="K48" s="16">
        <f t="shared" si="2"/>
        <v>0.11119999999999999</v>
      </c>
      <c r="L48" s="14">
        <f t="shared" si="20"/>
        <v>1.4E-3</v>
      </c>
      <c r="M48" s="15">
        <f t="shared" si="21"/>
        <v>361589</v>
      </c>
      <c r="N48" s="17">
        <f t="shared" si="22"/>
        <v>361589</v>
      </c>
      <c r="O48" s="11">
        <f t="shared" si="23"/>
        <v>1.4000010128342019E-3</v>
      </c>
      <c r="P48" s="9" t="str">
        <f t="shared" si="24"/>
        <v>Att</v>
      </c>
      <c r="Q48" s="18"/>
    </row>
    <row r="49" spans="1:17" s="20" customFormat="1">
      <c r="A49" s="8">
        <v>210064</v>
      </c>
      <c r="B49" s="46" t="s">
        <v>76</v>
      </c>
      <c r="C49" s="10">
        <f>VLOOKUP($A49,'[5]Source Revenue'!$A$3:$D$48,4,FALSE)</f>
        <v>61251942.570656605</v>
      </c>
      <c r="D49" s="67">
        <f>VLOOKUP(A49,'Source Readmission Final '!A50:O105,8,FALSE)</f>
        <v>0.1096</v>
      </c>
      <c r="E49" s="11">
        <f>VLOOKUP(A49,'Source Readmission Final '!A50:O105,14,FALSE)</f>
        <v>0.1017</v>
      </c>
      <c r="F49" s="11">
        <f>VLOOKUP(A49,'Source Readmission Final '!A50:Q105,15,FALSE)</f>
        <v>-7.2099999999999997E-2</v>
      </c>
      <c r="G49" s="13">
        <f t="shared" si="6"/>
        <v>-3.9E-2</v>
      </c>
      <c r="H49" s="14">
        <f t="shared" si="18"/>
        <v>3.2000000000000002E-3</v>
      </c>
      <c r="I49" s="15">
        <f t="shared" si="19"/>
        <v>196006</v>
      </c>
      <c r="J49" s="11">
        <f>VLOOKUP(A49,'Readmit Attainment'!A:G,5,FALSE)</f>
        <v>0.1017</v>
      </c>
      <c r="K49" s="16">
        <f t="shared" si="2"/>
        <v>0.11119999999999999</v>
      </c>
      <c r="L49" s="14">
        <f t="shared" si="20"/>
        <v>4.4000000000000003E-3</v>
      </c>
      <c r="M49" s="15">
        <f t="shared" si="21"/>
        <v>269509</v>
      </c>
      <c r="N49" s="17">
        <f t="shared" si="22"/>
        <v>269509</v>
      </c>
      <c r="O49" s="11">
        <f t="shared" si="23"/>
        <v>4.4000073906082316E-3</v>
      </c>
      <c r="P49" s="9" t="str">
        <f t="shared" si="24"/>
        <v>Att</v>
      </c>
      <c r="Q49" s="18"/>
    </row>
    <row r="50" spans="1:17" s="20" customFormat="1">
      <c r="A50" s="8">
        <v>210065</v>
      </c>
      <c r="B50" s="46" t="s">
        <v>77</v>
      </c>
      <c r="C50" s="10">
        <f>VLOOKUP($A50,'[5]Source Revenue'!$A$3:$D$48,4,FALSE)</f>
        <v>73152482.795204401</v>
      </c>
      <c r="D50" s="67">
        <f>VLOOKUP(A50,'Source Readmission Final '!A51:O106,8,FALSE)</f>
        <v>0.1142</v>
      </c>
      <c r="E50" s="11">
        <f>VLOOKUP(A50,'Source Readmission Final '!A51:O106,14,FALSE)</f>
        <v>0.1081</v>
      </c>
      <c r="F50" s="11">
        <f>VLOOKUP(A50,'Source Readmission Final '!A51:Q106,15,FALSE)</f>
        <v>-5.3400000000000003E-2</v>
      </c>
      <c r="G50" s="13">
        <f t="shared" si="6"/>
        <v>-3.9E-2</v>
      </c>
      <c r="H50" s="14">
        <f t="shared" si="18"/>
        <v>1.4E-3</v>
      </c>
      <c r="I50" s="15">
        <f t="shared" si="19"/>
        <v>102413</v>
      </c>
      <c r="J50" s="11">
        <f>VLOOKUP(A50,'Readmit Attainment'!A:G,5,FALSE)</f>
        <v>0.11457305389221557</v>
      </c>
      <c r="K50" s="16">
        <f t="shared" si="2"/>
        <v>0.11119999999999999</v>
      </c>
      <c r="L50" s="14">
        <f t="shared" si="20"/>
        <v>-1.6000000000000001E-3</v>
      </c>
      <c r="M50" s="15">
        <f t="shared" si="21"/>
        <v>-117044</v>
      </c>
      <c r="N50" s="17">
        <f t="shared" si="22"/>
        <v>102413</v>
      </c>
      <c r="O50" s="11">
        <f t="shared" si="23"/>
        <v>1.3999934942292049E-3</v>
      </c>
      <c r="P50" s="9" t="str">
        <f t="shared" si="24"/>
        <v>Imp</v>
      </c>
      <c r="Q50" s="18"/>
    </row>
    <row r="51" spans="1:17" s="20" customFormat="1">
      <c r="A51" s="8"/>
      <c r="B51" s="46"/>
      <c r="C51" s="10"/>
      <c r="D51" s="22"/>
      <c r="E51" s="22"/>
      <c r="F51" s="22"/>
      <c r="G51" s="13"/>
      <c r="H51" s="23"/>
      <c r="I51" s="15"/>
      <c r="J51" s="15"/>
      <c r="K51" s="16"/>
      <c r="L51" s="23"/>
      <c r="M51" s="15"/>
      <c r="N51" s="17"/>
      <c r="O51" s="16"/>
      <c r="P51" s="9"/>
    </row>
    <row r="52" spans="1:17" s="31" customFormat="1" ht="15.75">
      <c r="A52" s="24" t="s">
        <v>25</v>
      </c>
      <c r="B52" s="47"/>
      <c r="C52" s="25">
        <f>SUM(C4:C50)</f>
        <v>10488279760.003693</v>
      </c>
      <c r="D52" s="11"/>
      <c r="E52" s="12"/>
      <c r="F52" s="11"/>
      <c r="G52" s="26"/>
      <c r="H52" s="27"/>
      <c r="I52" s="28">
        <f>SUM(I4:I50)</f>
        <v>28060258</v>
      </c>
      <c r="J52" s="28"/>
      <c r="K52" s="29"/>
      <c r="L52" s="30"/>
      <c r="M52" s="28">
        <f>SUM(M4:M50)</f>
        <v>-40762454.187468946</v>
      </c>
      <c r="N52" s="28">
        <f>SUM(N4:N50)</f>
        <v>33891832.840000004</v>
      </c>
      <c r="O52" s="29"/>
      <c r="P52" s="24"/>
    </row>
    <row r="53" spans="1:17">
      <c r="A53" s="32" t="s">
        <v>84</v>
      </c>
      <c r="B53" s="48"/>
      <c r="C53" s="29"/>
      <c r="D53" s="29"/>
      <c r="E53" s="29"/>
      <c r="F53" s="29"/>
      <c r="G53" s="29"/>
      <c r="H53" s="30"/>
      <c r="I53" s="15">
        <f>SUMIF(I2:I50,"&lt;0",I2:I50)</f>
        <v>-10016479</v>
      </c>
      <c r="J53" s="15"/>
      <c r="K53" s="29"/>
      <c r="L53" s="30"/>
      <c r="M53" s="15">
        <f>SUMIF(M2:M50,"&lt;0",M2:M50)</f>
        <v>-50174069.773811504</v>
      </c>
      <c r="N53" s="17">
        <f>SUMIF(N4:N50,"&lt;0",N4:N50)</f>
        <v>-5655803</v>
      </c>
      <c r="O53" s="29"/>
      <c r="P53" s="29"/>
    </row>
    <row r="54" spans="1:17">
      <c r="A54" s="32" t="s">
        <v>85</v>
      </c>
      <c r="B54" s="48"/>
      <c r="C54" s="29"/>
      <c r="D54" s="29"/>
      <c r="E54" s="29"/>
      <c r="F54" s="29"/>
      <c r="G54" s="29"/>
      <c r="I54" s="15">
        <f>SUMIF(I2:I50,"&gt;0",I2:I50)</f>
        <v>38076737</v>
      </c>
      <c r="J54" s="15"/>
      <c r="K54" s="29"/>
      <c r="L54" s="30"/>
      <c r="M54" s="15">
        <f>SUMIF(M2:M50,"&gt;0",M2:M50)</f>
        <v>9411615.5863425527</v>
      </c>
      <c r="N54" s="17">
        <f>SUMIF(N4:N50,"&gt;0",N4:N50)</f>
        <v>39547635.840000004</v>
      </c>
      <c r="O54" s="29"/>
      <c r="P54" s="29"/>
    </row>
    <row r="55" spans="1:17" ht="15.75">
      <c r="A55" s="33"/>
      <c r="B55" s="49"/>
      <c r="C55" s="21"/>
      <c r="D55" s="34"/>
      <c r="E55" s="34"/>
      <c r="F55" s="34"/>
      <c r="G55" s="35"/>
      <c r="H55" s="16"/>
      <c r="I55" s="17"/>
      <c r="J55" s="17"/>
      <c r="K55" s="29"/>
      <c r="L55" s="29"/>
      <c r="M55" s="17"/>
      <c r="N55" s="17"/>
      <c r="O55" s="29"/>
      <c r="P55" s="36"/>
    </row>
    <row r="56" spans="1:17" ht="15.75">
      <c r="A56" s="37"/>
      <c r="B56" s="50"/>
      <c r="C56" s="38"/>
      <c r="D56" s="39"/>
      <c r="E56" s="39"/>
      <c r="F56" s="39"/>
      <c r="G56" s="40"/>
      <c r="H56" s="41"/>
      <c r="I56" s="41"/>
      <c r="J56" s="41"/>
      <c r="N56" s="43"/>
    </row>
    <row r="57" spans="1:17">
      <c r="A57" s="122" t="s">
        <v>86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</row>
    <row r="58" spans="1:17">
      <c r="A58" s="6" t="s">
        <v>229</v>
      </c>
    </row>
    <row r="59" spans="1:17">
      <c r="A59" s="6" t="s">
        <v>232</v>
      </c>
      <c r="N59" s="43"/>
    </row>
    <row r="60" spans="1:17">
      <c r="N60" s="43"/>
    </row>
    <row r="61" spans="1:17" ht="15.75">
      <c r="B61" s="51" t="s">
        <v>87</v>
      </c>
      <c r="C61" s="44">
        <v>0.01</v>
      </c>
    </row>
    <row r="62" spans="1:17" ht="15.75">
      <c r="B62" s="51" t="s">
        <v>88</v>
      </c>
      <c r="C62" s="44">
        <v>-0.02</v>
      </c>
    </row>
    <row r="64" spans="1:17" ht="15.75">
      <c r="B64" s="51" t="s">
        <v>93</v>
      </c>
      <c r="C64" s="60">
        <v>-3.9E-2</v>
      </c>
    </row>
    <row r="65" spans="2:3" ht="15.75">
      <c r="B65" s="51" t="s">
        <v>89</v>
      </c>
      <c r="C65" s="61">
        <v>-0.14399999999999999</v>
      </c>
    </row>
    <row r="66" spans="2:3" ht="15.75">
      <c r="B66" s="51" t="s">
        <v>90</v>
      </c>
      <c r="C66" s="61">
        <v>0.17100000000000001</v>
      </c>
    </row>
    <row r="67" spans="2:3" ht="15.75">
      <c r="B67" s="51" t="s">
        <v>94</v>
      </c>
      <c r="C67" s="61">
        <v>0.11119999999999999</v>
      </c>
    </row>
    <row r="68" spans="2:3" ht="15.75">
      <c r="B68" s="51" t="s">
        <v>91</v>
      </c>
      <c r="C68" s="61">
        <v>8.9399999999999993E-2</v>
      </c>
    </row>
    <row r="69" spans="2:3" ht="15.75">
      <c r="B69" s="51" t="s">
        <v>92</v>
      </c>
      <c r="C69" s="61">
        <v>0.1547</v>
      </c>
    </row>
  </sheetData>
  <autoFilter ref="A3:P3">
    <sortState ref="A3:R50">
      <sortCondition ref="A2"/>
    </sortState>
  </autoFilter>
  <mergeCells count="5">
    <mergeCell ref="G2:I2"/>
    <mergeCell ref="A57:N57"/>
    <mergeCell ref="J2:M2"/>
    <mergeCell ref="N2:P2"/>
    <mergeCell ref="A2:F2"/>
  </mergeCells>
  <conditionalFormatting sqref="M51:N51 I4:I38 M4:N3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1:J5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39:I50 M39:N5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55AC3A-82A2-4B4E-8C45-A965E6E69DED}"/>
</file>

<file path=customXml/itemProps2.xml><?xml version="1.0" encoding="utf-8"?>
<ds:datastoreItem xmlns:ds="http://schemas.openxmlformats.org/officeDocument/2006/customXml" ds:itemID="{3EE0F281-CE9C-45BA-8910-412E859A52D6}"/>
</file>

<file path=customXml/itemProps3.xml><?xml version="1.0" encoding="utf-8"?>
<ds:datastoreItem xmlns:ds="http://schemas.openxmlformats.org/officeDocument/2006/customXml" ds:itemID="{BE0FB698-79DB-442F-ADEA-F1203F5D6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Source Readmission Final </vt:lpstr>
      <vt:lpstr>Readmit Attainment</vt:lpstr>
      <vt:lpstr>RRIP Modeling Results</vt:lpstr>
      <vt:lpstr>AttMaxPenaltyScore</vt:lpstr>
      <vt:lpstr>AttMaxRewardScore</vt:lpstr>
      <vt:lpstr>AttTarget</vt:lpstr>
      <vt:lpstr>ImpMaxPenaltyScore</vt:lpstr>
      <vt:lpstr>ImpMaxRewardScore</vt:lpstr>
      <vt:lpstr>ImpTarget</vt:lpstr>
      <vt:lpstr>MaxPenalty</vt:lpstr>
      <vt:lpstr>MaxReward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2017-08-22T17:32:20Z</dcterms:created>
  <dcterms:modified xsi:type="dcterms:W3CDTF">2021-06-30T16:45:44Z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