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externalLink5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 2019\"/>
    </mc:Choice>
  </mc:AlternateContent>
  <bookViews>
    <workbookView xWindow="0" yWindow="0" windowWidth="28800" windowHeight="13635" activeTab="3"/>
  </bookViews>
  <sheets>
    <sheet name="Source Readmission Final" sheetId="1" r:id="rId1"/>
    <sheet name="Readmit Attainment" sheetId="2" r:id="rId2"/>
    <sheet name="Readmission Scaling" sheetId="3" r:id="rId3"/>
    <sheet name="RRIP Modeling Result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'Readmit Attainment'!$A$3:$H$3</definedName>
    <definedName name="_xlnm._FilterDatabase" localSheetId="3" hidden="1">'RRIP Modeling Results'!$A$3:$R$3</definedName>
    <definedName name="_xlnm._FilterDatabase" localSheetId="0" hidden="1">'Source Readmission Final'!$A$5:$Q$5</definedName>
    <definedName name="AttMaxPenaltyScore">'RRIP Modeling Results'!$C$69</definedName>
    <definedName name="AttMaxRewardScore">'RRIP Modeling Results'!$C$68</definedName>
    <definedName name="AttTarget">'RRIP Modeling Results'!$C$67</definedName>
    <definedName name="finally">[1]finally!$A$1:$AN$76</definedName>
    <definedName name="ImpMaxPenaltyScore">'RRIP Modeling Results'!$C$66</definedName>
    <definedName name="ImpMaxRewardScore">'RRIP Modeling Results'!$C$65</definedName>
    <definedName name="imptab17fr2">[1]imptab17fr2!$A$1:$AN$76</definedName>
    <definedName name="ImpTarget">'RRIP Modeling Results'!$C$64</definedName>
    <definedName name="low">'[2]5.QBR Scaling '!$B$4</definedName>
    <definedName name="MaxPenalty">'RRIP Modeling Results'!$C$62</definedName>
    <definedName name="MaxReward">'RRIP Modeling Results'!$C$61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QBR_Highest_Score">[3]QBR!$J$4</definedName>
    <definedName name="QBR_Lowest_Score">[3]QBR!$J$2</definedName>
    <definedName name="QBR_Max_Penalty">[3]QBR!$J$3</definedName>
    <definedName name="QBR_Max_Reward">[3]QBR!$J$5</definedName>
    <definedName name="QBR_Penalty_Threshold">[3]QBR!$J$6</definedName>
    <definedName name="rfbn_table">[1]rfbn_table!$A$1:$H$53</definedName>
    <definedName name="rfbnout">[1]rfbnout!$A$1:$K$53</definedName>
    <definedName name="RRIP_Att_MaxPenalty">'Readmission Scaling'!$G$46</definedName>
    <definedName name="RRIP_Att_MaxPenaltyRate">'Readmission Scaling'!$E$46</definedName>
    <definedName name="RRIP_Att_MaxRewardRate">'Readmission Scaling'!$E$16</definedName>
    <definedName name="RRIP_Att_Reward">'Readmission Scaling'!$G$16</definedName>
    <definedName name="RRIP_AttPenaltyOverUnder">'Readmission Scaling'!$F$46</definedName>
    <definedName name="RRIP_AttRewardOverUnder">'Readmission Scaling'!$F$16</definedName>
    <definedName name="RRIP_Imp_MaxPenalty">'Readmission Scaling'!$C$46</definedName>
    <definedName name="RRIP_Imp_MaxPenaltyOverUnder">'Readmission Scaling'!$B$46</definedName>
    <definedName name="RRIP_Imp_MaxPenaltyRate">'Readmission Scaling'!$A$46</definedName>
    <definedName name="RRIP_Imp_MaxReward">'Readmission Scaling'!$C$16</definedName>
    <definedName name="RRIP_Imp_MaxRewardOverUnder">'Readmission Scaling'!$B$16</definedName>
    <definedName name="RRIP_Imp_MaxRewardRate">'Readmission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3" l="1"/>
  <c r="C38" i="4" l="1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5" i="2"/>
  <c r="E6" i="2"/>
  <c r="E7" i="2"/>
  <c r="E8" i="2"/>
  <c r="E9" i="2"/>
  <c r="E10" i="2"/>
  <c r="E11" i="2"/>
  <c r="E4" i="2"/>
  <c r="G51" i="2" l="1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51" i="4"/>
  <c r="H51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H4" i="4" s="1"/>
  <c r="C5" i="4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4" i="4"/>
  <c r="C53" i="4" l="1"/>
  <c r="L11" i="4" l="1"/>
  <c r="L16" i="4"/>
  <c r="L5" i="4"/>
  <c r="L26" i="4"/>
  <c r="L21" i="4"/>
  <c r="L6" i="4"/>
  <c r="L4" i="4"/>
  <c r="L20" i="4"/>
  <c r="L30" i="4"/>
  <c r="L28" i="4"/>
  <c r="L51" i="4"/>
  <c r="L19" i="4"/>
  <c r="L29" i="4"/>
  <c r="L33" i="4"/>
  <c r="L12" i="4"/>
  <c r="L44" i="4"/>
  <c r="L32" i="4"/>
  <c r="L9" i="4"/>
  <c r="L22" i="4"/>
  <c r="L41" i="4"/>
  <c r="L48" i="4"/>
  <c r="L38" i="4"/>
  <c r="L24" i="4"/>
  <c r="L47" i="4"/>
  <c r="L45" i="4"/>
  <c r="L8" i="4"/>
  <c r="L27" i="4"/>
  <c r="L39" i="4"/>
  <c r="L25" i="4"/>
  <c r="L46" i="4"/>
  <c r="L23" i="4"/>
  <c r="L42" i="4"/>
  <c r="L18" i="4"/>
  <c r="L31" i="4"/>
  <c r="L13" i="4"/>
  <c r="L17" i="4"/>
  <c r="L43" i="4"/>
  <c r="L10" i="4"/>
  <c r="L50" i="4"/>
  <c r="L15" i="4"/>
  <c r="L34" i="4"/>
  <c r="L37" i="4"/>
  <c r="L36" i="4"/>
  <c r="L49" i="4"/>
  <c r="L35" i="4"/>
  <c r="L40" i="4"/>
  <c r="L14" i="4"/>
  <c r="L7" i="4"/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4" i="4"/>
  <c r="C67" i="4" l="1"/>
  <c r="M51" i="4" l="1"/>
  <c r="G51" i="4"/>
  <c r="F51" i="4"/>
  <c r="E51" i="4"/>
  <c r="M50" i="4"/>
  <c r="G50" i="4"/>
  <c r="F50" i="4"/>
  <c r="E50" i="4"/>
  <c r="D50" i="4"/>
  <c r="M49" i="4"/>
  <c r="G49" i="4"/>
  <c r="F49" i="4"/>
  <c r="E49" i="4"/>
  <c r="D49" i="4"/>
  <c r="M48" i="4"/>
  <c r="G48" i="4"/>
  <c r="F48" i="4"/>
  <c r="E48" i="4"/>
  <c r="D48" i="4"/>
  <c r="M47" i="4"/>
  <c r="G47" i="4"/>
  <c r="F47" i="4"/>
  <c r="E47" i="4"/>
  <c r="D47" i="4"/>
  <c r="M46" i="4"/>
  <c r="G46" i="4"/>
  <c r="N46" i="4"/>
  <c r="F46" i="4"/>
  <c r="E46" i="4"/>
  <c r="D46" i="4"/>
  <c r="M45" i="4"/>
  <c r="G45" i="4"/>
  <c r="F45" i="4"/>
  <c r="E45" i="4"/>
  <c r="D45" i="4"/>
  <c r="M44" i="4"/>
  <c r="G44" i="4"/>
  <c r="F44" i="4"/>
  <c r="E44" i="4"/>
  <c r="D44" i="4"/>
  <c r="M43" i="4"/>
  <c r="G43" i="4"/>
  <c r="F43" i="4"/>
  <c r="E43" i="4"/>
  <c r="D43" i="4"/>
  <c r="M42" i="4"/>
  <c r="G42" i="4"/>
  <c r="F42" i="4"/>
  <c r="E42" i="4"/>
  <c r="D42" i="4"/>
  <c r="M41" i="4"/>
  <c r="G41" i="4"/>
  <c r="F41" i="4"/>
  <c r="E41" i="4"/>
  <c r="D41" i="4"/>
  <c r="M40" i="4"/>
  <c r="G40" i="4"/>
  <c r="F40" i="4"/>
  <c r="E40" i="4"/>
  <c r="D40" i="4"/>
  <c r="M39" i="4"/>
  <c r="G39" i="4"/>
  <c r="F39" i="4"/>
  <c r="E39" i="4"/>
  <c r="D39" i="4"/>
  <c r="M38" i="4"/>
  <c r="G38" i="4"/>
  <c r="F38" i="4"/>
  <c r="E38" i="4"/>
  <c r="D38" i="4"/>
  <c r="M37" i="4"/>
  <c r="G37" i="4"/>
  <c r="F37" i="4"/>
  <c r="E37" i="4"/>
  <c r="D37" i="4"/>
  <c r="M36" i="4"/>
  <c r="G36" i="4"/>
  <c r="F36" i="4"/>
  <c r="E36" i="4"/>
  <c r="D36" i="4"/>
  <c r="M35" i="4"/>
  <c r="G35" i="4"/>
  <c r="F35" i="4"/>
  <c r="E35" i="4"/>
  <c r="D35" i="4"/>
  <c r="M34" i="4"/>
  <c r="G34" i="4"/>
  <c r="N34" i="4"/>
  <c r="F34" i="4"/>
  <c r="E34" i="4"/>
  <c r="D34" i="4"/>
  <c r="M33" i="4"/>
  <c r="G33" i="4"/>
  <c r="F33" i="4"/>
  <c r="E33" i="4"/>
  <c r="D33" i="4"/>
  <c r="M32" i="4"/>
  <c r="G32" i="4"/>
  <c r="F32" i="4"/>
  <c r="E32" i="4"/>
  <c r="D32" i="4"/>
  <c r="M31" i="4"/>
  <c r="G31" i="4"/>
  <c r="F31" i="4"/>
  <c r="E31" i="4"/>
  <c r="D31" i="4"/>
  <c r="M30" i="4"/>
  <c r="G30" i="4"/>
  <c r="F30" i="4"/>
  <c r="E30" i="4"/>
  <c r="D30" i="4"/>
  <c r="M29" i="4"/>
  <c r="G29" i="4"/>
  <c r="F29" i="4"/>
  <c r="E29" i="4"/>
  <c r="D29" i="4"/>
  <c r="M28" i="4"/>
  <c r="G28" i="4"/>
  <c r="F28" i="4"/>
  <c r="E28" i="4"/>
  <c r="D28" i="4"/>
  <c r="M27" i="4"/>
  <c r="G27" i="4"/>
  <c r="F27" i="4"/>
  <c r="E27" i="4"/>
  <c r="D27" i="4"/>
  <c r="M26" i="4"/>
  <c r="G26" i="4"/>
  <c r="F26" i="4"/>
  <c r="E26" i="4"/>
  <c r="D26" i="4"/>
  <c r="M25" i="4"/>
  <c r="G25" i="4"/>
  <c r="F25" i="4"/>
  <c r="E25" i="4"/>
  <c r="D25" i="4"/>
  <c r="M24" i="4"/>
  <c r="G24" i="4"/>
  <c r="F24" i="4"/>
  <c r="E24" i="4"/>
  <c r="D24" i="4"/>
  <c r="M23" i="4"/>
  <c r="G23" i="4"/>
  <c r="F23" i="4"/>
  <c r="E23" i="4"/>
  <c r="D23" i="4"/>
  <c r="M22" i="4"/>
  <c r="G22" i="4"/>
  <c r="F22" i="4"/>
  <c r="E22" i="4"/>
  <c r="D22" i="4"/>
  <c r="M21" i="4"/>
  <c r="G21" i="4"/>
  <c r="F21" i="4"/>
  <c r="E21" i="4"/>
  <c r="D21" i="4"/>
  <c r="M20" i="4"/>
  <c r="G20" i="4"/>
  <c r="F20" i="4"/>
  <c r="E20" i="4"/>
  <c r="D20" i="4"/>
  <c r="M19" i="4"/>
  <c r="G19" i="4"/>
  <c r="F19" i="4"/>
  <c r="E19" i="4"/>
  <c r="D19" i="4"/>
  <c r="M18" i="4"/>
  <c r="G18" i="4"/>
  <c r="F18" i="4"/>
  <c r="E18" i="4"/>
  <c r="D18" i="4"/>
  <c r="M17" i="4"/>
  <c r="G17" i="4"/>
  <c r="F17" i="4"/>
  <c r="E17" i="4"/>
  <c r="D17" i="4"/>
  <c r="M16" i="4"/>
  <c r="G16" i="4"/>
  <c r="F16" i="4"/>
  <c r="E16" i="4"/>
  <c r="D16" i="4"/>
  <c r="M15" i="4"/>
  <c r="G15" i="4"/>
  <c r="F15" i="4"/>
  <c r="E15" i="4"/>
  <c r="D15" i="4"/>
  <c r="M14" i="4"/>
  <c r="G14" i="4"/>
  <c r="F14" i="4"/>
  <c r="E14" i="4"/>
  <c r="D14" i="4"/>
  <c r="M13" i="4"/>
  <c r="G13" i="4"/>
  <c r="F13" i="4"/>
  <c r="E13" i="4"/>
  <c r="D13" i="4"/>
  <c r="M12" i="4"/>
  <c r="G12" i="4"/>
  <c r="F12" i="4"/>
  <c r="E12" i="4"/>
  <c r="D12" i="4"/>
  <c r="M11" i="4"/>
  <c r="G11" i="4"/>
  <c r="F11" i="4"/>
  <c r="E11" i="4"/>
  <c r="D11" i="4"/>
  <c r="M10" i="4"/>
  <c r="G10" i="4"/>
  <c r="F10" i="4"/>
  <c r="E10" i="4"/>
  <c r="D10" i="4"/>
  <c r="M9" i="4"/>
  <c r="G9" i="4"/>
  <c r="F9" i="4"/>
  <c r="E9" i="4"/>
  <c r="D9" i="4"/>
  <c r="M8" i="4"/>
  <c r="G8" i="4"/>
  <c r="F8" i="4"/>
  <c r="E8" i="4"/>
  <c r="D8" i="4"/>
  <c r="M7" i="4"/>
  <c r="G7" i="4"/>
  <c r="F7" i="4"/>
  <c r="E7" i="4"/>
  <c r="D7" i="4"/>
  <c r="M6" i="4"/>
  <c r="G6" i="4"/>
  <c r="F6" i="4"/>
  <c r="E6" i="4"/>
  <c r="D6" i="4"/>
  <c r="M5" i="4"/>
  <c r="G5" i="4"/>
  <c r="F5" i="4"/>
  <c r="E5" i="4"/>
  <c r="D5" i="4"/>
  <c r="M4" i="4"/>
  <c r="G4" i="4"/>
  <c r="F4" i="4"/>
  <c r="E4" i="4"/>
  <c r="D4" i="4"/>
  <c r="J17" i="3"/>
  <c r="J18" i="3" s="1"/>
  <c r="K16" i="3"/>
  <c r="D5" i="3"/>
  <c r="B5" i="3"/>
  <c r="D4" i="3"/>
  <c r="N51" i="4"/>
  <c r="N50" i="4"/>
  <c r="N49" i="4"/>
  <c r="N48" i="4"/>
  <c r="N47" i="4"/>
  <c r="N45" i="4"/>
  <c r="N44" i="4"/>
  <c r="N43" i="4"/>
  <c r="N42" i="4"/>
  <c r="N41" i="4"/>
  <c r="N40" i="4"/>
  <c r="N39" i="4"/>
  <c r="N38" i="4"/>
  <c r="N37" i="4"/>
  <c r="N36" i="4"/>
  <c r="N35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J19" i="3" l="1"/>
  <c r="K18" i="3"/>
  <c r="K17" i="3"/>
  <c r="O38" i="4"/>
  <c r="O40" i="4"/>
  <c r="O44" i="4"/>
  <c r="O9" i="4"/>
  <c r="O13" i="4"/>
  <c r="O17" i="4"/>
  <c r="O21" i="4"/>
  <c r="O25" i="4"/>
  <c r="O27" i="4"/>
  <c r="O29" i="4"/>
  <c r="O31" i="4"/>
  <c r="O33" i="4"/>
  <c r="O48" i="4"/>
  <c r="O50" i="4"/>
  <c r="O35" i="4"/>
  <c r="O37" i="4"/>
  <c r="O39" i="4"/>
  <c r="O41" i="4"/>
  <c r="O43" i="4"/>
  <c r="O36" i="4"/>
  <c r="O42" i="4"/>
  <c r="O46" i="4"/>
  <c r="O7" i="4"/>
  <c r="O11" i="4"/>
  <c r="O15" i="4"/>
  <c r="O19" i="4"/>
  <c r="O23" i="4"/>
  <c r="O8" i="4"/>
  <c r="O10" i="4"/>
  <c r="O12" i="4"/>
  <c r="O14" i="4"/>
  <c r="O16" i="4"/>
  <c r="O18" i="4"/>
  <c r="O20" i="4"/>
  <c r="O22" i="4"/>
  <c r="O24" i="4"/>
  <c r="O26" i="4"/>
  <c r="O28" i="4"/>
  <c r="O30" i="4"/>
  <c r="O32" i="4"/>
  <c r="O34" i="4"/>
  <c r="O47" i="4"/>
  <c r="O49" i="4"/>
  <c r="O51" i="4"/>
  <c r="J8" i="4"/>
  <c r="K8" i="4" s="1"/>
  <c r="J9" i="4"/>
  <c r="K9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4" i="4"/>
  <c r="K4" i="4" s="1"/>
  <c r="J5" i="4"/>
  <c r="K5" i="4" s="1"/>
  <c r="J6" i="4"/>
  <c r="K6" i="4" s="1"/>
  <c r="J7" i="4"/>
  <c r="K7" i="4" s="1"/>
  <c r="J10" i="4"/>
  <c r="K10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6" i="4"/>
  <c r="K46" i="4" s="1"/>
  <c r="J47" i="4"/>
  <c r="K47" i="4" s="1"/>
  <c r="J48" i="4"/>
  <c r="K48" i="4" s="1"/>
  <c r="J49" i="4"/>
  <c r="K49" i="4" s="1"/>
  <c r="J50" i="4"/>
  <c r="K50" i="4" s="1"/>
  <c r="O6" i="4"/>
  <c r="O4" i="4"/>
  <c r="O45" i="4"/>
  <c r="O5" i="4"/>
  <c r="K19" i="3" l="1"/>
  <c r="J20" i="3"/>
  <c r="P4" i="4"/>
  <c r="R4" i="4" s="1"/>
  <c r="O53" i="4"/>
  <c r="P32" i="4"/>
  <c r="P44" i="4"/>
  <c r="P30" i="4"/>
  <c r="P24" i="4"/>
  <c r="P16" i="4"/>
  <c r="P38" i="4"/>
  <c r="P17" i="4"/>
  <c r="P34" i="4"/>
  <c r="P12" i="4"/>
  <c r="P47" i="4"/>
  <c r="P15" i="4"/>
  <c r="P8" i="4"/>
  <c r="P19" i="4"/>
  <c r="P6" i="4"/>
  <c r="P49" i="4"/>
  <c r="P29" i="4"/>
  <c r="P40" i="4"/>
  <c r="P27" i="4"/>
  <c r="P25" i="4"/>
  <c r="P48" i="4"/>
  <c r="P22" i="4"/>
  <c r="P41" i="4"/>
  <c r="O54" i="4"/>
  <c r="O55" i="4"/>
  <c r="P9" i="4"/>
  <c r="P28" i="4"/>
  <c r="P45" i="4"/>
  <c r="P21" i="4"/>
  <c r="P37" i="4"/>
  <c r="P5" i="4"/>
  <c r="P43" i="4"/>
  <c r="P46" i="4"/>
  <c r="P31" i="4"/>
  <c r="P20" i="4"/>
  <c r="Q32" i="4"/>
  <c r="P11" i="4"/>
  <c r="P33" i="4"/>
  <c r="P14" i="4"/>
  <c r="P26" i="4"/>
  <c r="P13" i="4"/>
  <c r="P50" i="4"/>
  <c r="P42" i="4"/>
  <c r="P39" i="4"/>
  <c r="P23" i="4"/>
  <c r="P7" i="4"/>
  <c r="P18" i="4"/>
  <c r="P10" i="4"/>
  <c r="P36" i="4"/>
  <c r="P35" i="4"/>
  <c r="J21" i="3" l="1"/>
  <c r="K20" i="3"/>
  <c r="R32" i="4"/>
  <c r="Q25" i="4"/>
  <c r="R15" i="4"/>
  <c r="R41" i="4"/>
  <c r="Q27" i="4"/>
  <c r="R6" i="4"/>
  <c r="R47" i="4"/>
  <c r="R38" i="4"/>
  <c r="Q44" i="4"/>
  <c r="R22" i="4"/>
  <c r="R40" i="4"/>
  <c r="Q19" i="4"/>
  <c r="Q12" i="4"/>
  <c r="Q16" i="4"/>
  <c r="Q49" i="4"/>
  <c r="R17" i="4"/>
  <c r="Q30" i="4"/>
  <c r="Q48" i="4"/>
  <c r="Q29" i="4"/>
  <c r="Q8" i="4"/>
  <c r="R34" i="4"/>
  <c r="R24" i="4"/>
  <c r="R44" i="4"/>
  <c r="R30" i="4"/>
  <c r="Q24" i="4"/>
  <c r="R48" i="4"/>
  <c r="R19" i="4"/>
  <c r="Q47" i="4"/>
  <c r="R12" i="4"/>
  <c r="R16" i="4"/>
  <c r="Q40" i="4"/>
  <c r="Q38" i="4"/>
  <c r="R29" i="4"/>
  <c r="R8" i="4"/>
  <c r="Q34" i="4"/>
  <c r="R25" i="4"/>
  <c r="R49" i="4"/>
  <c r="Q17" i="4"/>
  <c r="R27" i="4"/>
  <c r="Q15" i="4"/>
  <c r="Q41" i="4"/>
  <c r="Q6" i="4"/>
  <c r="Q22" i="4"/>
  <c r="Q7" i="4"/>
  <c r="R7" i="4"/>
  <c r="R50" i="4"/>
  <c r="Q50" i="4"/>
  <c r="R14" i="4"/>
  <c r="Q14" i="4"/>
  <c r="Q43" i="4"/>
  <c r="R43" i="4"/>
  <c r="Q21" i="4"/>
  <c r="R21" i="4"/>
  <c r="R23" i="4"/>
  <c r="Q23" i="4"/>
  <c r="Q33" i="4"/>
  <c r="R33" i="4"/>
  <c r="Q11" i="4"/>
  <c r="R11" i="4"/>
  <c r="R45" i="4"/>
  <c r="Q45" i="4"/>
  <c r="R9" i="4"/>
  <c r="Q9" i="4"/>
  <c r="Q35" i="4"/>
  <c r="R35" i="4"/>
  <c r="R10" i="4"/>
  <c r="Q10" i="4"/>
  <c r="R39" i="4"/>
  <c r="Q39" i="4"/>
  <c r="R13" i="4"/>
  <c r="Q13" i="4"/>
  <c r="R31" i="4"/>
  <c r="Q31" i="4"/>
  <c r="Q5" i="4"/>
  <c r="R5" i="4"/>
  <c r="R28" i="4"/>
  <c r="Q28" i="4"/>
  <c r="R36" i="4"/>
  <c r="Q36" i="4"/>
  <c r="R18" i="4"/>
  <c r="Q18" i="4"/>
  <c r="R42" i="4"/>
  <c r="Q42" i="4"/>
  <c r="R26" i="4"/>
  <c r="Q26" i="4"/>
  <c r="R20" i="4"/>
  <c r="Q20" i="4"/>
  <c r="R46" i="4"/>
  <c r="Q46" i="4"/>
  <c r="Q37" i="4"/>
  <c r="R37" i="4"/>
  <c r="K21" i="3" l="1"/>
  <c r="J22" i="3"/>
  <c r="Q4" i="4"/>
  <c r="J23" i="3" l="1"/>
  <c r="K22" i="3"/>
  <c r="J24" i="3" l="1"/>
  <c r="K23" i="3"/>
  <c r="J25" i="3" l="1"/>
  <c r="K24" i="3"/>
  <c r="J26" i="3" l="1"/>
  <c r="K25" i="3"/>
  <c r="K26" i="3" l="1"/>
  <c r="J27" i="3"/>
  <c r="K27" i="3" l="1"/>
  <c r="J28" i="3"/>
  <c r="K28" i="3" l="1"/>
  <c r="J29" i="3"/>
  <c r="J30" i="3" l="1"/>
  <c r="K29" i="3"/>
  <c r="J31" i="3" l="1"/>
  <c r="K30" i="3"/>
  <c r="J32" i="3" l="1"/>
  <c r="K31" i="3"/>
  <c r="J33" i="3" l="1"/>
  <c r="K32" i="3"/>
  <c r="J34" i="3" l="1"/>
  <c r="K33" i="3"/>
  <c r="J35" i="3" l="1"/>
  <c r="K34" i="3"/>
  <c r="J36" i="3" l="1"/>
  <c r="K35" i="3"/>
  <c r="J37" i="3" l="1"/>
  <c r="K36" i="3"/>
  <c r="K37" i="3" l="1"/>
  <c r="J38" i="3"/>
  <c r="K38" i="3" l="1"/>
  <c r="J39" i="3"/>
  <c r="K39" i="3" l="1"/>
  <c r="J40" i="3"/>
  <c r="J41" i="3" l="1"/>
  <c r="K40" i="3"/>
  <c r="K41" i="3" l="1"/>
  <c r="J42" i="3"/>
  <c r="J43" i="3" l="1"/>
  <c r="K42" i="3"/>
  <c r="J44" i="3" l="1"/>
  <c r="K43" i="3"/>
  <c r="J45" i="3" l="1"/>
  <c r="K44" i="3"/>
  <c r="J51" i="4" l="1"/>
  <c r="K51" i="4" s="1"/>
  <c r="K45" i="3"/>
  <c r="K54" i="4" l="1"/>
  <c r="K55" i="4"/>
  <c r="P51" i="4"/>
  <c r="K53" i="4"/>
  <c r="P53" i="4" l="1"/>
  <c r="Q51" i="4"/>
  <c r="R51" i="4"/>
  <c r="P55" i="4"/>
  <c r="P54" i="4"/>
</calcChain>
</file>

<file path=xl/sharedStrings.xml><?xml version="1.0" encoding="utf-8"?>
<sst xmlns="http://schemas.openxmlformats.org/spreadsheetml/2006/main" count="278" uniqueCount="249">
  <si>
    <t>CY2016 Base Year YTD Rates and CY2017 YTD Performance Period by Hospital, All Payers</t>
  </si>
  <si>
    <t>A</t>
  </si>
  <si>
    <t>B</t>
  </si>
  <si>
    <t>C</t>
  </si>
  <si>
    <t>D</t>
  </si>
  <si>
    <t>E = D/C</t>
  </si>
  <si>
    <t>F</t>
  </si>
  <si>
    <t>G = D/F</t>
  </si>
  <si>
    <t>H = D/F * 11.78%</t>
  </si>
  <si>
    <t>I</t>
  </si>
  <si>
    <t>J</t>
  </si>
  <si>
    <t>K = J/I</t>
  </si>
  <si>
    <t>L</t>
  </si>
  <si>
    <t>M = J/L</t>
  </si>
  <si>
    <t>O = N/H - 1</t>
  </si>
  <si>
    <t>P</t>
  </si>
  <si>
    <t>Hospital ID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</si>
  <si>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</si>
  <si>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</si>
  <si>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</si>
  <si>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</si>
  <si>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</si>
  <si>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</si>
  <si>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RY 2018 % Change</t>
  </si>
  <si>
    <t>CY17 Modified Cumulative Improvement Readmission Rate</t>
  </si>
  <si>
    <t>Johns Hopkins</t>
  </si>
  <si>
    <t>Bon Secours</t>
  </si>
  <si>
    <t>Washington Adventist</t>
  </si>
  <si>
    <t>Union of Cecil</t>
  </si>
  <si>
    <t>McCready</t>
  </si>
  <si>
    <t>Atlantic General</t>
  </si>
  <si>
    <t>Levindale</t>
  </si>
  <si>
    <t xml:space="preserve"> </t>
  </si>
  <si>
    <t>STATEWIDE</t>
  </si>
  <si>
    <t>Footnotes: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</si>
  <si>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</si>
  <si>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</si>
  <si>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</si>
  <si>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Risk Adjusted Readmission Rate is calculated by multiplying the observed-to-expected Readmission Ratio (columns H &amp; N) by 11.78% , the statewide unadjusted rate for all 12 months of CY2016 Base Period and not just CY2016 (YTD).</t>
  </si>
  <si>
    <t>See Tab 3 'CY2016 Readmit Rates' for inputs used to calculate the final CY2016 statewide unadjusted rate of 11.78% (Percent Readmissions Grand Total, column E).</t>
  </si>
  <si>
    <t>The APR-DRG variable for cases with a daily type of service of rehabilitation are recoded to APR-DRG 860 Rehabilitation or type of Daily Service = 08 (Rehab).</t>
  </si>
  <si>
    <t>Holy Cross Germantown will be measured on attainment and 1-year improvement only.</t>
  </si>
  <si>
    <t>Out-of-State Readmission Ratios for RRIP Attainment</t>
  </si>
  <si>
    <t>HospName</t>
  </si>
  <si>
    <t xml:space="preserve"> MD Readmission Rate</t>
  </si>
  <si>
    <t>Out-of-State (OOS) Ratio</t>
  </si>
  <si>
    <t>Notes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</si>
  <si>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</si>
  <si>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</si>
  <si>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</si>
  <si>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</si>
  <si>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</si>
  <si>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</si>
  <si>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</si>
  <si>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</si>
  <si>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</si>
  <si>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</si>
  <si>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</si>
  <si>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</si>
  <si>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</si>
  <si>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</si>
  <si>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</si>
  <si>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</si>
  <si>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</si>
  <si>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</si>
  <si>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</si>
  <si>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</si>
  <si>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</si>
  <si>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</si>
  <si>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</si>
  <si>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</si>
  <si>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</si>
  <si>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</si>
  <si>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</si>
  <si>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</si>
  <si>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</si>
  <si>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</si>
  <si>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</si>
  <si>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</si>
  <si>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</si>
  <si>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</si>
  <si>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</si>
  <si>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</si>
  <si>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</si>
  <si>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</si>
  <si>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</si>
  <si>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</si>
  <si>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</si>
  <si>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</si>
  <si>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</si>
  <si>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</si>
  <si>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</si>
  <si>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HOLY CROSS GERMANTOWN</t>
  </si>
  <si>
    <t>3. Readmission Reduction Program Pre-set Scale</t>
  </si>
  <si>
    <t>Readmission Reduction Target Determination</t>
  </si>
  <si>
    <t>Annual Target</t>
  </si>
  <si>
    <t>Cumulative All Payer Readmission Statewide Target</t>
  </si>
  <si>
    <t>Required Reduction as a % of Inpatient Revenue</t>
  </si>
  <si>
    <t>CY14</t>
  </si>
  <si>
    <t>CY16</t>
  </si>
  <si>
    <t>Attainment Inflection point</t>
  </si>
  <si>
    <t>CY13 Base Year Readmission Rate</t>
  </si>
  <si>
    <t>Improvement Payment Scale</t>
  </si>
  <si>
    <t>Attainment Payment Scale</t>
  </si>
  <si>
    <t>HOLY CROSS GERMANTOWN SCALE</t>
  </si>
  <si>
    <t xml:space="preserve">All Payer Readmission Rate Change CY13-CY17 </t>
  </si>
  <si>
    <t xml:space="preserve">Over/Under Target </t>
  </si>
  <si>
    <t>RRIP % Inpatient Revenue Payment Adjustment</t>
  </si>
  <si>
    <t>All Payer Readmission Rate CY17</t>
  </si>
  <si>
    <t>Over/Above Target From Target</t>
  </si>
  <si>
    <t>TARGET</t>
  </si>
  <si>
    <t xml:space="preserve">All Payer Readmission Rate Change CY16-CY17 </t>
  </si>
  <si>
    <t>LOWER</t>
  </si>
  <si>
    <t xml:space="preserve">Higher </t>
  </si>
  <si>
    <t>RY 2019 Readmission Reduction Incentive Program</t>
  </si>
  <si>
    <t>Improvement Scaling</t>
  </si>
  <si>
    <t>Attainment Scaling</t>
  </si>
  <si>
    <t>Final Adjustment</t>
  </si>
  <si>
    <t>HOSPITAL ID</t>
  </si>
  <si>
    <t>HOSPITAL NAME</t>
  </si>
  <si>
    <t>RY2018 % Change</t>
  </si>
  <si>
    <t>UNION HOSPITAL  OF CECIL COUNT</t>
  </si>
  <si>
    <t>Penalty</t>
  </si>
  <si>
    <t>Reward</t>
  </si>
  <si>
    <t>Percentages have been rounded for display. Final scaling values are rounded to two decimal places.</t>
  </si>
  <si>
    <t>Holy Cross Germantown is Attainment and 1 year improvement in RY 2019</t>
  </si>
  <si>
    <t>MaxReward</t>
  </si>
  <si>
    <t>MaxPenalty</t>
  </si>
  <si>
    <t>ImpMaxRewardScore</t>
  </si>
  <si>
    <t>ImpMaxPenaltyScore</t>
  </si>
  <si>
    <t>AttMaxRewardScore</t>
  </si>
  <si>
    <t>AttMaxPenaltyScore</t>
  </si>
  <si>
    <t>ImpTarget</t>
  </si>
  <si>
    <t>AttTarget</t>
  </si>
  <si>
    <t>For this YTD comparison, the same number of months are included for both Base Period and Performance Period, for instance Jan-Oct CY2016 (Base Period YTD) and Jan-Oct CY2017 (Performance Period YTD).</t>
  </si>
  <si>
    <t>210001 - MERITUS</t>
  </si>
  <si>
    <t>210002 - UNIVERSITY OF MARYLAND</t>
  </si>
  <si>
    <t>210003 - PRINCE GEORGE</t>
  </si>
  <si>
    <t>210004 - HOLY CROSS</t>
  </si>
  <si>
    <t>210005 - FREDERICK MEMORIAL</t>
  </si>
  <si>
    <t>210006 - HARFORD</t>
  </si>
  <si>
    <t>210008 - MERCY</t>
  </si>
  <si>
    <t>210009 - JOHNS HOPKINS</t>
  </si>
  <si>
    <t>210010 - DORCHESTER</t>
  </si>
  <si>
    <t>210011 - ST. AGNES</t>
  </si>
  <si>
    <t>210012 - SINAI</t>
  </si>
  <si>
    <t>210013 - BON SECOURS</t>
  </si>
  <si>
    <t>210015 - FRANKLIN SQUARE</t>
  </si>
  <si>
    <t>210016 - WASHINGTON ADVENTIST</t>
  </si>
  <si>
    <t>210017 - GARRETT COUNTY</t>
  </si>
  <si>
    <t>210018 - MONTGOMERY GENERAL</t>
  </si>
  <si>
    <t>210019 - PENINSULA REGIONAL</t>
  </si>
  <si>
    <t>210022 - SUBURBAN</t>
  </si>
  <si>
    <t>210023 - ANNE ARUNDEL</t>
  </si>
  <si>
    <t>210024 - UNION MEMORIAL</t>
  </si>
  <si>
    <t>210027 - WESTERN MARYLAND HEALTH SYSTEM</t>
  </si>
  <si>
    <t>210028 - ST. MARY</t>
  </si>
  <si>
    <t>210029 - HOPKINS BAYVIEW MED CTR</t>
  </si>
  <si>
    <t>210030 - CHESTERTOWN</t>
  </si>
  <si>
    <t>210032 - UNION HOSPITAL OF CECIL COUNT</t>
  </si>
  <si>
    <t>210033 - CARROLL COUNTY</t>
  </si>
  <si>
    <t>210034 - HARBOR</t>
  </si>
  <si>
    <t>210035 - CHARLES REGIONAL</t>
  </si>
  <si>
    <t>210037 - EASTON</t>
  </si>
  <si>
    <t>210038 - UMMC MIDTOWN</t>
  </si>
  <si>
    <t>210039 - CALVERT</t>
  </si>
  <si>
    <t>210040 - NORTHWEST</t>
  </si>
  <si>
    <t>210043 - BALTIMORE WASHINGTON MEDICAL CENTER</t>
  </si>
  <si>
    <t>210044 - G.B.M.C.</t>
  </si>
  <si>
    <t>210045 - MCCREADY</t>
  </si>
  <si>
    <t>210048 - HOWARD COUNTY</t>
  </si>
  <si>
    <t>210049 - UPPER CHESAPEAKE HEALTH</t>
  </si>
  <si>
    <t>210051 - DOCTORS COMMUNITY</t>
  </si>
  <si>
    <t>210055 - LAUREL REGIONAL</t>
  </si>
  <si>
    <t>210056 - GOOD SAMARITAN</t>
  </si>
  <si>
    <t>210057 - SHADY GROVE</t>
  </si>
  <si>
    <t>210058 - REHAB &amp; ORTHO</t>
  </si>
  <si>
    <t>210060 - FT. WASHINGTON</t>
  </si>
  <si>
    <t>210061 - ATLANTIC GENERAL</t>
  </si>
  <si>
    <t>210062 - SOUTHERN MARYLAND</t>
  </si>
  <si>
    <t>210063 - UM ST. JOSEPH</t>
  </si>
  <si>
    <t>210064 - LEVINDALE</t>
  </si>
  <si>
    <t>210065 - HOLY CROSS GERMANTOWN</t>
  </si>
  <si>
    <t>Case-Mix Adjusted Rate with OOS Adjustment</t>
  </si>
  <si>
    <t>CY17 Modified Cumulative Improvement Readmission Rate with compounding</t>
  </si>
  <si>
    <t>(January-Dec Readmissions + Jan discharge data to determine Dec Readmissions)</t>
  </si>
  <si>
    <t>CY2017 Performance Period (YTD, Jan-Dec 2017)</t>
  </si>
  <si>
    <t>N = J/L * 11.78%</t>
  </si>
  <si>
    <t>Change in Case-mix Adjusted Rate from CY2016</t>
  </si>
  <si>
    <t>WASHINGTON ADVENTIST</t>
  </si>
  <si>
    <t>Hospitals</t>
  </si>
  <si>
    <t>CY2016 Base Period (YTD, Jan-Dec 2016)</t>
  </si>
  <si>
    <t>Q = (1+O)*(1+P)-1</t>
  </si>
  <si>
    <t>Meritus</t>
  </si>
  <si>
    <t>UMMC</t>
  </si>
  <si>
    <t>UM-PGHC</t>
  </si>
  <si>
    <t>Holy Cross</t>
  </si>
  <si>
    <t>Frederick</t>
  </si>
  <si>
    <t>UM-Harford</t>
  </si>
  <si>
    <t>Mercy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</si>
  <si>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</si>
  <si>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</si>
  <si>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</si>
  <si>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</si>
  <si>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</si>
  <si>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</si>
  <si>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</si>
  <si>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</si>
  <si>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</si>
  <si>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</si>
  <si>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</si>
  <si>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</si>
  <si>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</si>
  <si>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</si>
  <si>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</si>
  <si>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</si>
  <si>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</si>
  <si>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</si>
  <si>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</si>
  <si>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</si>
  <si>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</si>
  <si>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</si>
  <si>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</si>
  <si>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</si>
  <si>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</si>
  <si>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</si>
  <si>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</si>
  <si>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</si>
  <si>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</si>
  <si>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</si>
  <si>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</si>
  <si>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MedStar Southern MD</t>
  </si>
  <si>
    <t>UM-St. Joe</t>
  </si>
  <si>
    <t>HC-Germantown</t>
  </si>
  <si>
    <t>CY 2016 Case Mix Adjusted Readmission Rate (RY 2019 Base)</t>
  </si>
  <si>
    <t>CY 2017 Case Mix Adjusted Readmission Rate (RY 2019 Performance)</t>
  </si>
  <si>
    <t>CY16-CY17 % Change in Case Mix Adjusted Rate</t>
  </si>
  <si>
    <t>RY 18 Estimated Permanent Inpatient Revenue</t>
  </si>
  <si>
    <t>CY 2017 Case Mix Adjusted Rate with Out-of-State Adjustment</t>
  </si>
  <si>
    <t>Target</t>
  </si>
  <si>
    <t>% Revenue Adjustment</t>
  </si>
  <si>
    <t>$ Revenue Adjustment</t>
  </si>
  <si>
    <t xml:space="preserve">$ Better of Attainment or Improvement </t>
  </si>
  <si>
    <t>RY 19 Final % Revenue Adjustment</t>
  </si>
  <si>
    <t>Revenue Adjustment Based on Improvement or Attainment</t>
  </si>
  <si>
    <t>Based on CMMI Data CY 2017</t>
  </si>
  <si>
    <t>RRIP assesses hospitals on the better of improvement or attainment.  For improvement, the case-mix adjusted readmission rate is used (column F).  For attainment, the case-mix adjusted readmission rate is adjusted to account for out of state readmissions to ensure fairness to non-border hospitals.  Medicare data from CMMI is used to calculate an out of state ratio (column E).  This ratio is multipled by the case-mix-adjusted rate to get the case-mix adjusted rate with out of state adjustment (column G).  This report provides on-going preliminary Medicare readmission numbers for attainment.</t>
  </si>
  <si>
    <t>Total  Readmission Rate</t>
  </si>
  <si>
    <t>Target (top 25th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</si>
</sst>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164" formatCode="\ ###,###,###,##0"/>
    <numFmt numFmtId="165" formatCode="\ ##0.00%"/>
    <numFmt numFmtId="166" formatCode="\ #,##0.000"/>
    <numFmt numFmtId="167" formatCode="0.0%"/>
    <numFmt numFmtId="168" formatCode="0.000%"/>
    <numFmt numFmtId="169" formatCode="0.000000000"/>
    <numFmt numFmtId="170" formatCode="0.000000000000000%"/>
    <numFmt numFmtId="171" formatCode="&quot;$&quot;#,##0"/>
    <numFmt numFmtId="172" formatCode="0.0000%"/>
    <numFmt numFmtId="173" formatCode="_(&quot;$&quot;* #,##0_);_(&quot;$&quot;* \(#,##0\);_(&quot;$&quot;* &quot;-&quot;??_);_(@_)"/>
    <numFmt numFmtId="174" formatCode="[$-10409]0.0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00"/>
      <name val="Arial"/>
      <family val="2"/>
    </font>
    <font>
      <b/>
      <i/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8"/>
      <color indexed="8"/>
      <name val="Arial, Albany AMT, Helvetica"/>
    </font>
    <font>
      <sz val="12"/>
      <color theme="1"/>
      <name val="Calibri"/>
      <family val="2"/>
      <scheme val="minor"/>
    </font>
    <font>
      <sz val="12"/>
      <color indexed="8"/>
      <name val="Arial, Helvetica, sans-serif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Fill="1" applyBorder="1"/>
    <xf numFmtId="0" fontId="7" fillId="5" borderId="3" xfId="0" applyNumberFormat="1" applyFont="1" applyFill="1" applyBorder="1" applyAlignment="1" applyProtection="1">
      <alignment horizontal="left" wrapText="1"/>
    </xf>
    <xf numFmtId="164" fontId="7" fillId="5" borderId="3" xfId="0" applyNumberFormat="1" applyFont="1" applyFill="1" applyBorder="1" applyAlignment="1" applyProtection="1">
      <alignment horizontal="right" wrapText="1"/>
    </xf>
    <xf numFmtId="165" fontId="7" fillId="5" borderId="3" xfId="0" applyNumberFormat="1" applyFont="1" applyFill="1" applyBorder="1" applyAlignment="1" applyProtection="1">
      <alignment horizontal="right" wrapText="1"/>
    </xf>
    <xf numFmtId="166" fontId="7" fillId="5" borderId="3" xfId="0" applyNumberFormat="1" applyFont="1" applyFill="1" applyBorder="1" applyAlignment="1" applyProtection="1">
      <alignment horizontal="right" wrapText="1"/>
    </xf>
    <xf numFmtId="0" fontId="6" fillId="2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>
      <alignment vertical="top" wrapText="1" readingOrder="1"/>
    </xf>
    <xf numFmtId="0" fontId="4" fillId="0" borderId="5" xfId="0" applyNumberFormat="1" applyFont="1" applyFill="1" applyBorder="1" applyAlignment="1">
      <alignment vertical="top" wrapText="1" readingOrder="1"/>
    </xf>
    <xf numFmtId="167" fontId="4" fillId="0" borderId="0" xfId="2" applyNumberFormat="1" applyFont="1" applyFill="1" applyBorder="1"/>
    <xf numFmtId="0" fontId="9" fillId="0" borderId="0" xfId="3" applyFont="1"/>
    <xf numFmtId="0" fontId="8" fillId="0" borderId="0" xfId="3"/>
    <xf numFmtId="0" fontId="8" fillId="7" borderId="6" xfId="3" applyFill="1" applyBorder="1" applyAlignment="1">
      <alignment horizontal="center" vertical="center" wrapText="1"/>
    </xf>
    <xf numFmtId="10" fontId="8" fillId="7" borderId="6" xfId="3" applyNumberFormat="1" applyFill="1" applyBorder="1" applyAlignment="1">
      <alignment horizontal="center" vertical="center" wrapText="1"/>
    </xf>
    <xf numFmtId="0" fontId="2" fillId="7" borderId="6" xfId="3" applyFont="1" applyFill="1" applyBorder="1" applyAlignment="1">
      <alignment horizontal="center" vertical="center" wrapText="1"/>
    </xf>
    <xf numFmtId="0" fontId="8" fillId="0" borderId="6" xfId="3" applyBorder="1"/>
    <xf numFmtId="10" fontId="8" fillId="0" borderId="6" xfId="5" applyNumberFormat="1" applyFont="1" applyBorder="1"/>
    <xf numFmtId="0" fontId="10" fillId="0" borderId="0" xfId="3" applyFont="1"/>
    <xf numFmtId="0" fontId="10" fillId="8" borderId="10" xfId="3" applyFont="1" applyFill="1" applyBorder="1"/>
    <xf numFmtId="0" fontId="8" fillId="8" borderId="10" xfId="3" applyFill="1" applyBorder="1"/>
    <xf numFmtId="0" fontId="8" fillId="8" borderId="0" xfId="3" applyFill="1"/>
    <xf numFmtId="0" fontId="10" fillId="8" borderId="0" xfId="3" applyFont="1" applyFill="1"/>
    <xf numFmtId="0" fontId="10" fillId="8" borderId="0" xfId="3" applyFont="1" applyFill="1" applyAlignment="1">
      <alignment wrapText="1"/>
    </xf>
    <xf numFmtId="10" fontId="10" fillId="0" borderId="0" xfId="3" applyNumberFormat="1" applyFont="1"/>
    <xf numFmtId="10" fontId="8" fillId="0" borderId="0" xfId="3" applyNumberFormat="1"/>
    <xf numFmtId="167" fontId="8" fillId="0" borderId="0" xfId="2" applyNumberFormat="1" applyFont="1"/>
    <xf numFmtId="10" fontId="10" fillId="9" borderId="0" xfId="3" applyNumberFormat="1" applyFont="1" applyFill="1"/>
    <xf numFmtId="10" fontId="10" fillId="0" borderId="0" xfId="3" applyNumberFormat="1" applyFont="1" applyFill="1"/>
    <xf numFmtId="10" fontId="8" fillId="0" borderId="0" xfId="3" applyNumberFormat="1" applyFill="1"/>
    <xf numFmtId="0" fontId="10" fillId="0" borderId="0" xfId="3" applyFont="1" applyAlignment="1">
      <alignment wrapText="1"/>
    </xf>
    <xf numFmtId="10" fontId="8" fillId="6" borderId="0" xfId="3" applyNumberFormat="1" applyFill="1"/>
    <xf numFmtId="0" fontId="10" fillId="8" borderId="6" xfId="3" applyFont="1" applyFill="1" applyBorder="1" applyAlignment="1">
      <alignment vertical="center" wrapText="1"/>
    </xf>
    <xf numFmtId="0" fontId="10" fillId="8" borderId="7" xfId="3" applyFont="1" applyFill="1" applyBorder="1" applyAlignment="1">
      <alignment vertical="center" wrapText="1"/>
    </xf>
    <xf numFmtId="167" fontId="10" fillId="0" borderId="6" xfId="3" applyNumberFormat="1" applyFont="1" applyBorder="1" applyAlignment="1">
      <alignment horizontal="center"/>
    </xf>
    <xf numFmtId="10" fontId="10" fillId="0" borderId="6" xfId="2" applyNumberFormat="1" applyFont="1" applyBorder="1" applyAlignment="1">
      <alignment horizontal="center"/>
    </xf>
    <xf numFmtId="0" fontId="8" fillId="0" borderId="0" xfId="3" applyFill="1"/>
    <xf numFmtId="0" fontId="10" fillId="0" borderId="6" xfId="3" applyFont="1" applyBorder="1"/>
    <xf numFmtId="168" fontId="8" fillId="12" borderId="6" xfId="3" applyNumberFormat="1" applyFont="1" applyFill="1" applyBorder="1"/>
    <xf numFmtId="10" fontId="8" fillId="12" borderId="6" xfId="3" applyNumberFormat="1" applyFont="1" applyFill="1" applyBorder="1"/>
    <xf numFmtId="0" fontId="8" fillId="0" borderId="0" xfId="3" applyNumberFormat="1" applyFill="1"/>
    <xf numFmtId="10" fontId="10" fillId="13" borderId="6" xfId="3" applyNumberFormat="1" applyFont="1" applyFill="1" applyBorder="1"/>
    <xf numFmtId="10" fontId="8" fillId="13" borderId="6" xfId="3" applyNumberFormat="1" applyFont="1" applyFill="1" applyBorder="1"/>
    <xf numFmtId="10" fontId="8" fillId="13" borderId="6" xfId="2" applyNumberFormat="1" applyFont="1" applyFill="1" applyBorder="1"/>
    <xf numFmtId="169" fontId="8" fillId="0" borderId="0" xfId="2" applyNumberFormat="1" applyFont="1" applyFill="1"/>
    <xf numFmtId="10" fontId="10" fillId="0" borderId="6" xfId="3" applyNumberFormat="1" applyFont="1" applyFill="1" applyBorder="1"/>
    <xf numFmtId="167" fontId="8" fillId="13" borderId="6" xfId="3" applyNumberFormat="1" applyFont="1" applyFill="1" applyBorder="1"/>
    <xf numFmtId="10" fontId="8" fillId="0" borderId="0" xfId="2" applyNumberFormat="1" applyFont="1" applyFill="1"/>
    <xf numFmtId="10" fontId="12" fillId="8" borderId="0" xfId="2" applyNumberFormat="1" applyFont="1" applyFill="1"/>
    <xf numFmtId="9" fontId="8" fillId="0" borderId="0" xfId="2" applyFont="1" applyFill="1"/>
    <xf numFmtId="170" fontId="8" fillId="0" borderId="0" xfId="3" applyNumberFormat="1" applyFill="1"/>
    <xf numFmtId="10" fontId="10" fillId="6" borderId="6" xfId="3" applyNumberFormat="1" applyFont="1" applyFill="1" applyBorder="1"/>
    <xf numFmtId="10" fontId="8" fillId="6" borderId="6" xfId="3" applyNumberFormat="1" applyFont="1" applyFill="1" applyBorder="1"/>
    <xf numFmtId="10" fontId="8" fillId="6" borderId="6" xfId="2" applyNumberFormat="1" applyFont="1" applyFill="1" applyBorder="1"/>
    <xf numFmtId="0" fontId="3" fillId="2" borderId="15" xfId="0" applyNumberFormat="1" applyFont="1" applyFill="1" applyBorder="1" applyAlignment="1" applyProtection="1">
      <alignment horizontal="left"/>
    </xf>
    <xf numFmtId="0" fontId="3" fillId="2" borderId="16" xfId="0" applyNumberFormat="1" applyFont="1" applyFill="1" applyBorder="1" applyAlignment="1" applyProtection="1">
      <alignment horizontal="left"/>
    </xf>
    <xf numFmtId="0" fontId="13" fillId="0" borderId="16" xfId="0" applyNumberFormat="1" applyFont="1" applyFill="1" applyBorder="1" applyAlignment="1" applyProtection="1"/>
    <xf numFmtId="0" fontId="14" fillId="0" borderId="16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wrapText="1"/>
    </xf>
    <xf numFmtId="0" fontId="16" fillId="0" borderId="6" xfId="0" applyNumberFormat="1" applyFont="1" applyFill="1" applyBorder="1" applyAlignment="1" applyProtection="1">
      <alignment horizontal="right"/>
    </xf>
    <xf numFmtId="0" fontId="16" fillId="0" borderId="6" xfId="0" applyNumberFormat="1" applyFont="1" applyFill="1" applyBorder="1" applyAlignment="1" applyProtection="1">
      <alignment horizontal="left"/>
    </xf>
    <xf numFmtId="171" fontId="5" fillId="0" borderId="6" xfId="0" applyNumberFormat="1" applyFont="1" applyBorder="1" applyAlignment="1">
      <alignment horizontal="right"/>
    </xf>
    <xf numFmtId="10" fontId="13" fillId="0" borderId="6" xfId="2" applyNumberFormat="1" applyFont="1" applyFill="1" applyBorder="1" applyAlignment="1" applyProtection="1"/>
    <xf numFmtId="172" fontId="13" fillId="0" borderId="6" xfId="2" applyNumberFormat="1" applyFont="1" applyFill="1" applyBorder="1" applyAlignment="1" applyProtection="1"/>
    <xf numFmtId="167" fontId="16" fillId="2" borderId="6" xfId="2" applyNumberFormat="1" applyFont="1" applyFill="1" applyBorder="1" applyAlignment="1" applyProtection="1"/>
    <xf numFmtId="10" fontId="13" fillId="2" borderId="6" xfId="2" applyNumberFormat="1" applyFont="1" applyFill="1" applyBorder="1" applyAlignment="1" applyProtection="1"/>
    <xf numFmtId="171" fontId="16" fillId="0" borderId="15" xfId="1" applyNumberFormat="1" applyFont="1" applyFill="1" applyBorder="1" applyAlignment="1" applyProtection="1"/>
    <xf numFmtId="10" fontId="16" fillId="0" borderId="6" xfId="2" applyNumberFormat="1" applyFont="1" applyFill="1" applyBorder="1" applyAlignment="1" applyProtection="1"/>
    <xf numFmtId="171" fontId="16" fillId="0" borderId="6" xfId="1" applyNumberFormat="1" applyFont="1" applyFill="1" applyBorder="1" applyAlignment="1" applyProtection="1"/>
    <xf numFmtId="10" fontId="13" fillId="2" borderId="0" xfId="2" applyNumberFormat="1" applyFont="1" applyFill="1" applyBorder="1" applyAlignment="1" applyProtection="1"/>
    <xf numFmtId="170" fontId="13" fillId="2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171" fontId="5" fillId="0" borderId="6" xfId="0" applyNumberFormat="1" applyFont="1" applyFill="1" applyBorder="1" applyAlignment="1">
      <alignment horizontal="right"/>
    </xf>
    <xf numFmtId="10" fontId="13" fillId="0" borderId="6" xfId="5" applyNumberFormat="1" applyFont="1" applyFill="1" applyBorder="1" applyAlignment="1" applyProtection="1"/>
    <xf numFmtId="10" fontId="16" fillId="0" borderId="15" xfId="2" applyNumberFormat="1" applyFont="1" applyFill="1" applyBorder="1" applyAlignment="1" applyProtection="1"/>
    <xf numFmtId="0" fontId="15" fillId="0" borderId="6" xfId="0" applyNumberFormat="1" applyFont="1" applyFill="1" applyBorder="1" applyAlignment="1" applyProtection="1"/>
    <xf numFmtId="171" fontId="3" fillId="0" borderId="6" xfId="0" applyNumberFormat="1" applyFont="1" applyBorder="1" applyAlignment="1">
      <alignment horizontal="right"/>
    </xf>
    <xf numFmtId="10" fontId="15" fillId="0" borderId="6" xfId="2" applyNumberFormat="1" applyFont="1" applyFill="1" applyBorder="1" applyAlignment="1" applyProtection="1"/>
    <xf numFmtId="167" fontId="15" fillId="2" borderId="6" xfId="2" applyNumberFormat="1" applyFont="1" applyFill="1" applyBorder="1" applyAlignment="1" applyProtection="1"/>
    <xf numFmtId="173" fontId="14" fillId="2" borderId="15" xfId="0" applyNumberFormat="1" applyFont="1" applyFill="1" applyBorder="1" applyAlignment="1" applyProtection="1"/>
    <xf numFmtId="171" fontId="15" fillId="0" borderId="15" xfId="1" applyNumberFormat="1" applyFont="1" applyFill="1" applyBorder="1" applyAlignment="1" applyProtection="1"/>
    <xf numFmtId="0" fontId="13" fillId="2" borderId="6" xfId="0" applyNumberFormat="1" applyFont="1" applyFill="1" applyBorder="1" applyAlignment="1" applyProtection="1"/>
    <xf numFmtId="0" fontId="13" fillId="2" borderId="15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3" fillId="0" borderId="6" xfId="0" applyFont="1" applyBorder="1"/>
    <xf numFmtId="0" fontId="15" fillId="0" borderId="6" xfId="0" applyNumberFormat="1" applyFont="1" applyFill="1" applyBorder="1" applyAlignment="1" applyProtection="1">
      <alignment horizontal="right"/>
    </xf>
    <xf numFmtId="10" fontId="17" fillId="0" borderId="6" xfId="5" applyNumberFormat="1" applyFont="1" applyFill="1" applyBorder="1" applyAlignment="1" applyProtection="1"/>
    <xf numFmtId="167" fontId="16" fillId="0" borderId="6" xfId="2" applyNumberFormat="1" applyFont="1" applyFill="1" applyBorder="1" applyAlignment="1" applyProtection="1"/>
    <xf numFmtId="0" fontId="15" fillId="0" borderId="6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left"/>
    </xf>
    <xf numFmtId="171" fontId="5" fillId="0" borderId="0" xfId="0" applyNumberFormat="1" applyFont="1" applyBorder="1" applyAlignment="1">
      <alignment horizontal="right"/>
    </xf>
    <xf numFmtId="10" fontId="17" fillId="2" borderId="0" xfId="5" applyNumberFormat="1" applyFont="1" applyFill="1" applyBorder="1" applyAlignment="1" applyProtection="1"/>
    <xf numFmtId="167" fontId="16" fillId="2" borderId="0" xfId="2" applyNumberFormat="1" applyFont="1" applyFill="1" applyBorder="1" applyAlignment="1" applyProtection="1"/>
    <xf numFmtId="167" fontId="13" fillId="2" borderId="0" xfId="2" applyNumberFormat="1" applyFont="1" applyFill="1" applyBorder="1" applyAlignment="1" applyProtection="1"/>
    <xf numFmtId="0" fontId="13" fillId="2" borderId="20" xfId="0" applyNumberFormat="1" applyFont="1" applyFill="1" applyBorder="1" applyAlignment="1" applyProtection="1"/>
    <xf numFmtId="10" fontId="13" fillId="2" borderId="20" xfId="2" applyNumberFormat="1" applyFont="1" applyFill="1" applyBorder="1" applyAlignment="1" applyProtection="1"/>
    <xf numFmtId="10" fontId="19" fillId="19" borderId="6" xfId="2" applyNumberFormat="1" applyFont="1" applyFill="1" applyBorder="1" applyAlignment="1" applyProtection="1">
      <alignment horizontal="center" wrapText="1"/>
    </xf>
    <xf numFmtId="168" fontId="10" fillId="0" borderId="6" xfId="3" applyNumberFormat="1" applyFont="1" applyFill="1" applyBorder="1"/>
    <xf numFmtId="172" fontId="8" fillId="13" borderId="6" xfId="2" applyNumberFormat="1" applyFont="1" applyFill="1" applyBorder="1"/>
    <xf numFmtId="10" fontId="0" fillId="0" borderId="6" xfId="0" applyNumberFormat="1" applyBorder="1"/>
    <xf numFmtId="2" fontId="0" fillId="0" borderId="6" xfId="0" applyNumberFormat="1" applyBorder="1"/>
    <xf numFmtId="0" fontId="8" fillId="20" borderId="6" xfId="3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 applyProtection="1">
      <alignment horizontal="right" wrapText="1"/>
    </xf>
    <xf numFmtId="165" fontId="20" fillId="2" borderId="3" xfId="0" applyNumberFormat="1" applyFont="1" applyFill="1" applyBorder="1" applyAlignment="1" applyProtection="1">
      <alignment horizontal="right" wrapText="1"/>
    </xf>
    <xf numFmtId="166" fontId="20" fillId="2" borderId="3" xfId="0" applyNumberFormat="1" applyFont="1" applyFill="1" applyBorder="1" applyAlignment="1" applyProtection="1">
      <alignment horizontal="right" wrapText="1"/>
    </xf>
    <xf numFmtId="0" fontId="22" fillId="0" borderId="6" xfId="0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21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right" wrapText="1"/>
    </xf>
    <xf numFmtId="0" fontId="20" fillId="2" borderId="3" xfId="0" applyNumberFormat="1" applyFont="1" applyFill="1" applyBorder="1" applyAlignment="1" applyProtection="1">
      <alignment horizontal="left" wrapText="1"/>
    </xf>
    <xf numFmtId="0" fontId="7" fillId="5" borderId="3" xfId="0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174" fontId="23" fillId="0" borderId="1" xfId="4" applyNumberFormat="1" applyFont="1" applyFill="1" applyBorder="1" applyAlignment="1">
      <alignment vertical="top" wrapText="1" readingOrder="1"/>
    </xf>
    <xf numFmtId="0" fontId="3" fillId="2" borderId="16" xfId="0" applyNumberFormat="1" applyFont="1" applyFill="1" applyBorder="1" applyAlignment="1" applyProtection="1">
      <alignment horizontal="left" wrapText="1"/>
    </xf>
    <xf numFmtId="0" fontId="16" fillId="0" borderId="6" xfId="0" applyNumberFormat="1" applyFont="1" applyFill="1" applyBorder="1" applyAlignment="1" applyProtection="1">
      <alignment horizontal="left" wrapText="1"/>
    </xf>
    <xf numFmtId="0" fontId="15" fillId="0" borderId="6" xfId="0" applyNumberFormat="1" applyFont="1" applyFill="1" applyBorder="1" applyAlignment="1" applyProtection="1">
      <alignment wrapText="1"/>
    </xf>
    <xf numFmtId="0" fontId="13" fillId="2" borderId="6" xfId="0" applyNumberFormat="1" applyFont="1" applyFill="1" applyBorder="1" applyAlignment="1" applyProtection="1">
      <alignment wrapText="1"/>
    </xf>
    <xf numFmtId="0" fontId="15" fillId="0" borderId="6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9" fillId="19" borderId="15" xfId="0" applyFont="1" applyFill="1" applyBorder="1" applyAlignment="1">
      <alignment wrapText="1"/>
    </xf>
    <xf numFmtId="0" fontId="24" fillId="11" borderId="6" xfId="0" applyNumberFormat="1" applyFont="1" applyFill="1" applyBorder="1" applyAlignment="1" applyProtection="1">
      <alignment horizontal="center" vertical="center" wrapText="1"/>
    </xf>
    <xf numFmtId="0" fontId="24" fillId="17" borderId="6" xfId="0" applyNumberFormat="1" applyFont="1" applyFill="1" applyBorder="1" applyAlignment="1" applyProtection="1">
      <alignment horizontal="center" vertical="center" wrapText="1"/>
    </xf>
    <xf numFmtId="10" fontId="24" fillId="17" borderId="6" xfId="0" applyNumberFormat="1" applyFont="1" applyFill="1" applyBorder="1" applyAlignment="1" applyProtection="1">
      <alignment horizontal="center" vertical="center" wrapText="1"/>
    </xf>
    <xf numFmtId="0" fontId="24" fillId="18" borderId="6" xfId="0" applyNumberFormat="1" applyFont="1" applyFill="1" applyBorder="1" applyAlignment="1" applyProtection="1">
      <alignment horizontal="center" vertical="center" wrapText="1"/>
    </xf>
    <xf numFmtId="0" fontId="24" fillId="15" borderId="6" xfId="0" applyNumberFormat="1" applyFont="1" applyFill="1" applyBorder="1" applyAlignment="1" applyProtection="1">
      <alignment horizontal="center" vertical="center" wrapText="1"/>
    </xf>
    <xf numFmtId="0" fontId="24" fillId="16" borderId="6" xfId="0" applyNumberFormat="1" applyFont="1" applyFill="1" applyBorder="1" applyAlignment="1" applyProtection="1">
      <alignment horizontal="center" vertical="center" wrapText="1"/>
    </xf>
    <xf numFmtId="0" fontId="25" fillId="2" borderId="0" xfId="0" applyNumberFormat="1" applyFont="1" applyFill="1" applyBorder="1" applyAlignment="1" applyProtection="1">
      <alignment wrapText="1"/>
    </xf>
    <xf numFmtId="0" fontId="26" fillId="17" borderId="6" xfId="0" applyNumberFormat="1" applyFont="1" applyFill="1" applyBorder="1" applyAlignment="1" applyProtection="1">
      <alignment horizontal="center" vertical="center" wrapText="1"/>
    </xf>
    <xf numFmtId="10" fontId="10" fillId="14" borderId="6" xfId="3" applyNumberFormat="1" applyFont="1" applyFill="1" applyBorder="1"/>
    <xf numFmtId="0" fontId="3" fillId="2" borderId="0" xfId="0" applyNumberFormat="1" applyFont="1" applyFill="1" applyBorder="1" applyAlignment="1" applyProtection="1">
      <alignment horizont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21" borderId="2" xfId="0" applyNumberFormat="1" applyFont="1" applyFill="1" applyBorder="1" applyAlignment="1" applyProtection="1">
      <alignment horizontal="center" vertical="center" wrapText="1"/>
    </xf>
    <xf numFmtId="0" fontId="6" fillId="21" borderId="3" xfId="0" applyNumberFormat="1" applyFont="1" applyFill="1" applyBorder="1" applyAlignment="1" applyProtection="1">
      <alignment horizontal="center" vertical="center" wrapText="1"/>
    </xf>
    <xf numFmtId="0" fontId="8" fillId="0" borderId="7" xfId="3" applyBorder="1" applyAlignment="1">
      <alignment horizontal="left" vertical="top" wrapText="1"/>
    </xf>
    <xf numFmtId="0" fontId="8" fillId="0" borderId="8" xfId="3" applyBorder="1" applyAlignment="1">
      <alignment horizontal="left" vertical="top" wrapText="1"/>
    </xf>
    <xf numFmtId="0" fontId="8" fillId="0" borderId="9" xfId="3" applyBorder="1" applyAlignment="1">
      <alignment horizontal="left" vertical="top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center" vertical="center" wrapText="1"/>
    </xf>
    <xf numFmtId="0" fontId="10" fillId="8" borderId="7" xfId="3" applyFont="1" applyFill="1" applyBorder="1" applyAlignment="1">
      <alignment horizontal="center" vertical="center" wrapText="1"/>
    </xf>
    <xf numFmtId="0" fontId="10" fillId="8" borderId="9" xfId="3" applyFont="1" applyFill="1" applyBorder="1" applyAlignment="1">
      <alignment horizontal="center" vertical="center" wrapText="1"/>
    </xf>
    <xf numFmtId="0" fontId="10" fillId="8" borderId="14" xfId="3" applyFont="1" applyFill="1" applyBorder="1" applyAlignment="1">
      <alignment horizontal="center" vertical="center" wrapText="1"/>
    </xf>
    <xf numFmtId="0" fontId="14" fillId="15" borderId="15" xfId="0" applyNumberFormat="1" applyFont="1" applyFill="1" applyBorder="1" applyAlignment="1" applyProtection="1">
      <alignment horizontal="center"/>
    </xf>
    <xf numFmtId="0" fontId="14" fillId="15" borderId="16" xfId="0" applyNumberFormat="1" applyFont="1" applyFill="1" applyBorder="1" applyAlignment="1" applyProtection="1">
      <alignment horizontal="center"/>
    </xf>
    <xf numFmtId="0" fontId="14" fillId="15" borderId="17" xfId="0" applyNumberFormat="1" applyFont="1" applyFill="1" applyBorder="1" applyAlignment="1" applyProtection="1">
      <alignment horizontal="center"/>
    </xf>
    <xf numFmtId="0" fontId="18" fillId="0" borderId="0" xfId="0" applyFont="1" applyFill="1" applyAlignment="1">
      <alignment horizontal="left"/>
    </xf>
    <xf numFmtId="0" fontId="14" fillId="16" borderId="18" xfId="0" applyNumberFormat="1" applyFont="1" applyFill="1" applyBorder="1" applyAlignment="1" applyProtection="1">
      <alignment horizontal="center"/>
    </xf>
    <xf numFmtId="0" fontId="14" fillId="16" borderId="10" xfId="0" applyNumberFormat="1" applyFont="1" applyFill="1" applyBorder="1" applyAlignment="1" applyProtection="1">
      <alignment horizontal="center"/>
    </xf>
    <xf numFmtId="0" fontId="14" fillId="16" borderId="19" xfId="0" applyNumberFormat="1" applyFont="1" applyFill="1" applyBorder="1" applyAlignment="1" applyProtection="1">
      <alignment horizontal="center"/>
    </xf>
    <xf numFmtId="0" fontId="14" fillId="11" borderId="20" xfId="0" applyNumberFormat="1" applyFont="1" applyFill="1" applyBorder="1" applyAlignment="1" applyProtection="1">
      <alignment horizontal="center"/>
    </xf>
    <xf numFmtId="0" fontId="14" fillId="11" borderId="0" xfId="0" applyNumberFormat="1" applyFont="1" applyFill="1" applyBorder="1" applyAlignment="1" applyProtection="1">
      <alignment horizontal="center"/>
    </xf>
  </cellXfs>
  <cellStyles count="6">
    <cellStyle name="Currency" xfId="1" builtinId="4"/>
    <cellStyle name="Normal" xfId="0" builtinId="0"/>
    <cellStyle name="Normal 2" xfId="3"/>
    <cellStyle name="Normal 2 2 2" xfId="4"/>
    <cellStyle name="Percent" xfId="2" builtinId="5"/>
    <cellStyle name="Percent 2 3" xfId="5"/>
  </cellStyles>
  <dxfs count="4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aiver%20Modeling\Workgroups\Performance%20Measurement\Meeting%20Materials\2015\March%202\MD%20vs%20Nation%20Medicare%20Trends%20V2_allPayerTar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19%20Source%20Revenue%20in%20R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CMMI Target"/>
      <sheetName val="2. MD State Target"/>
      <sheetName val="3.Scenarios"/>
      <sheetName val="4.MDvs US Trend Comparison"/>
      <sheetName val="5.Readmission Scaling"/>
      <sheetName val="6.RRIP Modeling Results"/>
    </sheetNames>
    <sheetDataSet>
      <sheetData sheetId="0" refreshError="1"/>
      <sheetData sheetId="1" refreshError="1">
        <row r="28">
          <cell r="E28">
            <v>-5.76953773241069E-2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8 Permanent GBR"/>
      <sheetName val="OLD"/>
      <sheetName val="IP percentages"/>
    </sheetNames>
    <sheetDataSet>
      <sheetData sheetId="0">
        <row r="1">
          <cell r="A1" t="str">
            <v xml:space="preserve">ESTIMATED USING Numbers taken fromKhoa as of </v>
          </cell>
        </row>
        <row r="2">
          <cell r="A2" t="str">
            <v>Hospital ID</v>
          </cell>
          <cell r="B2" t="str">
            <v>Hospital Name</v>
          </cell>
          <cell r="C2" t="str">
            <v>FY18 Permanent Revenue</v>
          </cell>
          <cell r="D2" t="str">
            <v>FY17 Permanent Revenue Inpatient %</v>
          </cell>
          <cell r="E2" t="str">
            <v>Permanent Inpatient Revenue used for FY17 Scaling</v>
          </cell>
        </row>
        <row r="3">
          <cell r="A3">
            <v>210001</v>
          </cell>
          <cell r="B3" t="str">
            <v>MERITUS</v>
          </cell>
          <cell r="C3">
            <v>321955559.91474116</v>
          </cell>
          <cell r="D3">
            <v>0.59262669451526495</v>
          </cell>
          <cell r="E3">
            <v>190799459.25308439</v>
          </cell>
        </row>
        <row r="4">
          <cell r="A4">
            <v>210002</v>
          </cell>
          <cell r="B4" t="str">
            <v>UNIVERSITY OF MARYLAND</v>
          </cell>
          <cell r="C4">
            <v>1399559923.8071165</v>
          </cell>
          <cell r="D4">
            <v>0.65681631873545843</v>
          </cell>
          <cell r="E4">
            <v>919253797.00466895</v>
          </cell>
        </row>
        <row r="5">
          <cell r="A5">
            <v>210003</v>
          </cell>
          <cell r="B5" t="str">
            <v>PRINCE GEORGE</v>
          </cell>
          <cell r="C5">
            <v>287707710.10856968</v>
          </cell>
          <cell r="D5">
            <v>0.74890111703227624</v>
          </cell>
          <cell r="E5">
            <v>215464625.47910616</v>
          </cell>
        </row>
        <row r="6">
          <cell r="A6">
            <v>210004</v>
          </cell>
          <cell r="B6" t="str">
            <v>HOLY CROSS</v>
          </cell>
          <cell r="C6">
            <v>489724685.75063366</v>
          </cell>
          <cell r="D6">
            <v>0.69510906695873764</v>
          </cell>
          <cell r="E6">
            <v>340412069.37878394</v>
          </cell>
        </row>
        <row r="7">
          <cell r="A7">
            <v>210005</v>
          </cell>
          <cell r="B7" t="str">
            <v>FREDERICK MEMORIAL</v>
          </cell>
          <cell r="C7">
            <v>338085918.23302591</v>
          </cell>
          <cell r="D7">
            <v>0.65359818547597859</v>
          </cell>
          <cell r="E7">
            <v>220972342.6920858</v>
          </cell>
        </row>
        <row r="8">
          <cell r="A8">
            <v>210006</v>
          </cell>
          <cell r="B8" t="str">
            <v>HARFORD</v>
          </cell>
          <cell r="C8">
            <v>102314326.75911014</v>
          </cell>
          <cell r="D8">
            <v>0.47459414927617183</v>
          </cell>
          <cell r="E8">
            <v>48557780.867004141</v>
          </cell>
        </row>
        <row r="9">
          <cell r="A9">
            <v>210008</v>
          </cell>
          <cell r="B9" t="str">
            <v>MERCY</v>
          </cell>
          <cell r="C9">
            <v>516410170.18262321</v>
          </cell>
          <cell r="D9">
            <v>0.43363364034477192</v>
          </cell>
          <cell r="E9">
            <v>223932822.00735408</v>
          </cell>
        </row>
        <row r="10">
          <cell r="A10">
            <v>210009</v>
          </cell>
          <cell r="B10" t="str">
            <v>JOHNS HOPKINS</v>
          </cell>
          <cell r="C10">
            <v>2352963223.3712864</v>
          </cell>
          <cell r="D10">
            <v>0.585754969285331</v>
          </cell>
          <cell r="E10">
            <v>1378259900.6353612</v>
          </cell>
        </row>
        <row r="11">
          <cell r="A11">
            <v>210010</v>
          </cell>
          <cell r="B11" t="str">
            <v>DORCHESTER</v>
          </cell>
          <cell r="C11">
            <v>49226291.660124123</v>
          </cell>
          <cell r="D11">
            <v>0.52860413992365518</v>
          </cell>
          <cell r="E11">
            <v>26021221.564630911</v>
          </cell>
        </row>
        <row r="12">
          <cell r="A12">
            <v>210011</v>
          </cell>
          <cell r="B12" t="str">
            <v>ST. AGNES</v>
          </cell>
          <cell r="C12">
            <v>422820202.13967508</v>
          </cell>
          <cell r="D12">
            <v>0.56262504584567219</v>
          </cell>
          <cell r="E12">
            <v>237889235.61331108</v>
          </cell>
        </row>
        <row r="13">
          <cell r="A13">
            <v>210012</v>
          </cell>
          <cell r="B13" t="str">
            <v>SINAI</v>
          </cell>
          <cell r="C13">
            <v>752409746.26519561</v>
          </cell>
          <cell r="D13">
            <v>0.52901561924501883</v>
          </cell>
          <cell r="E13">
            <v>398036507.84646994</v>
          </cell>
        </row>
        <row r="14">
          <cell r="A14">
            <v>210013</v>
          </cell>
          <cell r="B14" t="str">
            <v>BON SECOURS</v>
          </cell>
          <cell r="C14">
            <v>115902722.16579702</v>
          </cell>
          <cell r="D14">
            <v>0.56770057402106255</v>
          </cell>
          <cell r="E14">
            <v>65798041.904126704</v>
          </cell>
        </row>
        <row r="15">
          <cell r="A15">
            <v>210015</v>
          </cell>
          <cell r="B15" t="str">
            <v>FRANKLIN SQUARE</v>
          </cell>
          <cell r="C15">
            <v>522059008.50967693</v>
          </cell>
          <cell r="D15">
            <v>0.57584289766596353</v>
          </cell>
          <cell r="E15">
            <v>300623972.21283227</v>
          </cell>
        </row>
        <row r="16">
          <cell r="A16">
            <v>210016</v>
          </cell>
          <cell r="B16" t="str">
            <v>WASHINGTON ADVENTIST</v>
          </cell>
          <cell r="C16">
            <v>265729172.41023228</v>
          </cell>
          <cell r="D16">
            <v>0.59586082593886835</v>
          </cell>
          <cell r="E16">
            <v>158337604.14841294</v>
          </cell>
        </row>
        <row r="17">
          <cell r="A17">
            <v>210017</v>
          </cell>
          <cell r="B17" t="str">
            <v>GARRETT COUNTY</v>
          </cell>
          <cell r="C17">
            <v>54328266.371631004</v>
          </cell>
          <cell r="D17">
            <v>0.38792576566822867</v>
          </cell>
          <cell r="E17">
            <v>21075334.329642437</v>
          </cell>
        </row>
        <row r="18">
          <cell r="A18">
            <v>210018</v>
          </cell>
          <cell r="B18" t="str">
            <v>MONTGOMERY GENERAL</v>
          </cell>
          <cell r="C18">
            <v>172101071.49599501</v>
          </cell>
          <cell r="D18">
            <v>0.45211024235364744</v>
          </cell>
          <cell r="E18">
            <v>77808657.143376708</v>
          </cell>
        </row>
        <row r="19">
          <cell r="A19">
            <v>210019</v>
          </cell>
          <cell r="B19" t="str">
            <v>PENINSULA REGIONAL</v>
          </cell>
          <cell r="C19">
            <v>431713669.50853997</v>
          </cell>
          <cell r="D19">
            <v>0.55932167557943002</v>
          </cell>
          <cell r="E19">
            <v>241466813.00006086</v>
          </cell>
        </row>
        <row r="20">
          <cell r="A20">
            <v>210022</v>
          </cell>
          <cell r="B20" t="str">
            <v>SUBURBAN</v>
          </cell>
          <cell r="C20">
            <v>313631832.19152868</v>
          </cell>
          <cell r="D20">
            <v>0.62950049125989915</v>
          </cell>
          <cell r="E20">
            <v>197431392.43930957</v>
          </cell>
        </row>
        <row r="21">
          <cell r="A21">
            <v>210023</v>
          </cell>
          <cell r="B21" t="str">
            <v>ANNE ARUNDEL</v>
          </cell>
          <cell r="C21">
            <v>609013272.65717053</v>
          </cell>
          <cell r="D21">
            <v>0.4913932233825935</v>
          </cell>
          <cell r="E21">
            <v>299264995.1337893</v>
          </cell>
        </row>
        <row r="22">
          <cell r="A22">
            <v>210024</v>
          </cell>
          <cell r="B22" t="str">
            <v>UNION MEMORIAL</v>
          </cell>
          <cell r="C22">
            <v>421547475.77072507</v>
          </cell>
          <cell r="D22">
            <v>0.55829160028258129</v>
          </cell>
          <cell r="E22">
            <v>235346414.84312075</v>
          </cell>
        </row>
        <row r="23">
          <cell r="A23">
            <v>210027</v>
          </cell>
          <cell r="B23" t="str">
            <v>WESTERN MARYLAND HEALTH SYSTEM</v>
          </cell>
          <cell r="C23">
            <v>320642518.52413172</v>
          </cell>
          <cell r="D23">
            <v>0.53330476380333969</v>
          </cell>
          <cell r="E23">
            <v>171000182.60682005</v>
          </cell>
        </row>
        <row r="24">
          <cell r="A24">
            <v>210028</v>
          </cell>
          <cell r="B24" t="str">
            <v>ST. MARY</v>
          </cell>
          <cell r="C24">
            <v>177161733.10999241</v>
          </cell>
          <cell r="D24">
            <v>0.4306971733905639</v>
          </cell>
          <cell r="E24">
            <v>76303057.683447212</v>
          </cell>
        </row>
        <row r="25">
          <cell r="A25">
            <v>210029</v>
          </cell>
          <cell r="B25" t="str">
            <v>HOPKINS BAYVIEW MED CTR</v>
          </cell>
          <cell r="C25">
            <v>647476457.79074168</v>
          </cell>
          <cell r="D25">
            <v>0.5523298650376377</v>
          </cell>
          <cell r="E25">
            <v>357620584.54660809</v>
          </cell>
        </row>
        <row r="26">
          <cell r="A26">
            <v>210030</v>
          </cell>
          <cell r="B26" t="str">
            <v>CHESTERTOWN</v>
          </cell>
          <cell r="C26">
            <v>55473722.194609955</v>
          </cell>
          <cell r="D26">
            <v>0.38108018712535541</v>
          </cell>
          <cell r="E26">
            <v>21139936.434461944</v>
          </cell>
        </row>
        <row r="27">
          <cell r="A27">
            <v>210032</v>
          </cell>
          <cell r="B27" t="str">
            <v>UNION HOSPITAL  OF CECIL COUNT</v>
          </cell>
          <cell r="C27">
            <v>158683869.94630226</v>
          </cell>
          <cell r="D27">
            <v>0.41916245120903378</v>
          </cell>
          <cell r="E27">
            <v>66514319.894027583</v>
          </cell>
        </row>
        <row r="28">
          <cell r="A28">
            <v>210033</v>
          </cell>
          <cell r="B28" t="str">
            <v>CARROLL COUNTY</v>
          </cell>
          <cell r="C28">
            <v>225263358.630611</v>
          </cell>
          <cell r="D28">
            <v>0.58953670080392262</v>
          </cell>
          <cell r="E28">
            <v>132801017.25910124</v>
          </cell>
        </row>
        <row r="29">
          <cell r="A29">
            <v>210034</v>
          </cell>
          <cell r="B29" t="str">
            <v>HARBOR</v>
          </cell>
          <cell r="C29">
            <v>186978444.37045556</v>
          </cell>
          <cell r="D29">
            <v>0.60181717857257455</v>
          </cell>
          <cell r="E29">
            <v>112526839.84491666</v>
          </cell>
        </row>
        <row r="30">
          <cell r="A30">
            <v>210035</v>
          </cell>
          <cell r="B30" t="str">
            <v>CHARLES REGIONAL</v>
          </cell>
          <cell r="C30">
            <v>148909451.23965517</v>
          </cell>
          <cell r="D30">
            <v>0.5049989195694462</v>
          </cell>
          <cell r="E30">
            <v>75199111.989704996</v>
          </cell>
        </row>
        <row r="31">
          <cell r="A31">
            <v>210037</v>
          </cell>
          <cell r="B31" t="str">
            <v>EASTON</v>
          </cell>
          <cell r="C31">
            <v>202561562.84157383</v>
          </cell>
          <cell r="D31">
            <v>0.51945834673599012</v>
          </cell>
          <cell r="E31">
            <v>105222294.54594231</v>
          </cell>
        </row>
        <row r="32">
          <cell r="A32">
            <v>210038</v>
          </cell>
          <cell r="B32" t="str">
            <v>UMMC MIDTOWN</v>
          </cell>
          <cell r="C32">
            <v>234227769.69172686</v>
          </cell>
          <cell r="D32">
            <v>0.50044333719391598</v>
          </cell>
          <cell r="E32">
            <v>117217726.72801577</v>
          </cell>
        </row>
        <row r="33">
          <cell r="A33">
            <v>210039</v>
          </cell>
          <cell r="B33" t="str">
            <v>CALVERT</v>
          </cell>
          <cell r="C33">
            <v>143263199.33140904</v>
          </cell>
          <cell r="D33">
            <v>0.44448066772280481</v>
          </cell>
          <cell r="E33">
            <v>63677722.49892997</v>
          </cell>
        </row>
        <row r="34">
          <cell r="A34">
            <v>210040</v>
          </cell>
          <cell r="B34" t="str">
            <v>NORTHWEST</v>
          </cell>
          <cell r="C34">
            <v>255493814.35119659</v>
          </cell>
          <cell r="D34">
            <v>0.52380429617047386</v>
          </cell>
          <cell r="E34">
            <v>133828757.60213824</v>
          </cell>
        </row>
        <row r="35">
          <cell r="A35">
            <v>210043</v>
          </cell>
          <cell r="B35" t="str">
            <v>BALTIMORE WASHINGTON MEDICAL CENTER</v>
          </cell>
          <cell r="C35">
            <v>409703662.08081722</v>
          </cell>
          <cell r="D35">
            <v>0.55931106498985961</v>
          </cell>
          <cell r="E35">
            <v>229151791.56866744</v>
          </cell>
        </row>
        <row r="36">
          <cell r="A36">
            <v>210044</v>
          </cell>
          <cell r="B36" t="str">
            <v>G.B.M.C.</v>
          </cell>
          <cell r="C36">
            <v>442204395.73804218</v>
          </cell>
          <cell r="D36">
            <v>0.50914401572187495</v>
          </cell>
          <cell r="E36">
            <v>225145721.81593195</v>
          </cell>
        </row>
        <row r="37">
          <cell r="A37">
            <v>210045</v>
          </cell>
          <cell r="B37" t="str">
            <v>MCCREADY</v>
          </cell>
          <cell r="C37">
            <v>15618329.328133162</v>
          </cell>
          <cell r="D37">
            <v>0.1942529699970014</v>
          </cell>
          <cell r="E37">
            <v>3033906.8583811382</v>
          </cell>
        </row>
        <row r="38">
          <cell r="A38">
            <v>210048</v>
          </cell>
          <cell r="B38" t="str">
            <v>HOWARD COUNTY</v>
          </cell>
          <cell r="C38">
            <v>298460107.25571972</v>
          </cell>
          <cell r="D38">
            <v>0.61431506110200207</v>
          </cell>
          <cell r="E38">
            <v>183348539.02530757</v>
          </cell>
        </row>
        <row r="39">
          <cell r="A39">
            <v>210049</v>
          </cell>
          <cell r="B39" t="str">
            <v>UPPER CHESAPEAKE HEALTH</v>
          </cell>
          <cell r="C39">
            <v>334751758.52551895</v>
          </cell>
          <cell r="D39">
            <v>0.3887966558498544</v>
          </cell>
          <cell r="E39">
            <v>130150364.25457975</v>
          </cell>
        </row>
        <row r="40">
          <cell r="A40">
            <v>210051</v>
          </cell>
          <cell r="B40" t="str">
            <v>DOCTORS COMMUNITY</v>
          </cell>
          <cell r="C40">
            <v>239227749.57479373</v>
          </cell>
          <cell r="D40">
            <v>0.60480522019440375</v>
          </cell>
          <cell r="E40">
            <v>144686191.7581948</v>
          </cell>
        </row>
        <row r="41">
          <cell r="A41">
            <v>210055</v>
          </cell>
          <cell r="B41" t="str">
            <v>LAUREL REGIONAL</v>
          </cell>
          <cell r="C41">
            <v>99871376.285903111</v>
          </cell>
          <cell r="D41">
            <v>0.59007172959642229</v>
          </cell>
          <cell r="E41">
            <v>58931275.742197961</v>
          </cell>
        </row>
        <row r="42">
          <cell r="A42">
            <v>210056</v>
          </cell>
          <cell r="B42" t="str">
            <v>GOOD SAMARITAN</v>
          </cell>
          <cell r="C42">
            <v>264597391.76665741</v>
          </cell>
          <cell r="D42">
            <v>0.53165621400743668</v>
          </cell>
          <cell r="E42">
            <v>140674847.54290357</v>
          </cell>
        </row>
        <row r="43">
          <cell r="A43">
            <v>210057</v>
          </cell>
          <cell r="B43" t="str">
            <v>SHADY GROVE</v>
          </cell>
          <cell r="C43">
            <v>387674359.24834466</v>
          </cell>
          <cell r="D43">
            <v>0.59828440795685933</v>
          </cell>
          <cell r="E43">
            <v>231939524.50295067</v>
          </cell>
        </row>
        <row r="44">
          <cell r="A44">
            <v>210058</v>
          </cell>
          <cell r="B44" t="str">
            <v>REHAB &amp; ORTHO</v>
          </cell>
          <cell r="C44">
            <v>120638692.27232622</v>
          </cell>
          <cell r="D44">
            <v>0.57996615789272687</v>
          </cell>
          <cell r="E44">
            <v>69966358.850384042</v>
          </cell>
        </row>
        <row r="45">
          <cell r="A45">
            <v>210060</v>
          </cell>
          <cell r="B45" t="str">
            <v>FT. WASHINGTON</v>
          </cell>
          <cell r="C45">
            <v>48244588.294327505</v>
          </cell>
          <cell r="D45">
            <v>0.40519626835703138</v>
          </cell>
          <cell r="E45">
            <v>19548527.145282824</v>
          </cell>
        </row>
        <row r="46">
          <cell r="A46">
            <v>210061</v>
          </cell>
          <cell r="B46" t="str">
            <v>ATLANTIC GENERAL</v>
          </cell>
          <cell r="C46">
            <v>105151501.51613671</v>
          </cell>
          <cell r="D46">
            <v>0.35488051184522879</v>
          </cell>
          <cell r="E46">
            <v>37316218.679340944</v>
          </cell>
        </row>
        <row r="47">
          <cell r="A47">
            <v>210062</v>
          </cell>
          <cell r="B47" t="str">
            <v>SOUTHERN MARYLAND</v>
          </cell>
          <cell r="C47">
            <v>271260317.58742768</v>
          </cell>
          <cell r="D47">
            <v>0.6040102142001561</v>
          </cell>
          <cell r="E47">
            <v>163844002.52998456</v>
          </cell>
        </row>
        <row r="48">
          <cell r="A48">
            <v>210063</v>
          </cell>
          <cell r="B48" t="str">
            <v>UM ST. JOSEPH</v>
          </cell>
          <cell r="C48">
            <v>398711781.45443678</v>
          </cell>
          <cell r="D48">
            <v>0.59673335363983493</v>
          </cell>
          <cell r="E48">
            <v>237924618.48301899</v>
          </cell>
        </row>
        <row r="49">
          <cell r="A49">
            <v>210064</v>
          </cell>
          <cell r="B49" t="str">
            <v>Levindale</v>
          </cell>
          <cell r="C49">
            <v>58867710.087362573</v>
          </cell>
          <cell r="D49">
            <v>0.95308220246414665</v>
          </cell>
          <cell r="E49">
            <v>56105766.784084387</v>
          </cell>
        </row>
        <row r="50">
          <cell r="A50">
            <v>210065</v>
          </cell>
          <cell r="B50" t="str">
            <v>HOLY CROSS GERMANTOWN</v>
          </cell>
          <cell r="C50">
            <v>102303759.88960856</v>
          </cell>
          <cell r="D50">
            <v>0.59266802038098965</v>
          </cell>
          <cell r="E50">
            <v>60632166.851306401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State</v>
          </cell>
          <cell r="C52">
            <v>16292627632.201357</v>
          </cell>
          <cell r="D52">
            <v>0.56822778994375811</v>
          </cell>
          <cell r="E52">
            <v>9222204361.5231628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64"/>
  <sheetViews>
    <sheetView topLeftCell="B19" workbookViewId="0">
      <selection activeCell="Q54" sqref="Q54"/>
    </sheetView>
  </sheetViews>
  <sheetFormatPr defaultColWidth="8.85546875" defaultRowHeight="15"/>
  <cols>
    <col min="1" max="1" width="11.42578125" style="1" customWidth="1"/>
    <col min="2" max="2" width="35.42578125" style="1" customWidth="1"/>
    <col min="3" max="3" width="17.85546875" style="1" customWidth="1"/>
    <col min="4" max="4" width="14" style="1" customWidth="1"/>
    <col min="5" max="5" width="12.42578125" style="1" customWidth="1"/>
    <col min="6" max="6" width="14.42578125" style="1" customWidth="1"/>
    <col min="7" max="7" width="12.28515625" style="1" customWidth="1"/>
    <col min="8" max="8" width="17.42578125" style="1" customWidth="1"/>
    <col min="9" max="9" width="13.7109375" style="1" customWidth="1"/>
    <col min="10" max="10" width="16" style="1" customWidth="1"/>
    <col min="11" max="13" width="13.7109375" style="1" customWidth="1"/>
    <col min="14" max="14" width="16" style="1" customWidth="1"/>
    <col min="15" max="15" width="20.28515625" style="1" customWidth="1"/>
    <col min="16" max="16" width="15.42578125" style="1" customWidth="1"/>
    <col min="17" max="17" width="13.28515625" style="1" customWidth="1"/>
    <col min="18" max="16384" width="8.85546875" style="1"/>
  </cols>
  <sheetData>
    <row r="1" spans="1:17" ht="15.75" customHeight="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15" customHeight="1">
      <c r="A2" s="131" t="s">
        <v>185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15" customHeight="1">
      <c r="A3" s="136" t="s">
        <v>190</v>
      </c>
      <c r="B3" s="137"/>
      <c r="C3" s="132" t="s">
        <v>191</v>
      </c>
      <c r="D3" s="132"/>
      <c r="E3" s="132"/>
      <c r="F3" s="132"/>
      <c r="G3" s="132"/>
      <c r="H3" s="133"/>
      <c r="I3" s="134" t="s">
        <v>186</v>
      </c>
      <c r="J3" s="134"/>
      <c r="K3" s="134"/>
      <c r="L3" s="134"/>
      <c r="M3" s="134"/>
      <c r="N3" s="134"/>
      <c r="O3" s="134"/>
      <c r="P3" s="134"/>
      <c r="Q3" s="135"/>
    </row>
    <row r="4" spans="1:17" ht="25.5">
      <c r="A4" s="108" t="s">
        <v>1</v>
      </c>
      <c r="B4" s="108" t="s">
        <v>2</v>
      </c>
      <c r="C4" s="106" t="s">
        <v>3</v>
      </c>
      <c r="D4" s="106" t="s">
        <v>4</v>
      </c>
      <c r="E4" s="106" t="s">
        <v>5</v>
      </c>
      <c r="F4" s="106" t="s">
        <v>6</v>
      </c>
      <c r="G4" s="106" t="s">
        <v>7</v>
      </c>
      <c r="H4" s="106" t="s">
        <v>8</v>
      </c>
      <c r="I4" s="107" t="s">
        <v>9</v>
      </c>
      <c r="J4" s="107" t="s">
        <v>10</v>
      </c>
      <c r="K4" s="107" t="s">
        <v>11</v>
      </c>
      <c r="L4" s="107" t="s">
        <v>12</v>
      </c>
      <c r="M4" s="107" t="s">
        <v>13</v>
      </c>
      <c r="N4" s="107" t="s">
        <v>187</v>
      </c>
      <c r="O4" s="107" t="s">
        <v>14</v>
      </c>
      <c r="P4" s="107" t="s">
        <v>15</v>
      </c>
      <c r="Q4" s="107" t="s">
        <v>192</v>
      </c>
    </row>
    <row r="5" spans="1:17" ht="63.75">
      <c r="A5" s="108" t="s">
        <v>118</v>
      </c>
      <c r="B5" s="108" t="s">
        <v>119</v>
      </c>
      <c r="C5" s="106" t="s">
        <v>17</v>
      </c>
      <c r="D5" s="106" t="s">
        <v>18</v>
      </c>
      <c r="E5" s="106" t="s">
        <v>19</v>
      </c>
      <c r="F5" s="106" t="s">
        <v>20</v>
      </c>
      <c r="G5" s="106" t="s">
        <v>21</v>
      </c>
      <c r="H5" s="106" t="s">
        <v>22</v>
      </c>
      <c r="I5" s="107" t="s">
        <v>17</v>
      </c>
      <c r="J5" s="107" t="s">
        <v>18</v>
      </c>
      <c r="K5" s="107" t="s">
        <v>19</v>
      </c>
      <c r="L5" s="107" t="s">
        <v>20</v>
      </c>
      <c r="M5" s="107" t="s">
        <v>21</v>
      </c>
      <c r="N5" s="107" t="s">
        <v>22</v>
      </c>
      <c r="O5" s="107" t="s">
        <v>188</v>
      </c>
      <c r="P5" s="107" t="s">
        <v>23</v>
      </c>
      <c r="Q5" s="107" t="s">
        <v>24</v>
      </c>
    </row>
    <row r="6" spans="1:17">
      <c r="A6" s="109">
        <v>210001</v>
      </c>
      <c r="B6" s="110" t="s">
        <v>193</v>
      </c>
      <c r="C6" s="102">
        <v>13833</v>
      </c>
      <c r="D6" s="102">
        <v>1534</v>
      </c>
      <c r="E6" s="103">
        <v>0.1109</v>
      </c>
      <c r="F6" s="102">
        <v>1610.5662</v>
      </c>
      <c r="G6" s="104">
        <v>0.95246010000000003</v>
      </c>
      <c r="H6" s="103">
        <v>0.11219999999999999</v>
      </c>
      <c r="I6" s="102">
        <v>13864</v>
      </c>
      <c r="J6" s="102">
        <v>1692</v>
      </c>
      <c r="K6" s="103">
        <v>0.122</v>
      </c>
      <c r="L6" s="102">
        <v>1720.0969</v>
      </c>
      <c r="M6" s="104">
        <v>0.98366549999999997</v>
      </c>
      <c r="N6" s="103">
        <v>0.1159</v>
      </c>
      <c r="O6" s="103">
        <v>3.3000000000000002E-2</v>
      </c>
      <c r="P6" s="103">
        <v>-6.4399999999999999E-2</v>
      </c>
      <c r="Q6" s="103">
        <f>(1+O6)*(1+P6)-1</f>
        <v>-3.3525200000000144E-2</v>
      </c>
    </row>
    <row r="7" spans="1:17">
      <c r="A7" s="109">
        <v>210002</v>
      </c>
      <c r="B7" s="110" t="s">
        <v>194</v>
      </c>
      <c r="C7" s="102">
        <v>22763</v>
      </c>
      <c r="D7" s="102">
        <v>3277</v>
      </c>
      <c r="E7" s="103">
        <v>0.14399999999999999</v>
      </c>
      <c r="F7" s="102">
        <v>2985.4391000000001</v>
      </c>
      <c r="G7" s="104">
        <v>1.097661</v>
      </c>
      <c r="H7" s="103">
        <v>0.1293</v>
      </c>
      <c r="I7" s="102">
        <v>23243</v>
      </c>
      <c r="J7" s="102">
        <v>3539</v>
      </c>
      <c r="K7" s="103">
        <v>0.15229999999999999</v>
      </c>
      <c r="L7" s="102">
        <v>3166.3042999999998</v>
      </c>
      <c r="M7" s="104">
        <v>1.1177067999999999</v>
      </c>
      <c r="N7" s="103">
        <v>0.13170000000000001</v>
      </c>
      <c r="O7" s="103">
        <v>1.8599999999999998E-2</v>
      </c>
      <c r="P7" s="103">
        <v>-0.1195</v>
      </c>
      <c r="Q7" s="103">
        <f t="shared" ref="Q7:Q54" si="0">(1+O7)*(1+P7)-1</f>
        <v>-0.10312270000000001</v>
      </c>
    </row>
    <row r="8" spans="1:17">
      <c r="A8" s="109">
        <v>210003</v>
      </c>
      <c r="B8" s="110" t="s">
        <v>195</v>
      </c>
      <c r="C8" s="102">
        <v>10700</v>
      </c>
      <c r="D8" s="102">
        <v>1205</v>
      </c>
      <c r="E8" s="103">
        <v>0.11260000000000001</v>
      </c>
      <c r="F8" s="102">
        <v>1291.1331</v>
      </c>
      <c r="G8" s="104">
        <v>0.93328880000000003</v>
      </c>
      <c r="H8" s="103">
        <v>0.1099</v>
      </c>
      <c r="I8" s="102">
        <v>10453</v>
      </c>
      <c r="J8" s="102">
        <v>1245</v>
      </c>
      <c r="K8" s="103">
        <v>0.1191</v>
      </c>
      <c r="L8" s="102">
        <v>1383.0414000000001</v>
      </c>
      <c r="M8" s="104">
        <v>0.90019000000000005</v>
      </c>
      <c r="N8" s="103">
        <v>0.106</v>
      </c>
      <c r="O8" s="103">
        <v>-3.5499999999999997E-2</v>
      </c>
      <c r="P8" s="103">
        <v>-2.8E-3</v>
      </c>
      <c r="Q8" s="103">
        <f t="shared" si="0"/>
        <v>-3.8200600000000029E-2</v>
      </c>
    </row>
    <row r="9" spans="1:17">
      <c r="A9" s="109">
        <v>210004</v>
      </c>
      <c r="B9" s="110" t="s">
        <v>196</v>
      </c>
      <c r="C9" s="102">
        <v>24393</v>
      </c>
      <c r="D9" s="102">
        <v>2141</v>
      </c>
      <c r="E9" s="103">
        <v>8.7800000000000003E-2</v>
      </c>
      <c r="F9" s="102">
        <v>2154.8319999999999</v>
      </c>
      <c r="G9" s="104">
        <v>0.99358100000000005</v>
      </c>
      <c r="H9" s="103">
        <v>0.11700000000000001</v>
      </c>
      <c r="I9" s="102">
        <v>24424</v>
      </c>
      <c r="J9" s="102">
        <v>2091</v>
      </c>
      <c r="K9" s="103">
        <v>8.5599999999999996E-2</v>
      </c>
      <c r="L9" s="102">
        <v>2090.5401999999999</v>
      </c>
      <c r="M9" s="104">
        <v>1.0002199000000001</v>
      </c>
      <c r="N9" s="103">
        <v>0.1178</v>
      </c>
      <c r="O9" s="103">
        <v>6.7999999999999996E-3</v>
      </c>
      <c r="P9" s="103">
        <v>2.3E-2</v>
      </c>
      <c r="Q9" s="103">
        <f t="shared" si="0"/>
        <v>2.9956399999999883E-2</v>
      </c>
    </row>
    <row r="10" spans="1:17">
      <c r="A10" s="109">
        <v>210005</v>
      </c>
      <c r="B10" s="110" t="s">
        <v>197</v>
      </c>
      <c r="C10" s="102">
        <v>14289</v>
      </c>
      <c r="D10" s="102">
        <v>1373</v>
      </c>
      <c r="E10" s="103">
        <v>9.6100000000000005E-2</v>
      </c>
      <c r="F10" s="102">
        <v>1665.0728999999999</v>
      </c>
      <c r="G10" s="104">
        <v>0.82458849999999995</v>
      </c>
      <c r="H10" s="103">
        <v>9.7100000000000006E-2</v>
      </c>
      <c r="I10" s="102">
        <v>14883</v>
      </c>
      <c r="J10" s="102">
        <v>1614</v>
      </c>
      <c r="K10" s="103">
        <v>0.1084</v>
      </c>
      <c r="L10" s="102">
        <v>1804.8586</v>
      </c>
      <c r="M10" s="104">
        <v>0.89425290000000002</v>
      </c>
      <c r="N10" s="103">
        <v>0.1053</v>
      </c>
      <c r="O10" s="103">
        <v>8.4400000000000003E-2</v>
      </c>
      <c r="P10" s="103">
        <v>-9.8100000000000007E-2</v>
      </c>
      <c r="Q10" s="103">
        <f t="shared" si="0"/>
        <v>-2.1979639999999967E-2</v>
      </c>
    </row>
    <row r="11" spans="1:17">
      <c r="A11" s="109">
        <v>210006</v>
      </c>
      <c r="B11" s="110" t="s">
        <v>198</v>
      </c>
      <c r="C11" s="102">
        <v>4073</v>
      </c>
      <c r="D11" s="102">
        <v>626</v>
      </c>
      <c r="E11" s="103">
        <v>0.1537</v>
      </c>
      <c r="F11" s="102">
        <v>585.23012000000006</v>
      </c>
      <c r="G11" s="104">
        <v>1.0696646999999999</v>
      </c>
      <c r="H11" s="103">
        <v>0.126</v>
      </c>
      <c r="I11" s="102">
        <v>3957</v>
      </c>
      <c r="J11" s="102">
        <v>541</v>
      </c>
      <c r="K11" s="103">
        <v>0.13669999999999999</v>
      </c>
      <c r="L11" s="102">
        <v>590.13356999999996</v>
      </c>
      <c r="M11" s="104">
        <v>0.91674160000000005</v>
      </c>
      <c r="N11" s="103">
        <v>0.108</v>
      </c>
      <c r="O11" s="103">
        <v>-0.1429</v>
      </c>
      <c r="P11" s="103">
        <v>5.3800000000000001E-2</v>
      </c>
      <c r="Q11" s="103">
        <f t="shared" si="0"/>
        <v>-9.6788019999999975E-2</v>
      </c>
    </row>
    <row r="12" spans="1:17" ht="16.5" customHeight="1">
      <c r="A12" s="109">
        <v>210008</v>
      </c>
      <c r="B12" s="110" t="s">
        <v>199</v>
      </c>
      <c r="C12" s="102">
        <v>12756</v>
      </c>
      <c r="D12" s="102">
        <v>1060</v>
      </c>
      <c r="E12" s="103">
        <v>8.3099999999999993E-2</v>
      </c>
      <c r="F12" s="102">
        <v>1002.2338</v>
      </c>
      <c r="G12" s="104">
        <v>1.0576375</v>
      </c>
      <c r="H12" s="103">
        <v>0.1246</v>
      </c>
      <c r="I12" s="102">
        <v>12432</v>
      </c>
      <c r="J12" s="102">
        <v>1109</v>
      </c>
      <c r="K12" s="103">
        <v>8.9200000000000002E-2</v>
      </c>
      <c r="L12" s="102">
        <v>1021.2053</v>
      </c>
      <c r="M12" s="104">
        <v>1.0859717</v>
      </c>
      <c r="N12" s="103">
        <v>0.12790000000000001</v>
      </c>
      <c r="O12" s="103">
        <v>2.6499999999999999E-2</v>
      </c>
      <c r="P12" s="103">
        <v>-0.18479999999999999</v>
      </c>
      <c r="Q12" s="103">
        <f t="shared" si="0"/>
        <v>-0.16319720000000004</v>
      </c>
    </row>
    <row r="13" spans="1:17">
      <c r="A13" s="109">
        <v>210009</v>
      </c>
      <c r="B13" s="110" t="s">
        <v>25</v>
      </c>
      <c r="C13" s="102">
        <v>39843</v>
      </c>
      <c r="D13" s="102">
        <v>5743</v>
      </c>
      <c r="E13" s="103">
        <v>0.14410000000000001</v>
      </c>
      <c r="F13" s="102">
        <v>5186.2370000000001</v>
      </c>
      <c r="G13" s="104">
        <v>1.1073538999999999</v>
      </c>
      <c r="H13" s="103">
        <v>0.13039999999999999</v>
      </c>
      <c r="I13" s="102">
        <v>39813</v>
      </c>
      <c r="J13" s="102">
        <v>5960</v>
      </c>
      <c r="K13" s="103">
        <v>0.1497</v>
      </c>
      <c r="L13" s="102">
        <v>5295.4930999999997</v>
      </c>
      <c r="M13" s="104">
        <v>1.1254854000000001</v>
      </c>
      <c r="N13" s="103">
        <v>0.1326</v>
      </c>
      <c r="O13" s="103">
        <v>1.6899999999999998E-2</v>
      </c>
      <c r="P13" s="103">
        <v>-0.12659999999999999</v>
      </c>
      <c r="Q13" s="103">
        <f t="shared" si="0"/>
        <v>-0.11183954000000007</v>
      </c>
    </row>
    <row r="14" spans="1:17">
      <c r="A14" s="109">
        <v>210010</v>
      </c>
      <c r="B14" s="110" t="s">
        <v>200</v>
      </c>
      <c r="C14" s="102">
        <v>2212</v>
      </c>
      <c r="D14" s="102">
        <v>321</v>
      </c>
      <c r="E14" s="103">
        <v>0.14510000000000001</v>
      </c>
      <c r="F14" s="102">
        <v>308.56088</v>
      </c>
      <c r="G14" s="104">
        <v>1.0403134000000001</v>
      </c>
      <c r="H14" s="103">
        <v>0.1225</v>
      </c>
      <c r="I14" s="102">
        <v>2100</v>
      </c>
      <c r="J14" s="102">
        <v>285</v>
      </c>
      <c r="K14" s="103">
        <v>0.13569999999999999</v>
      </c>
      <c r="L14" s="102">
        <v>300.48048999999997</v>
      </c>
      <c r="M14" s="104">
        <v>0.94848089999999996</v>
      </c>
      <c r="N14" s="103">
        <v>0.11169999999999999</v>
      </c>
      <c r="O14" s="103">
        <v>-8.8200000000000001E-2</v>
      </c>
      <c r="P14" s="103">
        <v>4.3099999999999999E-2</v>
      </c>
      <c r="Q14" s="103">
        <f t="shared" si="0"/>
        <v>-4.8901420000000084E-2</v>
      </c>
    </row>
    <row r="15" spans="1:17">
      <c r="A15" s="109">
        <v>210011</v>
      </c>
      <c r="B15" s="110" t="s">
        <v>201</v>
      </c>
      <c r="C15" s="102">
        <v>14799</v>
      </c>
      <c r="D15" s="102">
        <v>1794</v>
      </c>
      <c r="E15" s="103">
        <v>0.1212</v>
      </c>
      <c r="F15" s="102">
        <v>1745.9971</v>
      </c>
      <c r="G15" s="104">
        <v>1.0274931</v>
      </c>
      <c r="H15" s="103">
        <v>0.121</v>
      </c>
      <c r="I15" s="102">
        <v>13991</v>
      </c>
      <c r="J15" s="102">
        <v>1709</v>
      </c>
      <c r="K15" s="103">
        <v>0.1221</v>
      </c>
      <c r="L15" s="102">
        <v>1702.8525999999999</v>
      </c>
      <c r="M15" s="104">
        <v>1.0036099999999999</v>
      </c>
      <c r="N15" s="103">
        <v>0.1182</v>
      </c>
      <c r="O15" s="103">
        <v>-2.3099999999999999E-2</v>
      </c>
      <c r="P15" s="103">
        <v>-0.1336</v>
      </c>
      <c r="Q15" s="103">
        <f t="shared" si="0"/>
        <v>-0.15361384</v>
      </c>
    </row>
    <row r="16" spans="1:17">
      <c r="A16" s="109">
        <v>210012</v>
      </c>
      <c r="B16" s="110" t="s">
        <v>202</v>
      </c>
      <c r="C16" s="102">
        <v>15648</v>
      </c>
      <c r="D16" s="102">
        <v>2064</v>
      </c>
      <c r="E16" s="103">
        <v>0.13189999999999999</v>
      </c>
      <c r="F16" s="102">
        <v>1978.6276</v>
      </c>
      <c r="G16" s="104">
        <v>1.0431473</v>
      </c>
      <c r="H16" s="103">
        <v>0.1229</v>
      </c>
      <c r="I16" s="102">
        <v>13697</v>
      </c>
      <c r="J16" s="102">
        <v>1596</v>
      </c>
      <c r="K16" s="103">
        <v>0.11650000000000001</v>
      </c>
      <c r="L16" s="102">
        <v>1740.2327</v>
      </c>
      <c r="M16" s="104">
        <v>0.91711869999999995</v>
      </c>
      <c r="N16" s="103">
        <v>0.108</v>
      </c>
      <c r="O16" s="103">
        <v>-0.1212</v>
      </c>
      <c r="P16" s="103">
        <v>-0.1668</v>
      </c>
      <c r="Q16" s="103">
        <f t="shared" si="0"/>
        <v>-0.26778384</v>
      </c>
    </row>
    <row r="17" spans="1:17">
      <c r="A17" s="109">
        <v>210013</v>
      </c>
      <c r="B17" s="110" t="s">
        <v>26</v>
      </c>
      <c r="C17" s="102">
        <v>3478</v>
      </c>
      <c r="D17" s="102">
        <v>757</v>
      </c>
      <c r="E17" s="103">
        <v>0.2177</v>
      </c>
      <c r="F17" s="102">
        <v>576.19352000000003</v>
      </c>
      <c r="G17" s="104">
        <v>1.3137947000000001</v>
      </c>
      <c r="H17" s="103">
        <v>0.15479999999999999</v>
      </c>
      <c r="I17" s="102">
        <v>3408</v>
      </c>
      <c r="J17" s="102">
        <v>721</v>
      </c>
      <c r="K17" s="103">
        <v>0.21160000000000001</v>
      </c>
      <c r="L17" s="102">
        <v>559.46115999999995</v>
      </c>
      <c r="M17" s="104">
        <v>1.28874</v>
      </c>
      <c r="N17" s="103">
        <v>0.15179999999999999</v>
      </c>
      <c r="O17" s="103">
        <v>-1.9400000000000001E-2</v>
      </c>
      <c r="P17" s="103">
        <v>-0.22770000000000001</v>
      </c>
      <c r="Q17" s="103">
        <f t="shared" si="0"/>
        <v>-0.24268261999999996</v>
      </c>
    </row>
    <row r="18" spans="1:17">
      <c r="A18" s="109">
        <v>210015</v>
      </c>
      <c r="B18" s="110" t="s">
        <v>203</v>
      </c>
      <c r="C18" s="102">
        <v>19127</v>
      </c>
      <c r="D18" s="102">
        <v>2552</v>
      </c>
      <c r="E18" s="103">
        <v>0.13339999999999999</v>
      </c>
      <c r="F18" s="102">
        <v>2351.7743</v>
      </c>
      <c r="G18" s="104">
        <v>1.0851381</v>
      </c>
      <c r="H18" s="103">
        <v>0.1278</v>
      </c>
      <c r="I18" s="102">
        <v>19900</v>
      </c>
      <c r="J18" s="102">
        <v>2774</v>
      </c>
      <c r="K18" s="103">
        <v>0.1394</v>
      </c>
      <c r="L18" s="102">
        <v>2484.9038</v>
      </c>
      <c r="M18" s="104">
        <v>1.116341</v>
      </c>
      <c r="N18" s="103">
        <v>0.13150000000000001</v>
      </c>
      <c r="O18" s="103">
        <v>2.9000000000000001E-2</v>
      </c>
      <c r="P18" s="103">
        <v>-4.3299999999999998E-2</v>
      </c>
      <c r="Q18" s="103">
        <f t="shared" si="0"/>
        <v>-1.5555700000000061E-2</v>
      </c>
    </row>
    <row r="19" spans="1:17">
      <c r="A19" s="109">
        <v>210016</v>
      </c>
      <c r="B19" s="110" t="s">
        <v>27</v>
      </c>
      <c r="C19" s="102">
        <v>9402</v>
      </c>
      <c r="D19" s="102">
        <v>976</v>
      </c>
      <c r="E19" s="103">
        <v>0.1038</v>
      </c>
      <c r="F19" s="102">
        <v>1108.7574999999999</v>
      </c>
      <c r="G19" s="104">
        <v>0.88026459999999995</v>
      </c>
      <c r="H19" s="103">
        <v>0.1037</v>
      </c>
      <c r="I19" s="102">
        <v>9614</v>
      </c>
      <c r="J19" s="102">
        <v>929</v>
      </c>
      <c r="K19" s="103">
        <v>9.6600000000000005E-2</v>
      </c>
      <c r="L19" s="102">
        <v>1135.5644</v>
      </c>
      <c r="M19" s="104">
        <v>0.81809540000000003</v>
      </c>
      <c r="N19" s="103">
        <v>9.64E-2</v>
      </c>
      <c r="O19" s="103">
        <v>-7.0400000000000004E-2</v>
      </c>
      <c r="P19" s="103">
        <v>-0.1077</v>
      </c>
      <c r="Q19" s="103">
        <f t="shared" si="0"/>
        <v>-0.17051791999999999</v>
      </c>
    </row>
    <row r="20" spans="1:17">
      <c r="A20" s="109">
        <v>210017</v>
      </c>
      <c r="B20" s="110" t="s">
        <v>204</v>
      </c>
      <c r="C20" s="102">
        <v>1965</v>
      </c>
      <c r="D20" s="102">
        <v>104</v>
      </c>
      <c r="E20" s="103">
        <v>5.2900000000000003E-2</v>
      </c>
      <c r="F20" s="102">
        <v>208.80461</v>
      </c>
      <c r="G20" s="104">
        <v>0.4980733</v>
      </c>
      <c r="H20" s="103">
        <v>5.8700000000000002E-2</v>
      </c>
      <c r="I20" s="102">
        <v>1969</v>
      </c>
      <c r="J20" s="102">
        <v>117</v>
      </c>
      <c r="K20" s="103">
        <v>5.9400000000000001E-2</v>
      </c>
      <c r="L20" s="102">
        <v>216.43634</v>
      </c>
      <c r="M20" s="104">
        <v>0.54057469999999996</v>
      </c>
      <c r="N20" s="103">
        <v>6.3700000000000007E-2</v>
      </c>
      <c r="O20" s="103">
        <v>8.5199999999999998E-2</v>
      </c>
      <c r="P20" s="103">
        <v>-0.1719</v>
      </c>
      <c r="Q20" s="103">
        <f t="shared" si="0"/>
        <v>-0.10134588</v>
      </c>
    </row>
    <row r="21" spans="1:17">
      <c r="A21" s="109">
        <v>210018</v>
      </c>
      <c r="B21" s="110" t="s">
        <v>205</v>
      </c>
      <c r="C21" s="102">
        <v>6535</v>
      </c>
      <c r="D21" s="102">
        <v>765</v>
      </c>
      <c r="E21" s="103">
        <v>0.1171</v>
      </c>
      <c r="F21" s="102">
        <v>826.71226999999999</v>
      </c>
      <c r="G21" s="104">
        <v>0.92535219999999996</v>
      </c>
      <c r="H21" s="103">
        <v>0.109</v>
      </c>
      <c r="I21" s="102">
        <v>6691</v>
      </c>
      <c r="J21" s="102">
        <v>843</v>
      </c>
      <c r="K21" s="103">
        <v>0.126</v>
      </c>
      <c r="L21" s="102">
        <v>851.37982</v>
      </c>
      <c r="M21" s="104">
        <v>0.99015739999999997</v>
      </c>
      <c r="N21" s="103">
        <v>0.1166</v>
      </c>
      <c r="O21" s="103">
        <v>6.9699999999999998E-2</v>
      </c>
      <c r="P21" s="103">
        <v>-0.14219999999999999</v>
      </c>
      <c r="Q21" s="103">
        <f t="shared" si="0"/>
        <v>-8.2411339999999944E-2</v>
      </c>
    </row>
    <row r="22" spans="1:17">
      <c r="A22" s="109">
        <v>210019</v>
      </c>
      <c r="B22" s="110" t="s">
        <v>206</v>
      </c>
      <c r="C22" s="102">
        <v>16010</v>
      </c>
      <c r="D22" s="102">
        <v>1693</v>
      </c>
      <c r="E22" s="103">
        <v>0.1057</v>
      </c>
      <c r="F22" s="102">
        <v>1877.1754000000001</v>
      </c>
      <c r="G22" s="104">
        <v>0.90188699999999999</v>
      </c>
      <c r="H22" s="103">
        <v>0.1062</v>
      </c>
      <c r="I22" s="102">
        <v>16154</v>
      </c>
      <c r="J22" s="102">
        <v>1793</v>
      </c>
      <c r="K22" s="103">
        <v>0.111</v>
      </c>
      <c r="L22" s="102">
        <v>1951.4342999999999</v>
      </c>
      <c r="M22" s="104">
        <v>0.91881139999999994</v>
      </c>
      <c r="N22" s="103">
        <v>0.1082</v>
      </c>
      <c r="O22" s="103">
        <v>1.8800000000000001E-2</v>
      </c>
      <c r="P22" s="103">
        <v>-5.2600000000000001E-2</v>
      </c>
      <c r="Q22" s="103">
        <f t="shared" si="0"/>
        <v>-3.4788880000000022E-2</v>
      </c>
    </row>
    <row r="23" spans="1:17">
      <c r="A23" s="109">
        <v>210022</v>
      </c>
      <c r="B23" s="110" t="s">
        <v>207</v>
      </c>
      <c r="C23" s="102">
        <v>12479</v>
      </c>
      <c r="D23" s="102">
        <v>1440</v>
      </c>
      <c r="E23" s="103">
        <v>0.1154</v>
      </c>
      <c r="F23" s="102">
        <v>1512.2049999999999</v>
      </c>
      <c r="G23" s="104">
        <v>0.95225190000000004</v>
      </c>
      <c r="H23" s="103">
        <v>0.11219999999999999</v>
      </c>
      <c r="I23" s="102">
        <v>12978</v>
      </c>
      <c r="J23" s="102">
        <v>1485</v>
      </c>
      <c r="K23" s="103">
        <v>0.1144</v>
      </c>
      <c r="L23" s="102">
        <v>1555.1228000000001</v>
      </c>
      <c r="M23" s="104">
        <v>0.95490850000000005</v>
      </c>
      <c r="N23" s="103">
        <v>0.1125</v>
      </c>
      <c r="O23" s="103">
        <v>2.7000000000000001E-3</v>
      </c>
      <c r="P23" s="103">
        <v>-1.9699999999999999E-2</v>
      </c>
      <c r="Q23" s="103">
        <f t="shared" si="0"/>
        <v>-1.7053190000000162E-2</v>
      </c>
    </row>
    <row r="24" spans="1:17">
      <c r="A24" s="109">
        <v>210023</v>
      </c>
      <c r="B24" s="110" t="s">
        <v>208</v>
      </c>
      <c r="C24" s="102">
        <v>24739</v>
      </c>
      <c r="D24" s="102">
        <v>2079</v>
      </c>
      <c r="E24" s="103">
        <v>8.4000000000000005E-2</v>
      </c>
      <c r="F24" s="102">
        <v>2175.3002000000001</v>
      </c>
      <c r="G24" s="104">
        <v>0.95573019999999997</v>
      </c>
      <c r="H24" s="103">
        <v>0.11260000000000001</v>
      </c>
      <c r="I24" s="102">
        <v>24515</v>
      </c>
      <c r="J24" s="102">
        <v>2059</v>
      </c>
      <c r="K24" s="103">
        <v>8.4000000000000005E-2</v>
      </c>
      <c r="L24" s="102">
        <v>2262.2755999999999</v>
      </c>
      <c r="M24" s="104">
        <v>0.91014550000000005</v>
      </c>
      <c r="N24" s="103">
        <v>0.1072</v>
      </c>
      <c r="O24" s="103">
        <v>-4.8000000000000001E-2</v>
      </c>
      <c r="P24" s="103">
        <v>-9.5000000000000001E-2</v>
      </c>
      <c r="Q24" s="103">
        <f t="shared" si="0"/>
        <v>-0.13844000000000001</v>
      </c>
    </row>
    <row r="25" spans="1:17">
      <c r="A25" s="109">
        <v>210024</v>
      </c>
      <c r="B25" s="110" t="s">
        <v>209</v>
      </c>
      <c r="C25" s="102">
        <v>10251</v>
      </c>
      <c r="D25" s="102">
        <v>1402</v>
      </c>
      <c r="E25" s="103">
        <v>0.1368</v>
      </c>
      <c r="F25" s="102">
        <v>1292.0733</v>
      </c>
      <c r="G25" s="104">
        <v>1.0850777</v>
      </c>
      <c r="H25" s="103">
        <v>0.1278</v>
      </c>
      <c r="I25" s="102">
        <v>10188</v>
      </c>
      <c r="J25" s="102">
        <v>1342</v>
      </c>
      <c r="K25" s="103">
        <v>0.13170000000000001</v>
      </c>
      <c r="L25" s="102">
        <v>1243.8063</v>
      </c>
      <c r="M25" s="104">
        <v>1.0789462000000001</v>
      </c>
      <c r="N25" s="103">
        <v>0.12709999999999999</v>
      </c>
      <c r="O25" s="103">
        <v>-5.4999999999999997E-3</v>
      </c>
      <c r="P25" s="103">
        <v>-0.14560000000000001</v>
      </c>
      <c r="Q25" s="103">
        <f t="shared" si="0"/>
        <v>-0.15029919999999986</v>
      </c>
    </row>
    <row r="26" spans="1:17">
      <c r="A26" s="109">
        <v>210027</v>
      </c>
      <c r="B26" s="110" t="s">
        <v>210</v>
      </c>
      <c r="C26" s="102">
        <v>10390</v>
      </c>
      <c r="D26" s="102">
        <v>1286</v>
      </c>
      <c r="E26" s="103">
        <v>0.12379999999999999</v>
      </c>
      <c r="F26" s="102">
        <v>1333.9110000000001</v>
      </c>
      <c r="G26" s="104">
        <v>0.96408229999999995</v>
      </c>
      <c r="H26" s="103">
        <v>0.11360000000000001</v>
      </c>
      <c r="I26" s="102">
        <v>9954</v>
      </c>
      <c r="J26" s="102">
        <v>1205</v>
      </c>
      <c r="K26" s="103">
        <v>0.1211</v>
      </c>
      <c r="L26" s="102">
        <v>1313.8144</v>
      </c>
      <c r="M26" s="104">
        <v>0.91717669999999996</v>
      </c>
      <c r="N26" s="103">
        <v>0.108</v>
      </c>
      <c r="O26" s="103">
        <v>-4.9299999999999997E-2</v>
      </c>
      <c r="P26" s="103">
        <v>-9.7500000000000003E-2</v>
      </c>
      <c r="Q26" s="103">
        <f t="shared" si="0"/>
        <v>-0.14199325000000007</v>
      </c>
    </row>
    <row r="27" spans="1:17">
      <c r="A27" s="109">
        <v>210028</v>
      </c>
      <c r="B27" s="110" t="s">
        <v>211</v>
      </c>
      <c r="C27" s="102">
        <v>7414</v>
      </c>
      <c r="D27" s="102">
        <v>733</v>
      </c>
      <c r="E27" s="103">
        <v>9.8900000000000002E-2</v>
      </c>
      <c r="F27" s="102">
        <v>800.52724999999998</v>
      </c>
      <c r="G27" s="104">
        <v>0.91564650000000003</v>
      </c>
      <c r="H27" s="103">
        <v>0.1079</v>
      </c>
      <c r="I27" s="102">
        <v>6755</v>
      </c>
      <c r="J27" s="102">
        <v>696</v>
      </c>
      <c r="K27" s="103">
        <v>0.10299999999999999</v>
      </c>
      <c r="L27" s="102">
        <v>756.18286000000001</v>
      </c>
      <c r="M27" s="104">
        <v>0.92041229999999996</v>
      </c>
      <c r="N27" s="103">
        <v>0.1084</v>
      </c>
      <c r="O27" s="103">
        <v>4.5999999999999999E-3</v>
      </c>
      <c r="P27" s="103">
        <v>-0.16389999999999999</v>
      </c>
      <c r="Q27" s="103">
        <f t="shared" si="0"/>
        <v>-0.16005393999999995</v>
      </c>
    </row>
    <row r="28" spans="1:17">
      <c r="A28" s="109">
        <v>210029</v>
      </c>
      <c r="B28" s="110" t="s">
        <v>212</v>
      </c>
      <c r="C28" s="102">
        <v>17840</v>
      </c>
      <c r="D28" s="102">
        <v>2760</v>
      </c>
      <c r="E28" s="103">
        <v>0.1547</v>
      </c>
      <c r="F28" s="102">
        <v>2267.8060999999998</v>
      </c>
      <c r="G28" s="104">
        <v>1.2170353</v>
      </c>
      <c r="H28" s="103">
        <v>0.1434</v>
      </c>
      <c r="I28" s="102">
        <v>17632</v>
      </c>
      <c r="J28" s="102">
        <v>2817</v>
      </c>
      <c r="K28" s="103">
        <v>0.1598</v>
      </c>
      <c r="L28" s="102">
        <v>2264.9919</v>
      </c>
      <c r="M28" s="104">
        <v>1.2437130999999999</v>
      </c>
      <c r="N28" s="103">
        <v>0.14649999999999999</v>
      </c>
      <c r="O28" s="103">
        <v>2.1600000000000001E-2</v>
      </c>
      <c r="P28" s="103">
        <v>-7.2499999999999995E-2</v>
      </c>
      <c r="Q28" s="103">
        <f t="shared" si="0"/>
        <v>-5.2465999999999902E-2</v>
      </c>
    </row>
    <row r="29" spans="1:17">
      <c r="A29" s="109">
        <v>210030</v>
      </c>
      <c r="B29" s="110" t="s">
        <v>213</v>
      </c>
      <c r="C29" s="102">
        <v>1437</v>
      </c>
      <c r="D29" s="102">
        <v>221</v>
      </c>
      <c r="E29" s="103">
        <v>0.15379999999999999</v>
      </c>
      <c r="F29" s="102">
        <v>185.86376999999999</v>
      </c>
      <c r="G29" s="104">
        <v>1.1890429</v>
      </c>
      <c r="H29" s="103">
        <v>0.1401</v>
      </c>
      <c r="I29" s="102">
        <v>1413</v>
      </c>
      <c r="J29" s="102">
        <v>176</v>
      </c>
      <c r="K29" s="103">
        <v>0.1246</v>
      </c>
      <c r="L29" s="102">
        <v>193.22564</v>
      </c>
      <c r="M29" s="104">
        <v>0.9108522</v>
      </c>
      <c r="N29" s="103">
        <v>0.10730000000000001</v>
      </c>
      <c r="O29" s="103">
        <v>-0.2341</v>
      </c>
      <c r="P29" s="103">
        <v>3.7100000000000001E-2</v>
      </c>
      <c r="Q29" s="103">
        <f t="shared" si="0"/>
        <v>-0.20568511</v>
      </c>
    </row>
    <row r="30" spans="1:17">
      <c r="A30" s="109">
        <v>210032</v>
      </c>
      <c r="B30" s="110" t="s">
        <v>28</v>
      </c>
      <c r="C30" s="102">
        <v>5312</v>
      </c>
      <c r="D30" s="102">
        <v>592</v>
      </c>
      <c r="E30" s="103">
        <v>0.1114</v>
      </c>
      <c r="F30" s="102">
        <v>665.36701000000005</v>
      </c>
      <c r="G30" s="104">
        <v>0.88973449999999998</v>
      </c>
      <c r="H30" s="103">
        <v>0.1048</v>
      </c>
      <c r="I30" s="102">
        <v>4978</v>
      </c>
      <c r="J30" s="102">
        <v>571</v>
      </c>
      <c r="K30" s="103">
        <v>0.1147</v>
      </c>
      <c r="L30" s="102">
        <v>638.45780000000002</v>
      </c>
      <c r="M30" s="104">
        <v>0.89434259999999999</v>
      </c>
      <c r="N30" s="103">
        <v>0.10539999999999999</v>
      </c>
      <c r="O30" s="103">
        <v>5.7000000000000002E-3</v>
      </c>
      <c r="P30" s="103">
        <v>4.2900000000000001E-2</v>
      </c>
      <c r="Q30" s="103">
        <f t="shared" si="0"/>
        <v>4.8844529999999997E-2</v>
      </c>
    </row>
    <row r="31" spans="1:17">
      <c r="A31" s="109">
        <v>210033</v>
      </c>
      <c r="B31" s="110" t="s">
        <v>214</v>
      </c>
      <c r="C31" s="102">
        <v>9136</v>
      </c>
      <c r="D31" s="102">
        <v>1062</v>
      </c>
      <c r="E31" s="103">
        <v>0.1162</v>
      </c>
      <c r="F31" s="102">
        <v>1104.8751</v>
      </c>
      <c r="G31" s="104">
        <v>0.96119460000000001</v>
      </c>
      <c r="H31" s="103">
        <v>0.1132</v>
      </c>
      <c r="I31" s="102">
        <v>9110</v>
      </c>
      <c r="J31" s="102">
        <v>1071</v>
      </c>
      <c r="K31" s="103">
        <v>0.1176</v>
      </c>
      <c r="L31" s="102">
        <v>1136.3377</v>
      </c>
      <c r="M31" s="104">
        <v>0.94250149999999999</v>
      </c>
      <c r="N31" s="103">
        <v>0.111</v>
      </c>
      <c r="O31" s="103">
        <v>-1.9400000000000001E-2</v>
      </c>
      <c r="P31" s="103">
        <v>-8.6199999999999999E-2</v>
      </c>
      <c r="Q31" s="103">
        <f t="shared" si="0"/>
        <v>-0.10392772000000006</v>
      </c>
    </row>
    <row r="32" spans="1:17">
      <c r="A32" s="109">
        <v>210034</v>
      </c>
      <c r="B32" s="110" t="s">
        <v>215</v>
      </c>
      <c r="C32" s="102">
        <v>6246</v>
      </c>
      <c r="D32" s="102">
        <v>756</v>
      </c>
      <c r="E32" s="103">
        <v>0.121</v>
      </c>
      <c r="F32" s="102">
        <v>726.18204000000003</v>
      </c>
      <c r="G32" s="104">
        <v>1.0410613</v>
      </c>
      <c r="H32" s="103">
        <v>0.1226</v>
      </c>
      <c r="I32" s="102">
        <v>6742</v>
      </c>
      <c r="J32" s="102">
        <v>947</v>
      </c>
      <c r="K32" s="103">
        <v>0.14050000000000001</v>
      </c>
      <c r="L32" s="102">
        <v>837.19692999999995</v>
      </c>
      <c r="M32" s="104">
        <v>1.1311556</v>
      </c>
      <c r="N32" s="103">
        <v>0.1333</v>
      </c>
      <c r="O32" s="103">
        <v>8.7300000000000003E-2</v>
      </c>
      <c r="P32" s="103">
        <v>-6.7599999999999993E-2</v>
      </c>
      <c r="Q32" s="103">
        <f t="shared" si="0"/>
        <v>1.3798519999999925E-2</v>
      </c>
    </row>
    <row r="33" spans="1:17">
      <c r="A33" s="109">
        <v>210035</v>
      </c>
      <c r="B33" s="110" t="s">
        <v>216</v>
      </c>
      <c r="C33" s="102">
        <v>5944</v>
      </c>
      <c r="D33" s="102">
        <v>617</v>
      </c>
      <c r="E33" s="103">
        <v>0.1038</v>
      </c>
      <c r="F33" s="102">
        <v>747.23356999999999</v>
      </c>
      <c r="G33" s="104">
        <v>0.82571240000000001</v>
      </c>
      <c r="H33" s="103">
        <v>9.7299999999999998E-2</v>
      </c>
      <c r="I33" s="102">
        <v>6318</v>
      </c>
      <c r="J33" s="102">
        <v>676</v>
      </c>
      <c r="K33" s="103">
        <v>0.107</v>
      </c>
      <c r="L33" s="102">
        <v>804.91234999999995</v>
      </c>
      <c r="M33" s="104">
        <v>0.83984300000000001</v>
      </c>
      <c r="N33" s="103">
        <v>9.8900000000000002E-2</v>
      </c>
      <c r="O33" s="103">
        <v>1.6400000000000001E-2</v>
      </c>
      <c r="P33" s="103">
        <v>-0.19</v>
      </c>
      <c r="Q33" s="103">
        <f t="shared" si="0"/>
        <v>-0.17671599999999998</v>
      </c>
    </row>
    <row r="34" spans="1:17">
      <c r="A34" s="109">
        <v>210037</v>
      </c>
      <c r="B34" s="110" t="s">
        <v>217</v>
      </c>
      <c r="C34" s="102">
        <v>6615</v>
      </c>
      <c r="D34" s="102">
        <v>661</v>
      </c>
      <c r="E34" s="103">
        <v>9.9900000000000003E-2</v>
      </c>
      <c r="F34" s="102">
        <v>707.97684000000004</v>
      </c>
      <c r="G34" s="104">
        <v>0.93364639999999999</v>
      </c>
      <c r="H34" s="103">
        <v>0.11</v>
      </c>
      <c r="I34" s="102">
        <v>6277</v>
      </c>
      <c r="J34" s="102">
        <v>617</v>
      </c>
      <c r="K34" s="103">
        <v>9.8299999999999998E-2</v>
      </c>
      <c r="L34" s="102">
        <v>683.18218999999999</v>
      </c>
      <c r="M34" s="104">
        <v>0.9031266</v>
      </c>
      <c r="N34" s="103">
        <v>0.10639999999999999</v>
      </c>
      <c r="O34" s="103">
        <v>-3.27E-2</v>
      </c>
      <c r="P34" s="103">
        <v>2.3699999999999999E-2</v>
      </c>
      <c r="Q34" s="103">
        <f t="shared" si="0"/>
        <v>-9.7749899999999279E-3</v>
      </c>
    </row>
    <row r="35" spans="1:17">
      <c r="A35" s="109">
        <v>210038</v>
      </c>
      <c r="B35" s="110" t="s">
        <v>218</v>
      </c>
      <c r="C35" s="102">
        <v>3920</v>
      </c>
      <c r="D35" s="102">
        <v>797</v>
      </c>
      <c r="E35" s="103">
        <v>0.20330000000000001</v>
      </c>
      <c r="F35" s="102">
        <v>623.48288000000002</v>
      </c>
      <c r="G35" s="104">
        <v>1.2783028999999999</v>
      </c>
      <c r="H35" s="103">
        <v>0.15060000000000001</v>
      </c>
      <c r="I35" s="102">
        <v>4284</v>
      </c>
      <c r="J35" s="102">
        <v>863</v>
      </c>
      <c r="K35" s="103">
        <v>0.2014</v>
      </c>
      <c r="L35" s="102">
        <v>673.79052000000001</v>
      </c>
      <c r="M35" s="104">
        <v>1.2808135</v>
      </c>
      <c r="N35" s="103">
        <v>0.15090000000000001</v>
      </c>
      <c r="O35" s="103">
        <v>2E-3</v>
      </c>
      <c r="P35" s="103">
        <v>-0.112</v>
      </c>
      <c r="Q35" s="103">
        <f t="shared" si="0"/>
        <v>-0.11022399999999999</v>
      </c>
    </row>
    <row r="36" spans="1:17">
      <c r="A36" s="109">
        <v>210039</v>
      </c>
      <c r="B36" s="110" t="s">
        <v>219</v>
      </c>
      <c r="C36" s="102">
        <v>4954</v>
      </c>
      <c r="D36" s="102">
        <v>456</v>
      </c>
      <c r="E36" s="103">
        <v>9.1999999999999998E-2</v>
      </c>
      <c r="F36" s="102">
        <v>597.87944000000005</v>
      </c>
      <c r="G36" s="104">
        <v>0.76269560000000003</v>
      </c>
      <c r="H36" s="103">
        <v>8.9800000000000005E-2</v>
      </c>
      <c r="I36" s="102">
        <v>5101</v>
      </c>
      <c r="J36" s="102">
        <v>479</v>
      </c>
      <c r="K36" s="103">
        <v>9.3899999999999997E-2</v>
      </c>
      <c r="L36" s="102">
        <v>641.73744999999997</v>
      </c>
      <c r="M36" s="104">
        <v>0.74641120000000005</v>
      </c>
      <c r="N36" s="103">
        <v>8.7900000000000006E-2</v>
      </c>
      <c r="O36" s="103">
        <v>-2.12E-2</v>
      </c>
      <c r="P36" s="103">
        <v>-0.1008</v>
      </c>
      <c r="Q36" s="103">
        <f t="shared" si="0"/>
        <v>-0.11986304000000003</v>
      </c>
    </row>
    <row r="37" spans="1:17">
      <c r="A37" s="109">
        <v>210040</v>
      </c>
      <c r="B37" s="110" t="s">
        <v>220</v>
      </c>
      <c r="C37" s="102">
        <v>9986</v>
      </c>
      <c r="D37" s="102">
        <v>1518</v>
      </c>
      <c r="E37" s="103">
        <v>0.152</v>
      </c>
      <c r="F37" s="102">
        <v>1434.0900999999999</v>
      </c>
      <c r="G37" s="104">
        <v>1.0585108999999999</v>
      </c>
      <c r="H37" s="103">
        <v>0.12470000000000001</v>
      </c>
      <c r="I37" s="102">
        <v>9462</v>
      </c>
      <c r="J37" s="102">
        <v>1383</v>
      </c>
      <c r="K37" s="103">
        <v>0.1462</v>
      </c>
      <c r="L37" s="102">
        <v>1379.1958999999999</v>
      </c>
      <c r="M37" s="104">
        <v>1.0027581999999999</v>
      </c>
      <c r="N37" s="103">
        <v>0.1181</v>
      </c>
      <c r="O37" s="103">
        <v>-5.2900000000000003E-2</v>
      </c>
      <c r="P37" s="103">
        <v>-0.1918</v>
      </c>
      <c r="Q37" s="103">
        <f t="shared" si="0"/>
        <v>-0.23455377999999993</v>
      </c>
    </row>
    <row r="38" spans="1:17">
      <c r="A38" s="109">
        <v>210043</v>
      </c>
      <c r="B38" s="110" t="s">
        <v>221</v>
      </c>
      <c r="C38" s="102">
        <v>15436</v>
      </c>
      <c r="D38" s="102">
        <v>2162</v>
      </c>
      <c r="E38" s="103">
        <v>0.1401</v>
      </c>
      <c r="F38" s="102">
        <v>2039.7743</v>
      </c>
      <c r="G38" s="104">
        <v>1.0599212</v>
      </c>
      <c r="H38" s="103">
        <v>0.1249</v>
      </c>
      <c r="I38" s="102">
        <v>14718</v>
      </c>
      <c r="J38" s="102">
        <v>2008</v>
      </c>
      <c r="K38" s="103">
        <v>0.13639999999999999</v>
      </c>
      <c r="L38" s="102">
        <v>2005.0250000000001</v>
      </c>
      <c r="M38" s="104">
        <v>1.0014837999999999</v>
      </c>
      <c r="N38" s="103">
        <v>0.11799999999999999</v>
      </c>
      <c r="O38" s="103">
        <v>-5.5199999999999999E-2</v>
      </c>
      <c r="P38" s="103">
        <v>-0.13350000000000001</v>
      </c>
      <c r="Q38" s="103">
        <f t="shared" si="0"/>
        <v>-0.18133080000000001</v>
      </c>
    </row>
    <row r="39" spans="1:17">
      <c r="A39" s="109">
        <v>210044</v>
      </c>
      <c r="B39" s="110" t="s">
        <v>222</v>
      </c>
      <c r="C39" s="102">
        <v>15163</v>
      </c>
      <c r="D39" s="102">
        <v>1238</v>
      </c>
      <c r="E39" s="103">
        <v>8.1600000000000006E-2</v>
      </c>
      <c r="F39" s="102">
        <v>1366.1344999999999</v>
      </c>
      <c r="G39" s="104">
        <v>0.90620650000000003</v>
      </c>
      <c r="H39" s="103">
        <v>0.10680000000000001</v>
      </c>
      <c r="I39" s="102">
        <v>15803</v>
      </c>
      <c r="J39" s="102">
        <v>1271</v>
      </c>
      <c r="K39" s="103">
        <v>8.0399999999999999E-2</v>
      </c>
      <c r="L39" s="102">
        <v>1459.1603</v>
      </c>
      <c r="M39" s="104">
        <v>0.87104890000000001</v>
      </c>
      <c r="N39" s="103">
        <v>0.1026</v>
      </c>
      <c r="O39" s="103">
        <v>-3.9300000000000002E-2</v>
      </c>
      <c r="P39" s="103">
        <v>-6.2600000000000003E-2</v>
      </c>
      <c r="Q39" s="103">
        <f t="shared" si="0"/>
        <v>-9.9439819999999957E-2</v>
      </c>
    </row>
    <row r="40" spans="1:17">
      <c r="A40" s="109">
        <v>210045</v>
      </c>
      <c r="B40" s="110" t="s">
        <v>29</v>
      </c>
      <c r="C40" s="102">
        <v>261</v>
      </c>
      <c r="D40" s="102">
        <v>36</v>
      </c>
      <c r="E40" s="103">
        <v>0.13789999999999999</v>
      </c>
      <c r="F40" s="102">
        <v>33.052602999999998</v>
      </c>
      <c r="G40" s="104">
        <v>1.0891729000000001</v>
      </c>
      <c r="H40" s="103">
        <v>0.1283</v>
      </c>
      <c r="I40" s="102">
        <v>214</v>
      </c>
      <c r="J40" s="102">
        <v>24</v>
      </c>
      <c r="K40" s="103">
        <v>0.11210000000000001</v>
      </c>
      <c r="L40" s="102">
        <v>27.059462</v>
      </c>
      <c r="M40" s="104">
        <v>0.88693560000000005</v>
      </c>
      <c r="N40" s="103">
        <v>0.1045</v>
      </c>
      <c r="O40" s="103">
        <v>-0.1855</v>
      </c>
      <c r="P40" s="103">
        <v>7.0400000000000004E-2</v>
      </c>
      <c r="Q40" s="103">
        <f t="shared" si="0"/>
        <v>-0.12815920000000003</v>
      </c>
    </row>
    <row r="41" spans="1:17">
      <c r="A41" s="109">
        <v>210048</v>
      </c>
      <c r="B41" s="110" t="s">
        <v>223</v>
      </c>
      <c r="C41" s="102">
        <v>16004</v>
      </c>
      <c r="D41" s="102">
        <v>1666</v>
      </c>
      <c r="E41" s="103">
        <v>0.1041</v>
      </c>
      <c r="F41" s="102">
        <v>1707.9422999999999</v>
      </c>
      <c r="G41" s="104">
        <v>0.97544280000000005</v>
      </c>
      <c r="H41" s="103">
        <v>0.1149</v>
      </c>
      <c r="I41" s="102">
        <v>15164</v>
      </c>
      <c r="J41" s="102">
        <v>1534</v>
      </c>
      <c r="K41" s="103">
        <v>0.1012</v>
      </c>
      <c r="L41" s="102">
        <v>1678.7591</v>
      </c>
      <c r="M41" s="104">
        <v>0.91377019999999998</v>
      </c>
      <c r="N41" s="103">
        <v>0.1076</v>
      </c>
      <c r="O41" s="103">
        <v>-6.3500000000000001E-2</v>
      </c>
      <c r="P41" s="103">
        <v>-4.9200000000000001E-2</v>
      </c>
      <c r="Q41" s="103">
        <f t="shared" si="0"/>
        <v>-0.1095758</v>
      </c>
    </row>
    <row r="42" spans="1:17">
      <c r="A42" s="109">
        <v>210049</v>
      </c>
      <c r="B42" s="110" t="s">
        <v>224</v>
      </c>
      <c r="C42" s="102">
        <v>10634</v>
      </c>
      <c r="D42" s="102">
        <v>1172</v>
      </c>
      <c r="E42" s="103">
        <v>0.11020000000000001</v>
      </c>
      <c r="F42" s="102">
        <v>1254.6776</v>
      </c>
      <c r="G42" s="104">
        <v>0.9341045</v>
      </c>
      <c r="H42" s="103">
        <v>0.11</v>
      </c>
      <c r="I42" s="102">
        <v>9530</v>
      </c>
      <c r="J42" s="102">
        <v>912</v>
      </c>
      <c r="K42" s="103">
        <v>9.5699999999999993E-2</v>
      </c>
      <c r="L42" s="102">
        <v>1136.9938999999999</v>
      </c>
      <c r="M42" s="104">
        <v>0.80211509999999997</v>
      </c>
      <c r="N42" s="103">
        <v>9.4500000000000001E-2</v>
      </c>
      <c r="O42" s="103">
        <v>-0.1409</v>
      </c>
      <c r="P42" s="103">
        <v>-5.8700000000000002E-2</v>
      </c>
      <c r="Q42" s="103">
        <f t="shared" si="0"/>
        <v>-0.19132917000000005</v>
      </c>
    </row>
    <row r="43" spans="1:17">
      <c r="A43" s="109">
        <v>210051</v>
      </c>
      <c r="B43" s="110" t="s">
        <v>225</v>
      </c>
      <c r="C43" s="102">
        <v>9264</v>
      </c>
      <c r="D43" s="102">
        <v>1335</v>
      </c>
      <c r="E43" s="103">
        <v>0.14410000000000001</v>
      </c>
      <c r="F43" s="102">
        <v>1348.8513</v>
      </c>
      <c r="G43" s="104">
        <v>0.98973109999999997</v>
      </c>
      <c r="H43" s="103">
        <v>0.1166</v>
      </c>
      <c r="I43" s="102">
        <v>8481</v>
      </c>
      <c r="J43" s="102">
        <v>1192</v>
      </c>
      <c r="K43" s="103">
        <v>0.14050000000000001</v>
      </c>
      <c r="L43" s="102">
        <v>1248.4059</v>
      </c>
      <c r="M43" s="104">
        <v>0.95481760000000004</v>
      </c>
      <c r="N43" s="103">
        <v>0.1125</v>
      </c>
      <c r="O43" s="103">
        <v>-3.5200000000000002E-2</v>
      </c>
      <c r="P43" s="103">
        <v>-0.1041</v>
      </c>
      <c r="Q43" s="103">
        <f t="shared" si="0"/>
        <v>-0.13563567999999993</v>
      </c>
    </row>
    <row r="44" spans="1:17">
      <c r="A44" s="109">
        <v>210055</v>
      </c>
      <c r="B44" s="110" t="s">
        <v>226</v>
      </c>
      <c r="C44" s="102">
        <v>3236</v>
      </c>
      <c r="D44" s="102">
        <v>500</v>
      </c>
      <c r="E44" s="103">
        <v>0.1545</v>
      </c>
      <c r="F44" s="102">
        <v>481.30025999999998</v>
      </c>
      <c r="G44" s="104">
        <v>1.0388525</v>
      </c>
      <c r="H44" s="103">
        <v>0.12239999999999999</v>
      </c>
      <c r="I44" s="102">
        <v>2728</v>
      </c>
      <c r="J44" s="102">
        <v>420</v>
      </c>
      <c r="K44" s="103">
        <v>0.154</v>
      </c>
      <c r="L44" s="102">
        <v>410.72888</v>
      </c>
      <c r="M44" s="104">
        <v>1.0225724</v>
      </c>
      <c r="N44" s="103">
        <v>0.1205</v>
      </c>
      <c r="O44" s="103">
        <v>-1.55E-2</v>
      </c>
      <c r="P44" s="103">
        <v>-0.16489999999999999</v>
      </c>
      <c r="Q44" s="103">
        <f t="shared" si="0"/>
        <v>-0.17784405000000003</v>
      </c>
    </row>
    <row r="45" spans="1:17">
      <c r="A45" s="109">
        <v>210056</v>
      </c>
      <c r="B45" s="110" t="s">
        <v>227</v>
      </c>
      <c r="C45" s="102">
        <v>7426</v>
      </c>
      <c r="D45" s="102">
        <v>1145</v>
      </c>
      <c r="E45" s="103">
        <v>0.1542</v>
      </c>
      <c r="F45" s="102">
        <v>1128.9331999999999</v>
      </c>
      <c r="G45" s="104">
        <v>1.0142319</v>
      </c>
      <c r="H45" s="103">
        <v>0.1195</v>
      </c>
      <c r="I45" s="102">
        <v>6950</v>
      </c>
      <c r="J45" s="102">
        <v>1119</v>
      </c>
      <c r="K45" s="103">
        <v>0.161</v>
      </c>
      <c r="L45" s="102">
        <v>1090.1192000000001</v>
      </c>
      <c r="M45" s="104">
        <v>1.0264933000000001</v>
      </c>
      <c r="N45" s="103">
        <v>0.12089999999999999</v>
      </c>
      <c r="O45" s="103">
        <v>1.17E-2</v>
      </c>
      <c r="P45" s="103">
        <v>-0.18049999999999999</v>
      </c>
      <c r="Q45" s="103">
        <f t="shared" si="0"/>
        <v>-0.17091184999999998</v>
      </c>
    </row>
    <row r="46" spans="1:17">
      <c r="A46" s="109">
        <v>210057</v>
      </c>
      <c r="B46" s="110" t="s">
        <v>228</v>
      </c>
      <c r="C46" s="102">
        <v>16047</v>
      </c>
      <c r="D46" s="102">
        <v>1255</v>
      </c>
      <c r="E46" s="103">
        <v>7.8200000000000006E-2</v>
      </c>
      <c r="F46" s="102">
        <v>1480.1482000000001</v>
      </c>
      <c r="G46" s="104">
        <v>0.84788810000000003</v>
      </c>
      <c r="H46" s="103">
        <v>9.9900000000000003E-2</v>
      </c>
      <c r="I46" s="102">
        <v>15528</v>
      </c>
      <c r="J46" s="102">
        <v>1277</v>
      </c>
      <c r="K46" s="103">
        <v>8.2199999999999995E-2</v>
      </c>
      <c r="L46" s="102">
        <v>1475.6590000000001</v>
      </c>
      <c r="M46" s="104">
        <v>0.86537609999999998</v>
      </c>
      <c r="N46" s="103">
        <v>0.1019</v>
      </c>
      <c r="O46" s="103">
        <v>0.02</v>
      </c>
      <c r="P46" s="103">
        <v>-9.7299999999999998E-2</v>
      </c>
      <c r="Q46" s="103">
        <f t="shared" si="0"/>
        <v>-7.9245999999999928E-2</v>
      </c>
    </row>
    <row r="47" spans="1:17">
      <c r="A47" s="109">
        <v>210058</v>
      </c>
      <c r="B47" s="110" t="s">
        <v>229</v>
      </c>
      <c r="C47" s="102">
        <v>583</v>
      </c>
      <c r="D47" s="102">
        <v>38</v>
      </c>
      <c r="E47" s="103">
        <v>6.5199999999999994E-2</v>
      </c>
      <c r="F47" s="102">
        <v>46.203054999999999</v>
      </c>
      <c r="G47" s="104">
        <v>0.82245639999999998</v>
      </c>
      <c r="H47" s="103">
        <v>9.69E-2</v>
      </c>
      <c r="I47" s="102">
        <v>593</v>
      </c>
      <c r="J47" s="102">
        <v>34</v>
      </c>
      <c r="K47" s="103">
        <v>5.7299999999999997E-2</v>
      </c>
      <c r="L47" s="102">
        <v>44.160466</v>
      </c>
      <c r="M47" s="104">
        <v>0.76991940000000003</v>
      </c>
      <c r="N47" s="103">
        <v>9.0700000000000003E-2</v>
      </c>
      <c r="O47" s="103">
        <v>-6.4000000000000001E-2</v>
      </c>
      <c r="P47" s="103">
        <v>-0.1065</v>
      </c>
      <c r="Q47" s="103">
        <f t="shared" si="0"/>
        <v>-0.16368400000000005</v>
      </c>
    </row>
    <row r="48" spans="1:17">
      <c r="A48" s="109">
        <v>210060</v>
      </c>
      <c r="B48" s="110" t="s">
        <v>230</v>
      </c>
      <c r="C48" s="102">
        <v>2142</v>
      </c>
      <c r="D48" s="102">
        <v>247</v>
      </c>
      <c r="E48" s="103">
        <v>0.1153</v>
      </c>
      <c r="F48" s="102">
        <v>305.70988999999997</v>
      </c>
      <c r="G48" s="104">
        <v>0.80795550000000005</v>
      </c>
      <c r="H48" s="103">
        <v>9.5200000000000007E-2</v>
      </c>
      <c r="I48" s="102">
        <v>1977</v>
      </c>
      <c r="J48" s="102">
        <v>206</v>
      </c>
      <c r="K48" s="103">
        <v>0.1042</v>
      </c>
      <c r="L48" s="102">
        <v>287.13524999999998</v>
      </c>
      <c r="M48" s="104">
        <v>0.71743199999999996</v>
      </c>
      <c r="N48" s="103">
        <v>8.4500000000000006E-2</v>
      </c>
      <c r="O48" s="103">
        <v>-0.1124</v>
      </c>
      <c r="P48" s="103">
        <v>-0.27410000000000001</v>
      </c>
      <c r="Q48" s="103">
        <f t="shared" si="0"/>
        <v>-0.35569116000000001</v>
      </c>
    </row>
    <row r="49" spans="1:17">
      <c r="A49" s="109">
        <v>210061</v>
      </c>
      <c r="B49" s="110" t="s">
        <v>30</v>
      </c>
      <c r="C49" s="102">
        <v>3163</v>
      </c>
      <c r="D49" s="102">
        <v>320</v>
      </c>
      <c r="E49" s="103">
        <v>0.1012</v>
      </c>
      <c r="F49" s="102">
        <v>417.66741000000002</v>
      </c>
      <c r="G49" s="104">
        <v>0.7661599</v>
      </c>
      <c r="H49" s="103">
        <v>9.0300000000000005E-2</v>
      </c>
      <c r="I49" s="102">
        <v>2930</v>
      </c>
      <c r="J49" s="102">
        <v>348</v>
      </c>
      <c r="K49" s="103">
        <v>0.1188</v>
      </c>
      <c r="L49" s="102">
        <v>399.66273000000001</v>
      </c>
      <c r="M49" s="104">
        <v>0.87073420000000001</v>
      </c>
      <c r="N49" s="103">
        <v>0.1026</v>
      </c>
      <c r="O49" s="103">
        <v>0.13619999999999999</v>
      </c>
      <c r="P49" s="103">
        <v>-0.25019999999999998</v>
      </c>
      <c r="Q49" s="103">
        <f t="shared" si="0"/>
        <v>-0.14807723999999989</v>
      </c>
    </row>
    <row r="50" spans="1:17">
      <c r="A50" s="109">
        <v>210062</v>
      </c>
      <c r="B50" s="110" t="s">
        <v>231</v>
      </c>
      <c r="C50" s="102">
        <v>9782</v>
      </c>
      <c r="D50" s="102">
        <v>1196</v>
      </c>
      <c r="E50" s="103">
        <v>0.12230000000000001</v>
      </c>
      <c r="F50" s="102">
        <v>1250.3489999999999</v>
      </c>
      <c r="G50" s="104">
        <v>0.95653290000000002</v>
      </c>
      <c r="H50" s="103">
        <v>0.11269999999999999</v>
      </c>
      <c r="I50" s="102">
        <v>9504</v>
      </c>
      <c r="J50" s="102">
        <v>1113</v>
      </c>
      <c r="K50" s="103">
        <v>0.1171</v>
      </c>
      <c r="L50" s="102">
        <v>1244.9863</v>
      </c>
      <c r="M50" s="104">
        <v>0.89398569999999999</v>
      </c>
      <c r="N50" s="103">
        <v>0.1053</v>
      </c>
      <c r="O50" s="103">
        <v>-6.5699999999999995E-2</v>
      </c>
      <c r="P50" s="103">
        <v>-7.6300000000000007E-2</v>
      </c>
      <c r="Q50" s="103">
        <f t="shared" si="0"/>
        <v>-0.13698708999999998</v>
      </c>
    </row>
    <row r="51" spans="1:17">
      <c r="A51" s="109">
        <v>210063</v>
      </c>
      <c r="B51" s="110" t="s">
        <v>232</v>
      </c>
      <c r="C51" s="102">
        <v>14435</v>
      </c>
      <c r="D51" s="102">
        <v>1330</v>
      </c>
      <c r="E51" s="103">
        <v>9.2100000000000001E-2</v>
      </c>
      <c r="F51" s="102">
        <v>1443.809</v>
      </c>
      <c r="G51" s="104">
        <v>0.92117450000000001</v>
      </c>
      <c r="H51" s="103">
        <v>0.1085</v>
      </c>
      <c r="I51" s="102">
        <v>14116</v>
      </c>
      <c r="J51" s="102">
        <v>1252</v>
      </c>
      <c r="K51" s="103">
        <v>8.8700000000000001E-2</v>
      </c>
      <c r="L51" s="102">
        <v>1419.2524000000001</v>
      </c>
      <c r="M51" s="104">
        <v>0.88215460000000001</v>
      </c>
      <c r="N51" s="103">
        <v>0.10390000000000001</v>
      </c>
      <c r="O51" s="103">
        <v>-4.24E-2</v>
      </c>
      <c r="P51" s="103">
        <v>-0.10290000000000001</v>
      </c>
      <c r="Q51" s="103">
        <f t="shared" si="0"/>
        <v>-0.14093703999999996</v>
      </c>
    </row>
    <row r="52" spans="1:17">
      <c r="A52" s="109">
        <v>210064</v>
      </c>
      <c r="B52" s="110" t="s">
        <v>31</v>
      </c>
      <c r="C52" s="102">
        <v>1123</v>
      </c>
      <c r="D52" s="102">
        <v>145</v>
      </c>
      <c r="E52" s="103">
        <v>0.12909999999999999</v>
      </c>
      <c r="F52" s="102">
        <v>161.75309999999999</v>
      </c>
      <c r="G52" s="104">
        <v>0.896428</v>
      </c>
      <c r="H52" s="103">
        <v>0.1056</v>
      </c>
      <c r="I52" s="102">
        <v>1041</v>
      </c>
      <c r="J52" s="102">
        <v>145</v>
      </c>
      <c r="K52" s="103">
        <v>0.13930000000000001</v>
      </c>
      <c r="L52" s="102">
        <v>149.52500000000001</v>
      </c>
      <c r="M52" s="104">
        <v>0.96973750000000003</v>
      </c>
      <c r="N52" s="103">
        <v>0.1142</v>
      </c>
      <c r="O52" s="103">
        <v>8.14E-2</v>
      </c>
      <c r="P52" s="103">
        <v>-0.28839999999999999</v>
      </c>
      <c r="Q52" s="103">
        <f t="shared" si="0"/>
        <v>-0.23047576000000003</v>
      </c>
    </row>
    <row r="53" spans="1:17">
      <c r="A53" s="109">
        <v>210065</v>
      </c>
      <c r="B53" s="110" t="s">
        <v>233</v>
      </c>
      <c r="C53" s="102">
        <v>4366</v>
      </c>
      <c r="D53" s="102">
        <v>462</v>
      </c>
      <c r="E53" s="103">
        <v>0.10580000000000001</v>
      </c>
      <c r="F53" s="102">
        <v>507.57337999999999</v>
      </c>
      <c r="G53" s="104">
        <v>0.91021319999999994</v>
      </c>
      <c r="H53" s="103">
        <v>0.1072</v>
      </c>
      <c r="I53" s="102">
        <v>4384</v>
      </c>
      <c r="J53" s="102">
        <v>511</v>
      </c>
      <c r="K53" s="103">
        <v>0.1166</v>
      </c>
      <c r="L53" s="102">
        <v>501.86514</v>
      </c>
      <c r="M53" s="104">
        <v>1.0182017999999999</v>
      </c>
      <c r="N53" s="103">
        <v>0.11990000000000001</v>
      </c>
      <c r="O53" s="103">
        <v>0.11849999999999999</v>
      </c>
      <c r="P53" s="103" t="s">
        <v>32</v>
      </c>
      <c r="Q53" s="103">
        <f>O53</f>
        <v>0.11849999999999999</v>
      </c>
    </row>
    <row r="54" spans="1:17">
      <c r="A54" s="111" t="s">
        <v>32</v>
      </c>
      <c r="B54" s="2" t="s">
        <v>33</v>
      </c>
      <c r="C54" s="3">
        <v>497554</v>
      </c>
      <c r="D54" s="3">
        <v>58612</v>
      </c>
      <c r="E54" s="4">
        <v>0.1178</v>
      </c>
      <c r="F54" s="3">
        <v>58612</v>
      </c>
      <c r="G54" s="5">
        <v>1</v>
      </c>
      <c r="H54" s="4">
        <v>0.1178</v>
      </c>
      <c r="I54" s="3">
        <v>489961</v>
      </c>
      <c r="J54" s="3">
        <v>58311</v>
      </c>
      <c r="K54" s="4">
        <v>0.11899999999999999</v>
      </c>
      <c r="L54" s="3">
        <v>58977.146999999997</v>
      </c>
      <c r="M54" s="5">
        <v>0.98870499999999995</v>
      </c>
      <c r="N54" s="4">
        <v>0.11650000000000001</v>
      </c>
      <c r="O54" s="4">
        <v>-1.0999999999999999E-2</v>
      </c>
      <c r="P54" s="4">
        <v>-0.1075</v>
      </c>
      <c r="Q54" s="4">
        <f t="shared" si="0"/>
        <v>-0.11731750000000007</v>
      </c>
    </row>
    <row r="55" spans="1:17">
      <c r="A55" s="6" t="s">
        <v>34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8"/>
      <c r="P55" s="9"/>
    </row>
    <row r="56" spans="1:17">
      <c r="A56" s="6" t="s">
        <v>35</v>
      </c>
      <c r="B56" s="6"/>
    </row>
    <row r="57" spans="1:17">
      <c r="A57" s="6" t="s">
        <v>36</v>
      </c>
      <c r="B57" s="6"/>
    </row>
    <row r="58" spans="1:17">
      <c r="A58" s="6" t="s">
        <v>37</v>
      </c>
      <c r="B58" s="6"/>
    </row>
    <row r="59" spans="1:17">
      <c r="A59" s="6" t="s">
        <v>38</v>
      </c>
      <c r="B59" s="6"/>
    </row>
    <row r="60" spans="1:17">
      <c r="A60" s="6" t="s">
        <v>39</v>
      </c>
      <c r="B60" s="6"/>
    </row>
    <row r="61" spans="1:17">
      <c r="A61" s="6" t="s">
        <v>134</v>
      </c>
      <c r="B61" s="6"/>
    </row>
    <row r="62" spans="1:17">
      <c r="A62" s="6" t="s">
        <v>40</v>
      </c>
      <c r="B62" s="6"/>
    </row>
    <row r="63" spans="1:17">
      <c r="A63" s="6" t="s">
        <v>41</v>
      </c>
    </row>
    <row r="64" spans="1:17">
      <c r="A64"/>
    </row>
  </sheetData>
  <autoFilter ref="A5:Q5">
    <sortState ref="A5:R61">
      <sortCondition ref="A4"/>
    </sortState>
  </autoFilter>
  <mergeCells count="5">
    <mergeCell ref="A1:Q1"/>
    <mergeCell ref="A2:Q2"/>
    <mergeCell ref="C3:H3"/>
    <mergeCell ref="I3:Q3"/>
    <mergeCell ref="A3:B3"/>
  </mergeCells>
  <printOptions horizontalCentered="1"/>
  <pageMargins left="0.25" right="0.25" top="0.75" bottom="0.75" header="0.3" footer="0.3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1"/>
  <sheetViews>
    <sheetView workbookViewId="0">
      <pane xSplit="2" ySplit="3" topLeftCell="C4" activePane="bottomRight" state="frozen"/>
      <selection activeCell="H33" sqref="H33"/>
      <selection pane="topRight" activeCell="H33" sqref="H33"/>
      <selection pane="bottomLeft" activeCell="H33" sqref="H33"/>
      <selection pane="bottomRight" activeCell="H33" sqref="H33"/>
    </sheetView>
  </sheetViews>
  <sheetFormatPr defaultColWidth="8.85546875" defaultRowHeight="15"/>
  <cols>
    <col min="1" max="1" width="8.85546875" style="11"/>
    <col min="2" max="2" width="44" style="11" customWidth="1"/>
    <col min="3" max="6" width="16.42578125" style="11" customWidth="1"/>
    <col min="7" max="7" width="17" style="11" customWidth="1"/>
    <col min="8" max="8" width="65.28515625" style="11" customWidth="1"/>
    <col min="9" max="16384" width="8.85546875" style="11"/>
  </cols>
  <sheetData>
    <row r="1" spans="1:8" ht="21">
      <c r="A1" s="10" t="s">
        <v>42</v>
      </c>
    </row>
    <row r="2" spans="1:8" ht="15.75">
      <c r="A2" s="112" t="s">
        <v>245</v>
      </c>
      <c r="B2"/>
      <c r="C2"/>
      <c r="D2"/>
      <c r="E2"/>
      <c r="F2"/>
      <c r="G2"/>
      <c r="H2"/>
    </row>
    <row r="3" spans="1:8" ht="60">
      <c r="A3" s="12" t="s">
        <v>16</v>
      </c>
      <c r="B3" s="12" t="s">
        <v>43</v>
      </c>
      <c r="C3" s="12" t="s">
        <v>247</v>
      </c>
      <c r="D3" s="13" t="s">
        <v>44</v>
      </c>
      <c r="E3" s="101" t="s">
        <v>45</v>
      </c>
      <c r="F3" s="13" t="s">
        <v>22</v>
      </c>
      <c r="G3" s="101" t="s">
        <v>183</v>
      </c>
      <c r="H3" s="14" t="s">
        <v>46</v>
      </c>
    </row>
    <row r="4" spans="1:8" ht="15" customHeight="1">
      <c r="A4" s="36">
        <v>210001</v>
      </c>
      <c r="B4" s="15" t="s">
        <v>135</v>
      </c>
      <c r="C4" s="99">
        <v>0.1812</v>
      </c>
      <c r="D4" s="99">
        <v>0.1734</v>
      </c>
      <c r="E4" s="100">
        <f>C4/D4</f>
        <v>1.0449826989619377</v>
      </c>
      <c r="F4" s="113">
        <v>0.1159</v>
      </c>
      <c r="G4" s="16">
        <f>F4*E4</f>
        <v>0.12111349480968858</v>
      </c>
      <c r="H4" s="138" t="s">
        <v>246</v>
      </c>
    </row>
    <row r="5" spans="1:8">
      <c r="A5" s="36">
        <v>210002</v>
      </c>
      <c r="B5" s="15" t="s">
        <v>136</v>
      </c>
      <c r="C5" s="99">
        <v>0.19009999999999999</v>
      </c>
      <c r="D5" s="99">
        <v>0.1832</v>
      </c>
      <c r="E5" s="100">
        <f t="shared" ref="E5:E51" si="0">C5/D5</f>
        <v>1.0376637554585153</v>
      </c>
      <c r="F5" s="113">
        <v>0.13170000000000001</v>
      </c>
      <c r="G5" s="16">
        <f t="shared" ref="G5:G51" si="1">F5*E5</f>
        <v>0.13666031659388647</v>
      </c>
      <c r="H5" s="139"/>
    </row>
    <row r="6" spans="1:8">
      <c r="A6" s="36">
        <v>210003</v>
      </c>
      <c r="B6" s="15" t="s">
        <v>137</v>
      </c>
      <c r="C6" s="99">
        <v>0.1923</v>
      </c>
      <c r="D6" s="99">
        <v>0.15060000000000001</v>
      </c>
      <c r="E6" s="100">
        <f t="shared" si="0"/>
        <v>1.2768924302788844</v>
      </c>
      <c r="F6" s="113">
        <v>0.106</v>
      </c>
      <c r="G6" s="16">
        <f t="shared" si="1"/>
        <v>0.13535059760956175</v>
      </c>
      <c r="H6" s="139"/>
    </row>
    <row r="7" spans="1:8">
      <c r="A7" s="36">
        <v>210004</v>
      </c>
      <c r="B7" s="15" t="s">
        <v>138</v>
      </c>
      <c r="C7" s="99">
        <v>0.16039999999999999</v>
      </c>
      <c r="D7" s="99">
        <v>0.14680000000000001</v>
      </c>
      <c r="E7" s="100">
        <f t="shared" si="0"/>
        <v>1.092643051771117</v>
      </c>
      <c r="F7" s="113">
        <v>0.1178</v>
      </c>
      <c r="G7" s="16">
        <f t="shared" si="1"/>
        <v>0.12871335149863758</v>
      </c>
      <c r="H7" s="139"/>
    </row>
    <row r="8" spans="1:8">
      <c r="A8" s="36">
        <v>210005</v>
      </c>
      <c r="B8" s="15" t="s">
        <v>139</v>
      </c>
      <c r="C8" s="99">
        <v>0.1381</v>
      </c>
      <c r="D8" s="99">
        <v>0.13350000000000001</v>
      </c>
      <c r="E8" s="100">
        <f t="shared" si="0"/>
        <v>1.0344569288389514</v>
      </c>
      <c r="F8" s="113">
        <v>0.1053</v>
      </c>
      <c r="G8" s="16">
        <f t="shared" si="1"/>
        <v>0.10892831460674159</v>
      </c>
      <c r="H8" s="139"/>
    </row>
    <row r="9" spans="1:8">
      <c r="A9" s="36">
        <v>210006</v>
      </c>
      <c r="B9" s="15" t="s">
        <v>140</v>
      </c>
      <c r="C9" s="99">
        <v>0.15279999999999999</v>
      </c>
      <c r="D9" s="99">
        <v>0.14660000000000001</v>
      </c>
      <c r="E9" s="100">
        <f t="shared" si="0"/>
        <v>1.0422919508867665</v>
      </c>
      <c r="F9" s="113">
        <v>0.108</v>
      </c>
      <c r="G9" s="16">
        <f t="shared" si="1"/>
        <v>0.11256753069577079</v>
      </c>
      <c r="H9" s="139"/>
    </row>
    <row r="10" spans="1:8">
      <c r="A10" s="36">
        <v>210008</v>
      </c>
      <c r="B10" s="15" t="s">
        <v>141</v>
      </c>
      <c r="C10" s="99">
        <v>0.1172</v>
      </c>
      <c r="D10" s="99">
        <v>0.1162</v>
      </c>
      <c r="E10" s="100">
        <f t="shared" si="0"/>
        <v>1.0086058519793459</v>
      </c>
      <c r="F10" s="113">
        <v>0.12790000000000001</v>
      </c>
      <c r="G10" s="16">
        <f t="shared" si="1"/>
        <v>0.12900068846815835</v>
      </c>
      <c r="H10" s="139"/>
    </row>
    <row r="11" spans="1:8">
      <c r="A11" s="36">
        <v>210009</v>
      </c>
      <c r="B11" s="15" t="s">
        <v>142</v>
      </c>
      <c r="C11" s="99">
        <v>0.18890000000000001</v>
      </c>
      <c r="D11" s="99">
        <v>0.17430000000000001</v>
      </c>
      <c r="E11" s="100">
        <f t="shared" si="0"/>
        <v>1.0837636259323007</v>
      </c>
      <c r="F11" s="113">
        <v>0.1326</v>
      </c>
      <c r="G11" s="16">
        <f t="shared" si="1"/>
        <v>0.14370705679862306</v>
      </c>
      <c r="H11" s="139"/>
    </row>
    <row r="12" spans="1:8">
      <c r="A12" s="36">
        <v>210010</v>
      </c>
      <c r="B12" s="15" t="s">
        <v>143</v>
      </c>
      <c r="C12" s="99"/>
      <c r="D12" s="99"/>
      <c r="E12" s="100">
        <v>1.0436746987951808</v>
      </c>
      <c r="F12" s="113">
        <v>0.11169999999999999</v>
      </c>
      <c r="G12" s="16">
        <f t="shared" si="1"/>
        <v>0.11657846385542169</v>
      </c>
      <c r="H12" s="139"/>
    </row>
    <row r="13" spans="1:8">
      <c r="A13" s="36">
        <v>210011</v>
      </c>
      <c r="B13" s="15" t="s">
        <v>144</v>
      </c>
      <c r="C13" s="99">
        <v>0.1489</v>
      </c>
      <c r="D13" s="99">
        <v>0.1469</v>
      </c>
      <c r="E13" s="100">
        <f t="shared" si="0"/>
        <v>1.0136147038801906</v>
      </c>
      <c r="F13" s="113">
        <v>0.1182</v>
      </c>
      <c r="G13" s="16">
        <f t="shared" si="1"/>
        <v>0.11980925799863852</v>
      </c>
      <c r="H13" s="139"/>
    </row>
    <row r="14" spans="1:8">
      <c r="A14" s="36">
        <v>210012</v>
      </c>
      <c r="B14" s="15" t="s">
        <v>145</v>
      </c>
      <c r="C14" s="99">
        <v>0.1293</v>
      </c>
      <c r="D14" s="99">
        <v>0.1273</v>
      </c>
      <c r="E14" s="100">
        <f t="shared" si="0"/>
        <v>1.0157109190887668</v>
      </c>
      <c r="F14" s="113">
        <v>0.108</v>
      </c>
      <c r="G14" s="16">
        <f t="shared" si="1"/>
        <v>0.10969677926158682</v>
      </c>
      <c r="H14" s="139"/>
    </row>
    <row r="15" spans="1:8">
      <c r="A15" s="36">
        <v>210013</v>
      </c>
      <c r="B15" s="15" t="s">
        <v>146</v>
      </c>
      <c r="C15" s="99">
        <v>0.20949999999999999</v>
      </c>
      <c r="D15" s="99">
        <v>0.20599999999999999</v>
      </c>
      <c r="E15" s="100">
        <f t="shared" si="0"/>
        <v>1.016990291262136</v>
      </c>
      <c r="F15" s="113">
        <v>0.15179999999999999</v>
      </c>
      <c r="G15" s="16">
        <f t="shared" si="1"/>
        <v>0.15437912621359223</v>
      </c>
      <c r="H15" s="139"/>
    </row>
    <row r="16" spans="1:8">
      <c r="A16" s="36">
        <v>210015</v>
      </c>
      <c r="B16" s="15" t="s">
        <v>147</v>
      </c>
      <c r="C16" s="99">
        <v>0.1825</v>
      </c>
      <c r="D16" s="99">
        <v>0.18160000000000001</v>
      </c>
      <c r="E16" s="100">
        <f t="shared" si="0"/>
        <v>1.0049559471365639</v>
      </c>
      <c r="F16" s="113">
        <v>0.13150000000000001</v>
      </c>
      <c r="G16" s="16">
        <f t="shared" si="1"/>
        <v>0.13215170704845816</v>
      </c>
      <c r="H16" s="139"/>
    </row>
    <row r="17" spans="1:8">
      <c r="A17" s="36">
        <v>210016</v>
      </c>
      <c r="B17" s="15" t="s">
        <v>148</v>
      </c>
      <c r="C17" s="99">
        <v>0.15479999999999999</v>
      </c>
      <c r="D17" s="99">
        <v>0.1346</v>
      </c>
      <c r="E17" s="100">
        <f t="shared" si="0"/>
        <v>1.1500742942050519</v>
      </c>
      <c r="F17" s="113">
        <v>9.64E-2</v>
      </c>
      <c r="G17" s="16">
        <f t="shared" si="1"/>
        <v>0.11086716196136701</v>
      </c>
      <c r="H17" s="140"/>
    </row>
    <row r="18" spans="1:8">
      <c r="A18" s="36">
        <v>210017</v>
      </c>
      <c r="B18" s="15" t="s">
        <v>149</v>
      </c>
      <c r="C18" s="99">
        <v>0.1106</v>
      </c>
      <c r="D18" s="99">
        <v>7.6899999999999996E-2</v>
      </c>
      <c r="E18" s="100">
        <f t="shared" si="0"/>
        <v>1.4382314694408325</v>
      </c>
      <c r="F18" s="113">
        <v>6.3700000000000007E-2</v>
      </c>
      <c r="G18" s="16">
        <f t="shared" si="1"/>
        <v>9.1615344603381041E-2</v>
      </c>
      <c r="H18"/>
    </row>
    <row r="19" spans="1:8">
      <c r="A19" s="36">
        <v>210018</v>
      </c>
      <c r="B19" s="15" t="s">
        <v>150</v>
      </c>
      <c r="C19" s="99">
        <v>0.15409999999999999</v>
      </c>
      <c r="D19" s="99">
        <v>0.13950000000000001</v>
      </c>
      <c r="E19" s="100">
        <f t="shared" si="0"/>
        <v>1.104659498207885</v>
      </c>
      <c r="F19" s="113">
        <v>0.1166</v>
      </c>
      <c r="G19" s="16">
        <f t="shared" si="1"/>
        <v>0.12880329749103939</v>
      </c>
      <c r="H19"/>
    </row>
    <row r="20" spans="1:8">
      <c r="A20" s="36">
        <v>210019</v>
      </c>
      <c r="B20" s="15" t="s">
        <v>151</v>
      </c>
      <c r="C20" s="99">
        <v>0.14530000000000001</v>
      </c>
      <c r="D20" s="99">
        <v>0.1368</v>
      </c>
      <c r="E20" s="100">
        <f t="shared" si="0"/>
        <v>1.0621345029239766</v>
      </c>
      <c r="F20" s="113">
        <v>0.1082</v>
      </c>
      <c r="G20" s="16">
        <f t="shared" si="1"/>
        <v>0.11492295321637427</v>
      </c>
      <c r="H20"/>
    </row>
    <row r="21" spans="1:8">
      <c r="A21" s="36">
        <v>210022</v>
      </c>
      <c r="B21" s="15" t="s">
        <v>152</v>
      </c>
      <c r="C21" s="99">
        <v>0.12859999999999999</v>
      </c>
      <c r="D21" s="99">
        <v>0.1143</v>
      </c>
      <c r="E21" s="100">
        <f t="shared" si="0"/>
        <v>1.1251093613298337</v>
      </c>
      <c r="F21" s="113">
        <v>0.1125</v>
      </c>
      <c r="G21" s="16">
        <f t="shared" si="1"/>
        <v>0.12657480314960631</v>
      </c>
      <c r="H21"/>
    </row>
    <row r="22" spans="1:8">
      <c r="A22" s="36">
        <v>210023</v>
      </c>
      <c r="B22" s="15" t="s">
        <v>153</v>
      </c>
      <c r="C22" s="99">
        <v>0.1221</v>
      </c>
      <c r="D22" s="99">
        <v>0.1176</v>
      </c>
      <c r="E22" s="100">
        <f t="shared" si="0"/>
        <v>1.0382653061224489</v>
      </c>
      <c r="F22" s="113">
        <v>0.1072</v>
      </c>
      <c r="G22" s="16">
        <f t="shared" si="1"/>
        <v>0.11130204081632653</v>
      </c>
      <c r="H22"/>
    </row>
    <row r="23" spans="1:8">
      <c r="A23" s="36">
        <v>210024</v>
      </c>
      <c r="B23" s="15" t="s">
        <v>154</v>
      </c>
      <c r="C23" s="99">
        <v>0.12280000000000001</v>
      </c>
      <c r="D23" s="99">
        <v>0.1216</v>
      </c>
      <c r="E23" s="100">
        <f t="shared" si="0"/>
        <v>1.0098684210526316</v>
      </c>
      <c r="F23" s="113">
        <v>0.12709999999999999</v>
      </c>
      <c r="G23" s="16">
        <f t="shared" si="1"/>
        <v>0.12835427631578947</v>
      </c>
      <c r="H23"/>
    </row>
    <row r="24" spans="1:8">
      <c r="A24" s="36">
        <v>210027</v>
      </c>
      <c r="B24" s="15" t="s">
        <v>155</v>
      </c>
      <c r="C24" s="99">
        <v>0.1449</v>
      </c>
      <c r="D24" s="99">
        <v>0.13039999999999999</v>
      </c>
      <c r="E24" s="100">
        <f t="shared" si="0"/>
        <v>1.1111963190184051</v>
      </c>
      <c r="F24" s="113">
        <v>0.108</v>
      </c>
      <c r="G24" s="16">
        <f t="shared" si="1"/>
        <v>0.12000920245398775</v>
      </c>
      <c r="H24"/>
    </row>
    <row r="25" spans="1:8">
      <c r="A25" s="36">
        <v>210028</v>
      </c>
      <c r="B25" s="15" t="s">
        <v>156</v>
      </c>
      <c r="C25" s="99">
        <v>0.15260000000000001</v>
      </c>
      <c r="D25" s="99">
        <v>0.12640000000000001</v>
      </c>
      <c r="E25" s="100">
        <f t="shared" si="0"/>
        <v>1.2072784810126582</v>
      </c>
      <c r="F25" s="113">
        <v>0.1084</v>
      </c>
      <c r="G25" s="16">
        <f t="shared" si="1"/>
        <v>0.13086898734177216</v>
      </c>
      <c r="H25"/>
    </row>
    <row r="26" spans="1:8">
      <c r="A26" s="36">
        <v>210029</v>
      </c>
      <c r="B26" s="15" t="s">
        <v>157</v>
      </c>
      <c r="C26" s="99">
        <v>0.2046</v>
      </c>
      <c r="D26" s="99">
        <v>0.19900000000000001</v>
      </c>
      <c r="E26" s="100">
        <f t="shared" si="0"/>
        <v>1.028140703517588</v>
      </c>
      <c r="F26" s="113">
        <v>0.14649999999999999</v>
      </c>
      <c r="G26" s="16">
        <f t="shared" si="1"/>
        <v>0.15062261306532665</v>
      </c>
      <c r="H26"/>
    </row>
    <row r="27" spans="1:8">
      <c r="A27" s="36">
        <v>210030</v>
      </c>
      <c r="B27" s="15" t="s">
        <v>158</v>
      </c>
      <c r="C27" s="99">
        <v>0.13539999999999999</v>
      </c>
      <c r="D27" s="99">
        <v>0.1268</v>
      </c>
      <c r="E27" s="100">
        <f t="shared" si="0"/>
        <v>1.0678233438485805</v>
      </c>
      <c r="F27" s="113">
        <v>0.10730000000000001</v>
      </c>
      <c r="G27" s="16">
        <f t="shared" si="1"/>
        <v>0.11457744479495269</v>
      </c>
      <c r="H27"/>
    </row>
    <row r="28" spans="1:8">
      <c r="A28" s="36">
        <v>210032</v>
      </c>
      <c r="B28" s="15" t="s">
        <v>159</v>
      </c>
      <c r="C28" s="99">
        <v>0.16980000000000001</v>
      </c>
      <c r="D28" s="99">
        <v>0.14169999999999999</v>
      </c>
      <c r="E28" s="100">
        <f t="shared" si="0"/>
        <v>1.1983062808750884</v>
      </c>
      <c r="F28" s="113">
        <v>0.10539999999999999</v>
      </c>
      <c r="G28" s="16">
        <f t="shared" si="1"/>
        <v>0.1263014820042343</v>
      </c>
      <c r="H28"/>
    </row>
    <row r="29" spans="1:8">
      <c r="A29" s="36">
        <v>210033</v>
      </c>
      <c r="B29" s="15" t="s">
        <v>160</v>
      </c>
      <c r="C29" s="99">
        <v>0.14910000000000001</v>
      </c>
      <c r="D29" s="99">
        <v>0.14369999999999999</v>
      </c>
      <c r="E29" s="100">
        <f t="shared" si="0"/>
        <v>1.0375782881002089</v>
      </c>
      <c r="F29" s="113">
        <v>0.111</v>
      </c>
      <c r="G29" s="16">
        <f t="shared" si="1"/>
        <v>0.11517118997912319</v>
      </c>
      <c r="H29"/>
    </row>
    <row r="30" spans="1:8">
      <c r="A30" s="36">
        <v>210034</v>
      </c>
      <c r="B30" s="15" t="s">
        <v>161</v>
      </c>
      <c r="C30" s="99">
        <v>0.17580000000000001</v>
      </c>
      <c r="D30" s="99">
        <v>0.17469999999999999</v>
      </c>
      <c r="E30" s="100">
        <f t="shared" si="0"/>
        <v>1.0062965082999429</v>
      </c>
      <c r="F30" s="113">
        <v>0.1333</v>
      </c>
      <c r="G30" s="16">
        <f t="shared" si="1"/>
        <v>0.13413932455638239</v>
      </c>
      <c r="H30"/>
    </row>
    <row r="31" spans="1:8">
      <c r="A31" s="36">
        <v>210035</v>
      </c>
      <c r="B31" s="15" t="s">
        <v>162</v>
      </c>
      <c r="C31" s="99">
        <v>0.15079999999999999</v>
      </c>
      <c r="D31" s="99">
        <v>0.1293</v>
      </c>
      <c r="E31" s="100">
        <f t="shared" si="0"/>
        <v>1.1662799690641918</v>
      </c>
      <c r="F31" s="113">
        <v>9.8900000000000002E-2</v>
      </c>
      <c r="G31" s="16">
        <f t="shared" si="1"/>
        <v>0.11534508894044858</v>
      </c>
      <c r="H31"/>
    </row>
    <row r="32" spans="1:8">
      <c r="A32" s="36">
        <v>210037</v>
      </c>
      <c r="B32" s="15" t="s">
        <v>163</v>
      </c>
      <c r="C32" s="99">
        <v>0.1386</v>
      </c>
      <c r="D32" s="99">
        <v>0.1328</v>
      </c>
      <c r="E32" s="100">
        <f t="shared" si="0"/>
        <v>1.0436746987951808</v>
      </c>
      <c r="F32" s="113">
        <v>0.10639999999999999</v>
      </c>
      <c r="G32" s="16">
        <f t="shared" si="1"/>
        <v>0.11104698795180723</v>
      </c>
      <c r="H32"/>
    </row>
    <row r="33" spans="1:8">
      <c r="A33" s="36">
        <v>210038</v>
      </c>
      <c r="B33" s="15" t="s">
        <v>164</v>
      </c>
      <c r="C33" s="99">
        <v>0.2424</v>
      </c>
      <c r="D33" s="99">
        <v>0.2384</v>
      </c>
      <c r="E33" s="100">
        <f t="shared" si="0"/>
        <v>1.0167785234899329</v>
      </c>
      <c r="F33" s="113">
        <v>0.15090000000000001</v>
      </c>
      <c r="G33" s="16">
        <f t="shared" si="1"/>
        <v>0.15343187919463089</v>
      </c>
      <c r="H33"/>
    </row>
    <row r="34" spans="1:8">
      <c r="A34" s="36">
        <v>210039</v>
      </c>
      <c r="B34" s="15" t="s">
        <v>165</v>
      </c>
      <c r="C34" s="99">
        <v>0.13220000000000001</v>
      </c>
      <c r="D34" s="99">
        <v>0.11849999999999999</v>
      </c>
      <c r="E34" s="100">
        <f t="shared" si="0"/>
        <v>1.1156118143459917</v>
      </c>
      <c r="F34" s="113">
        <v>8.7900000000000006E-2</v>
      </c>
      <c r="G34" s="16">
        <f t="shared" si="1"/>
        <v>9.8062278481012677E-2</v>
      </c>
      <c r="H34"/>
    </row>
    <row r="35" spans="1:8">
      <c r="A35" s="36">
        <v>210040</v>
      </c>
      <c r="B35" s="15" t="s">
        <v>166</v>
      </c>
      <c r="C35" s="99">
        <v>0.1467</v>
      </c>
      <c r="D35" s="99">
        <v>0.14499999999999999</v>
      </c>
      <c r="E35" s="100">
        <f t="shared" si="0"/>
        <v>1.0117241379310344</v>
      </c>
      <c r="F35" s="113">
        <v>0.1181</v>
      </c>
      <c r="G35" s="16">
        <f t="shared" si="1"/>
        <v>0.11948462068965517</v>
      </c>
      <c r="H35"/>
    </row>
    <row r="36" spans="1:8">
      <c r="A36" s="36">
        <v>210043</v>
      </c>
      <c r="B36" s="15" t="s">
        <v>167</v>
      </c>
      <c r="C36" s="99">
        <v>0.15129999999999999</v>
      </c>
      <c r="D36" s="99">
        <v>0.14899999999999999</v>
      </c>
      <c r="E36" s="100">
        <f t="shared" si="0"/>
        <v>1.0154362416107383</v>
      </c>
      <c r="F36" s="113">
        <v>0.11799999999999999</v>
      </c>
      <c r="G36" s="16">
        <f t="shared" si="1"/>
        <v>0.11982147651006711</v>
      </c>
      <c r="H36"/>
    </row>
    <row r="37" spans="1:8">
      <c r="A37" s="36">
        <v>210044</v>
      </c>
      <c r="B37" s="15" t="s">
        <v>168</v>
      </c>
      <c r="C37" s="99">
        <v>0.115</v>
      </c>
      <c r="D37" s="99">
        <v>0.11310000000000001</v>
      </c>
      <c r="E37" s="100">
        <f t="shared" si="0"/>
        <v>1.0167992926613616</v>
      </c>
      <c r="F37" s="113">
        <v>0.1026</v>
      </c>
      <c r="G37" s="16">
        <f t="shared" si="1"/>
        <v>0.1043236074270557</v>
      </c>
      <c r="H37"/>
    </row>
    <row r="38" spans="1:8">
      <c r="A38" s="36">
        <v>210045</v>
      </c>
      <c r="B38" s="15" t="s">
        <v>169</v>
      </c>
      <c r="C38" s="99">
        <v>0.1027</v>
      </c>
      <c r="D38" s="99">
        <v>0.1027</v>
      </c>
      <c r="E38" s="100">
        <f t="shared" si="0"/>
        <v>1</v>
      </c>
      <c r="F38" s="113">
        <v>0.1045</v>
      </c>
      <c r="G38" s="16">
        <f t="shared" si="1"/>
        <v>0.1045</v>
      </c>
      <c r="H38"/>
    </row>
    <row r="39" spans="1:8">
      <c r="A39" s="36">
        <v>210048</v>
      </c>
      <c r="B39" s="15" t="s">
        <v>170</v>
      </c>
      <c r="C39" s="99">
        <v>0.14860000000000001</v>
      </c>
      <c r="D39" s="99">
        <v>0.14610000000000001</v>
      </c>
      <c r="E39" s="100">
        <f t="shared" si="0"/>
        <v>1.0171115674195756</v>
      </c>
      <c r="F39" s="113">
        <v>0.1076</v>
      </c>
      <c r="G39" s="16">
        <f t="shared" si="1"/>
        <v>0.10944120465434634</v>
      </c>
      <c r="H39"/>
    </row>
    <row r="40" spans="1:8">
      <c r="A40" s="36">
        <v>210049</v>
      </c>
      <c r="B40" s="15" t="s">
        <v>171</v>
      </c>
      <c r="C40" s="99">
        <v>0.11650000000000001</v>
      </c>
      <c r="D40" s="99">
        <v>0.1145</v>
      </c>
      <c r="E40" s="100">
        <f t="shared" si="0"/>
        <v>1.017467248908297</v>
      </c>
      <c r="F40" s="113">
        <v>9.4500000000000001E-2</v>
      </c>
      <c r="G40" s="16">
        <f t="shared" si="1"/>
        <v>9.6150655021834064E-2</v>
      </c>
      <c r="H40"/>
    </row>
    <row r="41" spans="1:8">
      <c r="A41" s="36">
        <v>210051</v>
      </c>
      <c r="B41" s="15" t="s">
        <v>172</v>
      </c>
      <c r="C41" s="99">
        <v>0.1583</v>
      </c>
      <c r="D41" s="99">
        <v>0.14319999999999999</v>
      </c>
      <c r="E41" s="100">
        <f t="shared" si="0"/>
        <v>1.1054469273743017</v>
      </c>
      <c r="F41" s="113">
        <v>0.1125</v>
      </c>
      <c r="G41" s="16">
        <f t="shared" si="1"/>
        <v>0.12436277932960894</v>
      </c>
      <c r="H41"/>
    </row>
    <row r="42" spans="1:8">
      <c r="A42" s="36">
        <v>210055</v>
      </c>
      <c r="B42" s="15" t="s">
        <v>173</v>
      </c>
      <c r="C42" s="99">
        <v>0.18859999999999999</v>
      </c>
      <c r="D42" s="99">
        <v>0.184</v>
      </c>
      <c r="E42" s="100">
        <f t="shared" si="0"/>
        <v>1.0249999999999999</v>
      </c>
      <c r="F42" s="113">
        <v>0.1205</v>
      </c>
      <c r="G42" s="16">
        <f t="shared" si="1"/>
        <v>0.12351249999999998</v>
      </c>
      <c r="H42"/>
    </row>
    <row r="43" spans="1:8">
      <c r="A43" s="36">
        <v>210056</v>
      </c>
      <c r="B43" s="15" t="s">
        <v>174</v>
      </c>
      <c r="C43" s="99">
        <v>0.1673</v>
      </c>
      <c r="D43" s="99">
        <v>0.16589999999999999</v>
      </c>
      <c r="E43" s="100">
        <f t="shared" si="0"/>
        <v>1.008438818565401</v>
      </c>
      <c r="F43" s="113">
        <v>0.12089999999999999</v>
      </c>
      <c r="G43" s="16">
        <f t="shared" si="1"/>
        <v>0.12192025316455697</v>
      </c>
      <c r="H43"/>
    </row>
    <row r="44" spans="1:8">
      <c r="A44" s="36">
        <v>210057</v>
      </c>
      <c r="B44" s="15" t="s">
        <v>175</v>
      </c>
      <c r="C44" s="99">
        <v>0.13420000000000001</v>
      </c>
      <c r="D44" s="99">
        <v>0.12640000000000001</v>
      </c>
      <c r="E44" s="100">
        <f t="shared" si="0"/>
        <v>1.0617088607594938</v>
      </c>
      <c r="F44" s="113">
        <v>0.1019</v>
      </c>
      <c r="G44" s="16">
        <f t="shared" si="1"/>
        <v>0.10818813291139243</v>
      </c>
      <c r="H44"/>
    </row>
    <row r="45" spans="1:8">
      <c r="A45" s="36">
        <v>210058</v>
      </c>
      <c r="B45" s="15" t="s">
        <v>176</v>
      </c>
      <c r="C45" s="99">
        <v>5.6500000000000002E-2</v>
      </c>
      <c r="D45" s="99">
        <v>5.6500000000000002E-2</v>
      </c>
      <c r="E45" s="100">
        <f t="shared" si="0"/>
        <v>1</v>
      </c>
      <c r="F45" s="113">
        <v>9.0700000000000003E-2</v>
      </c>
      <c r="G45" s="16">
        <f t="shared" si="1"/>
        <v>9.0700000000000003E-2</v>
      </c>
      <c r="H45"/>
    </row>
    <row r="46" spans="1:8">
      <c r="A46" s="36">
        <v>210060</v>
      </c>
      <c r="B46" s="15" t="s">
        <v>177</v>
      </c>
      <c r="C46" s="99">
        <v>0.1512</v>
      </c>
      <c r="D46" s="99">
        <v>0.11210000000000001</v>
      </c>
      <c r="E46" s="100">
        <f t="shared" si="0"/>
        <v>1.3487957181088313</v>
      </c>
      <c r="F46" s="113">
        <v>8.4500000000000006E-2</v>
      </c>
      <c r="G46" s="16">
        <f t="shared" si="1"/>
        <v>0.11397323818019625</v>
      </c>
      <c r="H46"/>
    </row>
    <row r="47" spans="1:8">
      <c r="A47" s="36">
        <v>210061</v>
      </c>
      <c r="B47" s="15" t="s">
        <v>178</v>
      </c>
      <c r="C47" s="99">
        <v>0.1298</v>
      </c>
      <c r="D47" s="99">
        <v>0.1208</v>
      </c>
      <c r="E47" s="100">
        <f t="shared" si="0"/>
        <v>1.074503311258278</v>
      </c>
      <c r="F47" s="113">
        <v>0.1026</v>
      </c>
      <c r="G47" s="16">
        <f t="shared" si="1"/>
        <v>0.11024403973509932</v>
      </c>
      <c r="H47"/>
    </row>
    <row r="48" spans="1:8">
      <c r="A48" s="36">
        <v>210062</v>
      </c>
      <c r="B48" s="15" t="s">
        <v>179</v>
      </c>
      <c r="C48" s="99">
        <v>0.17510000000000001</v>
      </c>
      <c r="D48" s="99">
        <v>0.13550000000000001</v>
      </c>
      <c r="E48" s="100">
        <f t="shared" si="0"/>
        <v>1.2922509225092251</v>
      </c>
      <c r="F48" s="113">
        <v>0.1053</v>
      </c>
      <c r="G48" s="16">
        <f t="shared" si="1"/>
        <v>0.13607402214022141</v>
      </c>
      <c r="H48"/>
    </row>
    <row r="49" spans="1:8">
      <c r="A49" s="36">
        <v>210063</v>
      </c>
      <c r="B49" s="15" t="s">
        <v>180</v>
      </c>
      <c r="C49" s="99">
        <v>0.1094</v>
      </c>
      <c r="D49" s="99">
        <v>0.1082</v>
      </c>
      <c r="E49" s="100">
        <f t="shared" si="0"/>
        <v>1.0110905730129389</v>
      </c>
      <c r="F49" s="113">
        <v>0.10390000000000001</v>
      </c>
      <c r="G49" s="16">
        <f t="shared" si="1"/>
        <v>0.10505231053604436</v>
      </c>
      <c r="H49"/>
    </row>
    <row r="50" spans="1:8">
      <c r="A50" s="36">
        <v>210064</v>
      </c>
      <c r="B50" s="15" t="s">
        <v>181</v>
      </c>
      <c r="C50" s="99">
        <v>0.12989999999999999</v>
      </c>
      <c r="D50" s="99">
        <v>0.12429999999999999</v>
      </c>
      <c r="E50" s="100">
        <f t="shared" si="0"/>
        <v>1.0450522928399033</v>
      </c>
      <c r="F50" s="113">
        <v>0.1142</v>
      </c>
      <c r="G50" s="16">
        <f t="shared" si="1"/>
        <v>0.11934497184231696</v>
      </c>
      <c r="H50"/>
    </row>
    <row r="51" spans="1:8">
      <c r="A51" s="36">
        <v>210065</v>
      </c>
      <c r="B51" s="15" t="s">
        <v>182</v>
      </c>
      <c r="C51" s="99">
        <v>0.13639999999999999</v>
      </c>
      <c r="D51" s="99">
        <v>0.12690000000000001</v>
      </c>
      <c r="E51" s="100">
        <f t="shared" si="0"/>
        <v>1.0748620961386917</v>
      </c>
      <c r="F51" s="113">
        <v>0.11990000000000001</v>
      </c>
      <c r="G51" s="16">
        <f t="shared" si="1"/>
        <v>0.12887596532702913</v>
      </c>
      <c r="H51"/>
    </row>
  </sheetData>
  <autoFilter ref="A3:H3"/>
  <mergeCells count="1">
    <mergeCell ref="H4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47"/>
  <sheetViews>
    <sheetView topLeftCell="C25" workbookViewId="0">
      <selection activeCell="L41" sqref="L41"/>
    </sheetView>
  </sheetViews>
  <sheetFormatPr defaultColWidth="8.7109375" defaultRowHeight="15"/>
  <cols>
    <col min="1" max="1" width="16" style="11" customWidth="1"/>
    <col min="2" max="2" width="16.7109375" style="11" customWidth="1"/>
    <col min="3" max="3" width="17.7109375" style="11" customWidth="1"/>
    <col min="4" max="4" width="16.28515625" style="11" customWidth="1"/>
    <col min="5" max="5" width="18.28515625" style="11" customWidth="1"/>
    <col min="6" max="6" width="15.140625" style="11" customWidth="1"/>
    <col min="7" max="7" width="16.7109375" style="11" customWidth="1"/>
    <col min="8" max="9" width="8.7109375" style="11"/>
    <col min="10" max="10" width="12.5703125" style="11" customWidth="1"/>
    <col min="11" max="11" width="11.85546875" style="11" customWidth="1"/>
    <col min="12" max="12" width="24.85546875" style="11" customWidth="1"/>
    <col min="13" max="16384" width="8.7109375" style="11"/>
  </cols>
  <sheetData>
    <row r="1" spans="1:12">
      <c r="A1" s="17" t="s">
        <v>93</v>
      </c>
    </row>
    <row r="2" spans="1:12" ht="18" customHeight="1">
      <c r="A2" s="18" t="s">
        <v>94</v>
      </c>
      <c r="B2" s="18"/>
      <c r="C2" s="19"/>
      <c r="D2" s="19"/>
    </row>
    <row r="3" spans="1:12" ht="42.6" customHeight="1">
      <c r="A3" s="20"/>
      <c r="B3" s="21" t="s">
        <v>95</v>
      </c>
      <c r="C3" s="22" t="s">
        <v>96</v>
      </c>
      <c r="D3" s="22" t="s">
        <v>97</v>
      </c>
    </row>
    <row r="4" spans="1:12">
      <c r="A4" s="17" t="s">
        <v>98</v>
      </c>
      <c r="B4" s="23">
        <v>-6.7599999999999993E-2</v>
      </c>
      <c r="C4" s="24">
        <v>-6.7599999999999993E-2</v>
      </c>
      <c r="D4" s="25">
        <f>$B$10*C4</f>
        <v>0</v>
      </c>
    </row>
    <row r="5" spans="1:12">
      <c r="A5" s="17" t="s">
        <v>99</v>
      </c>
      <c r="B5" s="23">
        <f>'[4]2. MD State Target'!$E$28</f>
        <v>-5.76953773241069E-2</v>
      </c>
      <c r="C5" s="26">
        <v>-0.14499999999999999</v>
      </c>
      <c r="D5" s="25">
        <f>$B$10*C5</f>
        <v>0</v>
      </c>
      <c r="E5" s="11" t="s">
        <v>100</v>
      </c>
      <c r="G5" s="26"/>
      <c r="H5" s="26">
        <v>0.10829999999999999</v>
      </c>
    </row>
    <row r="6" spans="1:12">
      <c r="A6" s="17"/>
      <c r="B6" s="23"/>
      <c r="C6" s="23"/>
      <c r="D6" s="27"/>
      <c r="E6" s="25"/>
    </row>
    <row r="7" spans="1:12">
      <c r="A7" s="17"/>
      <c r="B7" s="23"/>
      <c r="C7" s="23"/>
      <c r="D7" s="27"/>
      <c r="E7" s="25"/>
    </row>
    <row r="8" spans="1:12">
      <c r="A8" s="17"/>
      <c r="B8" s="28"/>
      <c r="C8" s="28"/>
      <c r="D8" s="25"/>
    </row>
    <row r="9" spans="1:12">
      <c r="A9" s="17"/>
      <c r="B9" s="28"/>
      <c r="C9" s="28"/>
      <c r="D9" s="25"/>
    </row>
    <row r="10" spans="1:12" ht="45.75" thickBot="1">
      <c r="A10" s="29" t="s">
        <v>101</v>
      </c>
      <c r="B10" s="24"/>
      <c r="C10" s="24"/>
    </row>
    <row r="11" spans="1:12" ht="15.75" customHeight="1" thickBot="1">
      <c r="A11" s="144" t="s">
        <v>102</v>
      </c>
      <c r="B11" s="145"/>
      <c r="C11" s="146"/>
      <c r="E11" s="141" t="s">
        <v>103</v>
      </c>
      <c r="F11" s="142"/>
      <c r="G11" s="143"/>
      <c r="J11" s="141" t="s">
        <v>104</v>
      </c>
      <c r="K11" s="142"/>
      <c r="L11" s="143"/>
    </row>
    <row r="12" spans="1:12" ht="15" customHeight="1">
      <c r="A12" s="147" t="s">
        <v>105</v>
      </c>
      <c r="B12" s="148" t="s">
        <v>106</v>
      </c>
      <c r="C12" s="148" t="s">
        <v>107</v>
      </c>
      <c r="E12" s="150" t="s">
        <v>108</v>
      </c>
      <c r="F12" s="150" t="s">
        <v>109</v>
      </c>
      <c r="G12" s="150" t="s">
        <v>107</v>
      </c>
      <c r="J12" s="17" t="s">
        <v>110</v>
      </c>
      <c r="K12" s="30">
        <v>-3.7499999999999999E-2</v>
      </c>
      <c r="L12" s="28"/>
    </row>
    <row r="13" spans="1:12" ht="54.75" customHeight="1">
      <c r="A13" s="147"/>
      <c r="B13" s="149"/>
      <c r="C13" s="149"/>
      <c r="E13" s="149"/>
      <c r="F13" s="149"/>
      <c r="G13" s="149"/>
      <c r="J13" s="31" t="s">
        <v>111</v>
      </c>
      <c r="K13" s="32" t="s">
        <v>109</v>
      </c>
      <c r="L13" s="32" t="s">
        <v>107</v>
      </c>
    </row>
    <row r="14" spans="1:12">
      <c r="A14" s="33" t="s">
        <v>1</v>
      </c>
      <c r="B14" s="33" t="s">
        <v>2</v>
      </c>
      <c r="C14" s="34" t="s">
        <v>3</v>
      </c>
      <c r="D14" s="35"/>
      <c r="E14" s="33" t="s">
        <v>1</v>
      </c>
      <c r="F14" s="33" t="s">
        <v>2</v>
      </c>
      <c r="G14" s="34" t="s">
        <v>3</v>
      </c>
      <c r="J14" s="33" t="s">
        <v>1</v>
      </c>
      <c r="K14" s="33" t="s">
        <v>2</v>
      </c>
      <c r="L14" s="34" t="s">
        <v>3</v>
      </c>
    </row>
    <row r="15" spans="1:12">
      <c r="A15" s="36" t="s">
        <v>112</v>
      </c>
      <c r="B15" s="37"/>
      <c r="C15" s="38">
        <v>0.01</v>
      </c>
      <c r="D15" s="39"/>
      <c r="E15" s="36" t="s">
        <v>112</v>
      </c>
      <c r="F15" s="37"/>
      <c r="G15" s="38">
        <v>0.01</v>
      </c>
      <c r="J15" s="36" t="s">
        <v>112</v>
      </c>
      <c r="K15" s="37"/>
      <c r="L15" s="38">
        <v>0.01</v>
      </c>
    </row>
    <row r="16" spans="1:12">
      <c r="A16" s="40">
        <v>-0.25</v>
      </c>
      <c r="B16" s="41">
        <v>-0.10500000000000001</v>
      </c>
      <c r="C16" s="42">
        <v>0.01</v>
      </c>
      <c r="D16" s="43"/>
      <c r="E16" s="44">
        <v>9.8303358507890959E-2</v>
      </c>
      <c r="F16" s="41">
        <v>-9.9966414921090346E-3</v>
      </c>
      <c r="G16" s="42">
        <v>9.9671504845566788E-3</v>
      </c>
      <c r="J16" s="129">
        <v>-0.14249999999999999</v>
      </c>
      <c r="K16" s="45">
        <f>J16-$K$12</f>
        <v>-0.10499999999999998</v>
      </c>
      <c r="L16" s="42">
        <v>8.8654292499999975E-3</v>
      </c>
    </row>
    <row r="17" spans="1:12" ht="14.1" customHeight="1">
      <c r="A17" s="40">
        <v>-0.23949999999999999</v>
      </c>
      <c r="B17" s="41">
        <v>-9.4500000000000001E-2</v>
      </c>
      <c r="C17" s="42">
        <v>8.9999999999999993E-3</v>
      </c>
      <c r="D17" s="46"/>
      <c r="E17" s="44">
        <v>9.9303022657101864E-2</v>
      </c>
      <c r="F17" s="41">
        <v>-8.9969773428981298E-3</v>
      </c>
      <c r="G17" s="42">
        <v>8.9671864361010028E-3</v>
      </c>
      <c r="J17" s="40">
        <f>J16+0.0105</f>
        <v>-0.13199999999999998</v>
      </c>
      <c r="K17" s="45">
        <f t="shared" ref="K17:K45" si="0">J17-$K$12</f>
        <v>-9.4499999999999973E-2</v>
      </c>
      <c r="L17" s="42">
        <v>7.8654291999999976E-3</v>
      </c>
    </row>
    <row r="18" spans="1:12">
      <c r="A18" s="40">
        <v>-0.22899999999999998</v>
      </c>
      <c r="B18" s="41">
        <v>-8.3999999999999991E-2</v>
      </c>
      <c r="C18" s="42">
        <v>7.9999999999999984E-3</v>
      </c>
      <c r="D18" s="47"/>
      <c r="E18" s="44">
        <v>0.10030268680631277</v>
      </c>
      <c r="F18" s="41">
        <v>-7.9973131936872249E-3</v>
      </c>
      <c r="G18" s="42">
        <v>7.9672223876453424E-3</v>
      </c>
      <c r="J18" s="40">
        <f t="shared" ref="J18:J45" si="1">J17+0.0105</f>
        <v>-0.12149999999999998</v>
      </c>
      <c r="K18" s="45">
        <f t="shared" si="0"/>
        <v>-8.3999999999999991E-2</v>
      </c>
      <c r="L18" s="42">
        <v>6.8654291499999961E-3</v>
      </c>
    </row>
    <row r="19" spans="1:12">
      <c r="A19" s="40">
        <v>-0.21849999999999997</v>
      </c>
      <c r="B19" s="41">
        <v>-7.3499999999999982E-2</v>
      </c>
      <c r="C19" s="42">
        <v>6.9999999999999975E-3</v>
      </c>
      <c r="D19" s="48"/>
      <c r="E19" s="44">
        <v>0.10130235095552367</v>
      </c>
      <c r="F19" s="41">
        <v>-6.9976490444763201E-3</v>
      </c>
      <c r="G19" s="42">
        <v>6.9672583391896655E-3</v>
      </c>
      <c r="J19" s="40">
        <f t="shared" si="1"/>
        <v>-0.11099999999999999</v>
      </c>
      <c r="K19" s="45">
        <f t="shared" si="0"/>
        <v>-7.3499999999999982E-2</v>
      </c>
      <c r="L19" s="42">
        <v>5.865429099999998E-3</v>
      </c>
    </row>
    <row r="20" spans="1:12">
      <c r="A20" s="40">
        <v>-0.20799999999999996</v>
      </c>
      <c r="B20" s="41">
        <v>-6.2999999999999973E-2</v>
      </c>
      <c r="C20" s="42">
        <v>5.9999999999999967E-3</v>
      </c>
      <c r="D20" s="49"/>
      <c r="E20" s="44">
        <v>0.10230201510473458</v>
      </c>
      <c r="F20" s="41">
        <v>-5.9979848952654152E-3</v>
      </c>
      <c r="G20" s="42">
        <v>5.9672942907340069E-3</v>
      </c>
      <c r="J20" s="40">
        <f t="shared" si="1"/>
        <v>-0.10049999999999999</v>
      </c>
      <c r="K20" s="45">
        <f t="shared" si="0"/>
        <v>-6.3E-2</v>
      </c>
      <c r="L20" s="42">
        <v>4.8654290499999982E-3</v>
      </c>
    </row>
    <row r="21" spans="1:12">
      <c r="A21" s="40">
        <v>-0.19749999999999995</v>
      </c>
      <c r="B21" s="41">
        <v>-5.2499999999999963E-2</v>
      </c>
      <c r="C21" s="42">
        <v>4.9999999999999958E-3</v>
      </c>
      <c r="D21" s="35"/>
      <c r="E21" s="44">
        <v>0.10330167925394548</v>
      </c>
      <c r="F21" s="41">
        <v>-4.9983207460545104E-3</v>
      </c>
      <c r="G21" s="42">
        <v>4.9673302422783292E-3</v>
      </c>
      <c r="J21" s="40">
        <f t="shared" si="1"/>
        <v>-0.09</v>
      </c>
      <c r="K21" s="45">
        <f t="shared" si="0"/>
        <v>-5.2499999999999998E-2</v>
      </c>
      <c r="L21" s="42">
        <v>3.8654289999999992E-3</v>
      </c>
    </row>
    <row r="22" spans="1:12">
      <c r="A22" s="40">
        <v>-0.18699999999999994</v>
      </c>
      <c r="B22" s="41">
        <v>-4.1999999999999954E-2</v>
      </c>
      <c r="C22" s="42">
        <v>3.9999999999999949E-3</v>
      </c>
      <c r="D22" s="35"/>
      <c r="E22" s="44">
        <v>0.10430134340315639</v>
      </c>
      <c r="F22" s="41">
        <v>-3.9986565968436055E-3</v>
      </c>
      <c r="G22" s="42">
        <v>3.9673661938226697E-3</v>
      </c>
      <c r="J22" s="40">
        <f t="shared" si="1"/>
        <v>-7.9500000000000001E-2</v>
      </c>
      <c r="K22" s="45">
        <f t="shared" si="0"/>
        <v>-4.2000000000000003E-2</v>
      </c>
      <c r="L22" s="42">
        <v>2.8654289499999998E-3</v>
      </c>
    </row>
    <row r="23" spans="1:12">
      <c r="A23" s="40">
        <v>-0.17649999999999993</v>
      </c>
      <c r="B23" s="41">
        <v>-3.1499999999999945E-2</v>
      </c>
      <c r="C23" s="42">
        <v>2.999999999999994E-3</v>
      </c>
      <c r="D23" s="35"/>
      <c r="E23" s="44">
        <v>0.10530100755236729</v>
      </c>
      <c r="F23" s="41">
        <v>-2.9989924476327007E-3</v>
      </c>
      <c r="G23" s="42">
        <v>2.9674021453669928E-3</v>
      </c>
      <c r="J23" s="40">
        <f t="shared" si="1"/>
        <v>-6.9000000000000006E-2</v>
      </c>
      <c r="K23" s="45">
        <f t="shared" si="0"/>
        <v>-3.1500000000000007E-2</v>
      </c>
      <c r="L23" s="42">
        <v>1.8654289000000002E-3</v>
      </c>
    </row>
    <row r="24" spans="1:12">
      <c r="A24" s="40">
        <v>-0.16599999999999993</v>
      </c>
      <c r="B24" s="41">
        <v>-2.0999999999999935E-2</v>
      </c>
      <c r="C24" s="42">
        <v>1.9999999999999931E-3</v>
      </c>
      <c r="D24" s="35"/>
      <c r="E24" s="44">
        <v>0.1063006717015782</v>
      </c>
      <c r="F24" s="41">
        <v>-1.9993282984217958E-3</v>
      </c>
      <c r="G24" s="42">
        <v>1.9674380969113337E-3</v>
      </c>
      <c r="J24" s="40">
        <f t="shared" si="1"/>
        <v>-5.8500000000000003E-2</v>
      </c>
      <c r="K24" s="45">
        <f t="shared" si="0"/>
        <v>-2.1000000000000005E-2</v>
      </c>
      <c r="L24" s="42">
        <v>8.6542884999999954E-4</v>
      </c>
    </row>
    <row r="25" spans="1:12">
      <c r="A25" s="40">
        <v>-0.15549999999999992</v>
      </c>
      <c r="B25" s="41">
        <v>-1.0499999999999926E-2</v>
      </c>
      <c r="C25" s="42">
        <v>9.99999999999992E-4</v>
      </c>
      <c r="D25" s="35"/>
      <c r="E25" s="44">
        <v>0.1073003358507891</v>
      </c>
      <c r="F25" s="41">
        <v>-9.9966414921089097E-4</v>
      </c>
      <c r="G25" s="42">
        <v>9.6747404845565655E-4</v>
      </c>
      <c r="J25" s="40">
        <f t="shared" si="1"/>
        <v>-4.8000000000000001E-2</v>
      </c>
      <c r="K25" s="45">
        <f t="shared" si="0"/>
        <v>-1.0500000000000002E-2</v>
      </c>
      <c r="L25" s="42">
        <v>-1.3457120000000044E-4</v>
      </c>
    </row>
    <row r="26" spans="1:12">
      <c r="A26" s="50">
        <v>-0.14499999999999991</v>
      </c>
      <c r="B26" s="51">
        <v>0</v>
      </c>
      <c r="C26" s="52">
        <v>-8.8817841970012525E-18</v>
      </c>
      <c r="D26" s="35"/>
      <c r="E26" s="50">
        <v>0.10830000000000001</v>
      </c>
      <c r="F26" s="51">
        <v>0</v>
      </c>
      <c r="G26" s="52">
        <v>-3.2490000000002794E-5</v>
      </c>
      <c r="J26" s="40">
        <f t="shared" si="1"/>
        <v>-3.7499999999999999E-2</v>
      </c>
      <c r="K26" s="45">
        <f t="shared" si="0"/>
        <v>0</v>
      </c>
      <c r="L26" s="42">
        <v>-1.1345712500000005E-3</v>
      </c>
    </row>
    <row r="27" spans="1:12">
      <c r="A27" s="40">
        <v>-0.1344999999999999</v>
      </c>
      <c r="B27" s="41">
        <v>1.0500000000000093E-2</v>
      </c>
      <c r="C27" s="42">
        <v>-1.0000000000000098E-3</v>
      </c>
      <c r="D27" s="49"/>
      <c r="E27" s="44">
        <v>0.10929966414921091</v>
      </c>
      <c r="F27" s="41">
        <v>9.9966414921091873E-4</v>
      </c>
      <c r="G27" s="42">
        <v>-1.0324540484556799E-3</v>
      </c>
      <c r="J27" s="40">
        <f t="shared" si="1"/>
        <v>-2.6999999999999996E-2</v>
      </c>
      <c r="K27" s="45">
        <f t="shared" si="0"/>
        <v>1.0500000000000002E-2</v>
      </c>
      <c r="L27" s="42">
        <v>-2.1345713000000006E-3</v>
      </c>
    </row>
    <row r="28" spans="1:12">
      <c r="A28" s="40">
        <v>-0.12399999999999989</v>
      </c>
      <c r="B28" s="41">
        <v>2.1000000000000102E-2</v>
      </c>
      <c r="C28" s="42">
        <v>-2.0000000000000104E-3</v>
      </c>
      <c r="D28" s="35"/>
      <c r="E28" s="44">
        <v>0.11029932829842182</v>
      </c>
      <c r="F28" s="41">
        <v>1.9993282984218236E-3</v>
      </c>
      <c r="G28" s="42">
        <v>-2.0324180969113394E-3</v>
      </c>
      <c r="J28" s="40">
        <f t="shared" si="1"/>
        <v>-1.6499999999999994E-2</v>
      </c>
      <c r="K28" s="45">
        <f t="shared" si="0"/>
        <v>2.1000000000000005E-2</v>
      </c>
      <c r="L28" s="42">
        <v>-3.1345713500000004E-3</v>
      </c>
    </row>
    <row r="29" spans="1:12">
      <c r="A29" s="40">
        <v>-0.11349999999999988</v>
      </c>
      <c r="B29" s="41">
        <v>3.1500000000000111E-2</v>
      </c>
      <c r="C29" s="42">
        <v>-3.0000000000000113E-3</v>
      </c>
      <c r="D29" s="35"/>
      <c r="E29" s="44">
        <v>0.11129899244763272</v>
      </c>
      <c r="F29" s="41">
        <v>2.9989924476327284E-3</v>
      </c>
      <c r="G29" s="42">
        <v>-3.0323821453670163E-3</v>
      </c>
      <c r="J29" s="40">
        <f t="shared" si="1"/>
        <v>-5.9999999999999932E-3</v>
      </c>
      <c r="K29" s="45">
        <f t="shared" si="0"/>
        <v>3.1500000000000007E-2</v>
      </c>
      <c r="L29" s="42">
        <v>-4.1345714000000011E-3</v>
      </c>
    </row>
    <row r="30" spans="1:12">
      <c r="A30" s="40">
        <v>-0.10299999999999987</v>
      </c>
      <c r="B30" s="41">
        <v>4.2000000000000121E-2</v>
      </c>
      <c r="C30" s="42">
        <v>-4.0000000000000122E-3</v>
      </c>
      <c r="D30" s="35"/>
      <c r="E30" s="44">
        <v>0.11229865659684363</v>
      </c>
      <c r="F30" s="41">
        <v>3.9986565968436333E-3</v>
      </c>
      <c r="G30" s="42">
        <v>-4.0323461938226758E-3</v>
      </c>
      <c r="J30" s="40">
        <f t="shared" si="1"/>
        <v>4.5000000000000075E-3</v>
      </c>
      <c r="K30" s="45">
        <f t="shared" si="0"/>
        <v>4.200000000000001E-2</v>
      </c>
      <c r="L30" s="42">
        <v>-5.1345714500000009E-3</v>
      </c>
    </row>
    <row r="31" spans="1:12">
      <c r="A31" s="40">
        <v>-9.249999999999986E-2</v>
      </c>
      <c r="B31" s="41">
        <v>5.250000000000013E-2</v>
      </c>
      <c r="C31" s="42">
        <v>-5.0000000000000131E-3</v>
      </c>
      <c r="D31" s="35"/>
      <c r="E31" s="44">
        <v>0.11329832074605453</v>
      </c>
      <c r="F31" s="41">
        <v>4.9983207460545381E-3</v>
      </c>
      <c r="G31" s="42">
        <v>-5.0323102422783527E-3</v>
      </c>
      <c r="J31" s="40">
        <f t="shared" si="1"/>
        <v>1.5000000000000008E-2</v>
      </c>
      <c r="K31" s="45">
        <f t="shared" si="0"/>
        <v>5.2500000000000005E-2</v>
      </c>
      <c r="L31" s="42">
        <v>-6.1345715000000016E-3</v>
      </c>
    </row>
    <row r="32" spans="1:12">
      <c r="A32" s="40">
        <v>-8.1999999999999851E-2</v>
      </c>
      <c r="B32" s="41">
        <v>6.3000000000000139E-2</v>
      </c>
      <c r="C32" s="42">
        <v>-6.000000000000014E-3</v>
      </c>
      <c r="D32" s="35"/>
      <c r="E32" s="44">
        <v>0.11429798489526544</v>
      </c>
      <c r="F32" s="41">
        <v>5.997984895265443E-3</v>
      </c>
      <c r="G32" s="42">
        <v>-6.0322742907340122E-3</v>
      </c>
      <c r="J32" s="40">
        <f t="shared" si="1"/>
        <v>2.5500000000000009E-2</v>
      </c>
      <c r="K32" s="45">
        <f t="shared" si="0"/>
        <v>6.3E-2</v>
      </c>
      <c r="L32" s="42">
        <v>-7.1345715500000005E-3</v>
      </c>
    </row>
    <row r="33" spans="1:12">
      <c r="A33" s="40">
        <v>-7.1499999999999841E-2</v>
      </c>
      <c r="B33" s="41">
        <v>7.3500000000000149E-2</v>
      </c>
      <c r="C33" s="42">
        <v>-7.0000000000000149E-3</v>
      </c>
      <c r="D33" s="35"/>
      <c r="E33" s="44">
        <v>0.11529764904447634</v>
      </c>
      <c r="F33" s="41">
        <v>6.9976490444763478E-3</v>
      </c>
      <c r="G33" s="42">
        <v>-7.032238339189689E-3</v>
      </c>
      <c r="J33" s="40">
        <f t="shared" si="1"/>
        <v>3.6000000000000011E-2</v>
      </c>
      <c r="K33" s="45">
        <f t="shared" si="0"/>
        <v>7.350000000000001E-2</v>
      </c>
      <c r="L33" s="42">
        <v>-8.1345716000000012E-3</v>
      </c>
    </row>
    <row r="34" spans="1:12">
      <c r="A34" s="40">
        <v>-6.0999999999999839E-2</v>
      </c>
      <c r="B34" s="41">
        <v>8.4000000000000158E-2</v>
      </c>
      <c r="C34" s="42">
        <v>-8.000000000000014E-3</v>
      </c>
      <c r="D34" s="35"/>
      <c r="E34" s="44">
        <v>0.11629731319368725</v>
      </c>
      <c r="F34" s="41">
        <v>7.9973131936872527E-3</v>
      </c>
      <c r="G34" s="42">
        <v>-8.0322023876453486E-3</v>
      </c>
      <c r="J34" s="40">
        <f t="shared" si="1"/>
        <v>4.6500000000000014E-2</v>
      </c>
      <c r="K34" s="45">
        <f t="shared" si="0"/>
        <v>8.4000000000000019E-2</v>
      </c>
      <c r="L34" s="42">
        <v>-9.1345716500000011E-3</v>
      </c>
    </row>
    <row r="35" spans="1:12">
      <c r="A35" s="40">
        <v>-5.0499999999999837E-2</v>
      </c>
      <c r="B35" s="41">
        <v>9.4500000000000153E-2</v>
      </c>
      <c r="C35" s="42">
        <v>-9.0000000000000149E-3</v>
      </c>
      <c r="D35" s="35"/>
      <c r="E35" s="44">
        <v>0.11729697734289815</v>
      </c>
      <c r="F35" s="41">
        <v>8.9969773428981575E-3</v>
      </c>
      <c r="G35" s="42">
        <v>-9.0321664361010263E-3</v>
      </c>
      <c r="J35" s="40">
        <f t="shared" si="1"/>
        <v>5.7000000000000016E-2</v>
      </c>
      <c r="K35" s="45">
        <f t="shared" si="0"/>
        <v>9.4500000000000015E-2</v>
      </c>
      <c r="L35" s="42">
        <v>-1.0134571700000001E-2</v>
      </c>
    </row>
    <row r="36" spans="1:12">
      <c r="A36" s="40">
        <v>-3.9999999999999834E-2</v>
      </c>
      <c r="B36" s="41">
        <v>0.10500000000000015</v>
      </c>
      <c r="C36" s="42">
        <v>-1.0000000000000016E-2</v>
      </c>
      <c r="D36" s="35"/>
      <c r="E36" s="44">
        <v>0.11829664149210906</v>
      </c>
      <c r="F36" s="41">
        <v>9.9966414921090624E-3</v>
      </c>
      <c r="G36" s="42">
        <v>-1.0032130484556685E-2</v>
      </c>
      <c r="J36" s="40">
        <f t="shared" si="1"/>
        <v>6.7500000000000018E-2</v>
      </c>
      <c r="K36" s="45">
        <f t="shared" si="0"/>
        <v>0.10500000000000001</v>
      </c>
      <c r="L36" s="42">
        <v>-1.1134571750000002E-2</v>
      </c>
    </row>
    <row r="37" spans="1:12">
      <c r="A37" s="40">
        <v>-2.9499999999999832E-2</v>
      </c>
      <c r="B37" s="41">
        <v>0.11550000000000016</v>
      </c>
      <c r="C37" s="42">
        <v>-1.1000000000000017E-2</v>
      </c>
      <c r="D37" s="35"/>
      <c r="E37" s="44">
        <v>0.11929630564131996</v>
      </c>
      <c r="F37" s="41">
        <v>1.0996305641319967E-2</v>
      </c>
      <c r="G37" s="42">
        <v>-1.1032094533012363E-2</v>
      </c>
      <c r="J37" s="40">
        <f t="shared" si="1"/>
        <v>7.8000000000000014E-2</v>
      </c>
      <c r="K37" s="45">
        <f t="shared" si="0"/>
        <v>0.11550000000000002</v>
      </c>
      <c r="L37" s="42">
        <v>-1.2134571800000002E-2</v>
      </c>
    </row>
    <row r="38" spans="1:12">
      <c r="A38" s="40">
        <v>-1.899999999999983E-2</v>
      </c>
      <c r="B38" s="41">
        <v>0.12600000000000017</v>
      </c>
      <c r="C38" s="42">
        <v>-1.2000000000000016E-2</v>
      </c>
      <c r="D38" s="35"/>
      <c r="E38" s="44">
        <v>0.12029596979053087</v>
      </c>
      <c r="F38" s="41">
        <v>1.1995969790530872E-2</v>
      </c>
      <c r="G38" s="42">
        <v>-1.2032058581468021E-2</v>
      </c>
      <c r="J38" s="40">
        <f t="shared" si="1"/>
        <v>8.8500000000000009E-2</v>
      </c>
      <c r="K38" s="45">
        <f t="shared" si="0"/>
        <v>0.126</v>
      </c>
      <c r="L38" s="42">
        <v>-1.313457185E-2</v>
      </c>
    </row>
    <row r="39" spans="1:12">
      <c r="A39" s="40">
        <v>-8.4999999999998271E-3</v>
      </c>
      <c r="B39" s="41">
        <v>0.13650000000000018</v>
      </c>
      <c r="C39" s="42">
        <v>-1.3000000000000017E-2</v>
      </c>
      <c r="D39" s="28"/>
      <c r="E39" s="44">
        <v>0.12129563393974177</v>
      </c>
      <c r="F39" s="41">
        <v>1.2995633939741777E-2</v>
      </c>
      <c r="G39" s="42">
        <v>-1.3032022629923699E-2</v>
      </c>
      <c r="J39" s="40">
        <f t="shared" si="1"/>
        <v>9.9000000000000005E-2</v>
      </c>
      <c r="K39" s="45">
        <f t="shared" si="0"/>
        <v>0.13650000000000001</v>
      </c>
      <c r="L39" s="42">
        <v>-1.4134571899999998E-2</v>
      </c>
    </row>
    <row r="40" spans="1:12">
      <c r="A40" s="40">
        <v>2.0000000000001752E-3</v>
      </c>
      <c r="B40" s="41">
        <v>0.14700000000000016</v>
      </c>
      <c r="C40" s="42">
        <v>-1.4000000000000018E-2</v>
      </c>
      <c r="D40" s="35"/>
      <c r="E40" s="44">
        <v>0.12229529808895268</v>
      </c>
      <c r="F40" s="41">
        <v>1.3995298088952682E-2</v>
      </c>
      <c r="G40" s="42">
        <v>-1.4031986678379358E-2</v>
      </c>
      <c r="J40" s="40">
        <f t="shared" si="1"/>
        <v>0.1095</v>
      </c>
      <c r="K40" s="45">
        <f t="shared" si="0"/>
        <v>0.14699999999999999</v>
      </c>
      <c r="L40" s="42">
        <v>-1.513457195E-2</v>
      </c>
    </row>
    <row r="41" spans="1:12">
      <c r="A41" s="40">
        <v>1.2500000000000178E-2</v>
      </c>
      <c r="B41" s="41">
        <v>0.15750000000000017</v>
      </c>
      <c r="C41" s="42">
        <v>-1.5000000000000019E-2</v>
      </c>
      <c r="D41" s="35"/>
      <c r="E41" s="44">
        <v>0.12329496223816358</v>
      </c>
      <c r="F41" s="41">
        <v>1.4994962238163587E-2</v>
      </c>
      <c r="G41" s="42">
        <v>-1.5031950726835035E-2</v>
      </c>
      <c r="J41" s="40">
        <f t="shared" si="1"/>
        <v>0.12</v>
      </c>
      <c r="K41" s="45">
        <f t="shared" si="0"/>
        <v>0.1575</v>
      </c>
      <c r="L41" s="42">
        <v>-1.6134572E-2</v>
      </c>
    </row>
    <row r="42" spans="1:12">
      <c r="A42" s="40">
        <v>2.300000000000018E-2</v>
      </c>
      <c r="B42" s="41">
        <v>0.16800000000000018</v>
      </c>
      <c r="C42" s="42">
        <v>-1.6000000000000018E-2</v>
      </c>
      <c r="D42" s="35"/>
      <c r="E42" s="44">
        <v>0.12429462638737448</v>
      </c>
      <c r="F42" s="41">
        <v>1.5994626387374491E-2</v>
      </c>
      <c r="G42" s="42">
        <v>-1.6031914775290694E-2</v>
      </c>
      <c r="J42" s="40">
        <f t="shared" si="1"/>
        <v>0.1305</v>
      </c>
      <c r="K42" s="45">
        <f t="shared" si="0"/>
        <v>0.16800000000000001</v>
      </c>
      <c r="L42" s="42">
        <v>-1.7134572050000001E-2</v>
      </c>
    </row>
    <row r="43" spans="1:12">
      <c r="A43" s="40">
        <v>3.3500000000000182E-2</v>
      </c>
      <c r="B43" s="41">
        <v>0.17850000000000016</v>
      </c>
      <c r="C43" s="42">
        <v>-1.7000000000000019E-2</v>
      </c>
      <c r="D43" s="35"/>
      <c r="E43" s="44">
        <v>0.12529429053658539</v>
      </c>
      <c r="F43" s="41">
        <v>1.6994290536585396E-2</v>
      </c>
      <c r="G43" s="42">
        <v>-1.703187882374637E-2</v>
      </c>
      <c r="J43" s="40">
        <f t="shared" si="1"/>
        <v>0.14100000000000001</v>
      </c>
      <c r="K43" s="45">
        <f t="shared" si="0"/>
        <v>0.17850000000000002</v>
      </c>
      <c r="L43" s="42">
        <v>-1.8134572100000003E-2</v>
      </c>
    </row>
    <row r="44" spans="1:12">
      <c r="A44" s="40">
        <v>4.4000000000000185E-2</v>
      </c>
      <c r="B44" s="41">
        <v>0.18900000000000017</v>
      </c>
      <c r="C44" s="42">
        <v>-1.8000000000000016E-2</v>
      </c>
      <c r="D44" s="35"/>
      <c r="E44" s="44">
        <v>0.12629395468579629</v>
      </c>
      <c r="F44" s="41">
        <v>1.7993954685796301E-2</v>
      </c>
      <c r="G44" s="42">
        <v>-1.8031842872202032E-2</v>
      </c>
      <c r="J44" s="40">
        <f>J43+0.0105</f>
        <v>0.15150000000000002</v>
      </c>
      <c r="K44" s="45">
        <f t="shared" si="0"/>
        <v>0.18900000000000003</v>
      </c>
      <c r="L44" s="42">
        <v>-1.9134572150000001E-2</v>
      </c>
    </row>
    <row r="45" spans="1:12">
      <c r="A45" s="40">
        <v>5.4500000000000187E-2</v>
      </c>
      <c r="B45" s="41">
        <v>0.19950000000000018</v>
      </c>
      <c r="C45" s="42">
        <v>-1.9000000000000017E-2</v>
      </c>
      <c r="D45" s="35"/>
      <c r="E45" s="44">
        <v>0.1272936188350072</v>
      </c>
      <c r="F45" s="41">
        <v>1.8993618835007206E-2</v>
      </c>
      <c r="G45" s="42">
        <v>-1.9031806920657708E-2</v>
      </c>
      <c r="J45" s="40">
        <f t="shared" si="1"/>
        <v>0.16200000000000003</v>
      </c>
      <c r="K45" s="45">
        <f t="shared" si="0"/>
        <v>0.19950000000000004</v>
      </c>
      <c r="L45" s="42">
        <f>L46</f>
        <v>-0.02</v>
      </c>
    </row>
    <row r="46" spans="1:12">
      <c r="A46" s="40">
        <v>6.5000000000000197E-2</v>
      </c>
      <c r="B46" s="41">
        <v>0.21000000000000019</v>
      </c>
      <c r="C46" s="98">
        <v>-2.0000000000000018E-2</v>
      </c>
      <c r="D46" s="35"/>
      <c r="E46" s="97">
        <v>0.1282932829842181</v>
      </c>
      <c r="F46" s="41">
        <v>1.9993282984218111E-2</v>
      </c>
      <c r="G46" s="42">
        <v>-2.0031770969113367E-2</v>
      </c>
      <c r="I46" s="17"/>
      <c r="J46" s="36" t="s">
        <v>113</v>
      </c>
      <c r="K46" s="37"/>
      <c r="L46" s="38">
        <v>-0.02</v>
      </c>
    </row>
    <row r="47" spans="1:12">
      <c r="A47" s="36" t="s">
        <v>113</v>
      </c>
      <c r="B47" s="37"/>
      <c r="C47" s="38">
        <v>-0.02</v>
      </c>
      <c r="D47" s="35"/>
      <c r="E47" s="36" t="s">
        <v>113</v>
      </c>
      <c r="F47" s="37"/>
      <c r="G47" s="38">
        <v>-2.0031770969113367E-2</v>
      </c>
    </row>
  </sheetData>
  <mergeCells count="9">
    <mergeCell ref="J11:L11"/>
    <mergeCell ref="A11:C11"/>
    <mergeCell ref="E11:G11"/>
    <mergeCell ref="A12:A13"/>
    <mergeCell ref="B12:B13"/>
    <mergeCell ref="C12:C13"/>
    <mergeCell ref="E12:E13"/>
    <mergeCell ref="F12:F13"/>
    <mergeCell ref="G12:G13"/>
  </mergeCells>
  <printOptions horizontalCentered="1" verticalCentered="1"/>
  <pageMargins left="0.45" right="0.45" top="0.25" bottom="0.25" header="0.3" footer="0.3"/>
  <pageSetup scale="92" orientation="portrait"/>
  <headerFooter>
    <oddFooter>&amp;CHSCRC Work Group Meeting
Feb 2,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69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9.28515625" defaultRowHeight="15"/>
  <cols>
    <col min="1" max="1" width="10" style="57" customWidth="1"/>
    <col min="2" max="2" width="41.42578125" style="58" customWidth="1"/>
    <col min="3" max="3" width="17" style="57" customWidth="1"/>
    <col min="4" max="4" width="11" style="57" customWidth="1"/>
    <col min="5" max="5" width="16.7109375" style="57" customWidth="1"/>
    <col min="6" max="8" width="17.140625" style="57" customWidth="1"/>
    <col min="9" max="9" width="8.7109375" style="57" customWidth="1"/>
    <col min="10" max="10" width="12.5703125" style="57" customWidth="1"/>
    <col min="11" max="11" width="15" style="57" customWidth="1"/>
    <col min="12" max="12" width="16" style="57" customWidth="1"/>
    <col min="13" max="13" width="9.140625" style="57" customWidth="1"/>
    <col min="14" max="14" width="13" style="57" customWidth="1"/>
    <col min="15" max="15" width="16.140625" style="57" customWidth="1"/>
    <col min="16" max="16" width="18" style="94" customWidth="1"/>
    <col min="17" max="17" width="13.140625" style="57" customWidth="1"/>
    <col min="18" max="18" width="14.5703125" style="57" customWidth="1"/>
    <col min="19" max="19" width="9.28515625" style="57"/>
    <col min="20" max="20" width="28.140625" style="57" bestFit="1" customWidth="1"/>
    <col min="21" max="16384" width="9.28515625" style="57"/>
  </cols>
  <sheetData>
    <row r="1" spans="1:20" ht="15.75">
      <c r="A1" s="53" t="s">
        <v>114</v>
      </c>
    </row>
    <row r="2" spans="1:20" ht="15.75">
      <c r="B2" s="114"/>
      <c r="C2" s="54"/>
      <c r="D2" s="55"/>
      <c r="E2" s="56"/>
      <c r="F2" s="55"/>
      <c r="G2" s="55"/>
      <c r="H2" s="55"/>
      <c r="I2" s="151" t="s">
        <v>115</v>
      </c>
      <c r="J2" s="152"/>
      <c r="K2" s="153"/>
      <c r="L2" s="155" t="s">
        <v>116</v>
      </c>
      <c r="M2" s="156"/>
      <c r="N2" s="156"/>
      <c r="O2" s="157"/>
      <c r="P2" s="158" t="s">
        <v>117</v>
      </c>
      <c r="Q2" s="159"/>
      <c r="R2" s="159"/>
    </row>
    <row r="3" spans="1:20" s="127" customFormat="1" ht="90">
      <c r="A3" s="128" t="s">
        <v>118</v>
      </c>
      <c r="B3" s="122" t="s">
        <v>119</v>
      </c>
      <c r="C3" s="123" t="s">
        <v>237</v>
      </c>
      <c r="D3" s="124" t="s">
        <v>120</v>
      </c>
      <c r="E3" s="124" t="s">
        <v>234</v>
      </c>
      <c r="F3" s="124" t="s">
        <v>235</v>
      </c>
      <c r="G3" s="124" t="s">
        <v>236</v>
      </c>
      <c r="H3" s="124" t="s">
        <v>184</v>
      </c>
      <c r="I3" s="125" t="s">
        <v>239</v>
      </c>
      <c r="J3" s="125" t="s">
        <v>240</v>
      </c>
      <c r="K3" s="125" t="s">
        <v>241</v>
      </c>
      <c r="L3" s="126" t="s">
        <v>238</v>
      </c>
      <c r="M3" s="126" t="s">
        <v>248</v>
      </c>
      <c r="N3" s="126" t="s">
        <v>240</v>
      </c>
      <c r="O3" s="126" t="s">
        <v>241</v>
      </c>
      <c r="P3" s="121" t="s">
        <v>242</v>
      </c>
      <c r="Q3" s="121" t="s">
        <v>243</v>
      </c>
      <c r="R3" s="121" t="s">
        <v>244</v>
      </c>
    </row>
    <row r="4" spans="1:20">
      <c r="A4" s="59">
        <v>210001</v>
      </c>
      <c r="B4" s="115" t="s">
        <v>47</v>
      </c>
      <c r="C4" s="61">
        <f>VLOOKUP(A4,'[5]Source Revenue'!$A:$E,5,FALSE)</f>
        <v>190799459.25308439</v>
      </c>
      <c r="D4" s="62">
        <f>VLOOKUP(A4,'Source Readmission Final'!A:Q,16,FALSE)</f>
        <v>-6.4399999999999999E-2</v>
      </c>
      <c r="E4" s="62">
        <f>VLOOKUP(A4,'Source Readmission Final'!A:Q,8,FALSE)</f>
        <v>0.11219999999999999</v>
      </c>
      <c r="F4" s="62">
        <f>VLOOKUP(A4,'Source Readmission Final'!A:O,14,FALSE)</f>
        <v>0.1159</v>
      </c>
      <c r="G4" s="62">
        <f>VLOOKUP(A4,'Source Readmission Final'!A:Q,15,FALSE)</f>
        <v>3.3000000000000002E-2</v>
      </c>
      <c r="H4" s="62">
        <f>VLOOKUP(A4,'Source Readmission Final'!A:Q,17,FALSE)</f>
        <v>-3.3525200000000144E-2</v>
      </c>
      <c r="I4" s="64">
        <f t="shared" ref="I4:I50" si="0">ImpTarget</f>
        <v>-0.14099999999999999</v>
      </c>
      <c r="J4" s="65">
        <f t="shared" ref="J4:J50" si="1">ROUND(IF(H4&lt;=ImpMaxRewardScore,MaxReward,IF(H4&gt;=ImpMaxPenaltyScore,MaxPenalty,IF(H4&lt;=ImpTarget,MaxReward*((H4-ImpTarget)/(ImpMaxRewardScore-ImpTarget)),MaxPenalty*((H4-ImpTarget)/(ImpMaxPenaltyScore-ImpTarget))))),4)</f>
        <v>-1.0200000000000001E-2</v>
      </c>
      <c r="K4" s="66">
        <f t="shared" ref="K4:K45" si="2">ROUND($C4*J4,0)</f>
        <v>-1946154</v>
      </c>
      <c r="L4" s="62">
        <f>VLOOKUP(A4,'Readmit Attainment'!A:G,7,FALSE)</f>
        <v>0.12111349480968858</v>
      </c>
      <c r="M4" s="67">
        <f>'Readmission Scaling'!$H$5</f>
        <v>0.10829999999999999</v>
      </c>
      <c r="N4" s="65">
        <f t="shared" ref="N4:N51" si="3">ROUND(IF(L4&lt;=AttMaxRewardScore,MaxReward,IF(L4&gt;=AttMaxPenaltyScore,MaxPenalty,IF(L4&lt;=AttTarget,MaxReward*((L4-AttTarget)/(AttMaxRewardScore-AttTarget)),MaxPenalty*((L4-AttTarget)/(AttMaxPenaltyScore-AttTarget))))),4)</f>
        <v>-1.2800000000000001E-2</v>
      </c>
      <c r="O4" s="66">
        <f>$C4*N4</f>
        <v>-2442233.0784394802</v>
      </c>
      <c r="P4" s="68">
        <f t="shared" ref="P4:P51" si="4">MAX(K4,O4)</f>
        <v>-1946154</v>
      </c>
      <c r="Q4" s="67">
        <f t="shared" ref="Q4:Q51" si="5">P4/C4</f>
        <v>-1.0199997461305904E-2</v>
      </c>
      <c r="R4" s="60" t="str">
        <f>IF(P4=O4,"Att",IF(P4=K4,"Imp"))</f>
        <v>Imp</v>
      </c>
      <c r="S4" s="69"/>
      <c r="T4" s="70"/>
    </row>
    <row r="5" spans="1:20">
      <c r="A5" s="59">
        <v>210002</v>
      </c>
      <c r="B5" s="115" t="s">
        <v>48</v>
      </c>
      <c r="C5" s="61">
        <f>VLOOKUP(A5,'[5]Source Revenue'!$A:$E,5,FALSE)</f>
        <v>919253797.00466895</v>
      </c>
      <c r="D5" s="62">
        <f>VLOOKUP(A5,'Source Readmission Final'!A:Q,16,FALSE)</f>
        <v>-0.1195</v>
      </c>
      <c r="E5" s="62">
        <f>VLOOKUP(A5,'Source Readmission Final'!A:Q,8,FALSE)</f>
        <v>0.1293</v>
      </c>
      <c r="F5" s="62">
        <f>VLOOKUP(A5,'Source Readmission Final'!A:O,14,FALSE)</f>
        <v>0.13170000000000001</v>
      </c>
      <c r="G5" s="62">
        <f>VLOOKUP(A5,'Source Readmission Final'!A:Q,15,FALSE)</f>
        <v>1.8599999999999998E-2</v>
      </c>
      <c r="H5" s="62">
        <f>VLOOKUP(A5,'Source Readmission Final'!A:Q,17,FALSE)</f>
        <v>-0.10312270000000001</v>
      </c>
      <c r="I5" s="64">
        <f t="shared" si="0"/>
        <v>-0.14099999999999999</v>
      </c>
      <c r="J5" s="65">
        <f t="shared" si="1"/>
        <v>-3.5999999999999999E-3</v>
      </c>
      <c r="K5" s="66">
        <f t="shared" si="2"/>
        <v>-3309314</v>
      </c>
      <c r="L5" s="62">
        <f>VLOOKUP(A5,'Readmit Attainment'!A:G,7,FALSE)</f>
        <v>0.13666031659388647</v>
      </c>
      <c r="M5" s="67">
        <f>'Readmission Scaling'!$H$5</f>
        <v>0.10829999999999999</v>
      </c>
      <c r="N5" s="65">
        <f t="shared" si="3"/>
        <v>-0.02</v>
      </c>
      <c r="O5" s="66">
        <f>$C5*N5</f>
        <v>-18385075.940093379</v>
      </c>
      <c r="P5" s="68">
        <f t="shared" si="4"/>
        <v>-3309314</v>
      </c>
      <c r="Q5" s="67">
        <f t="shared" si="5"/>
        <v>-3.6000003598388093E-3</v>
      </c>
      <c r="R5" s="60" t="str">
        <f t="shared" ref="R5:R51" si="6">IF(P5=O5,"Att",IF(P5=K5,"Imp"))</f>
        <v>Imp</v>
      </c>
    </row>
    <row r="6" spans="1:20">
      <c r="A6" s="59">
        <v>210003</v>
      </c>
      <c r="B6" s="115" t="s">
        <v>49</v>
      </c>
      <c r="C6" s="61">
        <f>VLOOKUP(A6,'[5]Source Revenue'!$A:$E,5,FALSE)</f>
        <v>215464625.47910616</v>
      </c>
      <c r="D6" s="62">
        <f>VLOOKUP(A6,'Source Readmission Final'!A:Q,16,FALSE)</f>
        <v>-2.8E-3</v>
      </c>
      <c r="E6" s="62">
        <f>VLOOKUP(A6,'Source Readmission Final'!A:Q,8,FALSE)</f>
        <v>0.1099</v>
      </c>
      <c r="F6" s="62">
        <f>VLOOKUP(A6,'Source Readmission Final'!A:O,14,FALSE)</f>
        <v>0.106</v>
      </c>
      <c r="G6" s="62">
        <f>VLOOKUP(A6,'Source Readmission Final'!A:Q,15,FALSE)</f>
        <v>-3.5499999999999997E-2</v>
      </c>
      <c r="H6" s="62">
        <f>VLOOKUP(A6,'Source Readmission Final'!A:Q,17,FALSE)</f>
        <v>-3.8200600000000029E-2</v>
      </c>
      <c r="I6" s="64">
        <f t="shared" si="0"/>
        <v>-0.14099999999999999</v>
      </c>
      <c r="J6" s="65">
        <f t="shared" si="1"/>
        <v>-9.7999999999999997E-3</v>
      </c>
      <c r="K6" s="66">
        <f t="shared" si="2"/>
        <v>-2111553</v>
      </c>
      <c r="L6" s="62">
        <f>VLOOKUP(A6,'Readmit Attainment'!A:G,7,FALSE)</f>
        <v>0.13535059760956175</v>
      </c>
      <c r="M6" s="67">
        <f>'Readmission Scaling'!$H$5</f>
        <v>0.10829999999999999</v>
      </c>
      <c r="N6" s="65">
        <f t="shared" si="3"/>
        <v>-0.02</v>
      </c>
      <c r="O6" s="66">
        <f>$C6*N6</f>
        <v>-4309292.5095821228</v>
      </c>
      <c r="P6" s="68">
        <f t="shared" si="4"/>
        <v>-2111553</v>
      </c>
      <c r="Q6" s="67">
        <f t="shared" si="5"/>
        <v>-9.7999984698405145E-3</v>
      </c>
      <c r="R6" s="60" t="str">
        <f t="shared" si="6"/>
        <v>Imp</v>
      </c>
    </row>
    <row r="7" spans="1:20">
      <c r="A7" s="59">
        <v>210004</v>
      </c>
      <c r="B7" s="115" t="s">
        <v>50</v>
      </c>
      <c r="C7" s="61">
        <f>VLOOKUP(A7,'[5]Source Revenue'!$A:$E,5,FALSE)</f>
        <v>340412069.37878394</v>
      </c>
      <c r="D7" s="62">
        <f>VLOOKUP(A7,'Source Readmission Final'!A:Q,16,FALSE)</f>
        <v>2.3E-2</v>
      </c>
      <c r="E7" s="62">
        <f>VLOOKUP(A7,'Source Readmission Final'!A:Q,8,FALSE)</f>
        <v>0.11700000000000001</v>
      </c>
      <c r="F7" s="62">
        <f>VLOOKUP(A7,'Source Readmission Final'!A:O,14,FALSE)</f>
        <v>0.1178</v>
      </c>
      <c r="G7" s="62">
        <f>VLOOKUP(A7,'Source Readmission Final'!A:Q,15,FALSE)</f>
        <v>6.7999999999999996E-3</v>
      </c>
      <c r="H7" s="62">
        <f>VLOOKUP(A7,'Source Readmission Final'!A:Q,17,FALSE)</f>
        <v>2.9956399999999883E-2</v>
      </c>
      <c r="I7" s="64">
        <f t="shared" si="0"/>
        <v>-0.14099999999999999</v>
      </c>
      <c r="J7" s="65">
        <f t="shared" si="1"/>
        <v>-1.6299999999999999E-2</v>
      </c>
      <c r="K7" s="66">
        <f t="shared" si="2"/>
        <v>-5548717</v>
      </c>
      <c r="L7" s="62">
        <f>VLOOKUP(A7,'Readmit Attainment'!A:G,7,FALSE)</f>
        <v>0.12871335149863758</v>
      </c>
      <c r="M7" s="67">
        <f>'Readmission Scaling'!$H$5</f>
        <v>0.10829999999999999</v>
      </c>
      <c r="N7" s="65">
        <f t="shared" si="3"/>
        <v>-0.02</v>
      </c>
      <c r="O7" s="66">
        <f t="shared" ref="O7:O44" si="7">ROUND($C7*N7,0)</f>
        <v>-6808241</v>
      </c>
      <c r="P7" s="68">
        <f t="shared" si="4"/>
        <v>-5548717</v>
      </c>
      <c r="Q7" s="67">
        <f t="shared" si="5"/>
        <v>-1.6300000790588368E-2</v>
      </c>
      <c r="R7" s="60" t="str">
        <f t="shared" si="6"/>
        <v>Imp</v>
      </c>
    </row>
    <row r="8" spans="1:20">
      <c r="A8" s="59">
        <v>210005</v>
      </c>
      <c r="B8" s="115" t="s">
        <v>51</v>
      </c>
      <c r="C8" s="61">
        <f>VLOOKUP(A8,'[5]Source Revenue'!$A:$E,5,FALSE)</f>
        <v>220972342.6920858</v>
      </c>
      <c r="D8" s="62">
        <f>VLOOKUP(A8,'Source Readmission Final'!A:Q,16,FALSE)</f>
        <v>-9.8100000000000007E-2</v>
      </c>
      <c r="E8" s="62">
        <f>VLOOKUP(A8,'Source Readmission Final'!A:Q,8,FALSE)</f>
        <v>9.7100000000000006E-2</v>
      </c>
      <c r="F8" s="62">
        <f>VLOOKUP(A8,'Source Readmission Final'!A:O,14,FALSE)</f>
        <v>0.1053</v>
      </c>
      <c r="G8" s="62">
        <f>VLOOKUP(A8,'Source Readmission Final'!A:Q,15,FALSE)</f>
        <v>8.4400000000000003E-2</v>
      </c>
      <c r="H8" s="62">
        <f>VLOOKUP(A8,'Source Readmission Final'!A:Q,17,FALSE)</f>
        <v>-2.1979639999999967E-2</v>
      </c>
      <c r="I8" s="64">
        <f t="shared" si="0"/>
        <v>-0.14099999999999999</v>
      </c>
      <c r="J8" s="65">
        <f t="shared" si="1"/>
        <v>-1.1299999999999999E-2</v>
      </c>
      <c r="K8" s="66">
        <f t="shared" si="2"/>
        <v>-2496987</v>
      </c>
      <c r="L8" s="62">
        <f>VLOOKUP(A8,'Readmit Attainment'!A:G,7,FALSE)</f>
        <v>0.10892831460674159</v>
      </c>
      <c r="M8" s="67">
        <f>'Readmission Scaling'!$H$5</f>
        <v>0.10829999999999999</v>
      </c>
      <c r="N8" s="65">
        <f t="shared" si="3"/>
        <v>-5.9999999999999995E-4</v>
      </c>
      <c r="O8" s="66">
        <f t="shared" si="7"/>
        <v>-132583</v>
      </c>
      <c r="P8" s="68">
        <f t="shared" si="4"/>
        <v>-132583</v>
      </c>
      <c r="Q8" s="67">
        <f t="shared" si="5"/>
        <v>-5.9999816440715371E-4</v>
      </c>
      <c r="R8" s="60" t="str">
        <f t="shared" si="6"/>
        <v>Att</v>
      </c>
    </row>
    <row r="9" spans="1:20">
      <c r="A9" s="59">
        <v>210006</v>
      </c>
      <c r="B9" s="115" t="s">
        <v>52</v>
      </c>
      <c r="C9" s="61">
        <f>VLOOKUP(A9,'[5]Source Revenue'!$A:$E,5,FALSE)</f>
        <v>48557780.867004141</v>
      </c>
      <c r="D9" s="62">
        <f>VLOOKUP(A9,'Source Readmission Final'!A:Q,16,FALSE)</f>
        <v>5.3800000000000001E-2</v>
      </c>
      <c r="E9" s="62">
        <f>VLOOKUP(A9,'Source Readmission Final'!A:Q,8,FALSE)</f>
        <v>0.126</v>
      </c>
      <c r="F9" s="62">
        <f>VLOOKUP(A9,'Source Readmission Final'!A:O,14,FALSE)</f>
        <v>0.108</v>
      </c>
      <c r="G9" s="62">
        <f>VLOOKUP(A9,'Source Readmission Final'!A:Q,15,FALSE)</f>
        <v>-0.1429</v>
      </c>
      <c r="H9" s="62">
        <f>VLOOKUP(A9,'Source Readmission Final'!A:Q,17,FALSE)</f>
        <v>-9.6788019999999975E-2</v>
      </c>
      <c r="I9" s="64">
        <f t="shared" si="0"/>
        <v>-0.14099999999999999</v>
      </c>
      <c r="J9" s="65">
        <f t="shared" si="1"/>
        <v>-4.1999999999999997E-3</v>
      </c>
      <c r="K9" s="66">
        <f t="shared" si="2"/>
        <v>-203943</v>
      </c>
      <c r="L9" s="62">
        <f>VLOOKUP(A9,'Readmit Attainment'!A:G,7,FALSE)</f>
        <v>0.11256753069577079</v>
      </c>
      <c r="M9" s="67">
        <f>'Readmission Scaling'!$H$5</f>
        <v>0.10829999999999999</v>
      </c>
      <c r="N9" s="65">
        <f t="shared" si="3"/>
        <v>-4.3E-3</v>
      </c>
      <c r="O9" s="66">
        <f t="shared" si="7"/>
        <v>-208798</v>
      </c>
      <c r="P9" s="68">
        <f t="shared" si="4"/>
        <v>-203943</v>
      </c>
      <c r="Q9" s="67">
        <f t="shared" si="5"/>
        <v>-4.2000065974716486E-3</v>
      </c>
      <c r="R9" s="60" t="str">
        <f t="shared" si="6"/>
        <v>Imp</v>
      </c>
    </row>
    <row r="10" spans="1:20">
      <c r="A10" s="59">
        <v>210008</v>
      </c>
      <c r="B10" s="115" t="s">
        <v>53</v>
      </c>
      <c r="C10" s="61">
        <f>VLOOKUP(A10,'[5]Source Revenue'!$A:$E,5,FALSE)</f>
        <v>223932822.00735408</v>
      </c>
      <c r="D10" s="62">
        <f>VLOOKUP(A10,'Source Readmission Final'!A:Q,16,FALSE)</f>
        <v>-0.18479999999999999</v>
      </c>
      <c r="E10" s="62">
        <f>VLOOKUP(A10,'Source Readmission Final'!A:Q,8,FALSE)</f>
        <v>0.1246</v>
      </c>
      <c r="F10" s="62">
        <f>VLOOKUP(A10,'Source Readmission Final'!A:O,14,FALSE)</f>
        <v>0.12790000000000001</v>
      </c>
      <c r="G10" s="62">
        <f>VLOOKUP(A10,'Source Readmission Final'!A:Q,15,FALSE)</f>
        <v>2.6499999999999999E-2</v>
      </c>
      <c r="H10" s="62">
        <f>VLOOKUP(A10,'Source Readmission Final'!A:Q,17,FALSE)</f>
        <v>-0.16319720000000004</v>
      </c>
      <c r="I10" s="64">
        <f t="shared" si="0"/>
        <v>-0.14099999999999999</v>
      </c>
      <c r="J10" s="65">
        <f t="shared" si="1"/>
        <v>2.0999999999999999E-3</v>
      </c>
      <c r="K10" s="66">
        <f t="shared" si="2"/>
        <v>470259</v>
      </c>
      <c r="L10" s="62">
        <f>VLOOKUP(A10,'Readmit Attainment'!A:G,7,FALSE)</f>
        <v>0.12900068846815835</v>
      </c>
      <c r="M10" s="67">
        <f>'Readmission Scaling'!$H$5</f>
        <v>0.10829999999999999</v>
      </c>
      <c r="N10" s="65">
        <f t="shared" si="3"/>
        <v>-0.02</v>
      </c>
      <c r="O10" s="66">
        <f t="shared" si="7"/>
        <v>-4478656</v>
      </c>
      <c r="P10" s="68">
        <f t="shared" si="4"/>
        <v>470259</v>
      </c>
      <c r="Q10" s="67">
        <f t="shared" si="5"/>
        <v>2.1000003294941571E-3</v>
      </c>
      <c r="R10" s="60" t="str">
        <f t="shared" si="6"/>
        <v>Imp</v>
      </c>
    </row>
    <row r="11" spans="1:20" s="71" customFormat="1">
      <c r="A11" s="59">
        <v>210009</v>
      </c>
      <c r="B11" s="115" t="s">
        <v>54</v>
      </c>
      <c r="C11" s="61">
        <f>VLOOKUP(A11,'[5]Source Revenue'!$A:$E,5,FALSE)</f>
        <v>1378259900.6353612</v>
      </c>
      <c r="D11" s="62">
        <f>VLOOKUP(A11,'Source Readmission Final'!A:Q,16,FALSE)</f>
        <v>-0.12659999999999999</v>
      </c>
      <c r="E11" s="62">
        <f>VLOOKUP(A11,'Source Readmission Final'!A:Q,8,FALSE)</f>
        <v>0.13039999999999999</v>
      </c>
      <c r="F11" s="62">
        <f>VLOOKUP(A11,'Source Readmission Final'!A:O,14,FALSE)</f>
        <v>0.1326</v>
      </c>
      <c r="G11" s="62">
        <f>VLOOKUP(A11,'Source Readmission Final'!A:Q,15,FALSE)</f>
        <v>1.6899999999999998E-2</v>
      </c>
      <c r="H11" s="62">
        <f>VLOOKUP(A11,'Source Readmission Final'!A:Q,17,FALSE)</f>
        <v>-0.11183954000000007</v>
      </c>
      <c r="I11" s="64">
        <f t="shared" si="0"/>
        <v>-0.14099999999999999</v>
      </c>
      <c r="J11" s="65">
        <f t="shared" si="1"/>
        <v>-2.8E-3</v>
      </c>
      <c r="K11" s="66">
        <f t="shared" si="2"/>
        <v>-3859128</v>
      </c>
      <c r="L11" s="62">
        <f>VLOOKUP(A11,'Readmit Attainment'!A:G,7,FALSE)</f>
        <v>0.14370705679862306</v>
      </c>
      <c r="M11" s="67">
        <f>'Readmission Scaling'!$H$5</f>
        <v>0.10829999999999999</v>
      </c>
      <c r="N11" s="65">
        <f t="shared" si="3"/>
        <v>-0.02</v>
      </c>
      <c r="O11" s="66">
        <f t="shared" si="7"/>
        <v>-27565198</v>
      </c>
      <c r="P11" s="68">
        <f t="shared" si="4"/>
        <v>-3859128</v>
      </c>
      <c r="Q11" s="67">
        <f t="shared" si="5"/>
        <v>-2.8000002018639509E-3</v>
      </c>
      <c r="R11" s="60" t="str">
        <f t="shared" si="6"/>
        <v>Imp</v>
      </c>
    </row>
    <row r="12" spans="1:20">
      <c r="A12" s="59">
        <v>210010</v>
      </c>
      <c r="B12" s="115" t="s">
        <v>55</v>
      </c>
      <c r="C12" s="61">
        <f>VLOOKUP(A12,'[5]Source Revenue'!$A:$E,5,FALSE)</f>
        <v>26021221.564630911</v>
      </c>
      <c r="D12" s="62">
        <f>VLOOKUP(A12,'Source Readmission Final'!A:Q,16,FALSE)</f>
        <v>4.3099999999999999E-2</v>
      </c>
      <c r="E12" s="62">
        <f>VLOOKUP(A12,'Source Readmission Final'!A:Q,8,FALSE)</f>
        <v>0.1225</v>
      </c>
      <c r="F12" s="62">
        <f>VLOOKUP(A12,'Source Readmission Final'!A:O,14,FALSE)</f>
        <v>0.11169999999999999</v>
      </c>
      <c r="G12" s="62">
        <f>VLOOKUP(A12,'Source Readmission Final'!A:Q,15,FALSE)</f>
        <v>-8.8200000000000001E-2</v>
      </c>
      <c r="H12" s="62">
        <f>VLOOKUP(A12,'Source Readmission Final'!A:Q,17,FALSE)</f>
        <v>-4.8901420000000084E-2</v>
      </c>
      <c r="I12" s="64">
        <f t="shared" si="0"/>
        <v>-0.14099999999999999</v>
      </c>
      <c r="J12" s="65">
        <f t="shared" si="1"/>
        <v>-8.8000000000000005E-3</v>
      </c>
      <c r="K12" s="66">
        <f t="shared" si="2"/>
        <v>-228987</v>
      </c>
      <c r="L12" s="62">
        <f>VLOOKUP(A12,'Readmit Attainment'!A:G,7,FALSE)</f>
        <v>0.11657846385542169</v>
      </c>
      <c r="M12" s="67">
        <f>'Readmission Scaling'!$H$5</f>
        <v>0.10829999999999999</v>
      </c>
      <c r="N12" s="65">
        <f t="shared" si="3"/>
        <v>-8.3000000000000001E-3</v>
      </c>
      <c r="O12" s="66">
        <f t="shared" si="7"/>
        <v>-215976</v>
      </c>
      <c r="P12" s="68">
        <f t="shared" si="4"/>
        <v>-215976</v>
      </c>
      <c r="Q12" s="67">
        <f t="shared" si="5"/>
        <v>-8.2999946587274456E-3</v>
      </c>
      <c r="R12" s="60" t="str">
        <f t="shared" si="6"/>
        <v>Att</v>
      </c>
    </row>
    <row r="13" spans="1:20">
      <c r="A13" s="59">
        <v>210011</v>
      </c>
      <c r="B13" s="115" t="s">
        <v>56</v>
      </c>
      <c r="C13" s="61">
        <f>VLOOKUP(A13,'[5]Source Revenue'!$A:$E,5,FALSE)</f>
        <v>237889235.61331108</v>
      </c>
      <c r="D13" s="62">
        <f>VLOOKUP(A13,'Source Readmission Final'!A:Q,16,FALSE)</f>
        <v>-0.1336</v>
      </c>
      <c r="E13" s="62">
        <f>VLOOKUP(A13,'Source Readmission Final'!A:Q,8,FALSE)</f>
        <v>0.121</v>
      </c>
      <c r="F13" s="62">
        <f>VLOOKUP(A13,'Source Readmission Final'!A:O,14,FALSE)</f>
        <v>0.1182</v>
      </c>
      <c r="G13" s="62">
        <f>VLOOKUP(A13,'Source Readmission Final'!A:Q,15,FALSE)</f>
        <v>-2.3099999999999999E-2</v>
      </c>
      <c r="H13" s="62">
        <f>VLOOKUP(A13,'Source Readmission Final'!A:Q,17,FALSE)</f>
        <v>-0.15361384</v>
      </c>
      <c r="I13" s="64">
        <f t="shared" si="0"/>
        <v>-0.14099999999999999</v>
      </c>
      <c r="J13" s="65">
        <f t="shared" si="1"/>
        <v>1.1999999999999999E-3</v>
      </c>
      <c r="K13" s="66">
        <f t="shared" si="2"/>
        <v>285467</v>
      </c>
      <c r="L13" s="62">
        <f>VLOOKUP(A13,'Readmit Attainment'!A:G,7,FALSE)</f>
        <v>0.11980925799863852</v>
      </c>
      <c r="M13" s="67">
        <f>'Readmission Scaling'!$H$5</f>
        <v>0.10829999999999999</v>
      </c>
      <c r="N13" s="65">
        <f t="shared" si="3"/>
        <v>-1.15E-2</v>
      </c>
      <c r="O13" s="66">
        <f t="shared" si="7"/>
        <v>-2735726</v>
      </c>
      <c r="P13" s="68">
        <f t="shared" si="4"/>
        <v>285467</v>
      </c>
      <c r="Q13" s="67">
        <f t="shared" si="5"/>
        <v>1.199999652207999E-3</v>
      </c>
      <c r="R13" s="60" t="str">
        <f t="shared" si="6"/>
        <v>Imp</v>
      </c>
    </row>
    <row r="14" spans="1:20">
      <c r="A14" s="59">
        <v>210012</v>
      </c>
      <c r="B14" s="115" t="s">
        <v>57</v>
      </c>
      <c r="C14" s="61">
        <f>VLOOKUP(A14,'[5]Source Revenue'!$A:$E,5,FALSE)</f>
        <v>398036507.84646994</v>
      </c>
      <c r="D14" s="62">
        <f>VLOOKUP(A14,'Source Readmission Final'!A:Q,16,FALSE)</f>
        <v>-0.1668</v>
      </c>
      <c r="E14" s="62">
        <f>VLOOKUP(A14,'Source Readmission Final'!A:Q,8,FALSE)</f>
        <v>0.1229</v>
      </c>
      <c r="F14" s="62">
        <f>VLOOKUP(A14,'Source Readmission Final'!A:O,14,FALSE)</f>
        <v>0.108</v>
      </c>
      <c r="G14" s="62">
        <f>VLOOKUP(A14,'Source Readmission Final'!A:Q,15,FALSE)</f>
        <v>-0.1212</v>
      </c>
      <c r="H14" s="62">
        <f>VLOOKUP(A14,'Source Readmission Final'!A:Q,17,FALSE)</f>
        <v>-0.26778384</v>
      </c>
      <c r="I14" s="64">
        <f t="shared" si="0"/>
        <v>-0.14099999999999999</v>
      </c>
      <c r="J14" s="65">
        <f t="shared" si="1"/>
        <v>0.01</v>
      </c>
      <c r="K14" s="66">
        <f t="shared" si="2"/>
        <v>3980365</v>
      </c>
      <c r="L14" s="62">
        <f>VLOOKUP(A14,'Readmit Attainment'!A:G,7,FALSE)</f>
        <v>0.10969677926158682</v>
      </c>
      <c r="M14" s="67">
        <f>'Readmission Scaling'!$H$5</f>
        <v>0.10829999999999999</v>
      </c>
      <c r="N14" s="65">
        <f t="shared" si="3"/>
        <v>-1.4E-3</v>
      </c>
      <c r="O14" s="66">
        <f t="shared" si="7"/>
        <v>-557251</v>
      </c>
      <c r="P14" s="68">
        <f t="shared" si="4"/>
        <v>3980365</v>
      </c>
      <c r="Q14" s="67">
        <f t="shared" si="5"/>
        <v>9.9999998028705971E-3</v>
      </c>
      <c r="R14" s="60" t="str">
        <f t="shared" si="6"/>
        <v>Imp</v>
      </c>
    </row>
    <row r="15" spans="1:20">
      <c r="A15" s="59">
        <v>210013</v>
      </c>
      <c r="B15" s="115" t="s">
        <v>58</v>
      </c>
      <c r="C15" s="61">
        <f>VLOOKUP(A15,'[5]Source Revenue'!$A:$E,5,FALSE)</f>
        <v>65798041.904126704</v>
      </c>
      <c r="D15" s="62">
        <f>VLOOKUP(A15,'Source Readmission Final'!A:Q,16,FALSE)</f>
        <v>-0.22770000000000001</v>
      </c>
      <c r="E15" s="62">
        <f>VLOOKUP(A15,'Source Readmission Final'!A:Q,8,FALSE)</f>
        <v>0.15479999999999999</v>
      </c>
      <c r="F15" s="62">
        <f>VLOOKUP(A15,'Source Readmission Final'!A:O,14,FALSE)</f>
        <v>0.15179999999999999</v>
      </c>
      <c r="G15" s="62">
        <f>VLOOKUP(A15,'Source Readmission Final'!A:Q,15,FALSE)</f>
        <v>-1.9400000000000001E-2</v>
      </c>
      <c r="H15" s="62">
        <f>VLOOKUP(A15,'Source Readmission Final'!A:Q,17,FALSE)</f>
        <v>-0.24268261999999996</v>
      </c>
      <c r="I15" s="64">
        <f t="shared" si="0"/>
        <v>-0.14099999999999999</v>
      </c>
      <c r="J15" s="65">
        <f t="shared" si="1"/>
        <v>9.7000000000000003E-3</v>
      </c>
      <c r="K15" s="66">
        <f t="shared" si="2"/>
        <v>638241</v>
      </c>
      <c r="L15" s="62">
        <f>VLOOKUP(A15,'Readmit Attainment'!A:G,7,FALSE)</f>
        <v>0.15437912621359223</v>
      </c>
      <c r="M15" s="67">
        <f>'Readmission Scaling'!$H$5</f>
        <v>0.10829999999999999</v>
      </c>
      <c r="N15" s="65">
        <f t="shared" si="3"/>
        <v>-0.02</v>
      </c>
      <c r="O15" s="66">
        <f t="shared" si="7"/>
        <v>-1315961</v>
      </c>
      <c r="P15" s="68">
        <f t="shared" si="4"/>
        <v>638241</v>
      </c>
      <c r="Q15" s="67">
        <f t="shared" si="5"/>
        <v>9.6999999016683658E-3</v>
      </c>
      <c r="R15" s="60" t="str">
        <f t="shared" si="6"/>
        <v>Imp</v>
      </c>
    </row>
    <row r="16" spans="1:20">
      <c r="A16" s="59">
        <v>210015</v>
      </c>
      <c r="B16" s="115" t="s">
        <v>59</v>
      </c>
      <c r="C16" s="61">
        <f>VLOOKUP(A16,'[5]Source Revenue'!$A:$E,5,FALSE)</f>
        <v>300623972.21283227</v>
      </c>
      <c r="D16" s="62">
        <f>VLOOKUP(A16,'Source Readmission Final'!A:Q,16,FALSE)</f>
        <v>-4.3299999999999998E-2</v>
      </c>
      <c r="E16" s="62">
        <f>VLOOKUP(A16,'Source Readmission Final'!A:Q,8,FALSE)</f>
        <v>0.1278</v>
      </c>
      <c r="F16" s="62">
        <f>VLOOKUP(A16,'Source Readmission Final'!A:O,14,FALSE)</f>
        <v>0.13150000000000001</v>
      </c>
      <c r="G16" s="62">
        <f>VLOOKUP(A16,'Source Readmission Final'!A:Q,15,FALSE)</f>
        <v>2.9000000000000001E-2</v>
      </c>
      <c r="H16" s="62">
        <f>VLOOKUP(A16,'Source Readmission Final'!A:Q,17,FALSE)</f>
        <v>-1.5555700000000061E-2</v>
      </c>
      <c r="I16" s="64">
        <f t="shared" si="0"/>
        <v>-0.14099999999999999</v>
      </c>
      <c r="J16" s="65">
        <f t="shared" si="1"/>
        <v>-1.1900000000000001E-2</v>
      </c>
      <c r="K16" s="66">
        <f t="shared" si="2"/>
        <v>-3577425</v>
      </c>
      <c r="L16" s="62">
        <f>VLOOKUP(A16,'Readmit Attainment'!A:G,7,FALSE)</f>
        <v>0.13215170704845816</v>
      </c>
      <c r="M16" s="67">
        <f>'Readmission Scaling'!$H$5</f>
        <v>0.10829999999999999</v>
      </c>
      <c r="N16" s="65">
        <f t="shared" si="3"/>
        <v>-0.02</v>
      </c>
      <c r="O16" s="66">
        <f t="shared" si="7"/>
        <v>-6012479</v>
      </c>
      <c r="P16" s="68">
        <f t="shared" si="4"/>
        <v>-3577425</v>
      </c>
      <c r="Q16" s="67">
        <f t="shared" si="5"/>
        <v>-1.1899999104087735E-2</v>
      </c>
      <c r="R16" s="60" t="str">
        <f t="shared" si="6"/>
        <v>Imp</v>
      </c>
    </row>
    <row r="17" spans="1:18">
      <c r="A17" s="59">
        <v>210016</v>
      </c>
      <c r="B17" s="105" t="s">
        <v>189</v>
      </c>
      <c r="C17" s="61">
        <f>VLOOKUP(A17,'[5]Source Revenue'!$A:$E,5,FALSE)</f>
        <v>158337604.14841294</v>
      </c>
      <c r="D17" s="62">
        <f>VLOOKUP(A17,'Source Readmission Final'!A:Q,16,FALSE)</f>
        <v>-0.1077</v>
      </c>
      <c r="E17" s="62">
        <f>VLOOKUP(A17,'Source Readmission Final'!A:Q,8,FALSE)</f>
        <v>0.1037</v>
      </c>
      <c r="F17" s="62">
        <f>VLOOKUP(A17,'Source Readmission Final'!A:O,14,FALSE)</f>
        <v>9.64E-2</v>
      </c>
      <c r="G17" s="62">
        <f>VLOOKUP(A17,'Source Readmission Final'!A:Q,15,FALSE)</f>
        <v>-7.0400000000000004E-2</v>
      </c>
      <c r="H17" s="62">
        <f>VLOOKUP(A17,'Source Readmission Final'!A:Q,17,FALSE)</f>
        <v>-0.17051791999999999</v>
      </c>
      <c r="I17" s="64">
        <f t="shared" si="0"/>
        <v>-0.14099999999999999</v>
      </c>
      <c r="J17" s="65">
        <f t="shared" si="1"/>
        <v>2.8E-3</v>
      </c>
      <c r="K17" s="66">
        <f t="shared" si="2"/>
        <v>443345</v>
      </c>
      <c r="L17" s="62">
        <f>VLOOKUP(A17,'Readmit Attainment'!A:G,7,FALSE)</f>
        <v>0.11086716196136701</v>
      </c>
      <c r="M17" s="67">
        <f>'Readmission Scaling'!$H$5</f>
        <v>0.10829999999999999</v>
      </c>
      <c r="N17" s="65">
        <f t="shared" si="3"/>
        <v>-2.5999999999999999E-3</v>
      </c>
      <c r="O17" s="66">
        <f t="shared" si="7"/>
        <v>-411678</v>
      </c>
      <c r="P17" s="68">
        <f t="shared" si="4"/>
        <v>443345</v>
      </c>
      <c r="Q17" s="67">
        <f t="shared" si="5"/>
        <v>2.7999981582672176E-3</v>
      </c>
      <c r="R17" s="105" t="str">
        <f t="shared" si="6"/>
        <v>Imp</v>
      </c>
    </row>
    <row r="18" spans="1:18">
      <c r="A18" s="59">
        <v>210017</v>
      </c>
      <c r="B18" s="115" t="s">
        <v>60</v>
      </c>
      <c r="C18" s="61">
        <f>VLOOKUP(A18,'[5]Source Revenue'!$A:$E,5,FALSE)</f>
        <v>21075334.329642437</v>
      </c>
      <c r="D18" s="62">
        <f>VLOOKUP(A18,'Source Readmission Final'!A:Q,16,FALSE)</f>
        <v>-0.1719</v>
      </c>
      <c r="E18" s="62">
        <f>VLOOKUP(A18,'Source Readmission Final'!A:Q,8,FALSE)</f>
        <v>5.8700000000000002E-2</v>
      </c>
      <c r="F18" s="62">
        <f>VLOOKUP(A18,'Source Readmission Final'!A:O,14,FALSE)</f>
        <v>6.3700000000000007E-2</v>
      </c>
      <c r="G18" s="62">
        <f>VLOOKUP(A18,'Source Readmission Final'!A:Q,15,FALSE)</f>
        <v>8.5199999999999998E-2</v>
      </c>
      <c r="H18" s="62">
        <f>VLOOKUP(A18,'Source Readmission Final'!A:Q,17,FALSE)</f>
        <v>-0.10134588</v>
      </c>
      <c r="I18" s="64">
        <f t="shared" si="0"/>
        <v>-0.14099999999999999</v>
      </c>
      <c r="J18" s="65">
        <f t="shared" si="1"/>
        <v>-3.8E-3</v>
      </c>
      <c r="K18" s="66">
        <f t="shared" si="2"/>
        <v>-80086</v>
      </c>
      <c r="L18" s="62">
        <f>VLOOKUP(A18,'Readmit Attainment'!A:G,7,FALSE)</f>
        <v>9.1615344603381041E-2</v>
      </c>
      <c r="M18" s="67">
        <f>'Readmission Scaling'!$H$5</f>
        <v>0.10829999999999999</v>
      </c>
      <c r="N18" s="65">
        <f t="shared" si="3"/>
        <v>0.01</v>
      </c>
      <c r="O18" s="66">
        <f t="shared" si="7"/>
        <v>210753</v>
      </c>
      <c r="P18" s="68">
        <f t="shared" si="4"/>
        <v>210753</v>
      </c>
      <c r="Q18" s="67">
        <f t="shared" si="5"/>
        <v>9.9999837109856007E-3</v>
      </c>
      <c r="R18" s="60" t="str">
        <f t="shared" si="6"/>
        <v>Att</v>
      </c>
    </row>
    <row r="19" spans="1:18">
      <c r="A19" s="59">
        <v>210018</v>
      </c>
      <c r="B19" s="115" t="s">
        <v>61</v>
      </c>
      <c r="C19" s="61">
        <f>VLOOKUP(A19,'[5]Source Revenue'!$A:$E,5,FALSE)</f>
        <v>77808657.143376708</v>
      </c>
      <c r="D19" s="62">
        <f>VLOOKUP(A19,'Source Readmission Final'!A:Q,16,FALSE)</f>
        <v>-0.14219999999999999</v>
      </c>
      <c r="E19" s="62">
        <f>VLOOKUP(A19,'Source Readmission Final'!A:Q,8,FALSE)</f>
        <v>0.109</v>
      </c>
      <c r="F19" s="62">
        <f>VLOOKUP(A19,'Source Readmission Final'!A:O,14,FALSE)</f>
        <v>0.1166</v>
      </c>
      <c r="G19" s="62">
        <f>VLOOKUP(A19,'Source Readmission Final'!A:Q,15,FALSE)</f>
        <v>6.9699999999999998E-2</v>
      </c>
      <c r="H19" s="62">
        <f>VLOOKUP(A19,'Source Readmission Final'!A:Q,17,FALSE)</f>
        <v>-8.2411339999999944E-2</v>
      </c>
      <c r="I19" s="64">
        <f t="shared" si="0"/>
        <v>-0.14099999999999999</v>
      </c>
      <c r="J19" s="65">
        <f t="shared" si="1"/>
        <v>-5.5999999999999999E-3</v>
      </c>
      <c r="K19" s="66">
        <f t="shared" si="2"/>
        <v>-435728</v>
      </c>
      <c r="L19" s="62">
        <f>VLOOKUP(A19,'Readmit Attainment'!A:G,7,FALSE)</f>
        <v>0.12880329749103939</v>
      </c>
      <c r="M19" s="67">
        <f>'Readmission Scaling'!$H$5</f>
        <v>0.10829999999999999</v>
      </c>
      <c r="N19" s="65">
        <f t="shared" si="3"/>
        <v>-0.02</v>
      </c>
      <c r="O19" s="66">
        <f t="shared" si="7"/>
        <v>-1556173</v>
      </c>
      <c r="P19" s="68">
        <f t="shared" si="4"/>
        <v>-435728</v>
      </c>
      <c r="Q19" s="67">
        <f t="shared" si="5"/>
        <v>-5.599993830983245E-3</v>
      </c>
      <c r="R19" s="60" t="str">
        <f t="shared" si="6"/>
        <v>Imp</v>
      </c>
    </row>
    <row r="20" spans="1:18">
      <c r="A20" s="59">
        <v>210019</v>
      </c>
      <c r="B20" s="115" t="s">
        <v>62</v>
      </c>
      <c r="C20" s="61">
        <f>VLOOKUP(A20,'[5]Source Revenue'!$A:$E,5,FALSE)</f>
        <v>241466813.00006086</v>
      </c>
      <c r="D20" s="62">
        <f>VLOOKUP(A20,'Source Readmission Final'!A:Q,16,FALSE)</f>
        <v>-5.2600000000000001E-2</v>
      </c>
      <c r="E20" s="62">
        <f>VLOOKUP(A20,'Source Readmission Final'!A:Q,8,FALSE)</f>
        <v>0.1062</v>
      </c>
      <c r="F20" s="62">
        <f>VLOOKUP(A20,'Source Readmission Final'!A:O,14,FALSE)</f>
        <v>0.1082</v>
      </c>
      <c r="G20" s="62">
        <f>VLOOKUP(A20,'Source Readmission Final'!A:Q,15,FALSE)</f>
        <v>1.8800000000000001E-2</v>
      </c>
      <c r="H20" s="62">
        <f>VLOOKUP(A20,'Source Readmission Final'!A:Q,17,FALSE)</f>
        <v>-3.4788880000000022E-2</v>
      </c>
      <c r="I20" s="64">
        <f t="shared" si="0"/>
        <v>-0.14099999999999999</v>
      </c>
      <c r="J20" s="65">
        <f t="shared" si="1"/>
        <v>-1.01E-2</v>
      </c>
      <c r="K20" s="66">
        <f t="shared" si="2"/>
        <v>-2438815</v>
      </c>
      <c r="L20" s="62">
        <f>VLOOKUP(A20,'Readmit Attainment'!A:G,7,FALSE)</f>
        <v>0.11492295321637427</v>
      </c>
      <c r="M20" s="67">
        <f>'Readmission Scaling'!$H$5</f>
        <v>0.10829999999999999</v>
      </c>
      <c r="N20" s="65">
        <f t="shared" si="3"/>
        <v>-6.6E-3</v>
      </c>
      <c r="O20" s="66">
        <f t="shared" si="7"/>
        <v>-1593681</v>
      </c>
      <c r="P20" s="68">
        <f t="shared" si="4"/>
        <v>-1593681</v>
      </c>
      <c r="Q20" s="67">
        <f t="shared" si="5"/>
        <v>-6.6000001416327073E-3</v>
      </c>
      <c r="R20" s="60" t="str">
        <f t="shared" si="6"/>
        <v>Att</v>
      </c>
    </row>
    <row r="21" spans="1:18">
      <c r="A21" s="59">
        <v>210022</v>
      </c>
      <c r="B21" s="115" t="s">
        <v>63</v>
      </c>
      <c r="C21" s="61">
        <f>VLOOKUP(A21,'[5]Source Revenue'!$A:$E,5,FALSE)</f>
        <v>197431392.43930957</v>
      </c>
      <c r="D21" s="62">
        <f>VLOOKUP(A21,'Source Readmission Final'!A:Q,16,FALSE)</f>
        <v>-1.9699999999999999E-2</v>
      </c>
      <c r="E21" s="62">
        <f>VLOOKUP(A21,'Source Readmission Final'!A:Q,8,FALSE)</f>
        <v>0.11219999999999999</v>
      </c>
      <c r="F21" s="62">
        <f>VLOOKUP(A21,'Source Readmission Final'!A:O,14,FALSE)</f>
        <v>0.1125</v>
      </c>
      <c r="G21" s="62">
        <f>VLOOKUP(A21,'Source Readmission Final'!A:Q,15,FALSE)</f>
        <v>2.7000000000000001E-3</v>
      </c>
      <c r="H21" s="62">
        <f>VLOOKUP(A21,'Source Readmission Final'!A:Q,17,FALSE)</f>
        <v>-1.7053190000000162E-2</v>
      </c>
      <c r="I21" s="64">
        <f t="shared" si="0"/>
        <v>-0.14099999999999999</v>
      </c>
      <c r="J21" s="65">
        <f t="shared" si="1"/>
        <v>-1.18E-2</v>
      </c>
      <c r="K21" s="66">
        <f t="shared" si="2"/>
        <v>-2329690</v>
      </c>
      <c r="L21" s="62">
        <f>VLOOKUP(A21,'Readmit Attainment'!A:G,7,FALSE)</f>
        <v>0.12657480314960631</v>
      </c>
      <c r="M21" s="67">
        <f>'Readmission Scaling'!$H$5</f>
        <v>0.10829999999999999</v>
      </c>
      <c r="N21" s="65">
        <f t="shared" si="3"/>
        <v>-1.83E-2</v>
      </c>
      <c r="O21" s="66">
        <f t="shared" si="7"/>
        <v>-3612994</v>
      </c>
      <c r="P21" s="68">
        <f t="shared" si="4"/>
        <v>-2329690</v>
      </c>
      <c r="Q21" s="67">
        <f t="shared" si="5"/>
        <v>-1.1799997818057972E-2</v>
      </c>
      <c r="R21" s="60" t="str">
        <f t="shared" si="6"/>
        <v>Imp</v>
      </c>
    </row>
    <row r="22" spans="1:18">
      <c r="A22" s="59">
        <v>210023</v>
      </c>
      <c r="B22" s="115" t="s">
        <v>64</v>
      </c>
      <c r="C22" s="61">
        <f>VLOOKUP(A22,'[5]Source Revenue'!$A:$E,5,FALSE)</f>
        <v>299264995.1337893</v>
      </c>
      <c r="D22" s="62">
        <f>VLOOKUP(A22,'Source Readmission Final'!A:Q,16,FALSE)</f>
        <v>-9.5000000000000001E-2</v>
      </c>
      <c r="E22" s="62">
        <f>VLOOKUP(A22,'Source Readmission Final'!A:Q,8,FALSE)</f>
        <v>0.11260000000000001</v>
      </c>
      <c r="F22" s="62">
        <f>VLOOKUP(A22,'Source Readmission Final'!A:O,14,FALSE)</f>
        <v>0.1072</v>
      </c>
      <c r="G22" s="62">
        <f>VLOOKUP(A22,'Source Readmission Final'!A:Q,15,FALSE)</f>
        <v>-4.8000000000000001E-2</v>
      </c>
      <c r="H22" s="62">
        <f>VLOOKUP(A22,'Source Readmission Final'!A:Q,17,FALSE)</f>
        <v>-0.13844000000000001</v>
      </c>
      <c r="I22" s="64">
        <f t="shared" si="0"/>
        <v>-0.14099999999999999</v>
      </c>
      <c r="J22" s="65">
        <f t="shared" si="1"/>
        <v>-2.0000000000000001E-4</v>
      </c>
      <c r="K22" s="66">
        <f t="shared" si="2"/>
        <v>-59853</v>
      </c>
      <c r="L22" s="62">
        <f>VLOOKUP(A22,'Readmit Attainment'!A:G,7,FALSE)</f>
        <v>0.11130204081632653</v>
      </c>
      <c r="M22" s="67">
        <f>'Readmission Scaling'!$H$5</f>
        <v>0.10829999999999999</v>
      </c>
      <c r="N22" s="65">
        <f t="shared" si="3"/>
        <v>-3.0000000000000001E-3</v>
      </c>
      <c r="O22" s="66">
        <f t="shared" si="7"/>
        <v>-897795</v>
      </c>
      <c r="P22" s="68">
        <f t="shared" si="4"/>
        <v>-59853</v>
      </c>
      <c r="Q22" s="67">
        <f t="shared" si="5"/>
        <v>-2.0000000325210817E-4</v>
      </c>
      <c r="R22" s="60" t="str">
        <f t="shared" si="6"/>
        <v>Imp</v>
      </c>
    </row>
    <row r="23" spans="1:18">
      <c r="A23" s="59">
        <v>210024</v>
      </c>
      <c r="B23" s="115" t="s">
        <v>65</v>
      </c>
      <c r="C23" s="61">
        <f>VLOOKUP(A23,'[5]Source Revenue'!$A:$E,5,FALSE)</f>
        <v>235346414.84312075</v>
      </c>
      <c r="D23" s="62">
        <f>VLOOKUP(A23,'Source Readmission Final'!A:Q,16,FALSE)</f>
        <v>-0.14560000000000001</v>
      </c>
      <c r="E23" s="62">
        <f>VLOOKUP(A23,'Source Readmission Final'!A:Q,8,FALSE)</f>
        <v>0.1278</v>
      </c>
      <c r="F23" s="62">
        <f>VLOOKUP(A23,'Source Readmission Final'!A:O,14,FALSE)</f>
        <v>0.12709999999999999</v>
      </c>
      <c r="G23" s="62">
        <f>VLOOKUP(A23,'Source Readmission Final'!A:Q,15,FALSE)</f>
        <v>-5.4999999999999997E-3</v>
      </c>
      <c r="H23" s="62">
        <f>VLOOKUP(A23,'Source Readmission Final'!A:Q,17,FALSE)</f>
        <v>-0.15029919999999986</v>
      </c>
      <c r="I23" s="64">
        <f t="shared" si="0"/>
        <v>-0.14099999999999999</v>
      </c>
      <c r="J23" s="65">
        <f t="shared" si="1"/>
        <v>8.9999999999999998E-4</v>
      </c>
      <c r="K23" s="66">
        <f t="shared" si="2"/>
        <v>211812</v>
      </c>
      <c r="L23" s="62">
        <f>VLOOKUP(A23,'Readmit Attainment'!A:G,7,FALSE)</f>
        <v>0.12835427631578947</v>
      </c>
      <c r="M23" s="67">
        <f>'Readmission Scaling'!$H$5</f>
        <v>0.10829999999999999</v>
      </c>
      <c r="N23" s="65">
        <f t="shared" si="3"/>
        <v>-0.02</v>
      </c>
      <c r="O23" s="66">
        <f t="shared" si="7"/>
        <v>-4706928</v>
      </c>
      <c r="P23" s="68">
        <f t="shared" si="4"/>
        <v>211812</v>
      </c>
      <c r="Q23" s="67">
        <f t="shared" si="5"/>
        <v>9.0000096301102127E-4</v>
      </c>
      <c r="R23" s="60" t="str">
        <f t="shared" si="6"/>
        <v>Imp</v>
      </c>
    </row>
    <row r="24" spans="1:18" ht="30">
      <c r="A24" s="59">
        <v>210027</v>
      </c>
      <c r="B24" s="115" t="s">
        <v>66</v>
      </c>
      <c r="C24" s="61">
        <f>VLOOKUP(A24,'[5]Source Revenue'!$A:$E,5,FALSE)</f>
        <v>171000182.60682005</v>
      </c>
      <c r="D24" s="62">
        <f>VLOOKUP(A24,'Source Readmission Final'!A:Q,16,FALSE)</f>
        <v>-9.7500000000000003E-2</v>
      </c>
      <c r="E24" s="62">
        <f>VLOOKUP(A24,'Source Readmission Final'!A:Q,8,FALSE)</f>
        <v>0.11360000000000001</v>
      </c>
      <c r="F24" s="62">
        <f>VLOOKUP(A24,'Source Readmission Final'!A:O,14,FALSE)</f>
        <v>0.108</v>
      </c>
      <c r="G24" s="62">
        <f>VLOOKUP(A24,'Source Readmission Final'!A:Q,15,FALSE)</f>
        <v>-4.9299999999999997E-2</v>
      </c>
      <c r="H24" s="62">
        <f>VLOOKUP(A24,'Source Readmission Final'!A:Q,17,FALSE)</f>
        <v>-0.14199325000000007</v>
      </c>
      <c r="I24" s="64">
        <f t="shared" si="0"/>
        <v>-0.14099999999999999</v>
      </c>
      <c r="J24" s="65">
        <f t="shared" si="1"/>
        <v>1E-4</v>
      </c>
      <c r="K24" s="66">
        <f t="shared" si="2"/>
        <v>17100</v>
      </c>
      <c r="L24" s="62">
        <f>VLOOKUP(A24,'Readmit Attainment'!A:G,7,FALSE)</f>
        <v>0.12000920245398775</v>
      </c>
      <c r="M24" s="67">
        <f>'Readmission Scaling'!$H$5</f>
        <v>0.10829999999999999</v>
      </c>
      <c r="N24" s="65">
        <f t="shared" si="3"/>
        <v>-1.17E-2</v>
      </c>
      <c r="O24" s="66">
        <f t="shared" si="7"/>
        <v>-2000702</v>
      </c>
      <c r="P24" s="68">
        <f t="shared" si="4"/>
        <v>17100</v>
      </c>
      <c r="Q24" s="67">
        <f t="shared" si="5"/>
        <v>9.9999893212499979E-5</v>
      </c>
      <c r="R24" s="60" t="str">
        <f t="shared" si="6"/>
        <v>Imp</v>
      </c>
    </row>
    <row r="25" spans="1:18">
      <c r="A25" s="59">
        <v>210028</v>
      </c>
      <c r="B25" s="115" t="s">
        <v>67</v>
      </c>
      <c r="C25" s="61">
        <f>VLOOKUP(A25,'[5]Source Revenue'!$A:$E,5,FALSE)</f>
        <v>76303057.683447212</v>
      </c>
      <c r="D25" s="62">
        <f>VLOOKUP(A25,'Source Readmission Final'!A:Q,16,FALSE)</f>
        <v>-0.16389999999999999</v>
      </c>
      <c r="E25" s="62">
        <f>VLOOKUP(A25,'Source Readmission Final'!A:Q,8,FALSE)</f>
        <v>0.1079</v>
      </c>
      <c r="F25" s="62">
        <f>VLOOKUP(A25,'Source Readmission Final'!A:O,14,FALSE)</f>
        <v>0.1084</v>
      </c>
      <c r="G25" s="62">
        <f>VLOOKUP(A25,'Source Readmission Final'!A:Q,15,FALSE)</f>
        <v>4.5999999999999999E-3</v>
      </c>
      <c r="H25" s="62">
        <f>VLOOKUP(A25,'Source Readmission Final'!A:Q,17,FALSE)</f>
        <v>-0.16005393999999995</v>
      </c>
      <c r="I25" s="64">
        <f t="shared" si="0"/>
        <v>-0.14099999999999999</v>
      </c>
      <c r="J25" s="65">
        <f t="shared" si="1"/>
        <v>1.8E-3</v>
      </c>
      <c r="K25" s="66">
        <f t="shared" si="2"/>
        <v>137346</v>
      </c>
      <c r="L25" s="62">
        <f>VLOOKUP(A25,'Readmit Attainment'!A:G,7,FALSE)</f>
        <v>0.13086898734177216</v>
      </c>
      <c r="M25" s="67">
        <f>'Readmission Scaling'!$H$5</f>
        <v>0.10829999999999999</v>
      </c>
      <c r="N25" s="65">
        <f t="shared" si="3"/>
        <v>-0.02</v>
      </c>
      <c r="O25" s="66">
        <f t="shared" si="7"/>
        <v>-1526061</v>
      </c>
      <c r="P25" s="68">
        <f t="shared" si="4"/>
        <v>137346</v>
      </c>
      <c r="Q25" s="67">
        <f t="shared" si="5"/>
        <v>1.8000065026200795E-3</v>
      </c>
      <c r="R25" s="60" t="str">
        <f t="shared" si="6"/>
        <v>Imp</v>
      </c>
    </row>
    <row r="26" spans="1:18">
      <c r="A26" s="59">
        <v>210029</v>
      </c>
      <c r="B26" s="115" t="s">
        <v>68</v>
      </c>
      <c r="C26" s="61">
        <f>VLOOKUP(A26,'[5]Source Revenue'!$A:$E,5,FALSE)</f>
        <v>357620584.54660809</v>
      </c>
      <c r="D26" s="62">
        <f>VLOOKUP(A26,'Source Readmission Final'!A:Q,16,FALSE)</f>
        <v>-7.2499999999999995E-2</v>
      </c>
      <c r="E26" s="62">
        <f>VLOOKUP(A26,'Source Readmission Final'!A:Q,8,FALSE)</f>
        <v>0.1434</v>
      </c>
      <c r="F26" s="62">
        <f>VLOOKUP(A26,'Source Readmission Final'!A:O,14,FALSE)</f>
        <v>0.14649999999999999</v>
      </c>
      <c r="G26" s="62">
        <f>VLOOKUP(A26,'Source Readmission Final'!A:Q,15,FALSE)</f>
        <v>2.1600000000000001E-2</v>
      </c>
      <c r="H26" s="62">
        <f>VLOOKUP(A26,'Source Readmission Final'!A:Q,17,FALSE)</f>
        <v>-5.2465999999999902E-2</v>
      </c>
      <c r="I26" s="64">
        <f t="shared" si="0"/>
        <v>-0.14099999999999999</v>
      </c>
      <c r="J26" s="65">
        <f t="shared" si="1"/>
        <v>-8.3999999999999995E-3</v>
      </c>
      <c r="K26" s="66">
        <f t="shared" si="2"/>
        <v>-3004013</v>
      </c>
      <c r="L26" s="62">
        <f>VLOOKUP(A26,'Readmit Attainment'!A:G,7,FALSE)</f>
        <v>0.15062261306532665</v>
      </c>
      <c r="M26" s="67">
        <f>'Readmission Scaling'!$H$5</f>
        <v>0.10829999999999999</v>
      </c>
      <c r="N26" s="65">
        <f t="shared" si="3"/>
        <v>-0.02</v>
      </c>
      <c r="O26" s="66">
        <f t="shared" si="7"/>
        <v>-7152412</v>
      </c>
      <c r="P26" s="68">
        <f t="shared" si="4"/>
        <v>-3004013</v>
      </c>
      <c r="Q26" s="67">
        <f t="shared" si="5"/>
        <v>-8.4000002511278593E-3</v>
      </c>
      <c r="R26" s="60" t="str">
        <f t="shared" si="6"/>
        <v>Imp</v>
      </c>
    </row>
    <row r="27" spans="1:18">
      <c r="A27" s="59">
        <v>210030</v>
      </c>
      <c r="B27" s="115" t="s">
        <v>69</v>
      </c>
      <c r="C27" s="61">
        <f>VLOOKUP(A27,'[5]Source Revenue'!$A:$E,5,FALSE)</f>
        <v>21139936.434461944</v>
      </c>
      <c r="D27" s="62">
        <f>VLOOKUP(A27,'Source Readmission Final'!A:Q,16,FALSE)</f>
        <v>3.7100000000000001E-2</v>
      </c>
      <c r="E27" s="62">
        <f>VLOOKUP(A27,'Source Readmission Final'!A:Q,8,FALSE)</f>
        <v>0.1401</v>
      </c>
      <c r="F27" s="62">
        <f>VLOOKUP(A27,'Source Readmission Final'!A:O,14,FALSE)</f>
        <v>0.10730000000000001</v>
      </c>
      <c r="G27" s="62">
        <f>VLOOKUP(A27,'Source Readmission Final'!A:Q,15,FALSE)</f>
        <v>-0.2341</v>
      </c>
      <c r="H27" s="62">
        <f>VLOOKUP(A27,'Source Readmission Final'!A:Q,17,FALSE)</f>
        <v>-0.20568511</v>
      </c>
      <c r="I27" s="64">
        <f t="shared" si="0"/>
        <v>-0.14099999999999999</v>
      </c>
      <c r="J27" s="65">
        <f t="shared" si="1"/>
        <v>6.1999999999999998E-3</v>
      </c>
      <c r="K27" s="66">
        <f t="shared" si="2"/>
        <v>131068</v>
      </c>
      <c r="L27" s="62">
        <f>VLOOKUP(A27,'Readmit Attainment'!A:G,7,FALSE)</f>
        <v>0.11457744479495269</v>
      </c>
      <c r="M27" s="67">
        <f>'Readmission Scaling'!$H$5</f>
        <v>0.10829999999999999</v>
      </c>
      <c r="N27" s="65">
        <f t="shared" si="3"/>
        <v>-6.3E-3</v>
      </c>
      <c r="O27" s="66">
        <f t="shared" si="7"/>
        <v>-133182</v>
      </c>
      <c r="P27" s="68">
        <f t="shared" si="4"/>
        <v>131068</v>
      </c>
      <c r="Q27" s="67">
        <f t="shared" si="5"/>
        <v>6.2000186427398759E-3</v>
      </c>
      <c r="R27" s="60" t="str">
        <f t="shared" si="6"/>
        <v>Imp</v>
      </c>
    </row>
    <row r="28" spans="1:18">
      <c r="A28" s="59">
        <v>210032</v>
      </c>
      <c r="B28" s="115" t="s">
        <v>121</v>
      </c>
      <c r="C28" s="61">
        <f>VLOOKUP(A28,'[5]Source Revenue'!$A:$E,5,FALSE)</f>
        <v>66514319.894027583</v>
      </c>
      <c r="D28" s="62">
        <f>VLOOKUP(A28,'Source Readmission Final'!A:Q,16,FALSE)</f>
        <v>4.2900000000000001E-2</v>
      </c>
      <c r="E28" s="62">
        <f>VLOOKUP(A28,'Source Readmission Final'!A:Q,8,FALSE)</f>
        <v>0.1048</v>
      </c>
      <c r="F28" s="62">
        <f>VLOOKUP(A28,'Source Readmission Final'!A:O,14,FALSE)</f>
        <v>0.10539999999999999</v>
      </c>
      <c r="G28" s="62">
        <f>VLOOKUP(A28,'Source Readmission Final'!A:Q,15,FALSE)</f>
        <v>5.7000000000000002E-3</v>
      </c>
      <c r="H28" s="62">
        <f>VLOOKUP(A28,'Source Readmission Final'!A:Q,17,FALSE)</f>
        <v>4.8844529999999997E-2</v>
      </c>
      <c r="I28" s="64">
        <f t="shared" si="0"/>
        <v>-0.14099999999999999</v>
      </c>
      <c r="J28" s="65">
        <f t="shared" si="1"/>
        <v>-1.8100000000000002E-2</v>
      </c>
      <c r="K28" s="66">
        <f t="shared" si="2"/>
        <v>-1203909</v>
      </c>
      <c r="L28" s="62">
        <f>VLOOKUP(A28,'Readmit Attainment'!A:G,7,FALSE)</f>
        <v>0.1263014820042343</v>
      </c>
      <c r="M28" s="67">
        <f>'Readmission Scaling'!$H$5</f>
        <v>0.10829999999999999</v>
      </c>
      <c r="N28" s="65">
        <f t="shared" si="3"/>
        <v>-1.7999999999999999E-2</v>
      </c>
      <c r="O28" s="66">
        <f t="shared" si="7"/>
        <v>-1197258</v>
      </c>
      <c r="P28" s="68">
        <f t="shared" si="4"/>
        <v>-1197258</v>
      </c>
      <c r="Q28" s="67">
        <f t="shared" si="5"/>
        <v>-1.8000003636923657E-2</v>
      </c>
      <c r="R28" s="60" t="str">
        <f t="shared" si="6"/>
        <v>Att</v>
      </c>
    </row>
    <row r="29" spans="1:18">
      <c r="A29" s="59">
        <v>210033</v>
      </c>
      <c r="B29" s="115" t="s">
        <v>70</v>
      </c>
      <c r="C29" s="61">
        <f>VLOOKUP(A29,'[5]Source Revenue'!$A:$E,5,FALSE)</f>
        <v>132801017.25910124</v>
      </c>
      <c r="D29" s="62">
        <f>VLOOKUP(A29,'Source Readmission Final'!A:Q,16,FALSE)</f>
        <v>-8.6199999999999999E-2</v>
      </c>
      <c r="E29" s="62">
        <f>VLOOKUP(A29,'Source Readmission Final'!A:Q,8,FALSE)</f>
        <v>0.1132</v>
      </c>
      <c r="F29" s="62">
        <f>VLOOKUP(A29,'Source Readmission Final'!A:O,14,FALSE)</f>
        <v>0.111</v>
      </c>
      <c r="G29" s="62">
        <f>VLOOKUP(A29,'Source Readmission Final'!A:Q,15,FALSE)</f>
        <v>-1.9400000000000001E-2</v>
      </c>
      <c r="H29" s="62">
        <f>VLOOKUP(A29,'Source Readmission Final'!A:Q,17,FALSE)</f>
        <v>-0.10392772000000006</v>
      </c>
      <c r="I29" s="64">
        <f t="shared" si="0"/>
        <v>-0.14099999999999999</v>
      </c>
      <c r="J29" s="65">
        <f t="shared" si="1"/>
        <v>-3.5000000000000001E-3</v>
      </c>
      <c r="K29" s="66">
        <f t="shared" si="2"/>
        <v>-464804</v>
      </c>
      <c r="L29" s="62">
        <f>VLOOKUP(A29,'Readmit Attainment'!A:G,7,FALSE)</f>
        <v>0.11517118997912319</v>
      </c>
      <c r="M29" s="67">
        <f>'Readmission Scaling'!$H$5</f>
        <v>0.10829999999999999</v>
      </c>
      <c r="N29" s="65">
        <f t="shared" si="3"/>
        <v>-6.8999999999999999E-3</v>
      </c>
      <c r="O29" s="66">
        <f t="shared" si="7"/>
        <v>-916327</v>
      </c>
      <c r="P29" s="68">
        <f t="shared" si="4"/>
        <v>-464804</v>
      </c>
      <c r="Q29" s="67">
        <f t="shared" si="5"/>
        <v>-3.5000033101639937E-3</v>
      </c>
      <c r="R29" s="60" t="str">
        <f t="shared" si="6"/>
        <v>Imp</v>
      </c>
    </row>
    <row r="30" spans="1:18">
      <c r="A30" s="59">
        <v>210034</v>
      </c>
      <c r="B30" s="115" t="s">
        <v>71</v>
      </c>
      <c r="C30" s="61">
        <f>VLOOKUP(A30,'[5]Source Revenue'!$A:$E,5,FALSE)</f>
        <v>112526839.84491666</v>
      </c>
      <c r="D30" s="62">
        <f>VLOOKUP(A30,'Source Readmission Final'!A:Q,16,FALSE)</f>
        <v>-6.7599999999999993E-2</v>
      </c>
      <c r="E30" s="62">
        <f>VLOOKUP(A30,'Source Readmission Final'!A:Q,8,FALSE)</f>
        <v>0.1226</v>
      </c>
      <c r="F30" s="62">
        <f>VLOOKUP(A30,'Source Readmission Final'!A:O,14,FALSE)</f>
        <v>0.1333</v>
      </c>
      <c r="G30" s="62">
        <f>VLOOKUP(A30,'Source Readmission Final'!A:Q,15,FALSE)</f>
        <v>8.7300000000000003E-2</v>
      </c>
      <c r="H30" s="62">
        <f>VLOOKUP(A30,'Source Readmission Final'!A:Q,17,FALSE)</f>
        <v>1.3798519999999925E-2</v>
      </c>
      <c r="I30" s="64">
        <f t="shared" si="0"/>
        <v>-0.14099999999999999</v>
      </c>
      <c r="J30" s="65">
        <f t="shared" si="1"/>
        <v>-1.47E-2</v>
      </c>
      <c r="K30" s="66">
        <f t="shared" si="2"/>
        <v>-1654145</v>
      </c>
      <c r="L30" s="62">
        <f>VLOOKUP(A30,'Readmit Attainment'!A:G,7,FALSE)</f>
        <v>0.13413932455638239</v>
      </c>
      <c r="M30" s="67">
        <f>'Readmission Scaling'!$H$5</f>
        <v>0.10829999999999999</v>
      </c>
      <c r="N30" s="65">
        <f t="shared" si="3"/>
        <v>-0.02</v>
      </c>
      <c r="O30" s="66">
        <f t="shared" si="7"/>
        <v>-2250537</v>
      </c>
      <c r="P30" s="68">
        <f t="shared" si="4"/>
        <v>-1654145</v>
      </c>
      <c r="Q30" s="67">
        <f t="shared" si="5"/>
        <v>-1.470000403707885E-2</v>
      </c>
      <c r="R30" s="60" t="str">
        <f t="shared" si="6"/>
        <v>Imp</v>
      </c>
    </row>
    <row r="31" spans="1:18">
      <c r="A31" s="59">
        <v>210035</v>
      </c>
      <c r="B31" s="115" t="s">
        <v>72</v>
      </c>
      <c r="C31" s="61">
        <f>VLOOKUP(A31,'[5]Source Revenue'!$A:$E,5,FALSE)</f>
        <v>75199111.989704996</v>
      </c>
      <c r="D31" s="62">
        <f>VLOOKUP(A31,'Source Readmission Final'!A:Q,16,FALSE)</f>
        <v>-0.19</v>
      </c>
      <c r="E31" s="62">
        <f>VLOOKUP(A31,'Source Readmission Final'!A:Q,8,FALSE)</f>
        <v>9.7299999999999998E-2</v>
      </c>
      <c r="F31" s="62">
        <f>VLOOKUP(A31,'Source Readmission Final'!A:O,14,FALSE)</f>
        <v>9.8900000000000002E-2</v>
      </c>
      <c r="G31" s="62">
        <f>VLOOKUP(A31,'Source Readmission Final'!A:Q,15,FALSE)</f>
        <v>1.6400000000000001E-2</v>
      </c>
      <c r="H31" s="62">
        <f>VLOOKUP(A31,'Source Readmission Final'!A:Q,17,FALSE)</f>
        <v>-0.17671599999999998</v>
      </c>
      <c r="I31" s="64">
        <f t="shared" si="0"/>
        <v>-0.14099999999999999</v>
      </c>
      <c r="J31" s="65">
        <f t="shared" si="1"/>
        <v>3.3999999999999998E-3</v>
      </c>
      <c r="K31" s="66">
        <f t="shared" si="2"/>
        <v>255677</v>
      </c>
      <c r="L31" s="62">
        <f>VLOOKUP(A31,'Readmit Attainment'!A:G,7,FALSE)</f>
        <v>0.11534508894044858</v>
      </c>
      <c r="M31" s="67">
        <f>'Readmission Scaling'!$H$5</f>
        <v>0.10829999999999999</v>
      </c>
      <c r="N31" s="65">
        <f t="shared" si="3"/>
        <v>-7.0000000000000001E-3</v>
      </c>
      <c r="O31" s="66">
        <f t="shared" si="7"/>
        <v>-526394</v>
      </c>
      <c r="P31" s="68">
        <f t="shared" si="4"/>
        <v>255677</v>
      </c>
      <c r="Q31" s="67">
        <f t="shared" si="5"/>
        <v>3.4000002557876352E-3</v>
      </c>
      <c r="R31" s="60" t="str">
        <f t="shared" si="6"/>
        <v>Imp</v>
      </c>
    </row>
    <row r="32" spans="1:18">
      <c r="A32" s="59">
        <v>210037</v>
      </c>
      <c r="B32" s="115" t="s">
        <v>73</v>
      </c>
      <c r="C32" s="61">
        <f>VLOOKUP(A32,'[5]Source Revenue'!$A:$E,5,FALSE)</f>
        <v>105222294.54594231</v>
      </c>
      <c r="D32" s="62">
        <f>VLOOKUP(A32,'Source Readmission Final'!A:Q,16,FALSE)</f>
        <v>2.3699999999999999E-2</v>
      </c>
      <c r="E32" s="62">
        <f>VLOOKUP(A32,'Source Readmission Final'!A:Q,8,FALSE)</f>
        <v>0.11</v>
      </c>
      <c r="F32" s="62">
        <f>VLOOKUP(A32,'Source Readmission Final'!A:O,14,FALSE)</f>
        <v>0.10639999999999999</v>
      </c>
      <c r="G32" s="62">
        <f>VLOOKUP(A32,'Source Readmission Final'!A:Q,15,FALSE)</f>
        <v>-3.27E-2</v>
      </c>
      <c r="H32" s="62">
        <f>VLOOKUP(A32,'Source Readmission Final'!A:Q,17,FALSE)</f>
        <v>-9.7749899999999279E-3</v>
      </c>
      <c r="I32" s="64">
        <f t="shared" si="0"/>
        <v>-0.14099999999999999</v>
      </c>
      <c r="J32" s="65">
        <f t="shared" si="1"/>
        <v>-1.2500000000000001E-2</v>
      </c>
      <c r="K32" s="66">
        <f t="shared" si="2"/>
        <v>-1315279</v>
      </c>
      <c r="L32" s="62">
        <f>VLOOKUP(A32,'Readmit Attainment'!A:G,7,FALSE)</f>
        <v>0.11104698795180723</v>
      </c>
      <c r="M32" s="67">
        <f>'Readmission Scaling'!$H$5</f>
        <v>0.10829999999999999</v>
      </c>
      <c r="N32" s="65">
        <f t="shared" si="3"/>
        <v>-2.7000000000000001E-3</v>
      </c>
      <c r="O32" s="66">
        <f t="shared" si="7"/>
        <v>-284100</v>
      </c>
      <c r="P32" s="68">
        <f t="shared" si="4"/>
        <v>-284100</v>
      </c>
      <c r="Q32" s="67">
        <f t="shared" si="5"/>
        <v>-2.6999981441761457E-3</v>
      </c>
      <c r="R32" s="60" t="str">
        <f t="shared" si="6"/>
        <v>Att</v>
      </c>
    </row>
    <row r="33" spans="1:18">
      <c r="A33" s="59">
        <v>210038</v>
      </c>
      <c r="B33" s="115" t="s">
        <v>74</v>
      </c>
      <c r="C33" s="61">
        <f>VLOOKUP(A33,'[5]Source Revenue'!$A:$E,5,FALSE)</f>
        <v>117217726.72801577</v>
      </c>
      <c r="D33" s="62">
        <f>VLOOKUP(A33,'Source Readmission Final'!A:Q,16,FALSE)</f>
        <v>-0.112</v>
      </c>
      <c r="E33" s="62">
        <f>VLOOKUP(A33,'Source Readmission Final'!A:Q,8,FALSE)</f>
        <v>0.15060000000000001</v>
      </c>
      <c r="F33" s="62">
        <f>VLOOKUP(A33,'Source Readmission Final'!A:O,14,FALSE)</f>
        <v>0.15090000000000001</v>
      </c>
      <c r="G33" s="62">
        <f>VLOOKUP(A33,'Source Readmission Final'!A:Q,15,FALSE)</f>
        <v>2E-3</v>
      </c>
      <c r="H33" s="62">
        <f>VLOOKUP(A33,'Source Readmission Final'!A:Q,17,FALSE)</f>
        <v>-0.11022399999999999</v>
      </c>
      <c r="I33" s="64">
        <f t="shared" si="0"/>
        <v>-0.14099999999999999</v>
      </c>
      <c r="J33" s="65">
        <f t="shared" si="1"/>
        <v>-2.8999999999999998E-3</v>
      </c>
      <c r="K33" s="66">
        <f t="shared" si="2"/>
        <v>-339931</v>
      </c>
      <c r="L33" s="62">
        <f>VLOOKUP(A33,'Readmit Attainment'!A:G,7,FALSE)</f>
        <v>0.15343187919463089</v>
      </c>
      <c r="M33" s="67">
        <f>'Readmission Scaling'!$H$5</f>
        <v>0.10829999999999999</v>
      </c>
      <c r="N33" s="65">
        <f t="shared" si="3"/>
        <v>-0.02</v>
      </c>
      <c r="O33" s="66">
        <f t="shared" si="7"/>
        <v>-2344355</v>
      </c>
      <c r="P33" s="68">
        <f t="shared" si="4"/>
        <v>-339931</v>
      </c>
      <c r="Q33" s="67">
        <f t="shared" si="5"/>
        <v>-2.8999965234674219E-3</v>
      </c>
      <c r="R33" s="60" t="str">
        <f t="shared" si="6"/>
        <v>Imp</v>
      </c>
    </row>
    <row r="34" spans="1:18">
      <c r="A34" s="59">
        <v>210039</v>
      </c>
      <c r="B34" s="115" t="s">
        <v>75</v>
      </c>
      <c r="C34" s="61">
        <f>VLOOKUP(A34,'[5]Source Revenue'!$A:$E,5,FALSE)</f>
        <v>63677722.49892997</v>
      </c>
      <c r="D34" s="62">
        <f>VLOOKUP(A34,'Source Readmission Final'!A:Q,16,FALSE)</f>
        <v>-0.1008</v>
      </c>
      <c r="E34" s="62">
        <f>VLOOKUP(A34,'Source Readmission Final'!A:Q,8,FALSE)</f>
        <v>8.9800000000000005E-2</v>
      </c>
      <c r="F34" s="62">
        <f>VLOOKUP(A34,'Source Readmission Final'!A:O,14,FALSE)</f>
        <v>8.7900000000000006E-2</v>
      </c>
      <c r="G34" s="62">
        <f>VLOOKUP(A34,'Source Readmission Final'!A:Q,15,FALSE)</f>
        <v>-2.12E-2</v>
      </c>
      <c r="H34" s="62">
        <f>VLOOKUP(A34,'Source Readmission Final'!A:Q,17,FALSE)</f>
        <v>-0.11986304000000003</v>
      </c>
      <c r="I34" s="64">
        <f t="shared" si="0"/>
        <v>-0.14099999999999999</v>
      </c>
      <c r="J34" s="65">
        <f t="shared" si="1"/>
        <v>-2E-3</v>
      </c>
      <c r="K34" s="66">
        <f t="shared" si="2"/>
        <v>-127355</v>
      </c>
      <c r="L34" s="62">
        <f>VLOOKUP(A34,'Readmit Attainment'!A:G,7,FALSE)</f>
        <v>9.8062278481012677E-2</v>
      </c>
      <c r="M34" s="67">
        <f>'Readmission Scaling'!$H$5</f>
        <v>0.10829999999999999</v>
      </c>
      <c r="N34" s="65">
        <f t="shared" si="3"/>
        <v>0.01</v>
      </c>
      <c r="O34" s="66">
        <f t="shared" si="7"/>
        <v>636777</v>
      </c>
      <c r="P34" s="68">
        <f t="shared" si="4"/>
        <v>636777</v>
      </c>
      <c r="Q34" s="67">
        <f t="shared" si="5"/>
        <v>9.9999964667502085E-3</v>
      </c>
      <c r="R34" s="60" t="str">
        <f t="shared" si="6"/>
        <v>Att</v>
      </c>
    </row>
    <row r="35" spans="1:18">
      <c r="A35" s="59">
        <v>210040</v>
      </c>
      <c r="B35" s="115" t="s">
        <v>76</v>
      </c>
      <c r="C35" s="61">
        <f>VLOOKUP(A35,'[5]Source Revenue'!$A:$E,5,FALSE)</f>
        <v>133828757.60213824</v>
      </c>
      <c r="D35" s="62">
        <f>VLOOKUP(A35,'Source Readmission Final'!A:Q,16,FALSE)</f>
        <v>-0.1918</v>
      </c>
      <c r="E35" s="62">
        <f>VLOOKUP(A35,'Source Readmission Final'!A:Q,8,FALSE)</f>
        <v>0.12470000000000001</v>
      </c>
      <c r="F35" s="62">
        <f>VLOOKUP(A35,'Source Readmission Final'!A:O,14,FALSE)</f>
        <v>0.1181</v>
      </c>
      <c r="G35" s="62">
        <f>VLOOKUP(A35,'Source Readmission Final'!A:Q,15,FALSE)</f>
        <v>-5.2900000000000003E-2</v>
      </c>
      <c r="H35" s="62">
        <f>VLOOKUP(A35,'Source Readmission Final'!A:Q,17,FALSE)</f>
        <v>-0.23455377999999993</v>
      </c>
      <c r="I35" s="64">
        <f t="shared" si="0"/>
        <v>-0.14099999999999999</v>
      </c>
      <c r="J35" s="65">
        <f t="shared" si="1"/>
        <v>8.8999999999999999E-3</v>
      </c>
      <c r="K35" s="66">
        <f t="shared" si="2"/>
        <v>1191076</v>
      </c>
      <c r="L35" s="62">
        <f>VLOOKUP(A35,'Readmit Attainment'!A:G,7,FALSE)</f>
        <v>0.11948462068965517</v>
      </c>
      <c r="M35" s="67">
        <f>'Readmission Scaling'!$H$5</f>
        <v>0.10829999999999999</v>
      </c>
      <c r="N35" s="65">
        <f t="shared" si="3"/>
        <v>-1.12E-2</v>
      </c>
      <c r="O35" s="66">
        <f t="shared" si="7"/>
        <v>-1498882</v>
      </c>
      <c r="P35" s="68">
        <f t="shared" si="4"/>
        <v>1191076</v>
      </c>
      <c r="Q35" s="67">
        <f t="shared" si="5"/>
        <v>8.900000428465232E-3</v>
      </c>
      <c r="R35" s="60" t="str">
        <f t="shared" si="6"/>
        <v>Imp</v>
      </c>
    </row>
    <row r="36" spans="1:18" ht="30">
      <c r="A36" s="59">
        <v>210043</v>
      </c>
      <c r="B36" s="115" t="s">
        <v>77</v>
      </c>
      <c r="C36" s="61">
        <f>VLOOKUP(A36,'[5]Source Revenue'!$A:$E,5,FALSE)</f>
        <v>229151791.56866744</v>
      </c>
      <c r="D36" s="62">
        <f>VLOOKUP(A36,'Source Readmission Final'!A:Q,16,FALSE)</f>
        <v>-0.13350000000000001</v>
      </c>
      <c r="E36" s="62">
        <f>VLOOKUP(A36,'Source Readmission Final'!A:Q,8,FALSE)</f>
        <v>0.1249</v>
      </c>
      <c r="F36" s="62">
        <f>VLOOKUP(A36,'Source Readmission Final'!A:O,14,FALSE)</f>
        <v>0.11799999999999999</v>
      </c>
      <c r="G36" s="62">
        <f>VLOOKUP(A36,'Source Readmission Final'!A:Q,15,FALSE)</f>
        <v>-5.5199999999999999E-2</v>
      </c>
      <c r="H36" s="62">
        <f>VLOOKUP(A36,'Source Readmission Final'!A:Q,17,FALSE)</f>
        <v>-0.18133080000000001</v>
      </c>
      <c r="I36" s="64">
        <f t="shared" si="0"/>
        <v>-0.14099999999999999</v>
      </c>
      <c r="J36" s="65">
        <f t="shared" si="1"/>
        <v>3.8E-3</v>
      </c>
      <c r="K36" s="66">
        <f t="shared" si="2"/>
        <v>870777</v>
      </c>
      <c r="L36" s="62">
        <f>VLOOKUP(A36,'Readmit Attainment'!A:G,7,FALSE)</f>
        <v>0.11982147651006711</v>
      </c>
      <c r="M36" s="67">
        <f>'Readmission Scaling'!$H$5</f>
        <v>0.10829999999999999</v>
      </c>
      <c r="N36" s="65">
        <f t="shared" si="3"/>
        <v>-1.15E-2</v>
      </c>
      <c r="O36" s="66">
        <f t="shared" si="7"/>
        <v>-2635246</v>
      </c>
      <c r="P36" s="68">
        <f t="shared" si="4"/>
        <v>870777</v>
      </c>
      <c r="Q36" s="67">
        <f t="shared" si="5"/>
        <v>3.8000008380430386E-3</v>
      </c>
      <c r="R36" s="60" t="str">
        <f t="shared" si="6"/>
        <v>Imp</v>
      </c>
    </row>
    <row r="37" spans="1:18">
      <c r="A37" s="59">
        <v>210044</v>
      </c>
      <c r="B37" s="115" t="s">
        <v>78</v>
      </c>
      <c r="C37" s="61">
        <f>VLOOKUP(A37,'[5]Source Revenue'!$A:$E,5,FALSE)</f>
        <v>225145721.81593195</v>
      </c>
      <c r="D37" s="62">
        <f>VLOOKUP(A37,'Source Readmission Final'!A:Q,16,FALSE)</f>
        <v>-6.2600000000000003E-2</v>
      </c>
      <c r="E37" s="62">
        <f>VLOOKUP(A37,'Source Readmission Final'!A:Q,8,FALSE)</f>
        <v>0.10680000000000001</v>
      </c>
      <c r="F37" s="62">
        <f>VLOOKUP(A37,'Source Readmission Final'!A:O,14,FALSE)</f>
        <v>0.1026</v>
      </c>
      <c r="G37" s="62">
        <f>VLOOKUP(A37,'Source Readmission Final'!A:Q,15,FALSE)</f>
        <v>-3.9300000000000002E-2</v>
      </c>
      <c r="H37" s="62">
        <f>VLOOKUP(A37,'Source Readmission Final'!A:Q,17,FALSE)</f>
        <v>-9.9439819999999957E-2</v>
      </c>
      <c r="I37" s="64">
        <f t="shared" si="0"/>
        <v>-0.14099999999999999</v>
      </c>
      <c r="J37" s="65">
        <f t="shared" si="1"/>
        <v>-4.0000000000000001E-3</v>
      </c>
      <c r="K37" s="66">
        <f t="shared" si="2"/>
        <v>-900583</v>
      </c>
      <c r="L37" s="62">
        <f>VLOOKUP(A37,'Readmit Attainment'!A:G,7,FALSE)</f>
        <v>0.1043236074270557</v>
      </c>
      <c r="M37" s="67">
        <f>'Readmission Scaling'!$H$5</f>
        <v>0.10829999999999999</v>
      </c>
      <c r="N37" s="65">
        <f t="shared" si="3"/>
        <v>4.0000000000000001E-3</v>
      </c>
      <c r="O37" s="66">
        <f t="shared" si="7"/>
        <v>900583</v>
      </c>
      <c r="P37" s="68">
        <f t="shared" si="4"/>
        <v>900583</v>
      </c>
      <c r="Q37" s="67">
        <f t="shared" si="5"/>
        <v>4.0000005007258021E-3</v>
      </c>
      <c r="R37" s="60" t="str">
        <f t="shared" si="6"/>
        <v>Att</v>
      </c>
    </row>
    <row r="38" spans="1:18">
      <c r="A38" s="59">
        <v>210045</v>
      </c>
      <c r="B38" s="115" t="s">
        <v>79</v>
      </c>
      <c r="C38" s="61">
        <f>VLOOKUP(A38,'[5]Source Revenue'!$A:$E,5,FALSE)</f>
        <v>3033906.8583811382</v>
      </c>
      <c r="D38" s="62">
        <f>VLOOKUP(A38,'Source Readmission Final'!A:Q,16,FALSE)</f>
        <v>7.0400000000000004E-2</v>
      </c>
      <c r="E38" s="62">
        <f>VLOOKUP(A38,'Source Readmission Final'!A:Q,8,FALSE)</f>
        <v>0.1283</v>
      </c>
      <c r="F38" s="62">
        <f>VLOOKUP(A38,'Source Readmission Final'!A:O,14,FALSE)</f>
        <v>0.1045</v>
      </c>
      <c r="G38" s="62">
        <f>VLOOKUP(A38,'Source Readmission Final'!A:Q,15,FALSE)</f>
        <v>-0.1855</v>
      </c>
      <c r="H38" s="62">
        <f>VLOOKUP(A38,'Source Readmission Final'!A:Q,17,FALSE)</f>
        <v>-0.12815920000000003</v>
      </c>
      <c r="I38" s="64">
        <f t="shared" si="0"/>
        <v>-0.14099999999999999</v>
      </c>
      <c r="J38" s="65">
        <f t="shared" si="1"/>
        <v>-1.1999999999999999E-3</v>
      </c>
      <c r="K38" s="66">
        <f t="shared" si="2"/>
        <v>-3641</v>
      </c>
      <c r="L38" s="62">
        <f>VLOOKUP(A38,'Readmit Attainment'!A:G,7,FALSE)</f>
        <v>0.1045</v>
      </c>
      <c r="M38" s="67">
        <f>'Readmission Scaling'!$H$5</f>
        <v>0.10829999999999999</v>
      </c>
      <c r="N38" s="65">
        <f t="shared" si="3"/>
        <v>3.8E-3</v>
      </c>
      <c r="O38" s="66">
        <f t="shared" si="7"/>
        <v>11529</v>
      </c>
      <c r="P38" s="68">
        <f t="shared" si="4"/>
        <v>11529</v>
      </c>
      <c r="Q38" s="67">
        <f t="shared" si="5"/>
        <v>3.8000507392477291E-3</v>
      </c>
      <c r="R38" s="60" t="str">
        <f t="shared" si="6"/>
        <v>Att</v>
      </c>
    </row>
    <row r="39" spans="1:18">
      <c r="A39" s="59">
        <v>210048</v>
      </c>
      <c r="B39" s="115" t="s">
        <v>80</v>
      </c>
      <c r="C39" s="61">
        <f>VLOOKUP(A39,'[5]Source Revenue'!$A:$E,5,FALSE)</f>
        <v>183348539.02530757</v>
      </c>
      <c r="D39" s="62">
        <f>VLOOKUP(A39,'Source Readmission Final'!A:Q,16,FALSE)</f>
        <v>-4.9200000000000001E-2</v>
      </c>
      <c r="E39" s="62">
        <f>VLOOKUP(A39,'Source Readmission Final'!A:Q,8,FALSE)</f>
        <v>0.1149</v>
      </c>
      <c r="F39" s="62">
        <f>VLOOKUP(A39,'Source Readmission Final'!A:O,14,FALSE)</f>
        <v>0.1076</v>
      </c>
      <c r="G39" s="62">
        <f>VLOOKUP(A39,'Source Readmission Final'!A:Q,15,FALSE)</f>
        <v>-6.3500000000000001E-2</v>
      </c>
      <c r="H39" s="62">
        <f>VLOOKUP(A39,'Source Readmission Final'!A:Q,17,FALSE)</f>
        <v>-0.1095758</v>
      </c>
      <c r="I39" s="64">
        <f t="shared" si="0"/>
        <v>-0.14099999999999999</v>
      </c>
      <c r="J39" s="65">
        <f t="shared" si="1"/>
        <v>-3.0000000000000001E-3</v>
      </c>
      <c r="K39" s="66">
        <f t="shared" si="2"/>
        <v>-550046</v>
      </c>
      <c r="L39" s="62">
        <f>VLOOKUP(A39,'Readmit Attainment'!A:G,7,FALSE)</f>
        <v>0.10944120465434634</v>
      </c>
      <c r="M39" s="67">
        <f>'Readmission Scaling'!$H$5</f>
        <v>0.10829999999999999</v>
      </c>
      <c r="N39" s="65">
        <f t="shared" si="3"/>
        <v>-1.1000000000000001E-3</v>
      </c>
      <c r="O39" s="66">
        <f t="shared" si="7"/>
        <v>-201683</v>
      </c>
      <c r="P39" s="68">
        <f t="shared" si="4"/>
        <v>-201683</v>
      </c>
      <c r="Q39" s="67">
        <f t="shared" si="5"/>
        <v>-1.0999978569349916E-3</v>
      </c>
      <c r="R39" s="60" t="str">
        <f t="shared" si="6"/>
        <v>Att</v>
      </c>
    </row>
    <row r="40" spans="1:18">
      <c r="A40" s="59">
        <v>210049</v>
      </c>
      <c r="B40" s="115" t="s">
        <v>81</v>
      </c>
      <c r="C40" s="61">
        <f>VLOOKUP(A40,'[5]Source Revenue'!$A:$E,5,FALSE)</f>
        <v>130150364.25457975</v>
      </c>
      <c r="D40" s="62">
        <f>VLOOKUP(A40,'Source Readmission Final'!A:Q,16,FALSE)</f>
        <v>-5.8700000000000002E-2</v>
      </c>
      <c r="E40" s="62">
        <f>VLOOKUP(A40,'Source Readmission Final'!A:Q,8,FALSE)</f>
        <v>0.11</v>
      </c>
      <c r="F40" s="62">
        <f>VLOOKUP(A40,'Source Readmission Final'!A:O,14,FALSE)</f>
        <v>9.4500000000000001E-2</v>
      </c>
      <c r="G40" s="62">
        <f>VLOOKUP(A40,'Source Readmission Final'!A:Q,15,FALSE)</f>
        <v>-0.1409</v>
      </c>
      <c r="H40" s="62">
        <f>VLOOKUP(A40,'Source Readmission Final'!A:Q,17,FALSE)</f>
        <v>-0.19132917000000005</v>
      </c>
      <c r="I40" s="64">
        <f t="shared" si="0"/>
        <v>-0.14099999999999999</v>
      </c>
      <c r="J40" s="65">
        <f t="shared" si="1"/>
        <v>4.7999999999999996E-3</v>
      </c>
      <c r="K40" s="66">
        <f t="shared" si="2"/>
        <v>624722</v>
      </c>
      <c r="L40" s="62">
        <f>VLOOKUP(A40,'Readmit Attainment'!A:G,7,FALSE)</f>
        <v>9.6150655021834064E-2</v>
      </c>
      <c r="M40" s="67">
        <f>'Readmission Scaling'!$H$5</f>
        <v>0.10829999999999999</v>
      </c>
      <c r="N40" s="65">
        <f t="shared" si="3"/>
        <v>0.01</v>
      </c>
      <c r="O40" s="66">
        <f t="shared" si="7"/>
        <v>1301504</v>
      </c>
      <c r="P40" s="68">
        <f t="shared" si="4"/>
        <v>1301504</v>
      </c>
      <c r="Q40" s="67">
        <f t="shared" si="5"/>
        <v>1.0000002746471011E-2</v>
      </c>
      <c r="R40" s="60" t="str">
        <f t="shared" si="6"/>
        <v>Att</v>
      </c>
    </row>
    <row r="41" spans="1:18">
      <c r="A41" s="59">
        <v>210051</v>
      </c>
      <c r="B41" s="115" t="s">
        <v>82</v>
      </c>
      <c r="C41" s="61">
        <f>VLOOKUP(A41,'[5]Source Revenue'!$A:$E,5,FALSE)</f>
        <v>144686191.7581948</v>
      </c>
      <c r="D41" s="62">
        <f>VLOOKUP(A41,'Source Readmission Final'!A:Q,16,FALSE)</f>
        <v>-0.1041</v>
      </c>
      <c r="E41" s="62">
        <f>VLOOKUP(A41,'Source Readmission Final'!A:Q,8,FALSE)</f>
        <v>0.1166</v>
      </c>
      <c r="F41" s="62">
        <f>VLOOKUP(A41,'Source Readmission Final'!A:O,14,FALSE)</f>
        <v>0.1125</v>
      </c>
      <c r="G41" s="62">
        <f>VLOOKUP(A41,'Source Readmission Final'!A:Q,15,FALSE)</f>
        <v>-3.5200000000000002E-2</v>
      </c>
      <c r="H41" s="62">
        <f>VLOOKUP(A41,'Source Readmission Final'!A:Q,17,FALSE)</f>
        <v>-0.13563567999999993</v>
      </c>
      <c r="I41" s="64">
        <f t="shared" si="0"/>
        <v>-0.14099999999999999</v>
      </c>
      <c r="J41" s="65">
        <f t="shared" si="1"/>
        <v>-5.0000000000000001E-4</v>
      </c>
      <c r="K41" s="66">
        <f t="shared" si="2"/>
        <v>-72343</v>
      </c>
      <c r="L41" s="62">
        <f>VLOOKUP(A41,'Readmit Attainment'!A:G,7,FALSE)</f>
        <v>0.12436277932960894</v>
      </c>
      <c r="M41" s="67">
        <f>'Readmission Scaling'!$H$5</f>
        <v>0.10829999999999999</v>
      </c>
      <c r="N41" s="65">
        <f t="shared" si="3"/>
        <v>-1.61E-2</v>
      </c>
      <c r="O41" s="66">
        <f t="shared" si="7"/>
        <v>-2329448</v>
      </c>
      <c r="P41" s="68">
        <f t="shared" si="4"/>
        <v>-72343</v>
      </c>
      <c r="Q41" s="67">
        <f t="shared" si="5"/>
        <v>-4.9999933733070004E-4</v>
      </c>
      <c r="R41" s="60" t="str">
        <f t="shared" si="6"/>
        <v>Imp</v>
      </c>
    </row>
    <row r="42" spans="1:18">
      <c r="A42" s="59">
        <v>210055</v>
      </c>
      <c r="B42" s="115" t="s">
        <v>83</v>
      </c>
      <c r="C42" s="61">
        <f>VLOOKUP(A42,'[5]Source Revenue'!$A:$E,5,FALSE)</f>
        <v>58931275.742197961</v>
      </c>
      <c r="D42" s="62">
        <f>VLOOKUP(A42,'Source Readmission Final'!A:Q,16,FALSE)</f>
        <v>-0.16489999999999999</v>
      </c>
      <c r="E42" s="62">
        <f>VLOOKUP(A42,'Source Readmission Final'!A:Q,8,FALSE)</f>
        <v>0.12239999999999999</v>
      </c>
      <c r="F42" s="62">
        <f>VLOOKUP(A42,'Source Readmission Final'!A:O,14,FALSE)</f>
        <v>0.1205</v>
      </c>
      <c r="G42" s="62">
        <f>VLOOKUP(A42,'Source Readmission Final'!A:Q,15,FALSE)</f>
        <v>-1.55E-2</v>
      </c>
      <c r="H42" s="62">
        <f>VLOOKUP(A42,'Source Readmission Final'!A:Q,17,FALSE)</f>
        <v>-0.17784405000000003</v>
      </c>
      <c r="I42" s="64">
        <f t="shared" si="0"/>
        <v>-0.14099999999999999</v>
      </c>
      <c r="J42" s="65">
        <f t="shared" si="1"/>
        <v>3.5000000000000001E-3</v>
      </c>
      <c r="K42" s="66">
        <f t="shared" si="2"/>
        <v>206259</v>
      </c>
      <c r="L42" s="62">
        <f>VLOOKUP(A42,'Readmit Attainment'!A:G,7,FALSE)</f>
        <v>0.12351249999999998</v>
      </c>
      <c r="M42" s="67">
        <f>'Readmission Scaling'!$H$5</f>
        <v>0.10829999999999999</v>
      </c>
      <c r="N42" s="65">
        <f t="shared" si="3"/>
        <v>-1.52E-2</v>
      </c>
      <c r="O42" s="66">
        <f t="shared" si="7"/>
        <v>-895755</v>
      </c>
      <c r="P42" s="68">
        <f t="shared" si="4"/>
        <v>206259</v>
      </c>
      <c r="Q42" s="67">
        <f t="shared" si="5"/>
        <v>3.4999921077952748E-3</v>
      </c>
      <c r="R42" s="60" t="str">
        <f t="shared" si="6"/>
        <v>Imp</v>
      </c>
    </row>
    <row r="43" spans="1:18">
      <c r="A43" s="59">
        <v>210056</v>
      </c>
      <c r="B43" s="115" t="s">
        <v>84</v>
      </c>
      <c r="C43" s="61">
        <f>VLOOKUP(A43,'[5]Source Revenue'!$A:$E,5,FALSE)</f>
        <v>140674847.54290357</v>
      </c>
      <c r="D43" s="62">
        <f>VLOOKUP(A43,'Source Readmission Final'!A:Q,16,FALSE)</f>
        <v>-0.18049999999999999</v>
      </c>
      <c r="E43" s="62">
        <f>VLOOKUP(A43,'Source Readmission Final'!A:Q,8,FALSE)</f>
        <v>0.1195</v>
      </c>
      <c r="F43" s="62">
        <f>VLOOKUP(A43,'Source Readmission Final'!A:O,14,FALSE)</f>
        <v>0.12089999999999999</v>
      </c>
      <c r="G43" s="62">
        <f>VLOOKUP(A43,'Source Readmission Final'!A:Q,15,FALSE)</f>
        <v>1.17E-2</v>
      </c>
      <c r="H43" s="62">
        <f>VLOOKUP(A43,'Source Readmission Final'!A:Q,17,FALSE)</f>
        <v>-0.17091184999999998</v>
      </c>
      <c r="I43" s="64">
        <f t="shared" si="0"/>
        <v>-0.14099999999999999</v>
      </c>
      <c r="J43" s="65">
        <f t="shared" si="1"/>
        <v>2.8E-3</v>
      </c>
      <c r="K43" s="66">
        <f t="shared" si="2"/>
        <v>393890</v>
      </c>
      <c r="L43" s="62">
        <f>VLOOKUP(A43,'Readmit Attainment'!A:G,7,FALSE)</f>
        <v>0.12192025316455697</v>
      </c>
      <c r="M43" s="67">
        <f>'Readmission Scaling'!$H$5</f>
        <v>0.10829999999999999</v>
      </c>
      <c r="N43" s="65">
        <f t="shared" si="3"/>
        <v>-1.3599999999999999E-2</v>
      </c>
      <c r="O43" s="66">
        <f t="shared" si="7"/>
        <v>-1913178</v>
      </c>
      <c r="P43" s="68">
        <f t="shared" si="4"/>
        <v>393890</v>
      </c>
      <c r="Q43" s="67">
        <f t="shared" si="5"/>
        <v>2.8000030345145381E-3</v>
      </c>
      <c r="R43" s="60" t="str">
        <f t="shared" si="6"/>
        <v>Imp</v>
      </c>
    </row>
    <row r="44" spans="1:18">
      <c r="A44" s="59">
        <v>210057</v>
      </c>
      <c r="B44" s="115" t="s">
        <v>85</v>
      </c>
      <c r="C44" s="61">
        <f>VLOOKUP(A44,'[5]Source Revenue'!$A:$E,5,FALSE)</f>
        <v>231939524.50295067</v>
      </c>
      <c r="D44" s="62">
        <f>VLOOKUP(A44,'Source Readmission Final'!A:Q,16,FALSE)</f>
        <v>-9.7299999999999998E-2</v>
      </c>
      <c r="E44" s="62">
        <f>VLOOKUP(A44,'Source Readmission Final'!A:Q,8,FALSE)</f>
        <v>9.9900000000000003E-2</v>
      </c>
      <c r="F44" s="62">
        <f>VLOOKUP(A44,'Source Readmission Final'!A:O,14,FALSE)</f>
        <v>0.1019</v>
      </c>
      <c r="G44" s="62">
        <f>VLOOKUP(A44,'Source Readmission Final'!A:Q,15,FALSE)</f>
        <v>0.02</v>
      </c>
      <c r="H44" s="62">
        <f>VLOOKUP(A44,'Source Readmission Final'!A:Q,17,FALSE)</f>
        <v>-7.9245999999999928E-2</v>
      </c>
      <c r="I44" s="64">
        <f t="shared" si="0"/>
        <v>-0.14099999999999999</v>
      </c>
      <c r="J44" s="65">
        <f t="shared" si="1"/>
        <v>-5.8999999999999999E-3</v>
      </c>
      <c r="K44" s="66">
        <f t="shared" si="2"/>
        <v>-1368443</v>
      </c>
      <c r="L44" s="62">
        <f>VLOOKUP(A44,'Readmit Attainment'!A:G,7,FALSE)</f>
        <v>0.10818813291139243</v>
      </c>
      <c r="M44" s="67">
        <f>'Readmission Scaling'!$H$5</f>
        <v>0.10829999999999999</v>
      </c>
      <c r="N44" s="65">
        <f t="shared" si="3"/>
        <v>1E-4</v>
      </c>
      <c r="O44" s="66">
        <f t="shared" si="7"/>
        <v>23194</v>
      </c>
      <c r="P44" s="68">
        <f t="shared" si="4"/>
        <v>23194</v>
      </c>
      <c r="Q44" s="67">
        <f t="shared" si="5"/>
        <v>1.0000020500906447E-4</v>
      </c>
      <c r="R44" s="60" t="str">
        <f t="shared" si="6"/>
        <v>Att</v>
      </c>
    </row>
    <row r="45" spans="1:18">
      <c r="A45" s="59">
        <v>210058</v>
      </c>
      <c r="B45" s="115" t="s">
        <v>86</v>
      </c>
      <c r="C45" s="61">
        <f>VLOOKUP(A45,'[5]Source Revenue'!$A:$E,5,FALSE)</f>
        <v>69966358.850384042</v>
      </c>
      <c r="D45" s="62">
        <f>VLOOKUP(A45,'Source Readmission Final'!A:Q,16,FALSE)</f>
        <v>-0.1065</v>
      </c>
      <c r="E45" s="62">
        <f>VLOOKUP(A45,'Source Readmission Final'!A:Q,8,FALSE)</f>
        <v>9.69E-2</v>
      </c>
      <c r="F45" s="62">
        <f>VLOOKUP(A45,'Source Readmission Final'!A:O,14,FALSE)</f>
        <v>9.0700000000000003E-2</v>
      </c>
      <c r="G45" s="62">
        <f>VLOOKUP(A45,'Source Readmission Final'!A:Q,15,FALSE)</f>
        <v>-6.4000000000000001E-2</v>
      </c>
      <c r="H45" s="62">
        <f>VLOOKUP(A45,'Source Readmission Final'!A:Q,17,FALSE)</f>
        <v>-0.16368400000000005</v>
      </c>
      <c r="I45" s="64">
        <f t="shared" si="0"/>
        <v>-0.14099999999999999</v>
      </c>
      <c r="J45" s="65">
        <f t="shared" si="1"/>
        <v>2.2000000000000001E-3</v>
      </c>
      <c r="K45" s="66">
        <f t="shared" si="2"/>
        <v>153926</v>
      </c>
      <c r="L45" s="62">
        <f>VLOOKUP(A45,'Readmit Attainment'!A:G,7,FALSE)</f>
        <v>9.0700000000000003E-2</v>
      </c>
      <c r="M45" s="67">
        <f>'Readmission Scaling'!$H$5</f>
        <v>0.10829999999999999</v>
      </c>
      <c r="N45" s="65">
        <f t="shared" si="3"/>
        <v>0.01</v>
      </c>
      <c r="O45" s="66">
        <f>$C45*N45*0.16</f>
        <v>111946.17416061446</v>
      </c>
      <c r="P45" s="68">
        <f t="shared" si="4"/>
        <v>153926</v>
      </c>
      <c r="Q45" s="67">
        <f t="shared" si="5"/>
        <v>2.2000001504888247E-3</v>
      </c>
      <c r="R45" s="60" t="str">
        <f t="shared" si="6"/>
        <v>Imp</v>
      </c>
    </row>
    <row r="46" spans="1:18">
      <c r="A46" s="59">
        <v>210060</v>
      </c>
      <c r="B46" s="115" t="s">
        <v>87</v>
      </c>
      <c r="C46" s="61">
        <f>VLOOKUP(A46,'[5]Source Revenue'!$A:$E,5,FALSE)</f>
        <v>19548527.145282824</v>
      </c>
      <c r="D46" s="62">
        <f>VLOOKUP(A46,'Source Readmission Final'!A:Q,16,FALSE)</f>
        <v>-0.27410000000000001</v>
      </c>
      <c r="E46" s="62">
        <f>VLOOKUP(A46,'Source Readmission Final'!A:Q,8,FALSE)</f>
        <v>9.5200000000000007E-2</v>
      </c>
      <c r="F46" s="62">
        <f>VLOOKUP(A46,'Source Readmission Final'!A:O,14,FALSE)</f>
        <v>8.4500000000000006E-2</v>
      </c>
      <c r="G46" s="62">
        <f>VLOOKUP(A46,'Source Readmission Final'!A:Q,15,FALSE)</f>
        <v>-0.1124</v>
      </c>
      <c r="H46" s="62">
        <f>VLOOKUP(A46,'Source Readmission Final'!A:Q,17,FALSE)</f>
        <v>-0.35569116000000001</v>
      </c>
      <c r="I46" s="64">
        <f t="shared" si="0"/>
        <v>-0.14099999999999999</v>
      </c>
      <c r="J46" s="65">
        <f t="shared" si="1"/>
        <v>0.01</v>
      </c>
      <c r="K46" s="66">
        <f t="shared" ref="K46:K51" si="8">ROUND($C46*J46,0)</f>
        <v>195485</v>
      </c>
      <c r="L46" s="62">
        <f>VLOOKUP(A46,'Readmit Attainment'!A:G,7,FALSE)</f>
        <v>0.11397323818019625</v>
      </c>
      <c r="M46" s="67">
        <f>'Readmission Scaling'!$H$5</f>
        <v>0.10829999999999999</v>
      </c>
      <c r="N46" s="65">
        <f t="shared" si="3"/>
        <v>-5.7000000000000002E-3</v>
      </c>
      <c r="O46" s="66">
        <f t="shared" ref="O46:O51" si="9">ROUND($C46*N46,0)</f>
        <v>-111427</v>
      </c>
      <c r="P46" s="68">
        <f t="shared" si="4"/>
        <v>195485</v>
      </c>
      <c r="Q46" s="67">
        <f t="shared" si="5"/>
        <v>9.9999861138986984E-3</v>
      </c>
      <c r="R46" s="60" t="str">
        <f t="shared" si="6"/>
        <v>Imp</v>
      </c>
    </row>
    <row r="47" spans="1:18">
      <c r="A47" s="59">
        <v>210061</v>
      </c>
      <c r="B47" s="115" t="s">
        <v>88</v>
      </c>
      <c r="C47" s="61">
        <f>VLOOKUP(A47,'[5]Source Revenue'!$A:$E,5,FALSE)</f>
        <v>37316218.679340944</v>
      </c>
      <c r="D47" s="62">
        <f>VLOOKUP(A47,'Source Readmission Final'!A:Q,16,FALSE)</f>
        <v>-0.25019999999999998</v>
      </c>
      <c r="E47" s="62">
        <f>VLOOKUP(A47,'Source Readmission Final'!A:Q,8,FALSE)</f>
        <v>9.0300000000000005E-2</v>
      </c>
      <c r="F47" s="62">
        <f>VLOOKUP(A47,'Source Readmission Final'!A:O,14,FALSE)</f>
        <v>0.1026</v>
      </c>
      <c r="G47" s="62">
        <f>VLOOKUP(A47,'Source Readmission Final'!A:Q,15,FALSE)</f>
        <v>0.13619999999999999</v>
      </c>
      <c r="H47" s="62">
        <f>VLOOKUP(A47,'Source Readmission Final'!A:Q,17,FALSE)</f>
        <v>-0.14807723999999989</v>
      </c>
      <c r="I47" s="64">
        <f t="shared" si="0"/>
        <v>-0.14099999999999999</v>
      </c>
      <c r="J47" s="65">
        <f t="shared" si="1"/>
        <v>6.9999999999999999E-4</v>
      </c>
      <c r="K47" s="66">
        <f t="shared" si="8"/>
        <v>26121</v>
      </c>
      <c r="L47" s="62">
        <f>VLOOKUP(A47,'Readmit Attainment'!A:G,7,FALSE)</f>
        <v>0.11024403973509932</v>
      </c>
      <c r="M47" s="67">
        <f>'Readmission Scaling'!$H$5</f>
        <v>0.10829999999999999</v>
      </c>
      <c r="N47" s="65">
        <f t="shared" si="3"/>
        <v>-1.9E-3</v>
      </c>
      <c r="O47" s="66">
        <f t="shared" si="9"/>
        <v>-70901</v>
      </c>
      <c r="P47" s="68">
        <f t="shared" si="4"/>
        <v>26121</v>
      </c>
      <c r="Q47" s="67">
        <f t="shared" si="5"/>
        <v>6.9999053828198154E-4</v>
      </c>
      <c r="R47" s="60" t="str">
        <f t="shared" si="6"/>
        <v>Imp</v>
      </c>
    </row>
    <row r="48" spans="1:18">
      <c r="A48" s="59">
        <v>210062</v>
      </c>
      <c r="B48" s="115" t="s">
        <v>89</v>
      </c>
      <c r="C48" s="61">
        <f>VLOOKUP(A48,'[5]Source Revenue'!$A:$E,5,FALSE)</f>
        <v>163844002.52998456</v>
      </c>
      <c r="D48" s="62">
        <f>VLOOKUP(A48,'Source Readmission Final'!A:Q,16,FALSE)</f>
        <v>-7.6300000000000007E-2</v>
      </c>
      <c r="E48" s="62">
        <f>VLOOKUP(A48,'Source Readmission Final'!A:Q,8,FALSE)</f>
        <v>0.11269999999999999</v>
      </c>
      <c r="F48" s="62">
        <f>VLOOKUP(A48,'Source Readmission Final'!A:O,14,FALSE)</f>
        <v>0.1053</v>
      </c>
      <c r="G48" s="62">
        <f>VLOOKUP(A48,'Source Readmission Final'!A:Q,15,FALSE)</f>
        <v>-6.5699999999999995E-2</v>
      </c>
      <c r="H48" s="62">
        <f>VLOOKUP(A48,'Source Readmission Final'!A:Q,17,FALSE)</f>
        <v>-0.13698708999999998</v>
      </c>
      <c r="I48" s="64">
        <f t="shared" si="0"/>
        <v>-0.14099999999999999</v>
      </c>
      <c r="J48" s="65">
        <f t="shared" si="1"/>
        <v>-4.0000000000000002E-4</v>
      </c>
      <c r="K48" s="66">
        <f t="shared" si="8"/>
        <v>-65538</v>
      </c>
      <c r="L48" s="62">
        <f>VLOOKUP(A48,'Readmit Attainment'!A:G,7,FALSE)</f>
        <v>0.13607402214022141</v>
      </c>
      <c r="M48" s="67">
        <f>'Readmission Scaling'!$H$5</f>
        <v>0.10829999999999999</v>
      </c>
      <c r="N48" s="65">
        <f t="shared" si="3"/>
        <v>-0.02</v>
      </c>
      <c r="O48" s="66">
        <f t="shared" si="9"/>
        <v>-3276880</v>
      </c>
      <c r="P48" s="68">
        <f t="shared" si="4"/>
        <v>-65538</v>
      </c>
      <c r="Q48" s="67">
        <f t="shared" si="5"/>
        <v>-4.0000243517003986E-4</v>
      </c>
      <c r="R48" s="60" t="str">
        <f t="shared" si="6"/>
        <v>Imp</v>
      </c>
    </row>
    <row r="49" spans="1:18" s="71" customFormat="1">
      <c r="A49" s="59">
        <v>210063</v>
      </c>
      <c r="B49" s="115" t="s">
        <v>90</v>
      </c>
      <c r="C49" s="61">
        <f>VLOOKUP(A49,'[5]Source Revenue'!$A:$E,5,FALSE)</f>
        <v>237924618.48301899</v>
      </c>
      <c r="D49" s="62">
        <f>VLOOKUP(A49,'Source Readmission Final'!A:Q,16,FALSE)</f>
        <v>-0.10290000000000001</v>
      </c>
      <c r="E49" s="62">
        <f>VLOOKUP(A49,'Source Readmission Final'!A:Q,8,FALSE)</f>
        <v>0.1085</v>
      </c>
      <c r="F49" s="62">
        <f>VLOOKUP(A49,'Source Readmission Final'!A:O,14,FALSE)</f>
        <v>0.10390000000000001</v>
      </c>
      <c r="G49" s="62">
        <f>VLOOKUP(A49,'Source Readmission Final'!A:Q,15,FALSE)</f>
        <v>-4.24E-2</v>
      </c>
      <c r="H49" s="62">
        <f>VLOOKUP(A49,'Source Readmission Final'!A:Q,17,FALSE)</f>
        <v>-0.14093703999999996</v>
      </c>
      <c r="I49" s="64">
        <f t="shared" si="0"/>
        <v>-0.14099999999999999</v>
      </c>
      <c r="J49" s="65">
        <f t="shared" si="1"/>
        <v>0</v>
      </c>
      <c r="K49" s="66">
        <f t="shared" si="8"/>
        <v>0</v>
      </c>
      <c r="L49" s="62">
        <f>VLOOKUP(A49,'Readmit Attainment'!A:G,7,FALSE)</f>
        <v>0.10505231053604436</v>
      </c>
      <c r="M49" s="67">
        <f>'Readmission Scaling'!$H$5</f>
        <v>0.10829999999999999</v>
      </c>
      <c r="N49" s="65">
        <f t="shared" si="3"/>
        <v>3.2000000000000002E-3</v>
      </c>
      <c r="O49" s="66">
        <f t="shared" si="9"/>
        <v>761359</v>
      </c>
      <c r="P49" s="68">
        <f t="shared" si="4"/>
        <v>761359</v>
      </c>
      <c r="Q49" s="67">
        <f t="shared" si="5"/>
        <v>3.2000009282534135E-3</v>
      </c>
      <c r="R49" s="60" t="str">
        <f t="shared" si="6"/>
        <v>Att</v>
      </c>
    </row>
    <row r="50" spans="1:18" s="71" customFormat="1">
      <c r="A50" s="59">
        <v>210064</v>
      </c>
      <c r="B50" s="115" t="s">
        <v>91</v>
      </c>
      <c r="C50" s="61">
        <f>VLOOKUP(A50,'[5]Source Revenue'!$A:$E,5,FALSE)</f>
        <v>56105766.784084387</v>
      </c>
      <c r="D50" s="62">
        <f>VLOOKUP(A50,'Source Readmission Final'!A:Q,16,FALSE)</f>
        <v>-0.28839999999999999</v>
      </c>
      <c r="E50" s="62">
        <f>VLOOKUP(A50,'Source Readmission Final'!A:Q,8,FALSE)</f>
        <v>0.1056</v>
      </c>
      <c r="F50" s="62">
        <f>VLOOKUP(A50,'Source Readmission Final'!A:O,14,FALSE)</f>
        <v>0.1142</v>
      </c>
      <c r="G50" s="62">
        <f>VLOOKUP(A50,'Source Readmission Final'!A:Q,15,FALSE)</f>
        <v>8.14E-2</v>
      </c>
      <c r="H50" s="62">
        <f>VLOOKUP(A50,'Source Readmission Final'!A:Q,17,FALSE)</f>
        <v>-0.23047576000000003</v>
      </c>
      <c r="I50" s="64">
        <f t="shared" si="0"/>
        <v>-0.14099999999999999</v>
      </c>
      <c r="J50" s="65">
        <f t="shared" si="1"/>
        <v>8.5000000000000006E-3</v>
      </c>
      <c r="K50" s="66">
        <f t="shared" si="8"/>
        <v>476899</v>
      </c>
      <c r="L50" s="62">
        <f>VLOOKUP(A50,'Readmit Attainment'!A:G,7,FALSE)</f>
        <v>0.11934497184231696</v>
      </c>
      <c r="M50" s="67">
        <f>'Readmission Scaling'!$H$5</f>
        <v>0.10829999999999999</v>
      </c>
      <c r="N50" s="65">
        <f t="shared" si="3"/>
        <v>-1.0999999999999999E-2</v>
      </c>
      <c r="O50" s="66">
        <f t="shared" si="9"/>
        <v>-617163</v>
      </c>
      <c r="P50" s="68">
        <f t="shared" si="4"/>
        <v>476899</v>
      </c>
      <c r="Q50" s="67">
        <f t="shared" si="5"/>
        <v>8.4999996851532686E-3</v>
      </c>
      <c r="R50" s="60" t="str">
        <f t="shared" si="6"/>
        <v>Imp</v>
      </c>
    </row>
    <row r="51" spans="1:18" s="71" customFormat="1">
      <c r="A51" s="59">
        <v>210065</v>
      </c>
      <c r="B51" s="115" t="s">
        <v>92</v>
      </c>
      <c r="C51" s="72">
        <f>VLOOKUP(A51,'[5]Source Revenue'!$A:$E,5,FALSE)</f>
        <v>60632166.851306401</v>
      </c>
      <c r="D51" s="62" t="str">
        <f>VLOOKUP(A51,'Source Readmission Final'!A:Q,16,FALSE)</f>
        <v xml:space="preserve"> </v>
      </c>
      <c r="E51" s="62">
        <f>VLOOKUP(A51,'Source Readmission Final'!A:Q,8,FALSE)</f>
        <v>0.1072</v>
      </c>
      <c r="F51" s="62">
        <f>VLOOKUP(A51,'Source Readmission Final'!A:O,14,FALSE)</f>
        <v>0.11990000000000001</v>
      </c>
      <c r="G51" s="62">
        <f>VLOOKUP(A51,'Source Readmission Final'!A:Q,15,FALSE)</f>
        <v>0.11849999999999999</v>
      </c>
      <c r="H51" s="62">
        <f>VLOOKUP(A51,'Source Readmission Final'!A:Q,17,FALSE)</f>
        <v>0.11849999999999999</v>
      </c>
      <c r="I51" s="67">
        <v>-3.7499999999999999E-2</v>
      </c>
      <c r="J51" s="62">
        <f>ROUND(IF(H51&lt;='Readmission Scaling'!J16,MaxReward,IF(H51&gt;='Readmission Scaling'!J45,MaxPenalty,IF(H51&lt;=I51,MaxReward*((H51-I51)/('Readmission Scaling'!J16-I51)),MaxPenalty*((H51-I51)/('Readmission Scaling'!J45-I51))))),4)</f>
        <v>-1.5599999999999999E-2</v>
      </c>
      <c r="K51" s="66">
        <f t="shared" si="8"/>
        <v>-945862</v>
      </c>
      <c r="L51" s="62">
        <f>VLOOKUP(A51,'Readmit Attainment'!A:G,7,FALSE)</f>
        <v>0.12887596532702913</v>
      </c>
      <c r="M51" s="67">
        <f>'Readmission Scaling'!$H$5</f>
        <v>0.10829999999999999</v>
      </c>
      <c r="N51" s="62">
        <f t="shared" si="3"/>
        <v>-0.02</v>
      </c>
      <c r="O51" s="66">
        <f t="shared" si="9"/>
        <v>-1212643</v>
      </c>
      <c r="P51" s="68">
        <f t="shared" si="4"/>
        <v>-945862</v>
      </c>
      <c r="Q51" s="67">
        <f t="shared" si="5"/>
        <v>-1.5600003251073323E-2</v>
      </c>
      <c r="R51" s="60" t="str">
        <f t="shared" si="6"/>
        <v>Imp</v>
      </c>
    </row>
    <row r="52" spans="1:18" s="71" customFormat="1">
      <c r="A52" s="59"/>
      <c r="B52" s="115"/>
      <c r="C52" s="61"/>
      <c r="D52" s="62"/>
      <c r="E52" s="73"/>
      <c r="F52" s="73"/>
      <c r="G52" s="73"/>
      <c r="H52" s="73"/>
      <c r="I52" s="64"/>
      <c r="J52" s="74"/>
      <c r="K52" s="66"/>
      <c r="L52" s="66"/>
      <c r="M52" s="67"/>
      <c r="N52" s="74"/>
      <c r="O52" s="66"/>
      <c r="P52" s="68"/>
      <c r="Q52" s="67"/>
      <c r="R52" s="60"/>
    </row>
    <row r="53" spans="1:18" s="83" customFormat="1" ht="15.75">
      <c r="A53" s="75" t="s">
        <v>33</v>
      </c>
      <c r="B53" s="116"/>
      <c r="C53" s="76">
        <f>SUM(C4:C51)</f>
        <v>9222204361.5231628</v>
      </c>
      <c r="D53" s="62"/>
      <c r="E53" s="62"/>
      <c r="F53" s="63"/>
      <c r="G53" s="62"/>
      <c r="H53" s="77"/>
      <c r="I53" s="78"/>
      <c r="J53" s="79"/>
      <c r="K53" s="80">
        <f>SUM(K4:K51)</f>
        <v>-29932437</v>
      </c>
      <c r="L53" s="80"/>
      <c r="M53" s="81"/>
      <c r="N53" s="82"/>
      <c r="O53" s="80">
        <f>SUM(O4:O51)</f>
        <v>-117083608.35395436</v>
      </c>
      <c r="P53" s="80">
        <f>SUM(P4:P51)</f>
        <v>-19622610</v>
      </c>
      <c r="Q53" s="81"/>
      <c r="R53" s="75"/>
    </row>
    <row r="54" spans="1:18">
      <c r="A54" s="84" t="s">
        <v>122</v>
      </c>
      <c r="B54" s="117"/>
      <c r="C54" s="81"/>
      <c r="D54" s="81"/>
      <c r="E54" s="81"/>
      <c r="F54" s="81"/>
      <c r="G54" s="81"/>
      <c r="H54" s="81"/>
      <c r="I54" s="81"/>
      <c r="J54" s="82"/>
      <c r="K54" s="66">
        <f>SUMIF(K2:K51,"&lt;0",K2:K51)</f>
        <v>-40642272</v>
      </c>
      <c r="L54" s="66"/>
      <c r="M54" s="81"/>
      <c r="N54" s="82"/>
      <c r="O54" s="66">
        <f>SUMIF(O2:O51,"&lt;0",O2:O51)</f>
        <v>-121041253.52811497</v>
      </c>
      <c r="P54" s="68">
        <f>SUMIF(P4:P51,"&lt;0",P4:P51)</f>
        <v>-33553422</v>
      </c>
      <c r="Q54" s="81"/>
      <c r="R54" s="81"/>
    </row>
    <row r="55" spans="1:18">
      <c r="A55" s="84" t="s">
        <v>123</v>
      </c>
      <c r="B55" s="117"/>
      <c r="C55" s="81"/>
      <c r="D55" s="81"/>
      <c r="E55" s="81"/>
      <c r="F55" s="81"/>
      <c r="G55" s="81"/>
      <c r="H55" s="81"/>
      <c r="I55" s="81"/>
      <c r="K55" s="66">
        <f>SUMIF(K2:K51,"&gt;0",K2:K51)</f>
        <v>10709835</v>
      </c>
      <c r="L55" s="66"/>
      <c r="M55" s="81"/>
      <c r="N55" s="82"/>
      <c r="O55" s="66">
        <f>SUMIF(O2:O51,"&gt;0",O2:O51)</f>
        <v>3957645.1741606146</v>
      </c>
      <c r="P55" s="68">
        <f>SUMIF(P4:P51,"&gt;0",P4:P51)</f>
        <v>13930812</v>
      </c>
      <c r="Q55" s="81"/>
      <c r="R55" s="81"/>
    </row>
    <row r="56" spans="1:18" ht="15.75">
      <c r="A56" s="85"/>
      <c r="B56" s="118"/>
      <c r="C56" s="72"/>
      <c r="D56" s="86"/>
      <c r="E56" s="86"/>
      <c r="F56" s="86"/>
      <c r="G56" s="86"/>
      <c r="H56" s="86"/>
      <c r="I56" s="87"/>
      <c r="J56" s="67"/>
      <c r="K56" s="68"/>
      <c r="L56" s="68"/>
      <c r="M56" s="81"/>
      <c r="N56" s="81"/>
      <c r="O56" s="68"/>
      <c r="P56" s="68"/>
      <c r="Q56" s="81"/>
      <c r="R56" s="88"/>
    </row>
    <row r="57" spans="1:18" ht="15.75">
      <c r="A57" s="89"/>
      <c r="B57" s="119"/>
      <c r="C57" s="90"/>
      <c r="D57" s="91"/>
      <c r="E57" s="91"/>
      <c r="F57" s="91"/>
      <c r="G57" s="91"/>
      <c r="H57" s="91"/>
      <c r="I57" s="92"/>
      <c r="J57" s="93"/>
      <c r="K57" s="93"/>
      <c r="L57" s="93"/>
      <c r="P57" s="95"/>
    </row>
    <row r="58" spans="1:18">
      <c r="A58" s="154" t="s">
        <v>124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</row>
    <row r="59" spans="1:18">
      <c r="A59" s="57" t="s">
        <v>125</v>
      </c>
    </row>
    <row r="60" spans="1:18">
      <c r="P60" s="95"/>
    </row>
    <row r="61" spans="1:18" ht="15.75">
      <c r="B61" s="120" t="s">
        <v>126</v>
      </c>
      <c r="C61" s="96">
        <v>0.01</v>
      </c>
    </row>
    <row r="62" spans="1:18" ht="15.75">
      <c r="B62" s="120" t="s">
        <v>127</v>
      </c>
      <c r="C62" s="96">
        <v>-0.02</v>
      </c>
    </row>
    <row r="64" spans="1:18" ht="15.75">
      <c r="B64" s="120" t="s">
        <v>132</v>
      </c>
      <c r="C64" s="96">
        <v>-0.14099999999999999</v>
      </c>
    </row>
    <row r="65" spans="2:3" ht="15.75">
      <c r="B65" s="120" t="s">
        <v>128</v>
      </c>
      <c r="C65" s="96">
        <v>-0.246</v>
      </c>
    </row>
    <row r="66" spans="2:3" ht="15.75">
      <c r="B66" s="120" t="s">
        <v>129</v>
      </c>
      <c r="C66" s="96">
        <v>6.9000000000000006E-2</v>
      </c>
    </row>
    <row r="67" spans="2:3" ht="15.75">
      <c r="B67" s="120" t="s">
        <v>133</v>
      </c>
      <c r="C67" s="96">
        <f>10.83%</f>
        <v>0.10830000000000001</v>
      </c>
    </row>
    <row r="68" spans="2:3" ht="15.75">
      <c r="B68" s="120" t="s">
        <v>130</v>
      </c>
      <c r="C68" s="96">
        <v>9.8299999999999998E-2</v>
      </c>
    </row>
    <row r="69" spans="2:3" ht="15.75">
      <c r="B69" s="120" t="s">
        <v>131</v>
      </c>
      <c r="C69" s="96">
        <v>0.1283</v>
      </c>
    </row>
  </sheetData>
  <autoFilter ref="A3:R3">
    <sortState ref="A3:R50">
      <sortCondition ref="A2"/>
    </sortState>
  </autoFilter>
  <mergeCells count="4">
    <mergeCell ref="I2:K2"/>
    <mergeCell ref="A58:P58"/>
    <mergeCell ref="L2:O2"/>
    <mergeCell ref="P2:R2"/>
  </mergeCells>
  <conditionalFormatting sqref="O4:P5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52:L52 K4:K51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5" right="0.45" top="0.25" bottom="0.25" header="0.3" footer="0.3"/>
  <pageSetup paperSize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B71CF9-C679-411F-ABC7-DBA2C55A9317}"/>
</file>

<file path=customXml/itemProps2.xml><?xml version="1.0" encoding="utf-8"?>
<ds:datastoreItem xmlns:ds="http://schemas.openxmlformats.org/officeDocument/2006/customXml" ds:itemID="{11EDDE1E-CF48-424D-8F6C-8132CE485208}"/>
</file>

<file path=customXml/itemProps3.xml><?xml version="1.0" encoding="utf-8"?>
<ds:datastoreItem xmlns:ds="http://schemas.openxmlformats.org/officeDocument/2006/customXml" ds:itemID="{6689026A-50B4-4A81-96AA-D3169663A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Source Readmission Final</vt:lpstr>
      <vt:lpstr>Readmit Attainment</vt:lpstr>
      <vt:lpstr>Readmission Scaling</vt:lpstr>
      <vt:lpstr>RRIP Modeling Results</vt:lpstr>
      <vt:lpstr>AttMaxPenaltyScore</vt:lpstr>
      <vt:lpstr>AttMaxRewardScore</vt:lpstr>
      <vt:lpstr>AttTarget</vt:lpstr>
      <vt:lpstr>ImpMaxPenaltyScore</vt:lpstr>
      <vt:lpstr>ImpMaxRewardScore</vt:lpstr>
      <vt:lpstr>ImpTarget</vt:lpstr>
      <vt:lpstr>MaxPenalty</vt:lpstr>
      <vt:lpstr>MaxReward</vt:lpstr>
      <vt:lpstr>RRIP_Att_MaxPenalty</vt:lpstr>
      <vt:lpstr>RRIP_Att_MaxPenaltyRate</vt:lpstr>
      <vt:lpstr>RRIP_Att_MaxRewardRate</vt:lpstr>
      <vt:lpstr>RRIP_Att_Reward</vt:lpstr>
      <vt:lpstr>RRIP_AttPenaltyOverUnder</vt:lpstr>
      <vt:lpstr>RRIP_AttRewardOverUnder</vt:lpstr>
      <vt:lpstr>RRIP_Imp_MaxPenalty</vt:lpstr>
      <vt:lpstr>RRIP_Imp_MaxPenaltyOverUnder</vt:lpstr>
      <vt:lpstr>RRIP_Imp_MaxPenaltyRate</vt:lpstr>
      <vt:lpstr>RRIP_Imp_MaxReward</vt:lpstr>
      <vt:lpstr>RRIP_Imp_MaxRewardOverUnder</vt:lpstr>
      <vt:lpstr>RRIP_Imp_MaxRewardRate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Alyson Schuster</cp:lastModifiedBy>
  <dcterms:created xsi:type="dcterms:W3CDTF">2017-08-22T17:32:20Z</dcterms:created>
  <dcterms:modified xsi:type="dcterms:W3CDTF">2018-05-21T13:05:36Z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